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omments3.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4.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5.xml" ContentType="application/vnd.openxmlformats-officedocument.drawingml.chartshape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6.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7.xml" ContentType="application/vnd.openxmlformats-officedocument.drawingml.chartshape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8.xml" ContentType="application/vnd.openxmlformats-officedocument.drawingml.chartshapes+xml"/>
  <Override PartName="/xl/drawings/drawing19.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drawings/drawing20.xml" ContentType="application/vnd.openxmlformats-officedocument.drawing+xml"/>
  <Override PartName="/xl/comments6.xml" ContentType="application/vnd.openxmlformats-officedocument.spreadsheetml.comment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21.xml" ContentType="application/vnd.openxmlformats-officedocument.drawingml.chartshapes+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22.xml" ContentType="application/vnd.openxmlformats-officedocument.drawingml.chartshapes+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23.xml" ContentType="application/vnd.openxmlformats-officedocument.drawingml.chartshapes+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24.xml" ContentType="application/vnd.openxmlformats-officedocument.drawingml.chartshapes+xml"/>
  <Override PartName="/xl/drawings/drawing25.xml" ContentType="application/vnd.openxmlformats-officedocument.drawing+xml"/>
  <Override PartName="/xl/comments7.xml" ContentType="application/vnd.openxmlformats-officedocument.spreadsheetml.comments+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26.xml" ContentType="application/vnd.openxmlformats-officedocument.drawingml.chartshapes+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27.xml" ContentType="application/vnd.openxmlformats-officedocument.drawingml.chartshapes+xml"/>
  <Override PartName="/xl/drawings/drawing28.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29.xml" ContentType="application/vnd.openxmlformats-officedocument.drawingml.chartshapes+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30.xml" ContentType="application/vnd.openxmlformats-officedocument.drawingml.chartshapes+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31.xml" ContentType="application/vnd.openxmlformats-officedocument.drawingml.chartshapes+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32.xml" ContentType="application/vnd.openxmlformats-officedocument.drawingml.chartshapes+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33.xml" ContentType="application/vnd.openxmlformats-officedocument.drawingml.chartshapes+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34.xml" ContentType="application/vnd.openxmlformats-officedocument.drawingml.chartshapes+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35.xml" ContentType="application/vnd.openxmlformats-officedocument.drawingml.chartshapes+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36.xml" ContentType="application/vnd.openxmlformats-officedocument.drawingml.chartshapes+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37.xml" ContentType="application/vnd.openxmlformats-officedocument.drawingml.chartshapes+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38.xml" ContentType="application/vnd.openxmlformats-officedocument.drawingml.chartshapes+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39.xml" ContentType="application/vnd.openxmlformats-officedocument.drawingml.chartshapes+xml"/>
  <Override PartName="/xl/drawings/drawing40.xml" ContentType="application/vnd.openxmlformats-officedocument.drawing+xml"/>
  <Override PartName="/xl/comments8.xml" ContentType="application/vnd.openxmlformats-officedocument.spreadsheetml.comments+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drawings/drawing41.xml" ContentType="application/vnd.openxmlformats-officedocument.drawingml.chartshapes+xml"/>
  <Override PartName="/xl/drawings/drawing42.xml" ContentType="application/vnd.openxmlformats-officedocument.drawing+xml"/>
  <Override PartName="/xl/comments9.xml" ContentType="application/vnd.openxmlformats-officedocument.spreadsheetml.comments+xml"/>
  <Override PartName="/xl/charts/chart37.xml" ContentType="application/vnd.openxmlformats-officedocument.drawingml.chart+xml"/>
  <Override PartName="/xl/charts/style36.xml" ContentType="application/vnd.ms-office.chartstyle+xml"/>
  <Override PartName="/xl/charts/colors36.xml" ContentType="application/vnd.ms-office.chartcolorstyle+xml"/>
  <Override PartName="/xl/charts/chart38.xml" ContentType="application/vnd.openxmlformats-officedocument.drawingml.chart+xml"/>
  <Override PartName="/xl/drawings/drawing43.xml" ContentType="application/vnd.openxmlformats-officedocument.drawingml.chartshapes+xml"/>
  <Override PartName="/xl/drawings/drawing44.xml" ContentType="application/vnd.openxmlformats-officedocument.drawing+xml"/>
  <Override PartName="/xl/comments10.xml" ContentType="application/vnd.openxmlformats-officedocument.spreadsheetml.comments+xml"/>
  <Override PartName="/xl/charts/chart39.xml" ContentType="application/vnd.openxmlformats-officedocument.drawingml.chart+xml"/>
  <Override PartName="/xl/drawings/drawing45.xml" ContentType="application/vnd.openxmlformats-officedocument.drawingml.chartshapes+xml"/>
  <Override PartName="/xl/charts/chart40.xml" ContentType="application/vnd.openxmlformats-officedocument.drawingml.chart+xml"/>
  <Override PartName="/xl/charts/style37.xml" ContentType="application/vnd.ms-office.chartstyle+xml"/>
  <Override PartName="/xl/charts/colors37.xml" ContentType="application/vnd.ms-office.chartcolorstyle+xml"/>
  <Override PartName="/xl/charts/chart41.xml" ContentType="application/vnd.openxmlformats-officedocument.drawingml.chart+xml"/>
  <Override PartName="/xl/drawings/drawing46.xml" ContentType="application/vnd.openxmlformats-officedocument.drawingml.chartshapes+xml"/>
  <Override PartName="/xl/drawings/drawing47.xml" ContentType="application/vnd.openxmlformats-officedocument.drawing+xml"/>
  <Override PartName="/xl/charts/chart42.xml" ContentType="application/vnd.openxmlformats-officedocument.drawingml.chart+xml"/>
  <Override PartName="/xl/charts/style38.xml" ContentType="application/vnd.ms-office.chartstyle+xml"/>
  <Override PartName="/xl/charts/colors38.xml" ContentType="application/vnd.ms-office.chartcolorstyle+xml"/>
  <Override PartName="/xl/charts/chart43.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48.xml" ContentType="application/vnd.openxmlformats-officedocument.drawingml.chartshapes+xml"/>
  <Override PartName="/xl/drawings/drawing49.xml" ContentType="application/vnd.openxmlformats-officedocument.drawing+xml"/>
  <Override PartName="/xl/comments11.xml" ContentType="application/vnd.openxmlformats-officedocument.spreadsheetml.comments+xml"/>
  <Override PartName="/xl/charts/chart44.xml" ContentType="application/vnd.openxmlformats-officedocument.drawingml.chart+xml"/>
  <Override PartName="/xl/charts/style40.xml" ContentType="application/vnd.ms-office.chartstyle+xml"/>
  <Override PartName="/xl/charts/colors40.xml" ContentType="application/vnd.ms-office.chartcolorstyle+xml"/>
  <Override PartName="/xl/charts/chart45.xml" ContentType="application/vnd.openxmlformats-officedocument.drawingml.chart+xml"/>
  <Override PartName="/xl/charts/style41.xml" ContentType="application/vnd.ms-office.chartstyle+xml"/>
  <Override PartName="/xl/charts/colors41.xml" ContentType="application/vnd.ms-office.chartcolorstyle+xml"/>
  <Override PartName="/xl/drawings/drawing50.xml" ContentType="application/vnd.openxmlformats-officedocument.drawingml.chartshapes+xml"/>
  <Override PartName="/xl/drawings/drawing51.xml" ContentType="application/vnd.openxmlformats-officedocument.drawing+xml"/>
  <Override PartName="/xl/comments12.xml" ContentType="application/vnd.openxmlformats-officedocument.spreadsheetml.comments+xml"/>
  <Override PartName="/xl/charts/chart46.xml" ContentType="application/vnd.openxmlformats-officedocument.drawingml.chart+xml"/>
  <Override PartName="/xl/charts/style42.xml" ContentType="application/vnd.ms-office.chartstyle+xml"/>
  <Override PartName="/xl/charts/colors42.xml" ContentType="application/vnd.ms-office.chartcolorstyle+xml"/>
  <Override PartName="/xl/drawings/drawing52.xml" ContentType="application/vnd.openxmlformats-officedocument.drawingml.chartshapes+xml"/>
  <Override PartName="/xl/charts/chart47.xml" ContentType="application/vnd.openxmlformats-officedocument.drawingml.chart+xml"/>
  <Override PartName="/xl/charts/style43.xml" ContentType="application/vnd.ms-office.chartstyle+xml"/>
  <Override PartName="/xl/charts/colors43.xml" ContentType="application/vnd.ms-office.chartcolorstyle+xml"/>
  <Override PartName="/xl/drawings/drawing53.xml" ContentType="application/vnd.openxmlformats-officedocument.drawingml.chartshapes+xml"/>
  <Override PartName="/xl/drawings/drawing54.xml" ContentType="application/vnd.openxmlformats-officedocument.drawing+xml"/>
  <Override PartName="/xl/comments13.xml" ContentType="application/vnd.openxmlformats-officedocument.spreadsheetml.comments+xml"/>
  <Override PartName="/xl/charts/chart48.xml" ContentType="application/vnd.openxmlformats-officedocument.drawingml.chart+xml"/>
  <Override PartName="/xl/charts/style44.xml" ContentType="application/vnd.ms-office.chartstyle+xml"/>
  <Override PartName="/xl/charts/colors44.xml" ContentType="application/vnd.ms-office.chartcolorstyle+xml"/>
  <Override PartName="/xl/charts/chart49.xml" ContentType="application/vnd.openxmlformats-officedocument.drawingml.chart+xml"/>
  <Override PartName="/xl/charts/style45.xml" ContentType="application/vnd.ms-office.chartstyle+xml"/>
  <Override PartName="/xl/charts/colors45.xml" ContentType="application/vnd.ms-office.chartcolorstyle+xml"/>
  <Override PartName="/xl/drawings/drawing55.xml" ContentType="application/vnd.openxmlformats-officedocument.drawingml.chartshapes+xml"/>
  <Override PartName="/xl/drawings/drawing56.xml" ContentType="application/vnd.openxmlformats-officedocument.drawing+xml"/>
  <Override PartName="/xl/comments14.xml" ContentType="application/vnd.openxmlformats-officedocument.spreadsheetml.comments+xml"/>
  <Override PartName="/xl/charts/chart50.xml" ContentType="application/vnd.openxmlformats-officedocument.drawingml.chart+xml"/>
  <Override PartName="/xl/charts/style46.xml" ContentType="application/vnd.ms-office.chartstyle+xml"/>
  <Override PartName="/xl/charts/colors46.xml" ContentType="application/vnd.ms-office.chartcolorstyle+xml"/>
  <Override PartName="/xl/charts/chart51.xml" ContentType="application/vnd.openxmlformats-officedocument.drawingml.chart+xml"/>
  <Override PartName="/xl/charts/style47.xml" ContentType="application/vnd.ms-office.chartstyle+xml"/>
  <Override PartName="/xl/charts/colors47.xml" ContentType="application/vnd.ms-office.chartcolorstyle+xml"/>
  <Override PartName="/xl/drawings/drawing57.xml" ContentType="application/vnd.openxmlformats-officedocument.drawingml.chartshapes+xml"/>
  <Override PartName="/xl/drawings/drawing58.xml" ContentType="application/vnd.openxmlformats-officedocument.drawing+xml"/>
  <Override PartName="/xl/comments15.xml" ContentType="application/vnd.openxmlformats-officedocument.spreadsheetml.comments+xml"/>
  <Override PartName="/xl/charts/chart52.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59.xml" ContentType="application/vnd.openxmlformats-officedocument.drawingml.chartshapes+xml"/>
  <Override PartName="/xl/drawings/drawing60.xml" ContentType="application/vnd.openxmlformats-officedocument.drawing+xml"/>
  <Override PartName="/xl/comments16.xml" ContentType="application/vnd.openxmlformats-officedocument.spreadsheetml.comments+xml"/>
  <Override PartName="/xl/comments17.xml" ContentType="application/vnd.openxmlformats-officedocument.spreadsheetml.comments+xml"/>
  <Override PartName="/xl/drawings/drawing61.xml" ContentType="application/vnd.openxmlformats-officedocument.drawing+xml"/>
  <Override PartName="/xl/comments18.xml" ContentType="application/vnd.openxmlformats-officedocument.spreadsheetml.comments+xml"/>
  <Override PartName="/xl/charts/chart53.xml" ContentType="application/vnd.openxmlformats-officedocument.drawingml.chart+xml"/>
  <Override PartName="/xl/charts/style49.xml" ContentType="application/vnd.ms-office.chartstyle+xml"/>
  <Override PartName="/xl/charts/colors49.xml" ContentType="application/vnd.ms-office.chartcolorstyle+xml"/>
  <Override PartName="/xl/drawings/drawing62.xml" ContentType="application/vnd.openxmlformats-officedocument.drawingml.chartshapes+xml"/>
  <Override PartName="/xl/charts/chart54.xml" ContentType="application/vnd.openxmlformats-officedocument.drawingml.chart+xml"/>
  <Override PartName="/xl/charts/style50.xml" ContentType="application/vnd.ms-office.chartstyle+xml"/>
  <Override PartName="/xl/charts/colors50.xml" ContentType="application/vnd.ms-office.chartcolorstyle+xml"/>
  <Override PartName="/xl/drawings/drawing63.xml" ContentType="application/vnd.openxmlformats-officedocument.drawingml.chartshapes+xml"/>
  <Override PartName="/xl/charts/chart55.xml" ContentType="application/vnd.openxmlformats-officedocument.drawingml.chart+xml"/>
  <Override PartName="/xl/charts/style51.xml" ContentType="application/vnd.ms-office.chartstyle+xml"/>
  <Override PartName="/xl/charts/colors51.xml" ContentType="application/vnd.ms-office.chartcolorstyle+xml"/>
  <Override PartName="/xl/drawings/drawing64.xml" ContentType="application/vnd.openxmlformats-officedocument.drawingml.chartshapes+xml"/>
  <Override PartName="/xl/charts/chart56.xml" ContentType="application/vnd.openxmlformats-officedocument.drawingml.chart+xml"/>
  <Override PartName="/xl/charts/style52.xml" ContentType="application/vnd.ms-office.chartstyle+xml"/>
  <Override PartName="/xl/charts/colors52.xml" ContentType="application/vnd.ms-office.chartcolorstyle+xml"/>
  <Override PartName="/xl/drawings/drawing65.xml" ContentType="application/vnd.openxmlformats-officedocument.drawingml.chartshapes+xml"/>
  <Override PartName="/xl/charts/chart57.xml" ContentType="application/vnd.openxmlformats-officedocument.drawingml.chart+xml"/>
  <Override PartName="/xl/charts/style53.xml" ContentType="application/vnd.ms-office.chartstyle+xml"/>
  <Override PartName="/xl/charts/colors53.xml" ContentType="application/vnd.ms-office.chartcolorstyle+xml"/>
  <Override PartName="/xl/drawings/drawing66.xml" ContentType="application/vnd.openxmlformats-officedocument.drawingml.chartshapes+xml"/>
  <Override PartName="/xl/charts/chart58.xml" ContentType="application/vnd.openxmlformats-officedocument.drawingml.chart+xml"/>
  <Override PartName="/xl/charts/style54.xml" ContentType="application/vnd.ms-office.chartstyle+xml"/>
  <Override PartName="/xl/charts/colors54.xml" ContentType="application/vnd.ms-office.chartcolorstyle+xml"/>
  <Override PartName="/xl/drawings/drawing67.xml" ContentType="application/vnd.openxmlformats-officedocument.drawingml.chartshapes+xml"/>
  <Override PartName="/xl/charts/chart59.xml" ContentType="application/vnd.openxmlformats-officedocument.drawingml.chart+xml"/>
  <Override PartName="/xl/charts/style55.xml" ContentType="application/vnd.ms-office.chartstyle+xml"/>
  <Override PartName="/xl/charts/colors55.xml" ContentType="application/vnd.ms-office.chartcolorstyle+xml"/>
  <Override PartName="/xl/drawings/drawing68.xml" ContentType="application/vnd.openxmlformats-officedocument.drawingml.chartshapes+xml"/>
  <Override PartName="/xl/comments1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codeName="ThisWorkbook" defaultThemeVersion="202300"/>
  <mc:AlternateContent xmlns:mc="http://schemas.openxmlformats.org/markup-compatibility/2006">
    <mc:Choice Requires="x15">
      <x15ac:absPath xmlns:x15ac="http://schemas.microsoft.com/office/spreadsheetml/2010/11/ac" url="/Users/smithpittman/Documents/TEA LCA/"/>
    </mc:Choice>
  </mc:AlternateContent>
  <xr:revisionPtr revIDLastSave="0" documentId="13_ncr:1_{4B93612D-E503-584A-9F4E-2AF1C84FC08C}" xr6:coauthVersionLast="47" xr6:coauthVersionMax="47" xr10:uidLastSave="{00000000-0000-0000-0000-000000000000}"/>
  <bookViews>
    <workbookView xWindow="4800" yWindow="820" windowWidth="49000" windowHeight="26340" xr2:uid="{BEA77426-10AC-4813-958B-AE9F91E6C507}"/>
  </bookViews>
  <sheets>
    <sheet name="Inputs" sheetId="1" r:id="rId1"/>
    <sheet name="Units" sheetId="3" r:id="rId2"/>
    <sheet name="ExpBase" sheetId="13" r:id="rId3"/>
    <sheet name="Carbon" sheetId="26" r:id="rId4"/>
    <sheet name="CostCalc" sheetId="15" r:id="rId5"/>
    <sheet name="Locate" sheetId="19" r:id="rId6"/>
    <sheet name="CAPEX" sheetId="5" r:id="rId7"/>
    <sheet name="OPEX" sheetId="6" r:id="rId8"/>
    <sheet name="Figures" sheetId="28" r:id="rId9"/>
    <sheet name="A_DCFROR" sheetId="30" r:id="rId10"/>
    <sheet name="B_DCFROR" sheetId="31" r:id="rId11"/>
    <sheet name="AB_DCFROR" sheetId="33" r:id="rId12"/>
    <sheet name="Scale&amp;MVA" sheetId="40" r:id="rId13"/>
    <sheet name="BM_Flow" sheetId="21" r:id="rId14"/>
    <sheet name="BM_CAPEX" sheetId="22" r:id="rId15"/>
    <sheet name="BM_OPEX" sheetId="25" r:id="rId16"/>
    <sheet name="BM_DCFROR" sheetId="32" r:id="rId17"/>
    <sheet name="LCOE&amp;D" sheetId="43" r:id="rId18"/>
    <sheet name="LCOE_CP" sheetId="42" r:id="rId19"/>
    <sheet name="LCI_AB" sheetId="20" r:id="rId20"/>
    <sheet name="LCA" sheetId="53" r:id="rId21"/>
    <sheet name="Reserve" sheetId="27" r:id="rId22"/>
  </sheets>
  <definedNames>
    <definedName name="_xlnm._FilterDatabase" localSheetId="6" hidden="1">CAPEX!$A$56:$O$79</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78" i="33" l="1"/>
  <c r="K278" i="33"/>
  <c r="L278" i="33"/>
  <c r="J279" i="33"/>
  <c r="K279" i="33"/>
  <c r="L279" i="33"/>
  <c r="J280" i="33"/>
  <c r="K280" i="33"/>
  <c r="L280" i="33"/>
  <c r="J281" i="33"/>
  <c r="K281" i="33"/>
  <c r="L281" i="33"/>
  <c r="J282" i="33"/>
  <c r="K282" i="33"/>
  <c r="L282" i="33"/>
  <c r="J283" i="33"/>
  <c r="K283" i="33"/>
  <c r="L283" i="33"/>
  <c r="J284" i="33"/>
  <c r="K284" i="33"/>
  <c r="L284" i="33"/>
  <c r="J285" i="33"/>
  <c r="K285" i="33"/>
  <c r="L285" i="33"/>
  <c r="J286" i="33"/>
  <c r="K286" i="33"/>
  <c r="L286" i="33"/>
  <c r="J287" i="33"/>
  <c r="K287" i="33"/>
  <c r="L287" i="33"/>
  <c r="J288" i="33"/>
  <c r="K288" i="33"/>
  <c r="L288" i="33"/>
  <c r="J289" i="33"/>
  <c r="K289" i="33"/>
  <c r="L289" i="33"/>
  <c r="J290" i="33"/>
  <c r="K290" i="33"/>
  <c r="L290" i="33"/>
  <c r="J291" i="33"/>
  <c r="K291" i="33"/>
  <c r="L291" i="33"/>
  <c r="J292" i="33"/>
  <c r="K292" i="33"/>
  <c r="L292" i="33"/>
  <c r="J293" i="33"/>
  <c r="K293" i="33"/>
  <c r="L293" i="33"/>
  <c r="J294" i="33"/>
  <c r="K294" i="33"/>
  <c r="L294" i="33"/>
  <c r="J295" i="33"/>
  <c r="K295" i="33"/>
  <c r="L295" i="33"/>
  <c r="J296" i="33"/>
  <c r="K296" i="33"/>
  <c r="L296" i="33"/>
  <c r="J297" i="33"/>
  <c r="K297" i="33"/>
  <c r="L297" i="33"/>
  <c r="J298" i="33"/>
  <c r="K298" i="33"/>
  <c r="L298" i="33"/>
  <c r="J299" i="33"/>
  <c r="K299" i="33"/>
  <c r="L299" i="33"/>
  <c r="J300" i="33"/>
  <c r="K300" i="33"/>
  <c r="L300" i="33"/>
  <c r="J301" i="33"/>
  <c r="K301" i="33"/>
  <c r="L301" i="33"/>
  <c r="J302" i="33"/>
  <c r="K302" i="33"/>
  <c r="L302" i="33"/>
  <c r="J303" i="33"/>
  <c r="K303" i="33"/>
  <c r="L303" i="33"/>
  <c r="J304" i="33"/>
  <c r="K304" i="33"/>
  <c r="L304" i="33"/>
  <c r="J305" i="33"/>
  <c r="K305" i="33"/>
  <c r="L305" i="33"/>
  <c r="J306" i="33"/>
  <c r="K306" i="33"/>
  <c r="L306" i="33"/>
  <c r="J307" i="33"/>
  <c r="K307" i="33"/>
  <c r="L307" i="33"/>
  <c r="J308" i="33"/>
  <c r="K308" i="33"/>
  <c r="L308" i="33"/>
  <c r="J309" i="33"/>
  <c r="K309" i="33"/>
  <c r="L309" i="33"/>
  <c r="M309" i="33"/>
  <c r="J310" i="33"/>
  <c r="K310" i="33"/>
  <c r="L310" i="33"/>
  <c r="M310" i="33"/>
  <c r="I309" i="33"/>
  <c r="I310" i="33"/>
  <c r="E925" i="13"/>
  <c r="AB496" i="53"/>
  <c r="AC496" i="53"/>
  <c r="AB488" i="53"/>
  <c r="AC488" i="53"/>
  <c r="AB489" i="53"/>
  <c r="AC489" i="53"/>
  <c r="AB490" i="53"/>
  <c r="AC490" i="53"/>
  <c r="AB491" i="53"/>
  <c r="AC491" i="53"/>
  <c r="AB492" i="53"/>
  <c r="AC492" i="53"/>
  <c r="AB493" i="53"/>
  <c r="AC493" i="53"/>
  <c r="AB494" i="53"/>
  <c r="AC494" i="53"/>
  <c r="AB495" i="53"/>
  <c r="AC495" i="53"/>
  <c r="AC487" i="53"/>
  <c r="AB487" i="53"/>
  <c r="F695" i="53"/>
  <c r="D662" i="53"/>
  <c r="D661" i="53"/>
  <c r="D660" i="53"/>
  <c r="D659" i="53"/>
  <c r="D658" i="53"/>
  <c r="D657" i="53"/>
  <c r="D656" i="53"/>
  <c r="D655" i="53"/>
  <c r="D654" i="53"/>
  <c r="D653" i="53"/>
  <c r="D649" i="53"/>
  <c r="D648" i="53"/>
  <c r="D647" i="53"/>
  <c r="D646" i="53"/>
  <c r="D645" i="53"/>
  <c r="D644" i="53"/>
  <c r="D643" i="53"/>
  <c r="B680" i="53" s="1"/>
  <c r="D642" i="53"/>
  <c r="B679" i="53" s="1"/>
  <c r="D641" i="53"/>
  <c r="D640" i="53"/>
  <c r="E623" i="53"/>
  <c r="E622" i="53"/>
  <c r="C622" i="53"/>
  <c r="C620" i="53"/>
  <c r="E619" i="53"/>
  <c r="C619" i="53"/>
  <c r="E618" i="53"/>
  <c r="C618" i="53"/>
  <c r="E617" i="53"/>
  <c r="C617" i="53"/>
  <c r="E616" i="53"/>
  <c r="C616" i="53"/>
  <c r="B612" i="53"/>
  <c r="B611" i="53"/>
  <c r="B610" i="53"/>
  <c r="B609" i="53"/>
  <c r="B608" i="53"/>
  <c r="B607" i="53"/>
  <c r="B606" i="53"/>
  <c r="B605" i="53"/>
  <c r="B604" i="53"/>
  <c r="B603" i="53"/>
  <c r="E426" i="53"/>
  <c r="D398" i="53"/>
  <c r="D397" i="53"/>
  <c r="D396" i="53"/>
  <c r="D395" i="53"/>
  <c r="D394" i="53"/>
  <c r="D393" i="53"/>
  <c r="D392" i="53"/>
  <c r="D391" i="53"/>
  <c r="D390" i="53"/>
  <c r="D389" i="53"/>
  <c r="D385" i="53"/>
  <c r="D384" i="53"/>
  <c r="D383" i="53"/>
  <c r="D382" i="53"/>
  <c r="D381" i="53"/>
  <c r="B418" i="53" s="1"/>
  <c r="B444" i="53" s="1"/>
  <c r="D380" i="53"/>
  <c r="D379" i="53"/>
  <c r="D378" i="53"/>
  <c r="D377" i="53"/>
  <c r="D376" i="53"/>
  <c r="H355" i="53"/>
  <c r="B351" i="53"/>
  <c r="B600" i="53" s="1"/>
  <c r="B350" i="53"/>
  <c r="B599" i="53" s="1"/>
  <c r="B349" i="53"/>
  <c r="B598" i="53" s="1"/>
  <c r="B348" i="53"/>
  <c r="B597" i="53" s="1"/>
  <c r="B347" i="53"/>
  <c r="B596" i="53" s="1"/>
  <c r="B346" i="53"/>
  <c r="B595" i="53" s="1"/>
  <c r="B345" i="53"/>
  <c r="B594" i="53" s="1"/>
  <c r="B344" i="53"/>
  <c r="B593" i="53" s="1"/>
  <c r="B343" i="53"/>
  <c r="B592" i="53" s="1"/>
  <c r="B342" i="53"/>
  <c r="B591" i="53" s="1"/>
  <c r="B339" i="53"/>
  <c r="B588" i="53" s="1"/>
  <c r="B338" i="53"/>
  <c r="B587" i="53" s="1"/>
  <c r="B337" i="53"/>
  <c r="B586" i="53" s="1"/>
  <c r="B336" i="53"/>
  <c r="B585" i="53" s="1"/>
  <c r="B335" i="53"/>
  <c r="B584" i="53" s="1"/>
  <c r="B334" i="53"/>
  <c r="B583" i="53" s="1"/>
  <c r="B333" i="53"/>
  <c r="B582" i="53" s="1"/>
  <c r="B332" i="53"/>
  <c r="B581" i="53" s="1"/>
  <c r="B331" i="53"/>
  <c r="B580" i="53" s="1"/>
  <c r="B330" i="53"/>
  <c r="B579" i="53" s="1"/>
  <c r="B327" i="53"/>
  <c r="B576" i="53" s="1"/>
  <c r="B326" i="53"/>
  <c r="B575" i="53" s="1"/>
  <c r="B325" i="53"/>
  <c r="B574" i="53" s="1"/>
  <c r="B324" i="53"/>
  <c r="B573" i="53" s="1"/>
  <c r="B323" i="53"/>
  <c r="B572" i="53" s="1"/>
  <c r="B322" i="53"/>
  <c r="B571" i="53" s="1"/>
  <c r="B321" i="53"/>
  <c r="B570" i="53" s="1"/>
  <c r="B320" i="53"/>
  <c r="B569" i="53" s="1"/>
  <c r="B319" i="53"/>
  <c r="B568" i="53" s="1"/>
  <c r="B318" i="53"/>
  <c r="B567" i="53" s="1"/>
  <c r="B315" i="53"/>
  <c r="B564" i="53" s="1"/>
  <c r="B314" i="53"/>
  <c r="B563" i="53" s="1"/>
  <c r="B313" i="53"/>
  <c r="B562" i="53" s="1"/>
  <c r="B312" i="53"/>
  <c r="B561" i="53" s="1"/>
  <c r="B311" i="53"/>
  <c r="B560" i="53" s="1"/>
  <c r="B310" i="53"/>
  <c r="B559" i="53" s="1"/>
  <c r="B309" i="53"/>
  <c r="B558" i="53" s="1"/>
  <c r="B308" i="53"/>
  <c r="B557" i="53" s="1"/>
  <c r="B307" i="53"/>
  <c r="B556" i="53" s="1"/>
  <c r="B306" i="53"/>
  <c r="B555" i="53" s="1"/>
  <c r="B303" i="53"/>
  <c r="B552" i="53" s="1"/>
  <c r="B302" i="53"/>
  <c r="B551" i="53" s="1"/>
  <c r="B301" i="53"/>
  <c r="B550" i="53" s="1"/>
  <c r="B300" i="53"/>
  <c r="B549" i="53" s="1"/>
  <c r="B299" i="53"/>
  <c r="B548" i="53" s="1"/>
  <c r="B298" i="53"/>
  <c r="B547" i="53" s="1"/>
  <c r="B297" i="53"/>
  <c r="B546" i="53" s="1"/>
  <c r="B296" i="53"/>
  <c r="B545" i="53" s="1"/>
  <c r="B295" i="53"/>
  <c r="B544" i="53" s="1"/>
  <c r="B294" i="53"/>
  <c r="B543" i="53" s="1"/>
  <c r="B291" i="53"/>
  <c r="B540" i="53" s="1"/>
  <c r="B290" i="53"/>
  <c r="B539" i="53" s="1"/>
  <c r="B289" i="53"/>
  <c r="B538" i="53" s="1"/>
  <c r="B288" i="53"/>
  <c r="B537" i="53" s="1"/>
  <c r="B287" i="53"/>
  <c r="B536" i="53" s="1"/>
  <c r="B286" i="53"/>
  <c r="B535" i="53" s="1"/>
  <c r="B285" i="53"/>
  <c r="B534" i="53" s="1"/>
  <c r="B284" i="53"/>
  <c r="B533" i="53" s="1"/>
  <c r="B283" i="53"/>
  <c r="B532" i="53" s="1"/>
  <c r="B282" i="53"/>
  <c r="B531" i="53" s="1"/>
  <c r="B279" i="53"/>
  <c r="B528" i="53" s="1"/>
  <c r="B278" i="53"/>
  <c r="B527" i="53" s="1"/>
  <c r="B277" i="53"/>
  <c r="B526" i="53" s="1"/>
  <c r="B276" i="53"/>
  <c r="B525" i="53" s="1"/>
  <c r="B275" i="53"/>
  <c r="B524" i="53" s="1"/>
  <c r="B274" i="53"/>
  <c r="B523" i="53" s="1"/>
  <c r="B273" i="53"/>
  <c r="B522" i="53" s="1"/>
  <c r="B272" i="53"/>
  <c r="B521" i="53" s="1"/>
  <c r="B271" i="53"/>
  <c r="B520" i="53" s="1"/>
  <c r="B270" i="53"/>
  <c r="B519" i="53" s="1"/>
  <c r="B267" i="53"/>
  <c r="B516" i="53" s="1"/>
  <c r="B266" i="53"/>
  <c r="B515" i="53" s="1"/>
  <c r="B265" i="53"/>
  <c r="B514" i="53" s="1"/>
  <c r="B264" i="53"/>
  <c r="B513" i="53" s="1"/>
  <c r="B263" i="53"/>
  <c r="B512" i="53" s="1"/>
  <c r="B262" i="53"/>
  <c r="B511" i="53" s="1"/>
  <c r="B261" i="53"/>
  <c r="B510" i="53" s="1"/>
  <c r="B260" i="53"/>
  <c r="B509" i="53" s="1"/>
  <c r="B259" i="53"/>
  <c r="B508" i="53" s="1"/>
  <c r="B258" i="53"/>
  <c r="B507" i="53" s="1"/>
  <c r="B255" i="53"/>
  <c r="B504" i="53" s="1"/>
  <c r="B254" i="53"/>
  <c r="B503" i="53" s="1"/>
  <c r="B253" i="53"/>
  <c r="B502" i="53" s="1"/>
  <c r="B252" i="53"/>
  <c r="B501" i="53" s="1"/>
  <c r="B251" i="53"/>
  <c r="B500" i="53" s="1"/>
  <c r="B250" i="53"/>
  <c r="B499" i="53" s="1"/>
  <c r="B249" i="53"/>
  <c r="B498" i="53" s="1"/>
  <c r="B248" i="53"/>
  <c r="B497" i="53" s="1"/>
  <c r="B247" i="53"/>
  <c r="B496" i="53" s="1"/>
  <c r="B246" i="53"/>
  <c r="B495" i="53" s="1"/>
  <c r="B243" i="53"/>
  <c r="B492" i="53" s="1"/>
  <c r="B242" i="53"/>
  <c r="B491" i="53" s="1"/>
  <c r="B241" i="53"/>
  <c r="B490" i="53" s="1"/>
  <c r="B240" i="53"/>
  <c r="B489" i="53" s="1"/>
  <c r="B239" i="53"/>
  <c r="B488" i="53" s="1"/>
  <c r="B238" i="53"/>
  <c r="B487" i="53" s="1"/>
  <c r="B237" i="53"/>
  <c r="B486" i="53" s="1"/>
  <c r="B236" i="53"/>
  <c r="B485" i="53" s="1"/>
  <c r="B235" i="53"/>
  <c r="B484" i="53" s="1"/>
  <c r="B234" i="53"/>
  <c r="B483" i="53" s="1"/>
  <c r="B231" i="53"/>
  <c r="B480" i="53" s="1"/>
  <c r="B230" i="53"/>
  <c r="B479" i="53" s="1"/>
  <c r="B229" i="53"/>
  <c r="B478" i="53" s="1"/>
  <c r="B228" i="53"/>
  <c r="B477" i="53" s="1"/>
  <c r="B227" i="53"/>
  <c r="B476" i="53" s="1"/>
  <c r="B226" i="53"/>
  <c r="B475" i="53" s="1"/>
  <c r="B225" i="53"/>
  <c r="B474" i="53" s="1"/>
  <c r="B224" i="53"/>
  <c r="B473" i="53" s="1"/>
  <c r="B223" i="53"/>
  <c r="B472" i="53" s="1"/>
  <c r="B222" i="53"/>
  <c r="B471" i="53" s="1"/>
  <c r="B149" i="53"/>
  <c r="B148" i="53"/>
  <c r="B147" i="53"/>
  <c r="B146" i="53"/>
  <c r="B145" i="53"/>
  <c r="B144" i="53"/>
  <c r="B143" i="53"/>
  <c r="B142" i="53"/>
  <c r="B141" i="53"/>
  <c r="B140" i="53"/>
  <c r="B124" i="53"/>
  <c r="B123" i="53"/>
  <c r="B122" i="53"/>
  <c r="B121" i="53"/>
  <c r="B120" i="53"/>
  <c r="B119" i="53"/>
  <c r="B118" i="53"/>
  <c r="B117" i="53"/>
  <c r="B116" i="53"/>
  <c r="B115" i="53"/>
  <c r="B75" i="53"/>
  <c r="G75" i="53" s="1"/>
  <c r="B74" i="53"/>
  <c r="M74" i="53" s="1"/>
  <c r="B73" i="53"/>
  <c r="M73" i="53" s="1"/>
  <c r="B72" i="53"/>
  <c r="M72" i="53" s="1"/>
  <c r="B71" i="53"/>
  <c r="M71" i="53" s="1"/>
  <c r="B70" i="53"/>
  <c r="M70" i="53" s="1"/>
  <c r="B69" i="53"/>
  <c r="M69" i="53" s="1"/>
  <c r="B68" i="53"/>
  <c r="M68" i="53" s="1"/>
  <c r="B67" i="53"/>
  <c r="M67" i="53" s="1"/>
  <c r="B66" i="53"/>
  <c r="M66" i="53" s="1"/>
  <c r="B45" i="53"/>
  <c r="B44" i="53"/>
  <c r="B43" i="53"/>
  <c r="B42" i="53"/>
  <c r="B41" i="53"/>
  <c r="B40" i="53"/>
  <c r="B39" i="53"/>
  <c r="B38" i="53"/>
  <c r="B37" i="53"/>
  <c r="B36" i="53"/>
  <c r="B15" i="53"/>
  <c r="B14" i="53"/>
  <c r="B13" i="53"/>
  <c r="B12" i="53"/>
  <c r="B11" i="53"/>
  <c r="B10" i="53"/>
  <c r="B9" i="53"/>
  <c r="B8" i="53"/>
  <c r="B7" i="53"/>
  <c r="B6" i="53"/>
  <c r="B46" i="43"/>
  <c r="B44" i="42"/>
  <c r="E28" i="43"/>
  <c r="F28" i="43"/>
  <c r="G28" i="43"/>
  <c r="H28" i="43"/>
  <c r="I28" i="43"/>
  <c r="J28" i="43"/>
  <c r="K28" i="43"/>
  <c r="L28" i="43"/>
  <c r="M28" i="43"/>
  <c r="N28" i="43"/>
  <c r="O28" i="43"/>
  <c r="P28" i="43"/>
  <c r="Q28" i="43"/>
  <c r="R28" i="43"/>
  <c r="S28" i="43"/>
  <c r="T28" i="43"/>
  <c r="U28" i="43"/>
  <c r="V28" i="43"/>
  <c r="W28" i="43"/>
  <c r="X28" i="43"/>
  <c r="Y28" i="43"/>
  <c r="Z28" i="43"/>
  <c r="AA28" i="43"/>
  <c r="AB28" i="43"/>
  <c r="AC28" i="43"/>
  <c r="AD28" i="43"/>
  <c r="AE28" i="43"/>
  <c r="AF28" i="43"/>
  <c r="AG28" i="43"/>
  <c r="AH28" i="43"/>
  <c r="AI28" i="43"/>
  <c r="AJ28" i="43"/>
  <c r="D28" i="43"/>
  <c r="E28" i="42"/>
  <c r="F28" i="42"/>
  <c r="G28" i="42"/>
  <c r="H28" i="42"/>
  <c r="I28" i="42"/>
  <c r="J28" i="42"/>
  <c r="K28" i="42"/>
  <c r="L28" i="42"/>
  <c r="M28" i="42"/>
  <c r="N28" i="42"/>
  <c r="O28" i="42"/>
  <c r="P28" i="42"/>
  <c r="Q28" i="42"/>
  <c r="R28" i="42"/>
  <c r="S28" i="42"/>
  <c r="T28" i="42"/>
  <c r="U28" i="42"/>
  <c r="V28" i="42"/>
  <c r="W28" i="42"/>
  <c r="X28" i="42"/>
  <c r="Y28" i="42"/>
  <c r="Z28" i="42"/>
  <c r="AA28" i="42"/>
  <c r="AB28" i="42"/>
  <c r="AC28" i="42"/>
  <c r="AD28" i="42"/>
  <c r="AE28" i="42"/>
  <c r="AF28" i="42"/>
  <c r="AG28" i="42"/>
  <c r="AH28" i="42"/>
  <c r="AI28" i="42"/>
  <c r="AJ28" i="42"/>
  <c r="D28" i="42"/>
  <c r="B2898" i="20"/>
  <c r="B2899" i="20" s="1"/>
  <c r="D2789" i="20"/>
  <c r="D2647" i="20"/>
  <c r="D2518" i="20"/>
  <c r="C2518" i="20"/>
  <c r="B2472" i="20"/>
  <c r="D1475" i="20"/>
  <c r="C1475" i="20"/>
  <c r="B1429" i="20"/>
  <c r="B1181" i="20"/>
  <c r="B1101" i="20"/>
  <c r="B1104" i="20" s="1"/>
  <c r="B1105" i="20" s="1"/>
  <c r="B1106" i="20" s="1"/>
  <c r="B839" i="20"/>
  <c r="B827" i="20"/>
  <c r="B829" i="20" s="1"/>
  <c r="B815" i="20"/>
  <c r="B818" i="20" s="1"/>
  <c r="B819" i="20" s="1"/>
  <c r="B820" i="20" s="1"/>
  <c r="B783" i="20"/>
  <c r="B784" i="20" s="1"/>
  <c r="B771" i="20"/>
  <c r="B759" i="20"/>
  <c r="B762" i="20" s="1"/>
  <c r="B763" i="20" s="1"/>
  <c r="B764" i="20" s="1"/>
  <c r="B729" i="20"/>
  <c r="B730" i="20" s="1"/>
  <c r="B717" i="20"/>
  <c r="B705" i="20"/>
  <c r="B708" i="20" s="1"/>
  <c r="B709" i="20" s="1"/>
  <c r="B710" i="20" s="1"/>
  <c r="B675" i="20"/>
  <c r="B663" i="20"/>
  <c r="B666" i="20" s="1"/>
  <c r="B667" i="20" s="1"/>
  <c r="B668" i="20" s="1"/>
  <c r="B630" i="20"/>
  <c r="B631" i="20"/>
  <c r="B618" i="20"/>
  <c r="B619" i="20"/>
  <c r="B607" i="20"/>
  <c r="B610" i="20" s="1"/>
  <c r="B611" i="20" s="1"/>
  <c r="B612" i="20" s="1"/>
  <c r="B595" i="20"/>
  <c r="B598" i="20" s="1"/>
  <c r="B599" i="20" s="1"/>
  <c r="B600" i="20" s="1"/>
  <c r="B583" i="20"/>
  <c r="B586" i="20" s="1"/>
  <c r="B587" i="20" s="1"/>
  <c r="B588" i="20" s="1"/>
  <c r="B570" i="20"/>
  <c r="B558" i="20"/>
  <c r="B547" i="20"/>
  <c r="B526" i="20"/>
  <c r="I525" i="20"/>
  <c r="B454" i="20"/>
  <c r="B370" i="20"/>
  <c r="B322" i="20"/>
  <c r="B47" i="20"/>
  <c r="D19" i="20"/>
  <c r="C19" i="20"/>
  <c r="I13" i="20"/>
  <c r="I10" i="20"/>
  <c r="I8" i="20"/>
  <c r="B70" i="43"/>
  <c r="B76" i="42"/>
  <c r="H43" i="32"/>
  <c r="L61" i="40"/>
  <c r="K61" i="40"/>
  <c r="L60" i="40"/>
  <c r="K60" i="40"/>
  <c r="K59" i="40"/>
  <c r="L58" i="40"/>
  <c r="L57" i="40"/>
  <c r="L56" i="40"/>
  <c r="L55" i="40"/>
  <c r="L54" i="40"/>
  <c r="L53" i="40"/>
  <c r="B62" i="40"/>
  <c r="K53" i="40" s="1"/>
  <c r="G62" i="40"/>
  <c r="K58" i="40" s="1"/>
  <c r="F62" i="40"/>
  <c r="K57" i="40" s="1"/>
  <c r="E62" i="40"/>
  <c r="K56" i="40" s="1"/>
  <c r="D62" i="40"/>
  <c r="K55" i="40" s="1"/>
  <c r="C62" i="40"/>
  <c r="K54" i="40" s="1"/>
  <c r="E8" i="40"/>
  <c r="E6" i="40"/>
  <c r="D6" i="40"/>
  <c r="E5" i="40"/>
  <c r="D8" i="40"/>
  <c r="D5" i="40"/>
  <c r="E7" i="40"/>
  <c r="E4" i="40"/>
  <c r="D4" i="40"/>
  <c r="A4" i="40"/>
  <c r="E280" i="33"/>
  <c r="E281" i="33"/>
  <c r="E282" i="33"/>
  <c r="E283" i="33"/>
  <c r="E284" i="33"/>
  <c r="E285" i="33"/>
  <c r="E286" i="33"/>
  <c r="E287" i="33"/>
  <c r="E288" i="33"/>
  <c r="E289" i="33"/>
  <c r="E290" i="33"/>
  <c r="E291" i="33"/>
  <c r="E292" i="33"/>
  <c r="E293" i="33"/>
  <c r="E294" i="33"/>
  <c r="E295" i="33"/>
  <c r="E296" i="33"/>
  <c r="E297" i="33"/>
  <c r="E298" i="33"/>
  <c r="E299" i="33"/>
  <c r="E300" i="33"/>
  <c r="E301" i="33"/>
  <c r="E302" i="33"/>
  <c r="E303" i="33"/>
  <c r="E304" i="33"/>
  <c r="E305" i="33"/>
  <c r="E306" i="33"/>
  <c r="E307" i="33"/>
  <c r="E308" i="33"/>
  <c r="E279" i="33"/>
  <c r="D306" i="33"/>
  <c r="F303" i="33"/>
  <c r="F304" i="33"/>
  <c r="F305" i="33"/>
  <c r="F306" i="33"/>
  <c r="F307" i="33"/>
  <c r="F308" i="33"/>
  <c r="D303" i="33"/>
  <c r="D304" i="33"/>
  <c r="D305" i="33"/>
  <c r="D307" i="33"/>
  <c r="D308" i="33"/>
  <c r="H10" i="6"/>
  <c r="B72" i="19"/>
  <c r="B71" i="19"/>
  <c r="B70" i="19"/>
  <c r="B69" i="19"/>
  <c r="D1191" i="13"/>
  <c r="C167" i="3"/>
  <c r="F698" i="1"/>
  <c r="F699" i="1"/>
  <c r="F700" i="1"/>
  <c r="F701" i="1"/>
  <c r="F702" i="1"/>
  <c r="F703" i="1"/>
  <c r="F704" i="1"/>
  <c r="F705" i="1"/>
  <c r="F706" i="1"/>
  <c r="F707" i="1"/>
  <c r="F708" i="1"/>
  <c r="F709" i="1"/>
  <c r="F710" i="1"/>
  <c r="F711" i="1"/>
  <c r="F712" i="1"/>
  <c r="N128" i="5"/>
  <c r="B678" i="53" l="1"/>
  <c r="B686" i="53"/>
  <c r="B164" i="53"/>
  <c r="B172" i="53"/>
  <c r="B166" i="53"/>
  <c r="B167" i="53"/>
  <c r="B671" i="53"/>
  <c r="B165" i="53"/>
  <c r="B163" i="53"/>
  <c r="B170" i="53"/>
  <c r="B171" i="53"/>
  <c r="L75" i="53"/>
  <c r="B168" i="53"/>
  <c r="K75" i="53"/>
  <c r="B681" i="53"/>
  <c r="B417" i="53"/>
  <c r="B443" i="53" s="1"/>
  <c r="B169" i="53"/>
  <c r="B416" i="53"/>
  <c r="B442" i="53" s="1"/>
  <c r="J75" i="53"/>
  <c r="B415" i="53"/>
  <c r="B441" i="53" s="1"/>
  <c r="B401" i="53"/>
  <c r="B409" i="53"/>
  <c r="B672" i="53"/>
  <c r="B665" i="53"/>
  <c r="B407" i="53"/>
  <c r="B673" i="53"/>
  <c r="I75" i="53"/>
  <c r="B414" i="53"/>
  <c r="B440" i="53" s="1"/>
  <c r="B422" i="53"/>
  <c r="B448" i="53" s="1"/>
  <c r="B408" i="53"/>
  <c r="B682" i="53"/>
  <c r="B674" i="53"/>
  <c r="B403" i="53"/>
  <c r="H75" i="53"/>
  <c r="B413" i="53"/>
  <c r="B439" i="53" s="1"/>
  <c r="B421" i="53"/>
  <c r="B447" i="53" s="1"/>
  <c r="B677" i="53"/>
  <c r="B685" i="53"/>
  <c r="B410" i="53"/>
  <c r="B666" i="53"/>
  <c r="B667" i="53"/>
  <c r="B404" i="53"/>
  <c r="B668" i="53"/>
  <c r="B402" i="53"/>
  <c r="B419" i="53"/>
  <c r="B445" i="53" s="1"/>
  <c r="B405" i="53"/>
  <c r="B683" i="53"/>
  <c r="B669" i="53"/>
  <c r="M75" i="53"/>
  <c r="B420" i="53"/>
  <c r="B446" i="53" s="1"/>
  <c r="B406" i="53"/>
  <c r="B684" i="53"/>
  <c r="B670" i="53"/>
  <c r="J124" i="53"/>
  <c r="H124" i="53"/>
  <c r="D124" i="53"/>
  <c r="I124" i="53"/>
  <c r="F124" i="53"/>
  <c r="G124" i="53"/>
  <c r="E124" i="53"/>
  <c r="E123" i="53"/>
  <c r="J123" i="53"/>
  <c r="G123" i="53"/>
  <c r="D123" i="53"/>
  <c r="H123" i="53"/>
  <c r="I123" i="53"/>
  <c r="F123" i="53"/>
  <c r="I122" i="53"/>
  <c r="E122" i="53"/>
  <c r="H122" i="53"/>
  <c r="D122" i="53"/>
  <c r="J122" i="53"/>
  <c r="G122" i="53"/>
  <c r="F122" i="53"/>
  <c r="J121" i="53"/>
  <c r="E121" i="53"/>
  <c r="H121" i="53"/>
  <c r="G121" i="53"/>
  <c r="D121" i="53"/>
  <c r="F121" i="53"/>
  <c r="I121" i="53"/>
  <c r="F120" i="53"/>
  <c r="E120" i="53"/>
  <c r="D120" i="53"/>
  <c r="J120" i="53"/>
  <c r="I120" i="53"/>
  <c r="H120" i="53"/>
  <c r="B215" i="53"/>
  <c r="G120" i="53"/>
  <c r="J119" i="53"/>
  <c r="E119" i="53"/>
  <c r="F119" i="53"/>
  <c r="H119" i="53"/>
  <c r="I119" i="53"/>
  <c r="G119" i="53"/>
  <c r="D119" i="53"/>
  <c r="E118" i="53"/>
  <c r="J118" i="53"/>
  <c r="I118" i="53"/>
  <c r="H118" i="53"/>
  <c r="G118" i="53"/>
  <c r="F118" i="53"/>
  <c r="D118" i="53"/>
  <c r="I117" i="53"/>
  <c r="G117" i="53"/>
  <c r="E117" i="53"/>
  <c r="H117" i="53"/>
  <c r="D117" i="53"/>
  <c r="F117" i="53"/>
  <c r="J117" i="53"/>
  <c r="G116" i="53"/>
  <c r="E116" i="53"/>
  <c r="F116" i="53"/>
  <c r="H116" i="53"/>
  <c r="D116" i="53"/>
  <c r="I116" i="53"/>
  <c r="J116" i="53"/>
  <c r="F115" i="53"/>
  <c r="J115" i="53"/>
  <c r="I115" i="53"/>
  <c r="G115" i="53"/>
  <c r="D115" i="53"/>
  <c r="E115" i="53"/>
  <c r="H115" i="53"/>
  <c r="D75" i="53"/>
  <c r="F75" i="53"/>
  <c r="E75" i="53"/>
  <c r="K74" i="53"/>
  <c r="J74" i="53"/>
  <c r="I74" i="53"/>
  <c r="H74" i="53"/>
  <c r="G74" i="53"/>
  <c r="F74" i="53"/>
  <c r="L74" i="53"/>
  <c r="D74" i="53"/>
  <c r="E74" i="53"/>
  <c r="D73" i="53"/>
  <c r="F73" i="53"/>
  <c r="E73" i="53"/>
  <c r="L73" i="53"/>
  <c r="K73" i="53"/>
  <c r="J73" i="53"/>
  <c r="I73" i="53"/>
  <c r="H73" i="53"/>
  <c r="G73" i="53"/>
  <c r="F72" i="53"/>
  <c r="G72" i="53"/>
  <c r="H72" i="53"/>
  <c r="L72" i="53"/>
  <c r="K72" i="53"/>
  <c r="J72" i="53"/>
  <c r="I72" i="53"/>
  <c r="D72" i="53"/>
  <c r="E72" i="53"/>
  <c r="G71" i="53"/>
  <c r="D71" i="53"/>
  <c r="E71" i="53"/>
  <c r="F71" i="53"/>
  <c r="H71" i="53"/>
  <c r="I71" i="53"/>
  <c r="J71" i="53"/>
  <c r="K71" i="53"/>
  <c r="L71" i="53"/>
  <c r="D70" i="53"/>
  <c r="L70" i="53"/>
  <c r="K70" i="53"/>
  <c r="J70" i="53"/>
  <c r="I70" i="53"/>
  <c r="H70" i="53"/>
  <c r="G70" i="53"/>
  <c r="F70" i="53"/>
  <c r="E70" i="53"/>
  <c r="H69" i="53"/>
  <c r="I69" i="53"/>
  <c r="J69" i="53"/>
  <c r="K69" i="53"/>
  <c r="L69" i="53"/>
  <c r="G69" i="53"/>
  <c r="F69" i="53"/>
  <c r="E69" i="53"/>
  <c r="D69" i="53"/>
  <c r="I68" i="53"/>
  <c r="E68" i="53"/>
  <c r="F68" i="53"/>
  <c r="G68" i="53"/>
  <c r="H68" i="53"/>
  <c r="L68" i="53"/>
  <c r="K68" i="53"/>
  <c r="J68" i="53"/>
  <c r="D68" i="53"/>
  <c r="L67" i="53"/>
  <c r="G67" i="53"/>
  <c r="F67" i="53"/>
  <c r="E67" i="53"/>
  <c r="D67" i="53"/>
  <c r="H67" i="53"/>
  <c r="I67" i="53"/>
  <c r="J67" i="53"/>
  <c r="K67" i="53"/>
  <c r="E66" i="53"/>
  <c r="F66" i="53"/>
  <c r="G66" i="53"/>
  <c r="I66" i="53"/>
  <c r="H66" i="53"/>
  <c r="J66" i="53"/>
  <c r="K66" i="53"/>
  <c r="L66" i="53"/>
  <c r="D66" i="53"/>
  <c r="S15" i="53"/>
  <c r="T15" i="53"/>
  <c r="G15" i="53"/>
  <c r="V15" i="53"/>
  <c r="U15" i="53"/>
  <c r="Q15" i="53"/>
  <c r="N15" i="53"/>
  <c r="O15" i="53"/>
  <c r="P15" i="53"/>
  <c r="R15" i="53"/>
  <c r="M15" i="53"/>
  <c r="L15" i="53"/>
  <c r="K15" i="53"/>
  <c r="J15" i="53"/>
  <c r="I15" i="53"/>
  <c r="H15" i="53"/>
  <c r="F15" i="53"/>
  <c r="E15" i="53"/>
  <c r="D15" i="53"/>
  <c r="D14" i="53"/>
  <c r="E14" i="53"/>
  <c r="F14" i="53"/>
  <c r="H14" i="53"/>
  <c r="I14" i="53"/>
  <c r="J14" i="53"/>
  <c r="K14" i="53"/>
  <c r="L14" i="53"/>
  <c r="M14" i="53"/>
  <c r="P14" i="53"/>
  <c r="N14" i="53"/>
  <c r="O14" i="53"/>
  <c r="G14" i="53"/>
  <c r="V14" i="53"/>
  <c r="U14" i="53"/>
  <c r="T14" i="53"/>
  <c r="S14" i="53"/>
  <c r="R14" i="53"/>
  <c r="Q14" i="53"/>
  <c r="E13" i="53"/>
  <c r="D13" i="53"/>
  <c r="P13" i="53"/>
  <c r="V13" i="53"/>
  <c r="U13" i="53"/>
  <c r="T13" i="53"/>
  <c r="S13" i="53"/>
  <c r="R13" i="53"/>
  <c r="Q13" i="53"/>
  <c r="O13" i="53"/>
  <c r="N13" i="53"/>
  <c r="M13" i="53"/>
  <c r="L13" i="53"/>
  <c r="K13" i="53"/>
  <c r="J13" i="53"/>
  <c r="I13" i="53"/>
  <c r="H13" i="53"/>
  <c r="G13" i="53"/>
  <c r="F13" i="53"/>
  <c r="F12" i="53"/>
  <c r="G12" i="53"/>
  <c r="H12" i="53"/>
  <c r="I12" i="53"/>
  <c r="J12" i="53"/>
  <c r="K12" i="53"/>
  <c r="N12" i="53"/>
  <c r="L12" i="53"/>
  <c r="M12" i="53"/>
  <c r="D12" i="53"/>
  <c r="E12" i="53"/>
  <c r="O12" i="53"/>
  <c r="P12" i="53"/>
  <c r="Q12" i="53"/>
  <c r="R12" i="53"/>
  <c r="S12" i="53"/>
  <c r="T12" i="53"/>
  <c r="U12" i="53"/>
  <c r="V12" i="53"/>
  <c r="M11" i="53"/>
  <c r="N11" i="53"/>
  <c r="O11" i="53"/>
  <c r="P11" i="53"/>
  <c r="Q11" i="53"/>
  <c r="R11" i="53"/>
  <c r="S11" i="53"/>
  <c r="T11" i="53"/>
  <c r="U11" i="53"/>
  <c r="V11" i="53"/>
  <c r="J11" i="53"/>
  <c r="D11" i="53"/>
  <c r="E11" i="53"/>
  <c r="F11" i="53"/>
  <c r="G11" i="53"/>
  <c r="H11" i="53"/>
  <c r="I11" i="53"/>
  <c r="K11" i="53"/>
  <c r="L11" i="53"/>
  <c r="N10" i="53"/>
  <c r="K10" i="53"/>
  <c r="M10" i="53"/>
  <c r="L10" i="53"/>
  <c r="O10" i="53"/>
  <c r="J10" i="53"/>
  <c r="I10" i="53"/>
  <c r="H10" i="53"/>
  <c r="G10" i="53"/>
  <c r="F10" i="53"/>
  <c r="E10" i="53"/>
  <c r="D10" i="53"/>
  <c r="P10" i="53"/>
  <c r="Q10" i="53"/>
  <c r="R10" i="53"/>
  <c r="S10" i="53"/>
  <c r="T10" i="53"/>
  <c r="U10" i="53"/>
  <c r="V10" i="53"/>
  <c r="E9" i="53"/>
  <c r="D9" i="53"/>
  <c r="V9" i="53"/>
  <c r="U9" i="53"/>
  <c r="T9" i="53"/>
  <c r="S9" i="53"/>
  <c r="R9" i="53"/>
  <c r="Q9" i="53"/>
  <c r="P9" i="53"/>
  <c r="O9" i="53"/>
  <c r="N9" i="53"/>
  <c r="M9" i="53"/>
  <c r="L9" i="53"/>
  <c r="K9" i="53"/>
  <c r="J9" i="53"/>
  <c r="I9" i="53"/>
  <c r="H9" i="53"/>
  <c r="G9" i="53"/>
  <c r="F9" i="53"/>
  <c r="I8" i="53"/>
  <c r="H8" i="53"/>
  <c r="G8" i="53"/>
  <c r="F8" i="53"/>
  <c r="E8" i="53"/>
  <c r="D8" i="53"/>
  <c r="O8" i="53"/>
  <c r="N8" i="53"/>
  <c r="R8" i="53"/>
  <c r="M8" i="53"/>
  <c r="L8" i="53"/>
  <c r="P8" i="53"/>
  <c r="Q8" i="53"/>
  <c r="S8" i="53"/>
  <c r="T8" i="53"/>
  <c r="U8" i="53"/>
  <c r="V8" i="53"/>
  <c r="K8" i="53"/>
  <c r="J8" i="53"/>
  <c r="N7" i="53"/>
  <c r="M7" i="53"/>
  <c r="L7" i="53"/>
  <c r="K7" i="53"/>
  <c r="J7" i="53"/>
  <c r="I7" i="53"/>
  <c r="H7" i="53"/>
  <c r="G7" i="53"/>
  <c r="F7" i="53"/>
  <c r="D7" i="53"/>
  <c r="E7" i="53"/>
  <c r="V7" i="53"/>
  <c r="U7" i="53"/>
  <c r="T7" i="53"/>
  <c r="S7" i="53"/>
  <c r="R7" i="53"/>
  <c r="Q7" i="53"/>
  <c r="P7" i="53"/>
  <c r="O7" i="53"/>
  <c r="K6" i="53"/>
  <c r="S6" i="53"/>
  <c r="I6" i="53"/>
  <c r="H6" i="53"/>
  <c r="G6" i="53"/>
  <c r="T6" i="53"/>
  <c r="E6" i="53"/>
  <c r="D6" i="53"/>
  <c r="U6" i="53"/>
  <c r="V6" i="53"/>
  <c r="R6" i="53"/>
  <c r="F6" i="53"/>
  <c r="Q6" i="53"/>
  <c r="P6" i="53"/>
  <c r="O6" i="53"/>
  <c r="N6" i="53"/>
  <c r="M6" i="53"/>
  <c r="L6" i="53"/>
  <c r="J6" i="53"/>
  <c r="L2899" i="20"/>
  <c r="L2901" i="20"/>
  <c r="L2893" i="20"/>
  <c r="L2897" i="20"/>
  <c r="L2900" i="20"/>
  <c r="L2894" i="20"/>
  <c r="L2896" i="20"/>
  <c r="L2902" i="20"/>
  <c r="L2895" i="20"/>
  <c r="L2898" i="20"/>
  <c r="L1851" i="20"/>
  <c r="L1856" i="20"/>
  <c r="L1848" i="20"/>
  <c r="L1850" i="20"/>
  <c r="L1854" i="20"/>
  <c r="L1855" i="20"/>
  <c r="L1849" i="20"/>
  <c r="L1852" i="20"/>
  <c r="L1853" i="20"/>
  <c r="L1857" i="20"/>
  <c r="B1836" i="20"/>
  <c r="L1108" i="20"/>
  <c r="L1103" i="20"/>
  <c r="L1102" i="20"/>
  <c r="L1104" i="20"/>
  <c r="L1106" i="20"/>
  <c r="L1110" i="20"/>
  <c r="L1109" i="20"/>
  <c r="L1101" i="20"/>
  <c r="L1107" i="20"/>
  <c r="L1105" i="20"/>
  <c r="L832" i="20"/>
  <c r="L834" i="20"/>
  <c r="L828" i="20"/>
  <c r="L829" i="20"/>
  <c r="L833" i="20"/>
  <c r="L830" i="20"/>
  <c r="L836" i="20"/>
  <c r="L831" i="20"/>
  <c r="L835" i="20"/>
  <c r="L827" i="20"/>
  <c r="L815" i="20"/>
  <c r="L818" i="20"/>
  <c r="L821" i="20"/>
  <c r="L824" i="20"/>
  <c r="L816" i="20"/>
  <c r="L820" i="20"/>
  <c r="L822" i="20"/>
  <c r="L819" i="20"/>
  <c r="L823" i="20"/>
  <c r="L817" i="20"/>
  <c r="L804" i="20"/>
  <c r="L797" i="20"/>
  <c r="L800" i="20"/>
  <c r="L803" i="20"/>
  <c r="L802" i="20"/>
  <c r="L795" i="20"/>
  <c r="L796" i="20"/>
  <c r="L799" i="20"/>
  <c r="L801" i="20"/>
  <c r="L798" i="20"/>
  <c r="L786" i="20"/>
  <c r="L789" i="20"/>
  <c r="L791" i="20"/>
  <c r="L785" i="20"/>
  <c r="L788" i="20"/>
  <c r="L792" i="20"/>
  <c r="L784" i="20"/>
  <c r="L787" i="20"/>
  <c r="L790" i="20"/>
  <c r="L783" i="20"/>
  <c r="L773" i="20"/>
  <c r="L776" i="20"/>
  <c r="L780" i="20"/>
  <c r="L774" i="20"/>
  <c r="L779" i="20"/>
  <c r="L772" i="20"/>
  <c r="L777" i="20"/>
  <c r="L771" i="20"/>
  <c r="L775" i="20"/>
  <c r="L778" i="20"/>
  <c r="L767" i="20"/>
  <c r="L759" i="20"/>
  <c r="L768" i="20"/>
  <c r="L761" i="20"/>
  <c r="L762" i="20"/>
  <c r="L764" i="20"/>
  <c r="L765" i="20"/>
  <c r="L763" i="20"/>
  <c r="L766" i="20"/>
  <c r="L760" i="20"/>
  <c r="L750" i="20"/>
  <c r="L743" i="20"/>
  <c r="L748" i="20"/>
  <c r="L744" i="20"/>
  <c r="L749" i="20"/>
  <c r="L746" i="20"/>
  <c r="L742" i="20"/>
  <c r="L747" i="20"/>
  <c r="L745" i="20"/>
  <c r="L741" i="20"/>
  <c r="L731" i="20"/>
  <c r="L733" i="20"/>
  <c r="L738" i="20"/>
  <c r="L732" i="20"/>
  <c r="L735" i="20"/>
  <c r="L737" i="20"/>
  <c r="L729" i="20"/>
  <c r="L730" i="20"/>
  <c r="L734" i="20"/>
  <c r="L736" i="20"/>
  <c r="L719" i="20"/>
  <c r="L722" i="20"/>
  <c r="L726" i="20"/>
  <c r="L718" i="20"/>
  <c r="L724" i="20"/>
  <c r="L721" i="20"/>
  <c r="L723" i="20"/>
  <c r="L717" i="20"/>
  <c r="L720" i="20"/>
  <c r="L725" i="20"/>
  <c r="L712" i="20"/>
  <c r="L714" i="20"/>
  <c r="L707" i="20"/>
  <c r="L710" i="20"/>
  <c r="L705" i="20"/>
  <c r="L708" i="20"/>
  <c r="L709" i="20"/>
  <c r="L711" i="20"/>
  <c r="L713" i="20"/>
  <c r="L706" i="20"/>
  <c r="L695" i="20"/>
  <c r="L687" i="20"/>
  <c r="L694" i="20"/>
  <c r="L692" i="20"/>
  <c r="L691" i="20"/>
  <c r="L690" i="20"/>
  <c r="L688" i="20"/>
  <c r="L696" i="20"/>
  <c r="L693" i="20"/>
  <c r="L689" i="20"/>
  <c r="L675" i="20"/>
  <c r="L678" i="20"/>
  <c r="L679" i="20"/>
  <c r="L683" i="20"/>
  <c r="L676" i="20"/>
  <c r="L680" i="20"/>
  <c r="L682" i="20"/>
  <c r="L677" i="20"/>
  <c r="L681" i="20"/>
  <c r="L684" i="20"/>
  <c r="L672" i="20"/>
  <c r="L663" i="20"/>
  <c r="L666" i="20"/>
  <c r="L669" i="20"/>
  <c r="L665" i="20"/>
  <c r="L667" i="20"/>
  <c r="L670" i="20"/>
  <c r="L664" i="20"/>
  <c r="L668" i="20"/>
  <c r="L671" i="20"/>
  <c r="L642" i="20"/>
  <c r="L646" i="20"/>
  <c r="L648" i="20"/>
  <c r="L645" i="20"/>
  <c r="L651" i="20"/>
  <c r="L647" i="20"/>
  <c r="L643" i="20"/>
  <c r="L650" i="20"/>
  <c r="L649" i="20"/>
  <c r="L644" i="20"/>
  <c r="L633" i="20"/>
  <c r="L636" i="20"/>
  <c r="L639" i="20"/>
  <c r="L630" i="20"/>
  <c r="L631" i="20"/>
  <c r="L634" i="20"/>
  <c r="L637" i="20"/>
  <c r="L632" i="20"/>
  <c r="L635" i="20"/>
  <c r="L638" i="20"/>
  <c r="L621" i="20"/>
  <c r="L618" i="20"/>
  <c r="L619" i="20"/>
  <c r="L624" i="20"/>
  <c r="L627" i="20"/>
  <c r="L620" i="20"/>
  <c r="L623" i="20"/>
  <c r="L626" i="20"/>
  <c r="L622" i="20"/>
  <c r="L625" i="20"/>
  <c r="L614" i="20"/>
  <c r="L611" i="20"/>
  <c r="L613" i="20"/>
  <c r="L615" i="20"/>
  <c r="L606" i="20"/>
  <c r="L609" i="20"/>
  <c r="L608" i="20"/>
  <c r="L610" i="20"/>
  <c r="L612" i="20"/>
  <c r="L607" i="20"/>
  <c r="L603" i="20"/>
  <c r="L596" i="20"/>
  <c r="L598" i="20"/>
  <c r="L600" i="20"/>
  <c r="L602" i="20"/>
  <c r="L595" i="20"/>
  <c r="L594" i="20"/>
  <c r="L597" i="20"/>
  <c r="L599" i="20"/>
  <c r="L601" i="20"/>
  <c r="L588" i="20"/>
  <c r="L589" i="20"/>
  <c r="L590" i="20"/>
  <c r="L591" i="20"/>
  <c r="L582" i="20"/>
  <c r="L583" i="20"/>
  <c r="L584" i="20"/>
  <c r="L585" i="20"/>
  <c r="L586" i="20"/>
  <c r="L587" i="20"/>
  <c r="L570" i="20"/>
  <c r="L571" i="20"/>
  <c r="L572" i="20"/>
  <c r="L573" i="20"/>
  <c r="L574" i="20"/>
  <c r="L575" i="20"/>
  <c r="L576" i="20"/>
  <c r="L577" i="20"/>
  <c r="L578" i="20"/>
  <c r="L579" i="20"/>
  <c r="L558" i="20"/>
  <c r="L559" i="20"/>
  <c r="L560" i="20"/>
  <c r="L561" i="20"/>
  <c r="L562" i="20"/>
  <c r="L563" i="20"/>
  <c r="L564" i="20"/>
  <c r="L565" i="20"/>
  <c r="L566" i="20"/>
  <c r="L567" i="20"/>
  <c r="L547" i="20"/>
  <c r="L548" i="20"/>
  <c r="L549" i="20"/>
  <c r="L550" i="20"/>
  <c r="L551" i="20"/>
  <c r="L552" i="20"/>
  <c r="L553" i="20"/>
  <c r="L554" i="20"/>
  <c r="L555" i="20"/>
  <c r="L546" i="20"/>
  <c r="L251" i="20"/>
  <c r="L250" i="20"/>
  <c r="L249" i="20"/>
  <c r="L248" i="20"/>
  <c r="L247" i="20"/>
  <c r="L246" i="20"/>
  <c r="L245" i="20"/>
  <c r="L244" i="20"/>
  <c r="L243" i="20"/>
  <c r="L252" i="20"/>
  <c r="L47" i="20"/>
  <c r="L48" i="20"/>
  <c r="L49" i="20"/>
  <c r="L50" i="20"/>
  <c r="L51" i="20"/>
  <c r="L52" i="20"/>
  <c r="L43" i="20"/>
  <c r="L44" i="20"/>
  <c r="L45" i="20"/>
  <c r="L46" i="20"/>
  <c r="B35" i="20"/>
  <c r="F32" i="43"/>
  <c r="F54" i="43"/>
  <c r="E54" i="43"/>
  <c r="E32" i="43"/>
  <c r="D32" i="43"/>
  <c r="D54" i="43"/>
  <c r="F32" i="42"/>
  <c r="F59" i="42"/>
  <c r="E32" i="42"/>
  <c r="E59" i="42"/>
  <c r="D32" i="42"/>
  <c r="D59" i="42"/>
  <c r="E263" i="30"/>
  <c r="F263" i="30"/>
  <c r="E264" i="30"/>
  <c r="F264" i="30"/>
  <c r="C263" i="30"/>
  <c r="C264" i="30"/>
  <c r="E310" i="33"/>
  <c r="F310" i="33"/>
  <c r="G310" i="33"/>
  <c r="E311" i="33"/>
  <c r="F311" i="33"/>
  <c r="G311" i="33"/>
  <c r="C310" i="33"/>
  <c r="C311" i="33"/>
  <c r="D310" i="33"/>
  <c r="F280" i="33"/>
  <c r="F281" i="33"/>
  <c r="F282" i="33"/>
  <c r="F283" i="33"/>
  <c r="F284" i="33"/>
  <c r="F285" i="33"/>
  <c r="F286" i="33"/>
  <c r="F287" i="33"/>
  <c r="F288" i="33"/>
  <c r="F289" i="33"/>
  <c r="F290" i="33"/>
  <c r="F291" i="33"/>
  <c r="F292" i="33"/>
  <c r="F293" i="33"/>
  <c r="F294" i="33"/>
  <c r="F295" i="33"/>
  <c r="F296" i="33"/>
  <c r="F297" i="33"/>
  <c r="F298" i="33"/>
  <c r="F299" i="33"/>
  <c r="F300" i="33"/>
  <c r="F301" i="33"/>
  <c r="F302" i="33"/>
  <c r="F309" i="33"/>
  <c r="D311" i="33"/>
  <c r="E309" i="33"/>
  <c r="D302" i="33"/>
  <c r="D309" i="33"/>
  <c r="G215" i="53" l="1"/>
  <c r="J215" i="53"/>
  <c r="M215" i="53"/>
  <c r="E215" i="53"/>
  <c r="H215" i="53"/>
  <c r="K215" i="53"/>
  <c r="N215" i="53"/>
  <c r="D215" i="53"/>
  <c r="Q215" i="53" s="1"/>
  <c r="F215" i="53"/>
  <c r="I215" i="53"/>
  <c r="L215" i="53"/>
  <c r="B464" i="53"/>
  <c r="L1840" i="20"/>
  <c r="L1837" i="20"/>
  <c r="L1839" i="20"/>
  <c r="L1843" i="20"/>
  <c r="L1838" i="20"/>
  <c r="L1842" i="20"/>
  <c r="L1845" i="20"/>
  <c r="L1836" i="20"/>
  <c r="L1841" i="20"/>
  <c r="L1844" i="20"/>
  <c r="L34" i="20"/>
  <c r="L33" i="20"/>
  <c r="L32" i="20"/>
  <c r="L31" i="20"/>
  <c r="L40" i="20"/>
  <c r="L39" i="20"/>
  <c r="L38" i="20"/>
  <c r="L37" i="20"/>
  <c r="L36" i="20"/>
  <c r="L35" i="20"/>
  <c r="C37" i="3"/>
  <c r="D79" i="25"/>
  <c r="N42" i="25"/>
  <c r="C97" i="21"/>
  <c r="E464" i="53" l="1"/>
  <c r="F464" i="53"/>
  <c r="D464" i="53"/>
  <c r="I464" i="53"/>
  <c r="J464" i="53"/>
  <c r="K464" i="53"/>
  <c r="H464" i="53"/>
  <c r="L464" i="53"/>
  <c r="M464" i="53"/>
  <c r="N464" i="53"/>
  <c r="G464" i="53"/>
  <c r="P464" i="53"/>
  <c r="B17" i="25"/>
  <c r="B16" i="25"/>
  <c r="B18" i="25"/>
  <c r="F67" i="22"/>
  <c r="Q464" i="53" l="1"/>
  <c r="F279" i="33"/>
  <c r="D130" i="33"/>
  <c r="AI114" i="33"/>
  <c r="AI111" i="33"/>
  <c r="AH111" i="33"/>
  <c r="AG111" i="33"/>
  <c r="AF111" i="33"/>
  <c r="AE111" i="33"/>
  <c r="AD111" i="33"/>
  <c r="AC111" i="33"/>
  <c r="AB111" i="33"/>
  <c r="AA111" i="33"/>
  <c r="Z111" i="33"/>
  <c r="Y111" i="33"/>
  <c r="X111" i="33"/>
  <c r="W111" i="33"/>
  <c r="V111" i="33"/>
  <c r="U111" i="33"/>
  <c r="T111" i="33"/>
  <c r="S111" i="33"/>
  <c r="R111" i="33"/>
  <c r="Q111" i="33"/>
  <c r="P111" i="33"/>
  <c r="O111" i="33"/>
  <c r="N111" i="33"/>
  <c r="M111" i="33"/>
  <c r="L111" i="33"/>
  <c r="K111" i="33"/>
  <c r="J111" i="33"/>
  <c r="I111" i="33"/>
  <c r="H111" i="33"/>
  <c r="G111" i="33"/>
  <c r="F111" i="33"/>
  <c r="E111" i="33"/>
  <c r="D111" i="33"/>
  <c r="C111" i="33"/>
  <c r="AK92" i="33"/>
  <c r="AJ92" i="33"/>
  <c r="AI92" i="33"/>
  <c r="AH92" i="33"/>
  <c r="AG92" i="33"/>
  <c r="AF92" i="33"/>
  <c r="AE92" i="33"/>
  <c r="AD92" i="33"/>
  <c r="AC92" i="33"/>
  <c r="AB92" i="33"/>
  <c r="AA92" i="33"/>
  <c r="Z92" i="33"/>
  <c r="Y92" i="33"/>
  <c r="X92" i="33"/>
  <c r="W92" i="33"/>
  <c r="V92" i="33"/>
  <c r="U92" i="33"/>
  <c r="T92" i="33"/>
  <c r="S92" i="33"/>
  <c r="R92" i="33"/>
  <c r="Q92" i="33"/>
  <c r="P92" i="33"/>
  <c r="O92" i="33"/>
  <c r="N92" i="33"/>
  <c r="M92" i="33"/>
  <c r="L92" i="33"/>
  <c r="K92" i="33"/>
  <c r="J92" i="33"/>
  <c r="I92" i="33"/>
  <c r="H92" i="33"/>
  <c r="G92" i="33"/>
  <c r="F92" i="33"/>
  <c r="E92" i="33"/>
  <c r="C72" i="33"/>
  <c r="C67" i="33"/>
  <c r="C66" i="33"/>
  <c r="AK60" i="33"/>
  <c r="AJ60" i="33"/>
  <c r="AI60" i="33"/>
  <c r="AH60" i="33"/>
  <c r="AG60" i="33"/>
  <c r="AF60" i="33"/>
  <c r="AE60" i="33"/>
  <c r="AD60" i="33"/>
  <c r="AC60" i="33"/>
  <c r="AB60" i="33"/>
  <c r="AA60" i="33"/>
  <c r="Z60" i="33"/>
  <c r="Y60" i="33"/>
  <c r="X60" i="33"/>
  <c r="W60" i="33"/>
  <c r="V60" i="33"/>
  <c r="U60" i="33"/>
  <c r="T60" i="33"/>
  <c r="S60" i="33"/>
  <c r="R60" i="33"/>
  <c r="R64" i="33" s="1"/>
  <c r="G15" i="33"/>
  <c r="G14" i="33"/>
  <c r="G13" i="33"/>
  <c r="G12" i="33"/>
  <c r="D123" i="32"/>
  <c r="AI107" i="32"/>
  <c r="AI104" i="32"/>
  <c r="AH104" i="32"/>
  <c r="AG104" i="32"/>
  <c r="AF104" i="32"/>
  <c r="AE104" i="32"/>
  <c r="AD104" i="32"/>
  <c r="AC104" i="32"/>
  <c r="AB104" i="32"/>
  <c r="AA104" i="32"/>
  <c r="Z104" i="32"/>
  <c r="Y104" i="32"/>
  <c r="X104" i="32"/>
  <c r="W104" i="32"/>
  <c r="V104" i="32"/>
  <c r="U104" i="32"/>
  <c r="T104" i="32"/>
  <c r="S104" i="32"/>
  <c r="R104" i="32"/>
  <c r="Q104" i="32"/>
  <c r="P104" i="32"/>
  <c r="O104" i="32"/>
  <c r="N104" i="32"/>
  <c r="M104" i="32"/>
  <c r="L104" i="32"/>
  <c r="K104" i="32"/>
  <c r="J104" i="32"/>
  <c r="I104" i="32"/>
  <c r="H104" i="32"/>
  <c r="G104" i="32"/>
  <c r="F104" i="32"/>
  <c r="E104" i="32"/>
  <c r="D104" i="32"/>
  <c r="C104" i="32"/>
  <c r="AK85" i="32"/>
  <c r="AJ85" i="32"/>
  <c r="AI85" i="32"/>
  <c r="AH85" i="32"/>
  <c r="AG85" i="32"/>
  <c r="AF85" i="32"/>
  <c r="AE85" i="32"/>
  <c r="AD85" i="32"/>
  <c r="AC85" i="32"/>
  <c r="AB85" i="32"/>
  <c r="AA85" i="32"/>
  <c r="Z85" i="32"/>
  <c r="Y85" i="32"/>
  <c r="X85" i="32"/>
  <c r="W85" i="32"/>
  <c r="V85" i="32"/>
  <c r="U85" i="32"/>
  <c r="T85" i="32"/>
  <c r="S85" i="32"/>
  <c r="R85" i="32"/>
  <c r="Q85" i="32"/>
  <c r="P85" i="32"/>
  <c r="O85" i="32"/>
  <c r="N85" i="32"/>
  <c r="M85" i="32"/>
  <c r="L85" i="32"/>
  <c r="K85" i="32"/>
  <c r="J85" i="32"/>
  <c r="I85" i="32"/>
  <c r="H85" i="32"/>
  <c r="G85" i="32"/>
  <c r="F85" i="32"/>
  <c r="E85" i="32"/>
  <c r="C66" i="32"/>
  <c r="C63" i="32"/>
  <c r="C62" i="32"/>
  <c r="AK56" i="32"/>
  <c r="AJ56" i="32"/>
  <c r="AI56" i="32"/>
  <c r="AH56" i="32"/>
  <c r="AG56" i="32"/>
  <c r="AF56" i="32"/>
  <c r="AE56" i="32"/>
  <c r="AD56" i="32"/>
  <c r="AC56" i="32"/>
  <c r="AB56" i="32"/>
  <c r="AA56" i="32"/>
  <c r="Z56" i="32"/>
  <c r="Y56" i="32"/>
  <c r="X56" i="32"/>
  <c r="W56" i="32"/>
  <c r="V56" i="32"/>
  <c r="U56" i="32"/>
  <c r="T56" i="32"/>
  <c r="S56" i="32"/>
  <c r="R56" i="32"/>
  <c r="R60" i="32" s="1"/>
  <c r="H109" i="25" l="1"/>
  <c r="H68" i="25"/>
  <c r="D68" i="25"/>
  <c r="H67" i="25"/>
  <c r="H66" i="25"/>
  <c r="B53" i="25"/>
  <c r="E53" i="25" s="1"/>
  <c r="B54" i="25"/>
  <c r="E54" i="25" s="1"/>
  <c r="B55" i="25"/>
  <c r="E55" i="25" s="1"/>
  <c r="B52" i="25"/>
  <c r="E52" i="25" s="1"/>
  <c r="H47" i="25"/>
  <c r="H45" i="25"/>
  <c r="H44" i="25"/>
  <c r="H33" i="25"/>
  <c r="H32" i="25"/>
  <c r="H31" i="25"/>
  <c r="H30" i="25"/>
  <c r="H29" i="25"/>
  <c r="H28" i="25"/>
  <c r="E17" i="25"/>
  <c r="E18" i="25"/>
  <c r="E19" i="25" s="1"/>
  <c r="E16" i="25"/>
  <c r="H11" i="25"/>
  <c r="E49" i="21"/>
  <c r="F64" i="21"/>
  <c r="F65" i="21"/>
  <c r="F66" i="21"/>
  <c r="F67" i="21"/>
  <c r="F68" i="21"/>
  <c r="F69" i="21"/>
  <c r="E60" i="21"/>
  <c r="F60" i="21" s="1"/>
  <c r="E61" i="21"/>
  <c r="F61" i="21" s="1"/>
  <c r="E62" i="21"/>
  <c r="F62" i="21" s="1"/>
  <c r="E59" i="21"/>
  <c r="F59" i="21" s="1"/>
  <c r="D49" i="21"/>
  <c r="D50" i="21"/>
  <c r="E50" i="21" s="1"/>
  <c r="D48" i="21"/>
  <c r="E48" i="21" s="1"/>
  <c r="B52" i="21"/>
  <c r="F46" i="22"/>
  <c r="D46" i="22"/>
  <c r="D45" i="22"/>
  <c r="D44" i="22"/>
  <c r="D43" i="22"/>
  <c r="D42" i="22"/>
  <c r="N27" i="22"/>
  <c r="E240" i="30"/>
  <c r="F240" i="30"/>
  <c r="E241" i="30"/>
  <c r="F241" i="30"/>
  <c r="E242" i="30"/>
  <c r="F242" i="30"/>
  <c r="E243" i="30"/>
  <c r="F243" i="30"/>
  <c r="E244" i="30"/>
  <c r="F244" i="30"/>
  <c r="E245" i="30"/>
  <c r="F245" i="30"/>
  <c r="E246" i="30"/>
  <c r="F246" i="30"/>
  <c r="E247" i="30"/>
  <c r="F247" i="30"/>
  <c r="E248" i="30"/>
  <c r="F248" i="30"/>
  <c r="E249" i="30"/>
  <c r="F249" i="30"/>
  <c r="E250" i="30"/>
  <c r="F250" i="30"/>
  <c r="E251" i="30"/>
  <c r="F251" i="30"/>
  <c r="E252" i="30"/>
  <c r="F252" i="30"/>
  <c r="E253" i="30"/>
  <c r="F253" i="30"/>
  <c r="E254" i="30"/>
  <c r="F254" i="30"/>
  <c r="E255" i="30"/>
  <c r="F255" i="30"/>
  <c r="E256" i="30"/>
  <c r="F256" i="30"/>
  <c r="E257" i="30"/>
  <c r="F257" i="30"/>
  <c r="E258" i="30"/>
  <c r="F258" i="30"/>
  <c r="E259" i="30"/>
  <c r="F259" i="30"/>
  <c r="E260" i="30"/>
  <c r="F260" i="30"/>
  <c r="E261" i="30"/>
  <c r="F261" i="30"/>
  <c r="D260" i="30"/>
  <c r="D261" i="30"/>
  <c r="D264" i="30"/>
  <c r="D257" i="30"/>
  <c r="D258" i="30"/>
  <c r="D259" i="30"/>
  <c r="D263" i="30"/>
  <c r="F262" i="30"/>
  <c r="E262" i="30"/>
  <c r="D262" i="30"/>
  <c r="F387" i="26"/>
  <c r="C348" i="26"/>
  <c r="C347" i="26"/>
  <c r="C346" i="26"/>
  <c r="C345" i="26"/>
  <c r="C344" i="26"/>
  <c r="C343" i="26"/>
  <c r="C342" i="26"/>
  <c r="C341"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14" i="26"/>
  <c r="J294" i="26"/>
  <c r="H255" i="26"/>
  <c r="H256" i="26"/>
  <c r="H258" i="26"/>
  <c r="H294" i="26" s="1"/>
  <c r="D538" i="3"/>
  <c r="D539" i="3"/>
  <c r="D540" i="3"/>
  <c r="D541" i="3"/>
  <c r="D545" i="3"/>
  <c r="D537" i="3"/>
  <c r="C242" i="26"/>
  <c r="E242" i="26" s="1"/>
  <c r="E206" i="26"/>
  <c r="D530" i="3"/>
  <c r="D531" i="3"/>
  <c r="D532" i="3"/>
  <c r="D533" i="3"/>
  <c r="D534" i="3"/>
  <c r="D535" i="3"/>
  <c r="D529" i="3"/>
  <c r="F355" i="26"/>
  <c r="G355" i="26" s="1"/>
  <c r="H355" i="26" s="1"/>
  <c r="D381" i="26"/>
  <c r="F352" i="26"/>
  <c r="G352" i="26" s="1"/>
  <c r="H352" i="26" s="1"/>
  <c r="F353" i="26"/>
  <c r="G353" i="26" s="1"/>
  <c r="H353" i="26" s="1"/>
  <c r="F354" i="26"/>
  <c r="G354" i="26" s="1"/>
  <c r="H354" i="26" s="1"/>
  <c r="F356" i="26"/>
  <c r="G356" i="26" s="1"/>
  <c r="H356" i="26" s="1"/>
  <c r="F357" i="26"/>
  <c r="G357" i="26" s="1"/>
  <c r="F358" i="26"/>
  <c r="F359" i="26"/>
  <c r="G359" i="26" s="1"/>
  <c r="H359" i="26" s="1"/>
  <c r="F360" i="26"/>
  <c r="G360" i="26" s="1"/>
  <c r="H360" i="26" s="1"/>
  <c r="F361" i="26"/>
  <c r="G361" i="26" s="1"/>
  <c r="F362" i="26"/>
  <c r="G362" i="26" s="1"/>
  <c r="H362" i="26" s="1"/>
  <c r="F363" i="26"/>
  <c r="G363" i="26" s="1"/>
  <c r="H363" i="26" s="1"/>
  <c r="F364" i="26"/>
  <c r="G364" i="26" s="1"/>
  <c r="H364" i="26" s="1"/>
  <c r="F365" i="26"/>
  <c r="G365" i="26" s="1"/>
  <c r="H365" i="26" s="1"/>
  <c r="F366" i="26"/>
  <c r="G366" i="26" s="1"/>
  <c r="H366" i="26" s="1"/>
  <c r="F367" i="26"/>
  <c r="G367" i="26" s="1"/>
  <c r="F368" i="26"/>
  <c r="G368" i="26" s="1"/>
  <c r="F369" i="26"/>
  <c r="G369" i="26" s="1"/>
  <c r="H369" i="26" s="1"/>
  <c r="F370" i="26"/>
  <c r="G370" i="26" s="1"/>
  <c r="H370" i="26" s="1"/>
  <c r="F371" i="26"/>
  <c r="H371" i="26" s="1"/>
  <c r="F372" i="26"/>
  <c r="G372" i="26" s="1"/>
  <c r="H372" i="26" s="1"/>
  <c r="F373" i="26"/>
  <c r="G373" i="26" s="1"/>
  <c r="F374" i="26"/>
  <c r="G374" i="26" s="1"/>
  <c r="F375" i="26"/>
  <c r="G375" i="26" s="1"/>
  <c r="F376" i="26"/>
  <c r="G376" i="26" s="1"/>
  <c r="F377" i="26"/>
  <c r="G377" i="26" s="1"/>
  <c r="F378" i="26"/>
  <c r="H378" i="26" s="1"/>
  <c r="F379" i="26"/>
  <c r="G379" i="26" s="1"/>
  <c r="F380" i="26"/>
  <c r="H380" i="26" s="1"/>
  <c r="F381" i="26"/>
  <c r="H381" i="26" s="1"/>
  <c r="F382" i="26"/>
  <c r="H382" i="26" s="1"/>
  <c r="F383" i="26"/>
  <c r="H383" i="26" s="1"/>
  <c r="F384" i="26"/>
  <c r="G384" i="26" s="1"/>
  <c r="F385" i="26"/>
  <c r="G385" i="26" s="1"/>
  <c r="F351" i="26"/>
  <c r="G351" i="26" s="1"/>
  <c r="H351" i="26" s="1"/>
  <c r="D383" i="26"/>
  <c r="E383" i="26"/>
  <c r="D384" i="26"/>
  <c r="E384" i="26"/>
  <c r="D385" i="26"/>
  <c r="E385" i="26"/>
  <c r="D380" i="26"/>
  <c r="E380" i="26"/>
  <c r="E381" i="26"/>
  <c r="D382" i="26"/>
  <c r="E382" i="26"/>
  <c r="D352" i="26"/>
  <c r="E352" i="26"/>
  <c r="D353" i="26"/>
  <c r="E353" i="26"/>
  <c r="D354" i="26"/>
  <c r="E354" i="26"/>
  <c r="D355" i="26"/>
  <c r="E355" i="26"/>
  <c r="D356" i="26"/>
  <c r="E356" i="26"/>
  <c r="D357" i="26"/>
  <c r="E357" i="26"/>
  <c r="D358" i="26"/>
  <c r="E358" i="26"/>
  <c r="D359" i="26"/>
  <c r="E359" i="26"/>
  <c r="D360" i="26"/>
  <c r="E360" i="26"/>
  <c r="D361" i="26"/>
  <c r="E361" i="26"/>
  <c r="D362" i="26"/>
  <c r="E362" i="26"/>
  <c r="D363" i="26"/>
  <c r="D364" i="26"/>
  <c r="E364" i="26"/>
  <c r="D365" i="26"/>
  <c r="E365" i="26"/>
  <c r="D366" i="26"/>
  <c r="E366" i="26"/>
  <c r="D367" i="26"/>
  <c r="E367" i="26"/>
  <c r="D368" i="26"/>
  <c r="E368" i="26"/>
  <c r="D369" i="26"/>
  <c r="E369" i="26"/>
  <c r="D370" i="26"/>
  <c r="E370" i="26"/>
  <c r="D371" i="26"/>
  <c r="E371" i="26"/>
  <c r="D372" i="26"/>
  <c r="E372" i="26"/>
  <c r="D373" i="26"/>
  <c r="E373" i="26"/>
  <c r="E374" i="26"/>
  <c r="D376" i="26"/>
  <c r="E376" i="26"/>
  <c r="E377" i="26"/>
  <c r="E378" i="26"/>
  <c r="D379" i="26"/>
  <c r="E379" i="26"/>
  <c r="E351" i="26"/>
  <c r="D351" i="26"/>
  <c r="D507" i="3"/>
  <c r="F39" i="1"/>
  <c r="H66" i="26"/>
  <c r="D499" i="3"/>
  <c r="D500" i="3"/>
  <c r="D501" i="3"/>
  <c r="D502" i="3"/>
  <c r="D503" i="3"/>
  <c r="D504" i="3"/>
  <c r="D505" i="3"/>
  <c r="D498" i="3"/>
  <c r="D496" i="3"/>
  <c r="D495" i="3"/>
  <c r="H12" i="26"/>
  <c r="H15" i="26" s="1"/>
  <c r="H7" i="26"/>
  <c r="D494" i="3"/>
  <c r="D493" i="3"/>
  <c r="D492" i="3"/>
  <c r="D491" i="3"/>
  <c r="D123" i="31"/>
  <c r="AI107" i="31"/>
  <c r="AI104" i="31"/>
  <c r="AH104" i="31"/>
  <c r="AG104" i="31"/>
  <c r="AF104" i="31"/>
  <c r="AE104" i="31"/>
  <c r="AD104" i="31"/>
  <c r="AC104" i="31"/>
  <c r="AB104" i="31"/>
  <c r="AA104" i="31"/>
  <c r="Z104" i="31"/>
  <c r="Y104" i="31"/>
  <c r="X104" i="31"/>
  <c r="W104" i="31"/>
  <c r="V104" i="31"/>
  <c r="U104" i="31"/>
  <c r="T104" i="31"/>
  <c r="S104" i="31"/>
  <c r="R104" i="31"/>
  <c r="Q104" i="31"/>
  <c r="P104" i="31"/>
  <c r="O104" i="31"/>
  <c r="N104" i="31"/>
  <c r="M104" i="31"/>
  <c r="L104" i="31"/>
  <c r="K104" i="31"/>
  <c r="J104" i="31"/>
  <c r="I104" i="31"/>
  <c r="H104" i="31"/>
  <c r="G104" i="31"/>
  <c r="F104" i="31"/>
  <c r="E104" i="31"/>
  <c r="D104" i="31"/>
  <c r="C104" i="31"/>
  <c r="AK85" i="31"/>
  <c r="AJ85" i="31"/>
  <c r="AI85" i="31"/>
  <c r="AH85" i="31"/>
  <c r="AG85" i="31"/>
  <c r="AF85" i="31"/>
  <c r="AE85" i="31"/>
  <c r="AD85" i="31"/>
  <c r="AC85" i="31"/>
  <c r="AB85" i="31"/>
  <c r="AA85" i="31"/>
  <c r="Z85" i="31"/>
  <c r="Y85" i="31"/>
  <c r="X85" i="31"/>
  <c r="W85" i="31"/>
  <c r="V85" i="31"/>
  <c r="U85" i="31"/>
  <c r="T85" i="31"/>
  <c r="S85" i="31"/>
  <c r="R85" i="31"/>
  <c r="Q85" i="31"/>
  <c r="P85" i="31"/>
  <c r="O85" i="31"/>
  <c r="N85" i="31"/>
  <c r="M85" i="31"/>
  <c r="L85" i="31"/>
  <c r="K85" i="31"/>
  <c r="J85" i="31"/>
  <c r="I85" i="31"/>
  <c r="H85" i="31"/>
  <c r="G85" i="31"/>
  <c r="F85" i="31"/>
  <c r="E85" i="31"/>
  <c r="C66" i="31"/>
  <c r="C65" i="31"/>
  <c r="C64" i="31"/>
  <c r="C63" i="31"/>
  <c r="C62" i="31"/>
  <c r="AK56" i="31"/>
  <c r="AJ56" i="31"/>
  <c r="AI56" i="31"/>
  <c r="AH56" i="31"/>
  <c r="AG56" i="31"/>
  <c r="AF56" i="31"/>
  <c r="AE56" i="31"/>
  <c r="AD56" i="31"/>
  <c r="AC56" i="31"/>
  <c r="AB56" i="31"/>
  <c r="AA56" i="31"/>
  <c r="Z56" i="31"/>
  <c r="Y56" i="31"/>
  <c r="X56" i="31"/>
  <c r="W56" i="31"/>
  <c r="V56" i="31"/>
  <c r="U56" i="31"/>
  <c r="T56" i="31"/>
  <c r="S56" i="31"/>
  <c r="R56" i="31"/>
  <c r="R60" i="31" s="1"/>
  <c r="G19" i="31"/>
  <c r="G18" i="31"/>
  <c r="G17" i="31"/>
  <c r="G16" i="31"/>
  <c r="D123" i="30"/>
  <c r="AI107" i="30"/>
  <c r="AI104" i="30"/>
  <c r="AH104" i="30"/>
  <c r="AG104" i="30"/>
  <c r="AF104" i="30"/>
  <c r="AE104" i="30"/>
  <c r="AD104" i="30"/>
  <c r="AC104" i="30"/>
  <c r="AB104" i="30"/>
  <c r="AA104" i="30"/>
  <c r="Z104" i="30"/>
  <c r="Y104" i="30"/>
  <c r="X104" i="30"/>
  <c r="W104" i="30"/>
  <c r="V104" i="30"/>
  <c r="U104" i="30"/>
  <c r="T104" i="30"/>
  <c r="S104" i="30"/>
  <c r="R104" i="30"/>
  <c r="Q104" i="30"/>
  <c r="P104" i="30"/>
  <c r="O104" i="30"/>
  <c r="N104" i="30"/>
  <c r="M104" i="30"/>
  <c r="L104" i="30"/>
  <c r="K104" i="30"/>
  <c r="J104" i="30"/>
  <c r="I104" i="30"/>
  <c r="H104" i="30"/>
  <c r="G104" i="30"/>
  <c r="F104" i="30"/>
  <c r="E104" i="30"/>
  <c r="D104" i="30"/>
  <c r="C104" i="30"/>
  <c r="AK85" i="30"/>
  <c r="AJ85" i="30"/>
  <c r="AI85" i="30"/>
  <c r="AH85" i="30"/>
  <c r="AG85" i="30"/>
  <c r="AF85" i="30"/>
  <c r="AE85" i="30"/>
  <c r="AD85" i="30"/>
  <c r="AC85" i="30"/>
  <c r="AB85" i="30"/>
  <c r="AA85" i="30"/>
  <c r="Z85" i="30"/>
  <c r="Y85" i="30"/>
  <c r="X85" i="30"/>
  <c r="W85" i="30"/>
  <c r="V85" i="30"/>
  <c r="U85" i="30"/>
  <c r="T85" i="30"/>
  <c r="S85" i="30"/>
  <c r="R85" i="30"/>
  <c r="Q85" i="30"/>
  <c r="P85" i="30"/>
  <c r="O85" i="30"/>
  <c r="N85" i="30"/>
  <c r="M85" i="30"/>
  <c r="L85" i="30"/>
  <c r="K85" i="30"/>
  <c r="J85" i="30"/>
  <c r="I85" i="30"/>
  <c r="H85" i="30"/>
  <c r="G85" i="30"/>
  <c r="F85" i="30"/>
  <c r="E85" i="30"/>
  <c r="C66" i="30"/>
  <c r="C63" i="30"/>
  <c r="C62" i="30"/>
  <c r="AK56" i="30"/>
  <c r="AJ56" i="30"/>
  <c r="AI56" i="30"/>
  <c r="AH56" i="30"/>
  <c r="AG56" i="30"/>
  <c r="AF56" i="30"/>
  <c r="AE56" i="30"/>
  <c r="AD56" i="30"/>
  <c r="AC56" i="30"/>
  <c r="AB56" i="30"/>
  <c r="AA56" i="30"/>
  <c r="Z56" i="30"/>
  <c r="Y56" i="30"/>
  <c r="X56" i="30"/>
  <c r="W56" i="30"/>
  <c r="V56" i="30"/>
  <c r="U56" i="30"/>
  <c r="T56" i="30"/>
  <c r="S56" i="30"/>
  <c r="R56" i="30"/>
  <c r="R60" i="30" s="1"/>
  <c r="G15" i="30"/>
  <c r="G14" i="30"/>
  <c r="G13" i="30"/>
  <c r="G12" i="30"/>
  <c r="G358" i="26" l="1"/>
  <c r="H358" i="26" s="1"/>
  <c r="C364" i="26"/>
  <c r="E56" i="25"/>
  <c r="H374" i="26"/>
  <c r="G378" i="26"/>
  <c r="H379" i="26"/>
  <c r="H373" i="26"/>
  <c r="G383" i="26"/>
  <c r="G371" i="26"/>
  <c r="G382" i="26"/>
  <c r="G381" i="26"/>
  <c r="G380" i="26"/>
  <c r="E19" i="6" l="1"/>
  <c r="A592" i="5"/>
  <c r="A591" i="5"/>
  <c r="C516" i="6"/>
  <c r="C517" i="6"/>
  <c r="C518" i="6"/>
  <c r="C519" i="6"/>
  <c r="C520" i="6"/>
  <c r="C515" i="6"/>
  <c r="A681" i="6" l="1"/>
  <c r="A680" i="6"/>
  <c r="A558" i="5"/>
  <c r="A557" i="5"/>
  <c r="A556" i="5"/>
  <c r="A555" i="5"/>
  <c r="A554" i="5"/>
  <c r="A552" i="5"/>
  <c r="A548" i="5"/>
  <c r="A547" i="5"/>
  <c r="A546" i="5"/>
  <c r="H297" i="5"/>
  <c r="G297" i="5"/>
  <c r="H296" i="5"/>
  <c r="G296" i="5"/>
  <c r="H295" i="5"/>
  <c r="G295" i="5"/>
  <c r="H294" i="5"/>
  <c r="G294" i="5"/>
  <c r="B332" i="5"/>
  <c r="B314" i="5"/>
  <c r="B453" i="5" s="1"/>
  <c r="G711" i="15"/>
  <c r="G714" i="15"/>
  <c r="B44" i="15"/>
  <c r="B45" i="15" s="1"/>
  <c r="B47" i="15" s="1"/>
  <c r="B27" i="15"/>
  <c r="B28" i="15" s="1"/>
  <c r="B29" i="15" s="1"/>
  <c r="G22" i="22" l="1"/>
  <c r="G25" i="22"/>
  <c r="B32" i="15"/>
  <c r="B33" i="15" l="1"/>
  <c r="B35" i="15" l="1"/>
  <c r="B36" i="15" s="1"/>
  <c r="D13" i="5" s="1"/>
  <c r="N252" i="5" l="1"/>
  <c r="N194" i="5"/>
  <c r="N56" i="22" s="1"/>
  <c r="F146" i="1"/>
  <c r="F147" i="1"/>
  <c r="F148" i="1"/>
  <c r="F149" i="1"/>
  <c r="B264" i="15"/>
  <c r="F144" i="1"/>
  <c r="F145" i="1"/>
  <c r="F150" i="1"/>
  <c r="F151" i="1"/>
  <c r="F152" i="1"/>
  <c r="F153" i="1"/>
  <c r="F154" i="1"/>
  <c r="F155" i="1"/>
  <c r="F156" i="1"/>
  <c r="F157" i="1"/>
  <c r="B246" i="15"/>
  <c r="D96" i="6"/>
  <c r="H104" i="6"/>
  <c r="H103" i="6"/>
  <c r="H102" i="6"/>
  <c r="H101" i="6"/>
  <c r="H100" i="6"/>
  <c r="H97" i="6"/>
  <c r="F136" i="1"/>
  <c r="F137" i="1"/>
  <c r="F138" i="1"/>
  <c r="F139" i="1"/>
  <c r="F140" i="1"/>
  <c r="F141" i="1"/>
  <c r="B193" i="15"/>
  <c r="B180" i="15"/>
  <c r="F116" i="1"/>
  <c r="F117" i="1"/>
  <c r="F118" i="1"/>
  <c r="F119" i="1"/>
  <c r="F120" i="1"/>
  <c r="F121" i="1"/>
  <c r="F122" i="1"/>
  <c r="F123" i="1"/>
  <c r="F124" i="1"/>
  <c r="F125" i="1"/>
  <c r="F126" i="1"/>
  <c r="F127" i="1"/>
  <c r="B183" i="15" s="1"/>
  <c r="F128" i="1"/>
  <c r="F129" i="1"/>
  <c r="F130" i="1"/>
  <c r="F131" i="1"/>
  <c r="F132" i="1"/>
  <c r="F133" i="1"/>
  <c r="F134" i="1"/>
  <c r="F135" i="1"/>
  <c r="F142" i="1"/>
  <c r="F143" i="1"/>
  <c r="F159" i="1"/>
  <c r="F160" i="1"/>
  <c r="F161" i="1"/>
  <c r="N92" i="5"/>
  <c r="N96" i="5"/>
  <c r="N99" i="5"/>
  <c r="N98" i="5"/>
  <c r="N97" i="5"/>
  <c r="N95" i="5"/>
  <c r="C70" i="3"/>
  <c r="B617" i="15" l="1"/>
  <c r="B249" i="15"/>
  <c r="B267" i="15"/>
  <c r="B196" i="15"/>
  <c r="H74" i="6" l="1"/>
  <c r="B147" i="15"/>
  <c r="B138" i="15"/>
  <c r="B129" i="15"/>
  <c r="B120" i="15"/>
  <c r="G312" i="15"/>
  <c r="G491" i="15" s="1"/>
  <c r="B82" i="15"/>
  <c r="B470" i="15"/>
  <c r="F83" i="1"/>
  <c r="F84" i="1"/>
  <c r="F85" i="1"/>
  <c r="F86" i="1"/>
  <c r="F87" i="1"/>
  <c r="F88" i="1"/>
  <c r="F89" i="1"/>
  <c r="F90" i="1"/>
  <c r="F91" i="1"/>
  <c r="F92" i="1"/>
  <c r="F93" i="1"/>
  <c r="F94" i="1"/>
  <c r="F95" i="1"/>
  <c r="F96" i="1"/>
  <c r="F97" i="1"/>
  <c r="F98" i="1"/>
  <c r="F99" i="1"/>
  <c r="F100" i="1"/>
  <c r="F101" i="1"/>
  <c r="F102" i="1"/>
  <c r="F103" i="1"/>
  <c r="F104" i="1"/>
  <c r="F105" i="1"/>
  <c r="B83" i="15" s="1"/>
  <c r="F106" i="1"/>
  <c r="F107" i="1"/>
  <c r="F108" i="1"/>
  <c r="F109" i="1"/>
  <c r="F110" i="1"/>
  <c r="F111" i="1"/>
  <c r="F112" i="1"/>
  <c r="F113" i="1"/>
  <c r="F114" i="1"/>
  <c r="F115"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N63" i="5"/>
  <c r="N101" i="5"/>
  <c r="N15" i="5"/>
  <c r="N11" i="22" s="1"/>
  <c r="N11" i="5"/>
  <c r="N12" i="5"/>
  <c r="N13" i="5"/>
  <c r="N10" i="22" s="1"/>
  <c r="N14" i="5"/>
  <c r="M13" i="5"/>
  <c r="M11" i="5"/>
  <c r="M498" i="5"/>
  <c r="M453" i="5"/>
  <c r="B624" i="13"/>
  <c r="B625" i="13"/>
  <c r="B626" i="13"/>
  <c r="B627" i="13"/>
  <c r="B628" i="13"/>
  <c r="B629" i="13"/>
  <c r="B630" i="13"/>
  <c r="B631" i="13"/>
  <c r="B632" i="13"/>
  <c r="B633" i="13"/>
  <c r="B634" i="13"/>
  <c r="B623" i="13"/>
  <c r="D632" i="13"/>
  <c r="D633" i="13"/>
  <c r="D634" i="13"/>
  <c r="D635" i="13"/>
  <c r="C635" i="13"/>
  <c r="C624" i="13"/>
  <c r="C625" i="13"/>
  <c r="C626" i="13"/>
  <c r="C627" i="13"/>
  <c r="C628" i="13"/>
  <c r="C629" i="13"/>
  <c r="C630" i="13"/>
  <c r="C631" i="13"/>
  <c r="C623" i="13"/>
  <c r="C611" i="13"/>
  <c r="M160" i="5"/>
  <c r="M161" i="5"/>
  <c r="M164" i="5"/>
  <c r="M332" i="5"/>
  <c r="M314" i="5"/>
  <c r="M234" i="5"/>
  <c r="M235" i="5"/>
  <c r="M236" i="5"/>
  <c r="M177" i="5"/>
  <c r="M178" i="5"/>
  <c r="M147" i="5"/>
  <c r="M148" i="5"/>
  <c r="G104" i="5"/>
  <c r="M74" i="5"/>
  <c r="M75" i="5"/>
  <c r="C474" i="3"/>
  <c r="G512" i="13"/>
  <c r="C488" i="13"/>
  <c r="C451" i="13"/>
  <c r="C165" i="13"/>
  <c r="C161" i="13"/>
  <c r="C162" i="13" s="1"/>
  <c r="E158" i="13"/>
  <c r="E124" i="13"/>
  <c r="E126" i="13" s="1"/>
  <c r="B209" i="15" s="1"/>
  <c r="O96" i="13"/>
  <c r="W660" i="13"/>
  <c r="U658" i="13"/>
  <c r="U659" i="13"/>
  <c r="V659" i="13"/>
  <c r="X659" i="13"/>
  <c r="U660" i="13"/>
  <c r="V660" i="13"/>
  <c r="X660" i="13"/>
  <c r="Y660" i="13"/>
  <c r="Z660" i="13"/>
  <c r="U661" i="13"/>
  <c r="W661" i="13"/>
  <c r="X661" i="13"/>
  <c r="Y661" i="13"/>
  <c r="Z661" i="13"/>
  <c r="U662" i="13"/>
  <c r="U663" i="13"/>
  <c r="U664" i="13"/>
  <c r="V664" i="13"/>
  <c r="X664" i="13"/>
  <c r="U665" i="13"/>
  <c r="V665" i="13"/>
  <c r="W665" i="13"/>
  <c r="X665" i="13"/>
  <c r="Y665" i="13"/>
  <c r="Z665" i="13"/>
  <c r="U666" i="13"/>
  <c r="W666" i="13"/>
  <c r="X666" i="13"/>
  <c r="Y666" i="13"/>
  <c r="Z666" i="13"/>
  <c r="U667" i="13"/>
  <c r="U668" i="13"/>
  <c r="U669" i="13"/>
  <c r="V669" i="13"/>
  <c r="X669" i="13"/>
  <c r="U670" i="13"/>
  <c r="V670" i="13"/>
  <c r="W670" i="13"/>
  <c r="X670" i="13"/>
  <c r="Y670" i="13"/>
  <c r="Z670" i="13"/>
  <c r="U671" i="13"/>
  <c r="W671" i="13"/>
  <c r="X671" i="13"/>
  <c r="Y671" i="13"/>
  <c r="Z671" i="13"/>
  <c r="U672" i="13"/>
  <c r="U673" i="13"/>
  <c r="U674" i="13"/>
  <c r="V674" i="13"/>
  <c r="X674" i="13"/>
  <c r="U675" i="13"/>
  <c r="V675" i="13"/>
  <c r="W675" i="13"/>
  <c r="X675" i="13"/>
  <c r="Y675" i="13"/>
  <c r="Z675" i="13"/>
  <c r="U676" i="13"/>
  <c r="W676" i="13"/>
  <c r="X676" i="13"/>
  <c r="Y676" i="13"/>
  <c r="Z676" i="13"/>
  <c r="U677" i="13"/>
  <c r="U678" i="13"/>
  <c r="O11" i="5" l="1"/>
  <c r="B4" i="28" s="1"/>
  <c r="G124" i="13"/>
  <c r="E125" i="13"/>
  <c r="C145" i="13" s="1"/>
  <c r="E1615" i="13"/>
  <c r="C1619" i="13" s="1"/>
  <c r="C1634" i="13" s="1"/>
  <c r="C71" i="13"/>
  <c r="C70" i="13"/>
  <c r="C57" i="13"/>
  <c r="C58" i="13"/>
  <c r="C41" i="13"/>
  <c r="C53" i="13"/>
  <c r="C38" i="13"/>
  <c r="F75" i="1"/>
  <c r="F76" i="1"/>
  <c r="F77" i="1"/>
  <c r="C64" i="13" s="1"/>
  <c r="F78" i="1"/>
  <c r="C69" i="13" s="1"/>
  <c r="C95" i="13" s="1"/>
  <c r="E95" i="13" s="1"/>
  <c r="G95" i="13" s="1"/>
  <c r="H95" i="13" s="1"/>
  <c r="F79" i="1"/>
  <c r="C67" i="13" s="1"/>
  <c r="C93" i="13" s="1"/>
  <c r="E93" i="13" s="1"/>
  <c r="C103" i="13" s="1"/>
  <c r="F80" i="1"/>
  <c r="C68" i="13" s="1"/>
  <c r="F81" i="1"/>
  <c r="C65" i="13" s="1"/>
  <c r="F82" i="1"/>
  <c r="C66" i="13" s="1"/>
  <c r="H12" i="6"/>
  <c r="D422" i="6"/>
  <c r="H419" i="6"/>
  <c r="D417" i="6"/>
  <c r="H413" i="6"/>
  <c r="H414" i="6"/>
  <c r="D412" i="6"/>
  <c r="H405" i="6"/>
  <c r="H515" i="6"/>
  <c r="D515" i="6"/>
  <c r="D304" i="6"/>
  <c r="D49" i="6"/>
  <c r="H46" i="6"/>
  <c r="D46" i="6"/>
  <c r="H48" i="6"/>
  <c r="H47" i="6"/>
  <c r="D47" i="6"/>
  <c r="H42" i="6"/>
  <c r="D42" i="6"/>
  <c r="D41" i="6"/>
  <c r="D39" i="6"/>
  <c r="D50" i="6"/>
  <c r="D43" i="6"/>
  <c r="H36" i="6"/>
  <c r="H37" i="6"/>
  <c r="D36" i="6"/>
  <c r="D35" i="6"/>
  <c r="H34" i="6"/>
  <c r="H35" i="6"/>
  <c r="H38" i="6"/>
  <c r="H39" i="6"/>
  <c r="H41" i="6"/>
  <c r="H43" i="6"/>
  <c r="H45" i="6"/>
  <c r="H49" i="6"/>
  <c r="H50" i="6"/>
  <c r="H568" i="6"/>
  <c r="H520" i="6"/>
  <c r="H11" i="6"/>
  <c r="H203" i="6"/>
  <c r="H263" i="6"/>
  <c r="H285" i="6"/>
  <c r="H309" i="6"/>
  <c r="H328" i="6"/>
  <c r="H334" i="6"/>
  <c r="H360" i="6"/>
  <c r="H425" i="6"/>
  <c r="H447" i="6"/>
  <c r="H472" i="6"/>
  <c r="H496" i="6"/>
  <c r="H545" i="6"/>
  <c r="H627" i="6"/>
  <c r="H609" i="6"/>
  <c r="H608" i="6"/>
  <c r="H607" i="6"/>
  <c r="H567" i="6"/>
  <c r="H566" i="6"/>
  <c r="H565" i="6"/>
  <c r="H564" i="6"/>
  <c r="H543" i="6"/>
  <c r="H544" i="6"/>
  <c r="H542" i="6"/>
  <c r="H541" i="6"/>
  <c r="H540" i="6"/>
  <c r="H539" i="6"/>
  <c r="H519" i="6"/>
  <c r="H518" i="6"/>
  <c r="H517" i="6"/>
  <c r="H516" i="6"/>
  <c r="H494" i="6"/>
  <c r="H495" i="6"/>
  <c r="H493" i="6"/>
  <c r="H492" i="6"/>
  <c r="H491" i="6"/>
  <c r="H490" i="6"/>
  <c r="H470" i="6"/>
  <c r="H471" i="6"/>
  <c r="H469" i="6"/>
  <c r="H468" i="6"/>
  <c r="H467" i="6"/>
  <c r="H466" i="6"/>
  <c r="H465" i="6"/>
  <c r="H446" i="6"/>
  <c r="H445" i="6"/>
  <c r="H444" i="6"/>
  <c r="H443" i="6"/>
  <c r="H424" i="6"/>
  <c r="H423" i="6"/>
  <c r="H422" i="6"/>
  <c r="H421" i="6"/>
  <c r="H420" i="6"/>
  <c r="H418" i="6"/>
  <c r="H417" i="6"/>
  <c r="H416" i="6"/>
  <c r="H415" i="6"/>
  <c r="H412" i="6"/>
  <c r="H411" i="6"/>
  <c r="H410" i="6"/>
  <c r="H409" i="6"/>
  <c r="H408" i="6"/>
  <c r="H406" i="6"/>
  <c r="H407" i="6"/>
  <c r="H383" i="6"/>
  <c r="H382" i="6"/>
  <c r="H381" i="6"/>
  <c r="H380" i="6"/>
  <c r="H359" i="6"/>
  <c r="H358" i="6"/>
  <c r="H357" i="6"/>
  <c r="H356" i="6"/>
  <c r="H355" i="6"/>
  <c r="H354" i="6"/>
  <c r="H333" i="6"/>
  <c r="H332" i="6"/>
  <c r="H331" i="6"/>
  <c r="H330" i="6"/>
  <c r="H329" i="6"/>
  <c r="H308" i="6"/>
  <c r="H307" i="6"/>
  <c r="H306" i="6"/>
  <c r="H305" i="6"/>
  <c r="H304" i="6"/>
  <c r="H281" i="6"/>
  <c r="H282" i="6"/>
  <c r="H283" i="6"/>
  <c r="H284" i="6"/>
  <c r="H280" i="6"/>
  <c r="H279" i="6"/>
  <c r="H278" i="6"/>
  <c r="H262" i="6"/>
  <c r="H261" i="6"/>
  <c r="H242" i="6"/>
  <c r="H241" i="6"/>
  <c r="H240" i="6"/>
  <c r="H239" i="6"/>
  <c r="H238" i="6"/>
  <c r="H219" i="6"/>
  <c r="H218" i="6"/>
  <c r="H217" i="6"/>
  <c r="H216" i="6"/>
  <c r="H215" i="6"/>
  <c r="H214" i="6"/>
  <c r="H202" i="6"/>
  <c r="H201" i="6"/>
  <c r="H182" i="6"/>
  <c r="H181" i="6"/>
  <c r="H180" i="6"/>
  <c r="H161" i="6"/>
  <c r="H160" i="6"/>
  <c r="H159" i="6"/>
  <c r="H140" i="6"/>
  <c r="H127" i="6"/>
  <c r="H128" i="6"/>
  <c r="H129" i="6"/>
  <c r="H126" i="6"/>
  <c r="H125" i="6"/>
  <c r="H124" i="6"/>
  <c r="H99" i="6"/>
  <c r="H98" i="6"/>
  <c r="H95" i="6"/>
  <c r="H72" i="6"/>
  <c r="H73" i="6"/>
  <c r="I73" i="6" s="1"/>
  <c r="C57" i="28" s="1"/>
  <c r="H71" i="6"/>
  <c r="H70" i="6"/>
  <c r="H69" i="6"/>
  <c r="H32" i="6"/>
  <c r="H31" i="6"/>
  <c r="H30" i="6"/>
  <c r="N498" i="5"/>
  <c r="O498" i="5" s="1"/>
  <c r="N496" i="5"/>
  <c r="N495" i="5"/>
  <c r="N494" i="5"/>
  <c r="N493" i="5"/>
  <c r="N492" i="5"/>
  <c r="N476" i="5"/>
  <c r="N475" i="5"/>
  <c r="N477" i="5"/>
  <c r="N474" i="5"/>
  <c r="N466" i="5"/>
  <c r="N473" i="5"/>
  <c r="N472" i="5"/>
  <c r="N471" i="5"/>
  <c r="N470" i="5"/>
  <c r="N469" i="5"/>
  <c r="N468" i="5"/>
  <c r="N467" i="5"/>
  <c r="N465" i="5"/>
  <c r="N448" i="5"/>
  <c r="N450" i="5"/>
  <c r="N449" i="5"/>
  <c r="N447" i="5"/>
  <c r="N453" i="5"/>
  <c r="O453" i="5" s="1"/>
  <c r="B431" i="28" s="1"/>
  <c r="N452" i="5"/>
  <c r="N451" i="5"/>
  <c r="N446" i="5"/>
  <c r="N435" i="5"/>
  <c r="N434" i="5"/>
  <c r="N433" i="5"/>
  <c r="N432" i="5"/>
  <c r="N431" i="5"/>
  <c r="N430" i="5"/>
  <c r="N429" i="5"/>
  <c r="N428" i="5"/>
  <c r="N427" i="5"/>
  <c r="N426" i="5"/>
  <c r="N297" i="5"/>
  <c r="N416" i="5"/>
  <c r="N410" i="5"/>
  <c r="N409" i="5"/>
  <c r="N415" i="5"/>
  <c r="N414" i="5"/>
  <c r="N413" i="5"/>
  <c r="N412" i="5"/>
  <c r="N411" i="5"/>
  <c r="N408" i="5"/>
  <c r="N397" i="5"/>
  <c r="N396" i="5"/>
  <c r="N395" i="5"/>
  <c r="N394" i="5"/>
  <c r="N398" i="5"/>
  <c r="N393" i="5"/>
  <c r="N392" i="5"/>
  <c r="N391" i="5"/>
  <c r="N390" i="5"/>
  <c r="N380" i="5"/>
  <c r="N379" i="5"/>
  <c r="N378" i="5"/>
  <c r="N377" i="5"/>
  <c r="N376" i="5"/>
  <c r="N373" i="5"/>
  <c r="N372" i="5"/>
  <c r="N369" i="5"/>
  <c r="N368" i="5"/>
  <c r="N365" i="5"/>
  <c r="N364" i="5"/>
  <c r="N375" i="5"/>
  <c r="N374" i="5"/>
  <c r="N371" i="5"/>
  <c r="N370" i="5"/>
  <c r="N367" i="5"/>
  <c r="N366" i="5"/>
  <c r="N363" i="5"/>
  <c r="N362" i="5"/>
  <c r="N361" i="5"/>
  <c r="N360" i="5"/>
  <c r="N344" i="5"/>
  <c r="N346" i="5"/>
  <c r="N345" i="5"/>
  <c r="N343" i="5"/>
  <c r="N342" i="5"/>
  <c r="N310" i="5"/>
  <c r="N328" i="5"/>
  <c r="N312" i="5"/>
  <c r="N332" i="5"/>
  <c r="O332" i="5" s="1"/>
  <c r="B284" i="28" s="1"/>
  <c r="N331" i="5"/>
  <c r="N330" i="5"/>
  <c r="N329" i="5"/>
  <c r="N326" i="5"/>
  <c r="N325" i="5"/>
  <c r="N314" i="5"/>
  <c r="O314" i="5" s="1"/>
  <c r="B275" i="28" s="1"/>
  <c r="N313" i="5"/>
  <c r="N309" i="5"/>
  <c r="N327" i="5"/>
  <c r="N324" i="5"/>
  <c r="N311" i="5"/>
  <c r="N308" i="5"/>
  <c r="N295" i="5"/>
  <c r="N296" i="5"/>
  <c r="N294" i="5"/>
  <c r="N293" i="5"/>
  <c r="N292" i="5"/>
  <c r="N291" i="5"/>
  <c r="N290" i="5"/>
  <c r="N289" i="5"/>
  <c r="N288" i="5"/>
  <c r="N278" i="5"/>
  <c r="N277" i="5"/>
  <c r="N276" i="5"/>
  <c r="N275" i="5"/>
  <c r="N274" i="5"/>
  <c r="N273" i="5"/>
  <c r="N272" i="5"/>
  <c r="N271" i="5"/>
  <c r="N270" i="5"/>
  <c r="N254" i="5"/>
  <c r="N253" i="5"/>
  <c r="N251" i="5"/>
  <c r="N240" i="5"/>
  <c r="N239" i="5"/>
  <c r="N241" i="5"/>
  <c r="N238" i="5"/>
  <c r="N237" i="5"/>
  <c r="N236" i="5"/>
  <c r="N235" i="5"/>
  <c r="N234" i="5"/>
  <c r="O234" i="5" s="1"/>
  <c r="B201" i="28" s="1"/>
  <c r="N233" i="5"/>
  <c r="N232" i="5"/>
  <c r="N219" i="5"/>
  <c r="N220" i="5"/>
  <c r="N218" i="5"/>
  <c r="N217" i="5"/>
  <c r="N216" i="5"/>
  <c r="N215" i="5"/>
  <c r="N214" i="5"/>
  <c r="N213" i="5"/>
  <c r="N212" i="5"/>
  <c r="N211" i="5"/>
  <c r="N210" i="5"/>
  <c r="N209" i="5"/>
  <c r="N208" i="5"/>
  <c r="N221" i="5"/>
  <c r="N207" i="5"/>
  <c r="N206" i="5"/>
  <c r="N196" i="5"/>
  <c r="N195" i="5"/>
  <c r="N57" i="22" s="1"/>
  <c r="N193" i="5"/>
  <c r="N55" i="22" s="1"/>
  <c r="N165" i="5"/>
  <c r="N182" i="5"/>
  <c r="N46" i="22" s="1"/>
  <c r="N183" i="5"/>
  <c r="N181" i="5"/>
  <c r="N45" i="22" s="1"/>
  <c r="N180" i="5"/>
  <c r="N44" i="22" s="1"/>
  <c r="N179" i="5"/>
  <c r="N43" i="22" s="1"/>
  <c r="N178" i="5"/>
  <c r="N177" i="5"/>
  <c r="N176" i="5"/>
  <c r="N42" i="22" s="1"/>
  <c r="N166" i="5"/>
  <c r="N164" i="5"/>
  <c r="N163" i="5"/>
  <c r="N162" i="5"/>
  <c r="N161" i="5"/>
  <c r="N160" i="5"/>
  <c r="N159" i="5"/>
  <c r="N148" i="5"/>
  <c r="N147" i="5"/>
  <c r="N146" i="5"/>
  <c r="N145" i="5"/>
  <c r="N144" i="5"/>
  <c r="N143" i="5"/>
  <c r="N130" i="5"/>
  <c r="N29" i="22" s="1"/>
  <c r="N129" i="5"/>
  <c r="N28" i="22" s="1"/>
  <c r="N127" i="5"/>
  <c r="N26" i="22" s="1"/>
  <c r="N124" i="5"/>
  <c r="N23" i="22" s="1"/>
  <c r="N132" i="5"/>
  <c r="N31" i="22" s="1"/>
  <c r="N131" i="5"/>
  <c r="N30" i="22" s="1"/>
  <c r="N126" i="5"/>
  <c r="N25" i="22" s="1"/>
  <c r="N125" i="5"/>
  <c r="N24" i="22" s="1"/>
  <c r="N123" i="5"/>
  <c r="N22" i="22" s="1"/>
  <c r="N122" i="5"/>
  <c r="N21" i="22" s="1"/>
  <c r="N121" i="5"/>
  <c r="N20" i="22" s="1"/>
  <c r="N108" i="5"/>
  <c r="N109" i="5"/>
  <c r="N107" i="5"/>
  <c r="N102" i="5"/>
  <c r="N67" i="22" s="1"/>
  <c r="N106" i="5"/>
  <c r="N105" i="5"/>
  <c r="N104" i="5"/>
  <c r="N94" i="5"/>
  <c r="N93" i="5"/>
  <c r="N103" i="5"/>
  <c r="N100" i="5"/>
  <c r="N91" i="5"/>
  <c r="N79" i="5"/>
  <c r="N78" i="5"/>
  <c r="N77" i="5"/>
  <c r="N76" i="5"/>
  <c r="N75" i="5"/>
  <c r="N69" i="5"/>
  <c r="N67" i="5"/>
  <c r="N66" i="5"/>
  <c r="N65" i="5"/>
  <c r="N74" i="5"/>
  <c r="O74" i="5" s="1"/>
  <c r="N64" i="5"/>
  <c r="N72" i="5"/>
  <c r="N71" i="5"/>
  <c r="N70" i="5"/>
  <c r="N73" i="5"/>
  <c r="N68" i="5"/>
  <c r="N62" i="5"/>
  <c r="N50" i="5"/>
  <c r="N45" i="5"/>
  <c r="N40" i="5"/>
  <c r="N35" i="5"/>
  <c r="N30" i="5"/>
  <c r="N49" i="5"/>
  <c r="N44" i="5"/>
  <c r="N39" i="5"/>
  <c r="N34" i="5"/>
  <c r="N29" i="5"/>
  <c r="N26" i="5"/>
  <c r="N48" i="5"/>
  <c r="N47" i="5"/>
  <c r="N43" i="5"/>
  <c r="N42" i="5"/>
  <c r="N38" i="5"/>
  <c r="N37" i="5"/>
  <c r="N33" i="5"/>
  <c r="N32" i="5"/>
  <c r="N28" i="5"/>
  <c r="N27" i="5"/>
  <c r="N31" i="5"/>
  <c r="N36" i="5"/>
  <c r="N41" i="5"/>
  <c r="N46" i="5"/>
  <c r="B47" i="28" l="1"/>
  <c r="C141" i="13"/>
  <c r="C130" i="13"/>
  <c r="C140" i="13" s="1"/>
  <c r="C129" i="13"/>
  <c r="G93" i="13"/>
  <c r="E103" i="13"/>
  <c r="P98" i="13" s="1"/>
  <c r="I95" i="13"/>
  <c r="C105" i="13"/>
  <c r="E105" i="13" s="1"/>
  <c r="P100" i="13" s="1"/>
  <c r="C77" i="13"/>
  <c r="C90" i="13"/>
  <c r="E90" i="13" s="1"/>
  <c r="C79" i="13"/>
  <c r="C92" i="13"/>
  <c r="E92" i="13" s="1"/>
  <c r="G92" i="13" s="1"/>
  <c r="H92" i="13" s="1"/>
  <c r="F78" i="13"/>
  <c r="K78" i="13" s="1"/>
  <c r="C91" i="13"/>
  <c r="E91" i="13" s="1"/>
  <c r="G91" i="13" s="1"/>
  <c r="C81" i="13"/>
  <c r="C94" i="13"/>
  <c r="E94" i="13" s="1"/>
  <c r="G94" i="13" s="1"/>
  <c r="C1632" i="13"/>
  <c r="D77" i="13"/>
  <c r="F82" i="13"/>
  <c r="K82" i="13" s="1"/>
  <c r="D82" i="13"/>
  <c r="D81" i="13"/>
  <c r="D80" i="13"/>
  <c r="D79" i="13"/>
  <c r="C80" i="13"/>
  <c r="D78" i="13"/>
  <c r="E77" i="13"/>
  <c r="F77" i="13"/>
  <c r="K77" i="13" s="1"/>
  <c r="E82" i="13"/>
  <c r="E81" i="13"/>
  <c r="F81" i="13"/>
  <c r="K81" i="13" s="1"/>
  <c r="E80" i="13"/>
  <c r="E79" i="13"/>
  <c r="F79" i="13"/>
  <c r="K79" i="13" s="1"/>
  <c r="E78" i="13"/>
  <c r="C82" i="13"/>
  <c r="H82" i="13" s="1"/>
  <c r="C78" i="13"/>
  <c r="C56" i="13"/>
  <c r="F80" i="13" s="1"/>
  <c r="K80" i="13" s="1"/>
  <c r="M12" i="5"/>
  <c r="E591" i="6"/>
  <c r="E526" i="6" a="1"/>
  <c r="E430" i="6" a="1"/>
  <c r="E478" i="6" a="1"/>
  <c r="E478" i="6" s="1"/>
  <c r="E477" i="6"/>
  <c r="E365" i="6" a="1"/>
  <c r="D539" i="6"/>
  <c r="D447" i="6"/>
  <c r="D263" i="6"/>
  <c r="D203" i="6"/>
  <c r="E59" i="6"/>
  <c r="E58" i="6"/>
  <c r="E57" i="6"/>
  <c r="E56" i="6"/>
  <c r="E18" i="6"/>
  <c r="E17" i="6"/>
  <c r="E20" i="6" s="1"/>
  <c r="E112" i="6"/>
  <c r="E111" i="6"/>
  <c r="E110" i="6"/>
  <c r="E109" i="6"/>
  <c r="E113" i="6" s="1"/>
  <c r="E83" i="6"/>
  <c r="E82" i="6"/>
  <c r="E81" i="6"/>
  <c r="E80" i="6"/>
  <c r="E84" i="6" s="1"/>
  <c r="M46" i="5"/>
  <c r="M41" i="5"/>
  <c r="M36" i="5"/>
  <c r="M31" i="5"/>
  <c r="M26" i="5"/>
  <c r="E45" i="27" a="1"/>
  <c r="E45" i="27" s="1"/>
  <c r="E49" i="27" s="1"/>
  <c r="M28" i="27"/>
  <c r="M27" i="27"/>
  <c r="M26" i="27"/>
  <c r="M25" i="27"/>
  <c r="M24" i="27"/>
  <c r="M23" i="27"/>
  <c r="M22" i="27"/>
  <c r="M12" i="27"/>
  <c r="M11" i="27"/>
  <c r="M10" i="27"/>
  <c r="M9" i="27"/>
  <c r="M8" i="27"/>
  <c r="M268" i="13"/>
  <c r="C123" i="3"/>
  <c r="G488" i="13"/>
  <c r="E537" i="13"/>
  <c r="C166" i="3"/>
  <c r="D546" i="3" s="1"/>
  <c r="C162" i="3"/>
  <c r="D542" i="3" s="1"/>
  <c r="H164" i="3"/>
  <c r="G164" i="3"/>
  <c r="C1659" i="13"/>
  <c r="C1615" i="13"/>
  <c r="C1616" i="13"/>
  <c r="E1616" i="13" s="1"/>
  <c r="C1569" i="13"/>
  <c r="E1569" i="13" s="1"/>
  <c r="C1568" i="13"/>
  <c r="E1568" i="13" s="1"/>
  <c r="C1566" i="13"/>
  <c r="E1566" i="13" s="1"/>
  <c r="C1565" i="13"/>
  <c r="E1565" i="13" s="1"/>
  <c r="C1567" i="13"/>
  <c r="E1567" i="13" s="1"/>
  <c r="E1559" i="13"/>
  <c r="G1559" i="13" s="1"/>
  <c r="G1567" i="13" s="1"/>
  <c r="C1618" i="13"/>
  <c r="E1618" i="13" s="1"/>
  <c r="C1617" i="13"/>
  <c r="E1617" i="13" s="1"/>
  <c r="I1220" i="13"/>
  <c r="D1586" i="13"/>
  <c r="D1578" i="13"/>
  <c r="D1587" i="13"/>
  <c r="D1579" i="13"/>
  <c r="D1588" i="13"/>
  <c r="D1580" i="13"/>
  <c r="D1589" i="13"/>
  <c r="D1581" i="13"/>
  <c r="D1590" i="13"/>
  <c r="D1582" i="13"/>
  <c r="D1591" i="13"/>
  <c r="D1583" i="13"/>
  <c r="D1592" i="13"/>
  <c r="D1584" i="13"/>
  <c r="D1593" i="13"/>
  <c r="D1585" i="13"/>
  <c r="D1594" i="13"/>
  <c r="D1595" i="13"/>
  <c r="D1596" i="13"/>
  <c r="D1597" i="13"/>
  <c r="D1598" i="13"/>
  <c r="D1599" i="13"/>
  <c r="D1600" i="13"/>
  <c r="D1601" i="13"/>
  <c r="D1602" i="13"/>
  <c r="D1603" i="13"/>
  <c r="D1604" i="13"/>
  <c r="D1605" i="13"/>
  <c r="D1606" i="13"/>
  <c r="D1607" i="13"/>
  <c r="D1608" i="13"/>
  <c r="D1609" i="13"/>
  <c r="D1610" i="13"/>
  <c r="D1611" i="13"/>
  <c r="D1577" i="13"/>
  <c r="B1586" i="13"/>
  <c r="B1578" i="13"/>
  <c r="B1587" i="13"/>
  <c r="B1579" i="13"/>
  <c r="B1588" i="13"/>
  <c r="B1580" i="13"/>
  <c r="B1589" i="13"/>
  <c r="B1581" i="13"/>
  <c r="B1590" i="13"/>
  <c r="B1582" i="13"/>
  <c r="B1591" i="13"/>
  <c r="B1583" i="13"/>
  <c r="B1592" i="13"/>
  <c r="B1584" i="13"/>
  <c r="B1593" i="13"/>
  <c r="B1585" i="13"/>
  <c r="B1594" i="13"/>
  <c r="B1595" i="13"/>
  <c r="B1596" i="13"/>
  <c r="B1597" i="13"/>
  <c r="B1598" i="13"/>
  <c r="B1599" i="13"/>
  <c r="B1600" i="13"/>
  <c r="B1601" i="13"/>
  <c r="B1602" i="13"/>
  <c r="B1603" i="13"/>
  <c r="B1604" i="13"/>
  <c r="B1605" i="13"/>
  <c r="B1606" i="13"/>
  <c r="B1607" i="13"/>
  <c r="B1608" i="13"/>
  <c r="B1609" i="13"/>
  <c r="B1610" i="13"/>
  <c r="B1611" i="13"/>
  <c r="B1577" i="13"/>
  <c r="D60" i="19"/>
  <c r="D61" i="19" s="1"/>
  <c r="D62" i="19" s="1"/>
  <c r="D39" i="19"/>
  <c r="G1500" i="13"/>
  <c r="C1499" i="13"/>
  <c r="G1499" i="13" s="1"/>
  <c r="I1499" i="13" s="1"/>
  <c r="C1498" i="13"/>
  <c r="G1498" i="13" s="1"/>
  <c r="I1498" i="13" s="1"/>
  <c r="C1497" i="13"/>
  <c r="G1497" i="13" s="1"/>
  <c r="I1497" i="13" s="1"/>
  <c r="C1496" i="13"/>
  <c r="G1496" i="13" s="1"/>
  <c r="I1496" i="13" s="1"/>
  <c r="E1485" i="13"/>
  <c r="E1484" i="13"/>
  <c r="E1483" i="13"/>
  <c r="E1482" i="13"/>
  <c r="E1481" i="13"/>
  <c r="C1480" i="13"/>
  <c r="E1480" i="13" s="1"/>
  <c r="C1479" i="13"/>
  <c r="E1479" i="13" s="1"/>
  <c r="E1473" i="13"/>
  <c r="E1468" i="13"/>
  <c r="F587" i="1"/>
  <c r="F588" i="1"/>
  <c r="F589" i="1"/>
  <c r="F591" i="1"/>
  <c r="F592" i="1"/>
  <c r="F593" i="1"/>
  <c r="H1401" i="13"/>
  <c r="H1400" i="13"/>
  <c r="H1399" i="13"/>
  <c r="H1398" i="13"/>
  <c r="H1397" i="13"/>
  <c r="H1396" i="13"/>
  <c r="H1395" i="13"/>
  <c r="H1394" i="13"/>
  <c r="H1356" i="13"/>
  <c r="E1356" i="13"/>
  <c r="H1355" i="13"/>
  <c r="E1355" i="13"/>
  <c r="H1354" i="13"/>
  <c r="E1354" i="13"/>
  <c r="H1353" i="13"/>
  <c r="E1353" i="13"/>
  <c r="H1352" i="13"/>
  <c r="E1352" i="13"/>
  <c r="H1351" i="13"/>
  <c r="E1351" i="13"/>
  <c r="H1350" i="13"/>
  <c r="E1350" i="13"/>
  <c r="H1349" i="13"/>
  <c r="E1349" i="13"/>
  <c r="H851" i="13"/>
  <c r="H850" i="13"/>
  <c r="H849" i="13"/>
  <c r="H848" i="13"/>
  <c r="H847" i="13"/>
  <c r="H846" i="13"/>
  <c r="H845" i="13"/>
  <c r="H844" i="13"/>
  <c r="E851" i="13"/>
  <c r="E850" i="13"/>
  <c r="E849" i="13"/>
  <c r="E848" i="13"/>
  <c r="E847" i="13"/>
  <c r="E846" i="13"/>
  <c r="E845" i="13"/>
  <c r="E844" i="13"/>
  <c r="G1340" i="13"/>
  <c r="C1306" i="13"/>
  <c r="C1303" i="13"/>
  <c r="C1296" i="13"/>
  <c r="C1290" i="13"/>
  <c r="C1284" i="13"/>
  <c r="C1278" i="13"/>
  <c r="E481" i="6" l="1"/>
  <c r="E526" i="6"/>
  <c r="E530" i="6"/>
  <c r="E430" i="6"/>
  <c r="E434" i="6"/>
  <c r="E365" i="6"/>
  <c r="E369" i="6"/>
  <c r="C138" i="13"/>
  <c r="C164" i="13" s="1"/>
  <c r="C163" i="13" s="1"/>
  <c r="C139" i="13"/>
  <c r="I77" i="13"/>
  <c r="O90" i="13"/>
  <c r="J82" i="13"/>
  <c r="C558" i="13" s="1"/>
  <c r="N95" i="13"/>
  <c r="H94" i="13"/>
  <c r="I94" i="13" s="1"/>
  <c r="C104" i="13"/>
  <c r="E104" i="13" s="1"/>
  <c r="P99" i="13" s="1"/>
  <c r="F98" i="13"/>
  <c r="G98" i="13" s="1"/>
  <c r="H98" i="13" s="1"/>
  <c r="H81" i="13"/>
  <c r="Q94" i="13"/>
  <c r="J77" i="13"/>
  <c r="C553" i="13" s="1"/>
  <c r="N90" i="13"/>
  <c r="I78" i="13"/>
  <c r="O91" i="13"/>
  <c r="H78" i="13"/>
  <c r="Q91" i="13"/>
  <c r="I79" i="13"/>
  <c r="O92" i="13"/>
  <c r="H79" i="13"/>
  <c r="Q92" i="13"/>
  <c r="J78" i="13"/>
  <c r="C554" i="13" s="1"/>
  <c r="N91" i="13"/>
  <c r="I80" i="13"/>
  <c r="O93" i="13"/>
  <c r="F99" i="13"/>
  <c r="G99" i="13" s="1"/>
  <c r="H99" i="13" s="1"/>
  <c r="G90" i="13"/>
  <c r="H90" i="13" s="1"/>
  <c r="I90" i="13" s="1"/>
  <c r="H80" i="13"/>
  <c r="Q93" i="13"/>
  <c r="I81" i="13"/>
  <c r="O94" i="13"/>
  <c r="H77" i="13"/>
  <c r="Q90" i="13"/>
  <c r="J79" i="13"/>
  <c r="C555" i="13" s="1"/>
  <c r="N92" i="13"/>
  <c r="I82" i="13"/>
  <c r="O95" i="13"/>
  <c r="J80" i="13"/>
  <c r="C556" i="13" s="1"/>
  <c r="N93" i="13"/>
  <c r="J81" i="13"/>
  <c r="C557" i="13" s="1"/>
  <c r="N94" i="13"/>
  <c r="I92" i="13"/>
  <c r="E60" i="6"/>
  <c r="C95" i="28"/>
  <c r="C59" i="28"/>
  <c r="C171" i="3"/>
  <c r="C173" i="3"/>
  <c r="D553" i="3" s="1"/>
  <c r="C169" i="3"/>
  <c r="C163" i="3"/>
  <c r="E1571" i="13"/>
  <c r="G1565" i="13"/>
  <c r="G1566" i="13"/>
  <c r="C1640" i="13"/>
  <c r="C1660" i="13"/>
  <c r="G1662" i="13"/>
  <c r="C1661" i="13"/>
  <c r="C1641" i="13"/>
  <c r="G1645" i="13"/>
  <c r="G1646" i="13"/>
  <c r="G1663" i="13"/>
  <c r="I1663" i="13" s="1"/>
  <c r="K1663" i="13" s="1"/>
  <c r="E1639" i="13"/>
  <c r="G1643" i="13"/>
  <c r="G1654" i="13"/>
  <c r="I1654" i="13" s="1"/>
  <c r="K1654" i="13" s="1"/>
  <c r="G1664" i="13"/>
  <c r="I1664" i="13" s="1"/>
  <c r="K1664" i="13" s="1"/>
  <c r="C1658" i="13"/>
  <c r="E1645" i="13"/>
  <c r="G1642" i="13"/>
  <c r="G1653" i="13"/>
  <c r="I1653" i="13" s="1"/>
  <c r="K1653" i="13" s="1"/>
  <c r="G1665" i="13"/>
  <c r="C1657" i="13"/>
  <c r="E1644" i="13"/>
  <c r="G1641" i="13"/>
  <c r="G1652" i="13"/>
  <c r="I1652" i="13" s="1"/>
  <c r="K1652" i="13" s="1"/>
  <c r="E1646" i="13"/>
  <c r="E1643" i="13"/>
  <c r="G1640" i="13"/>
  <c r="G1651" i="13"/>
  <c r="I1651" i="13" s="1"/>
  <c r="K1651" i="13" s="1"/>
  <c r="G1655" i="13"/>
  <c r="I1655" i="13" s="1"/>
  <c r="K1655" i="13" s="1"/>
  <c r="E1656" i="13"/>
  <c r="G1650" i="13"/>
  <c r="I1650" i="13" s="1"/>
  <c r="K1650" i="13" s="1"/>
  <c r="E1665" i="13"/>
  <c r="C1645" i="13"/>
  <c r="E1641" i="13"/>
  <c r="G1649" i="13"/>
  <c r="I1649" i="13" s="1"/>
  <c r="K1649" i="13" s="1"/>
  <c r="G1657" i="13"/>
  <c r="C1646" i="13"/>
  <c r="C1644" i="13"/>
  <c r="E1640" i="13"/>
  <c r="G1648" i="13"/>
  <c r="I1648" i="13" s="1"/>
  <c r="K1648" i="13" s="1"/>
  <c r="G1659" i="13"/>
  <c r="I1659" i="13" s="1"/>
  <c r="K1659" i="13" s="1"/>
  <c r="C1656" i="13"/>
  <c r="E1642" i="13"/>
  <c r="G1656" i="13"/>
  <c r="C1643" i="13"/>
  <c r="G1632" i="13"/>
  <c r="G1658" i="13"/>
  <c r="C1665" i="13"/>
  <c r="C1639" i="13"/>
  <c r="C1642" i="13"/>
  <c r="G1639" i="13"/>
  <c r="G1660" i="13"/>
  <c r="C1662" i="13"/>
  <c r="E1632" i="13"/>
  <c r="G1644" i="13"/>
  <c r="G1647" i="13"/>
  <c r="I1647" i="13" s="1"/>
  <c r="K1647" i="13" s="1"/>
  <c r="G1661" i="13"/>
  <c r="G1637" i="13"/>
  <c r="G1633" i="13"/>
  <c r="C1633" i="13"/>
  <c r="C1638" i="13"/>
  <c r="G1634" i="13"/>
  <c r="C1636" i="13"/>
  <c r="G1636" i="13"/>
  <c r="C1637" i="13"/>
  <c r="G1638" i="13"/>
  <c r="E1633" i="13"/>
  <c r="G1635" i="13"/>
  <c r="E1634" i="13"/>
  <c r="E1638" i="13"/>
  <c r="E1635" i="13"/>
  <c r="E1636" i="13"/>
  <c r="E1637" i="13"/>
  <c r="C1635" i="13"/>
  <c r="C1620" i="13"/>
  <c r="G1568" i="13"/>
  <c r="G1569" i="13"/>
  <c r="C1495" i="13"/>
  <c r="G1495" i="13" s="1"/>
  <c r="I1495" i="13" s="1"/>
  <c r="C1494" i="13"/>
  <c r="G1494" i="13" s="1"/>
  <c r="I1494" i="13" s="1"/>
  <c r="D1340" i="13"/>
  <c r="C1340" i="13"/>
  <c r="E1340" i="13"/>
  <c r="E1379" i="13" s="1"/>
  <c r="L1379" i="13" s="1"/>
  <c r="H1340" i="13"/>
  <c r="H1379" i="13" s="1"/>
  <c r="O1379" i="13" s="1"/>
  <c r="F1340" i="13"/>
  <c r="E614" i="6" a="1"/>
  <c r="E592" i="6" a="1"/>
  <c r="E592" i="6" s="1"/>
  <c r="E597" i="6" s="1"/>
  <c r="E574" i="6" a="1"/>
  <c r="E551" i="6" a="1"/>
  <c r="E502" i="6" a="1"/>
  <c r="E227" i="6"/>
  <c r="E226" i="6"/>
  <c r="E225" i="6"/>
  <c r="E224" i="6"/>
  <c r="E228" i="6" s="1"/>
  <c r="E169" i="6"/>
  <c r="E168" i="6"/>
  <c r="E167" i="6"/>
  <c r="E166" i="6"/>
  <c r="E170" i="6" s="1"/>
  <c r="E148" i="6"/>
  <c r="E147" i="6"/>
  <c r="E146" i="6"/>
  <c r="E145" i="6"/>
  <c r="E149" i="6" s="1"/>
  <c r="E88" i="25"/>
  <c r="E87" i="25"/>
  <c r="E86" i="25"/>
  <c r="E85" i="25"/>
  <c r="I51" i="6"/>
  <c r="I52" i="6" s="1"/>
  <c r="F15" i="1"/>
  <c r="E217" i="13"/>
  <c r="H896" i="13"/>
  <c r="H895" i="13"/>
  <c r="H893" i="13"/>
  <c r="H894" i="13"/>
  <c r="H889" i="13"/>
  <c r="H890" i="13"/>
  <c r="H891" i="13"/>
  <c r="H892" i="13"/>
  <c r="G695" i="13"/>
  <c r="G1218" i="13" s="1"/>
  <c r="G689" i="13"/>
  <c r="G1212" i="13" s="1"/>
  <c r="G690" i="13"/>
  <c r="G1213" i="13" s="1"/>
  <c r="G691" i="13"/>
  <c r="G1214" i="13" s="1"/>
  <c r="G692" i="13"/>
  <c r="G1215" i="13" s="1"/>
  <c r="G693" i="13"/>
  <c r="G1216" i="13" s="1"/>
  <c r="G694" i="13"/>
  <c r="G1217" i="13" s="1"/>
  <c r="G688" i="13"/>
  <c r="G1211" i="13" s="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B603" i="15" s="1"/>
  <c r="F804" i="1"/>
  <c r="F805" i="1"/>
  <c r="F806" i="1"/>
  <c r="F807" i="1"/>
  <c r="F808" i="1"/>
  <c r="F809" i="1"/>
  <c r="F810" i="1"/>
  <c r="F811" i="1"/>
  <c r="F812" i="1"/>
  <c r="F813" i="1"/>
  <c r="F814" i="1"/>
  <c r="F815" i="1"/>
  <c r="F816" i="1"/>
  <c r="F817" i="1"/>
  <c r="F818" i="1"/>
  <c r="F819" i="1"/>
  <c r="F820" i="1"/>
  <c r="F821" i="1"/>
  <c r="F822" i="1"/>
  <c r="F823" i="1"/>
  <c r="F824" i="1"/>
  <c r="F825" i="1"/>
  <c r="B664" i="15" s="1"/>
  <c r="F826" i="1"/>
  <c r="F827" i="1"/>
  <c r="F828" i="1"/>
  <c r="F829" i="1"/>
  <c r="F830" i="1"/>
  <c r="F831" i="1"/>
  <c r="F832" i="1"/>
  <c r="F833" i="1"/>
  <c r="F834" i="1"/>
  <c r="F835" i="1"/>
  <c r="F836" i="1"/>
  <c r="F837" i="1"/>
  <c r="F838" i="1"/>
  <c r="F839" i="1"/>
  <c r="F840" i="1"/>
  <c r="F841" i="1"/>
  <c r="F842" i="1"/>
  <c r="F777" i="1"/>
  <c r="C1010" i="13"/>
  <c r="E941" i="13"/>
  <c r="E938" i="13"/>
  <c r="E939" i="13"/>
  <c r="E940" i="13"/>
  <c r="E930" i="13"/>
  <c r="G957" i="13"/>
  <c r="C953" i="13"/>
  <c r="G953" i="13" s="1"/>
  <c r="I953" i="13" s="1"/>
  <c r="C954" i="13"/>
  <c r="G954" i="13" s="1"/>
  <c r="I954" i="13" s="1"/>
  <c r="C955" i="13"/>
  <c r="G955" i="13" s="1"/>
  <c r="I955" i="13" s="1"/>
  <c r="C956" i="13"/>
  <c r="G956" i="13" s="1"/>
  <c r="I956" i="13" s="1"/>
  <c r="E942" i="13"/>
  <c r="C937" i="13"/>
  <c r="C952" i="13" s="1"/>
  <c r="G952" i="13" s="1"/>
  <c r="I952" i="13" s="1"/>
  <c r="C936" i="13"/>
  <c r="C951" i="13" s="1"/>
  <c r="G951" i="13" s="1"/>
  <c r="I951" i="13" s="1"/>
  <c r="F408" i="1"/>
  <c r="F409" i="1"/>
  <c r="C579" i="13" s="1"/>
  <c r="F410" i="1"/>
  <c r="F411" i="1"/>
  <c r="C480" i="13"/>
  <c r="C476" i="13"/>
  <c r="C475" i="13"/>
  <c r="C468" i="13"/>
  <c r="C469" i="13"/>
  <c r="C470" i="13"/>
  <c r="C34" i="3"/>
  <c r="F394" i="1"/>
  <c r="F395" i="1"/>
  <c r="F396" i="1"/>
  <c r="F397" i="1"/>
  <c r="F398" i="1"/>
  <c r="C578" i="13" s="1"/>
  <c r="F399" i="1"/>
  <c r="F400" i="1"/>
  <c r="F401" i="1"/>
  <c r="F402" i="1"/>
  <c r="F403" i="1"/>
  <c r="F404" i="1"/>
  <c r="F405" i="1"/>
  <c r="F406" i="1"/>
  <c r="F407" i="1"/>
  <c r="F412" i="1"/>
  <c r="F393" i="1"/>
  <c r="C14" i="21"/>
  <c r="C13" i="21"/>
  <c r="C12" i="21"/>
  <c r="C11" i="21"/>
  <c r="C10" i="21"/>
  <c r="C9" i="21"/>
  <c r="E614" i="6" l="1"/>
  <c r="E618" i="6"/>
  <c r="E574" i="6"/>
  <c r="E578" i="6"/>
  <c r="E551" i="6"/>
  <c r="E555" i="6"/>
  <c r="E502" i="6"/>
  <c r="E506" i="6"/>
  <c r="C168" i="3"/>
  <c r="D548" i="3" s="1"/>
  <c r="D547" i="3"/>
  <c r="C172" i="3"/>
  <c r="D552" i="3" s="1"/>
  <c r="D551" i="3"/>
  <c r="C164" i="3"/>
  <c r="D544" i="3" s="1"/>
  <c r="D543" i="3"/>
  <c r="C170" i="3"/>
  <c r="D550" i="3" s="1"/>
  <c r="D549" i="3"/>
  <c r="C417" i="28"/>
  <c r="C457" i="28"/>
  <c r="N96" i="13"/>
  <c r="C551" i="13"/>
  <c r="O97" i="13"/>
  <c r="H91" i="13"/>
  <c r="I91" i="13" s="1"/>
  <c r="H93" i="13"/>
  <c r="I93" i="13" s="1"/>
  <c r="I1660" i="13"/>
  <c r="K1660" i="13" s="1"/>
  <c r="I1662" i="13"/>
  <c r="K1662" i="13" s="1"/>
  <c r="I1646" i="13"/>
  <c r="K1646" i="13" s="1"/>
  <c r="I1632" i="13"/>
  <c r="K1632" i="13" s="1"/>
  <c r="I1661" i="13"/>
  <c r="K1661" i="13" s="1"/>
  <c r="G1571" i="13"/>
  <c r="I1572" i="13" s="1"/>
  <c r="I1573" i="13" s="1"/>
  <c r="I1565" i="13" s="1"/>
  <c r="I1640" i="13"/>
  <c r="K1640" i="13" s="1"/>
  <c r="I1641" i="13"/>
  <c r="K1641" i="13" s="1"/>
  <c r="I1657" i="13"/>
  <c r="K1657" i="13" s="1"/>
  <c r="I1642" i="13"/>
  <c r="K1642" i="13" s="1"/>
  <c r="I1644" i="13"/>
  <c r="K1644" i="13" s="1"/>
  <c r="I1635" i="13"/>
  <c r="K1635" i="13" s="1"/>
  <c r="I1656" i="13"/>
  <c r="K1656" i="13" s="1"/>
  <c r="I1658" i="13"/>
  <c r="K1658" i="13" s="1"/>
  <c r="I1639" i="13"/>
  <c r="K1639" i="13" s="1"/>
  <c r="I1665" i="13"/>
  <c r="K1665" i="13" s="1"/>
  <c r="I1643" i="13"/>
  <c r="K1643" i="13" s="1"/>
  <c r="I1645" i="13"/>
  <c r="K1645" i="13" s="1"/>
  <c r="I1636" i="13"/>
  <c r="K1636" i="13" s="1"/>
  <c r="I1637" i="13"/>
  <c r="K1637" i="13" s="1"/>
  <c r="I1634" i="13"/>
  <c r="K1634" i="13" s="1"/>
  <c r="I1638" i="13"/>
  <c r="K1638" i="13" s="1"/>
  <c r="I1633" i="13"/>
  <c r="K1633" i="13" s="1"/>
  <c r="H1378" i="13"/>
  <c r="O1378" i="13" s="1"/>
  <c r="E1378" i="13"/>
  <c r="L1378" i="13" s="1"/>
  <c r="E158" i="28"/>
  <c r="E89" i="25"/>
  <c r="E936" i="13"/>
  <c r="E937" i="13"/>
  <c r="B128" i="25" l="1"/>
  <c r="B113" i="25"/>
  <c r="I113" i="25" s="1"/>
  <c r="B129" i="25" s="1"/>
  <c r="C192" i="28"/>
  <c r="C167" i="13"/>
  <c r="C412" i="13"/>
  <c r="C106" i="13"/>
  <c r="E106" i="13" s="1"/>
  <c r="P101" i="13" s="1"/>
  <c r="J91" i="13"/>
  <c r="J90" i="13"/>
  <c r="C1623" i="13"/>
  <c r="C338" i="13"/>
  <c r="C351" i="13"/>
  <c r="C353" i="13" s="1"/>
  <c r="C323" i="13"/>
  <c r="E344" i="13"/>
  <c r="F37" i="1"/>
  <c r="F73" i="1"/>
  <c r="F56" i="1"/>
  <c r="E200" i="13"/>
  <c r="E201" i="13"/>
  <c r="E202" i="13"/>
  <c r="E203" i="13"/>
  <c r="E204" i="13"/>
  <c r="E205" i="13"/>
  <c r="E206" i="13"/>
  <c r="E207" i="13"/>
  <c r="E199" i="13"/>
  <c r="F38" i="1"/>
  <c r="F36" i="1"/>
  <c r="G354" i="15"/>
  <c r="F354" i="15"/>
  <c r="G348" i="15"/>
  <c r="G334" i="15"/>
  <c r="G331" i="15"/>
  <c r="E388" i="6" a="1"/>
  <c r="E339" i="6" a="1"/>
  <c r="E314" i="6" a="1"/>
  <c r="E388" i="6" l="1"/>
  <c r="E392" i="6"/>
  <c r="E339" i="6"/>
  <c r="E343" i="6"/>
  <c r="C308" i="28" s="1"/>
  <c r="E314" i="6"/>
  <c r="E318" i="6"/>
  <c r="K1572" i="13"/>
  <c r="C1624" i="13" s="1"/>
  <c r="G237" i="15"/>
  <c r="G255" i="15"/>
  <c r="C680" i="13"/>
  <c r="D50" i="19"/>
  <c r="D47" i="19"/>
  <c r="D32" i="19"/>
  <c r="D33" i="19" s="1"/>
  <c r="D34" i="19" s="1"/>
  <c r="D23" i="19"/>
  <c r="D24" i="19" s="1"/>
  <c r="D25" i="19" s="1"/>
  <c r="D7" i="19"/>
  <c r="D8" i="19" s="1"/>
  <c r="G30" i="22" l="1"/>
  <c r="G31" i="22"/>
  <c r="I1569" i="13"/>
  <c r="I1567" i="13"/>
  <c r="I1568" i="13"/>
  <c r="I1566" i="13"/>
  <c r="K1573" i="13"/>
  <c r="K1565" i="13" s="1"/>
  <c r="G131" i="5"/>
  <c r="D27" i="19"/>
  <c r="D36" i="19"/>
  <c r="G132" i="5"/>
  <c r="D9" i="19"/>
  <c r="C279" i="13"/>
  <c r="G279" i="13" s="1"/>
  <c r="C278" i="13"/>
  <c r="G278" i="13" s="1"/>
  <c r="C357" i="3"/>
  <c r="C358" i="3"/>
  <c r="D11" i="19" l="1"/>
  <c r="I1571" i="13"/>
  <c r="C1625" i="13"/>
  <c r="K1566" i="13"/>
  <c r="C1626" i="13" s="1"/>
  <c r="K1567" i="13"/>
  <c r="K1570" i="13"/>
  <c r="K1568" i="13"/>
  <c r="K1569" i="13"/>
  <c r="C1621" i="13"/>
  <c r="C1622" i="13"/>
  <c r="K1571" i="13" l="1"/>
  <c r="F18" i="1" l="1"/>
  <c r="F19" i="1"/>
  <c r="F20" i="1"/>
  <c r="F21" i="1"/>
  <c r="F3" i="1"/>
  <c r="B332" i="6" l="1"/>
  <c r="C835" i="13"/>
  <c r="E835" i="13"/>
  <c r="E874" i="13" s="1"/>
  <c r="H835" i="13"/>
  <c r="H874" i="13" s="1"/>
  <c r="G835" i="13"/>
  <c r="F835" i="13"/>
  <c r="D835" i="13"/>
  <c r="F60" i="1"/>
  <c r="F61" i="1"/>
  <c r="F62" i="1"/>
  <c r="F42" i="1"/>
  <c r="F43" i="1"/>
  <c r="F44" i="1"/>
  <c r="B543" i="6" l="1"/>
  <c r="I543" i="6" s="1"/>
  <c r="C449" i="28" s="1"/>
  <c r="B358" i="6"/>
  <c r="I358" i="6" s="1"/>
  <c r="C301" i="28" s="1"/>
  <c r="I332" i="6"/>
  <c r="C294" i="28" s="1"/>
  <c r="O874" i="13"/>
  <c r="H873" i="13"/>
  <c r="O873" i="13" s="1"/>
  <c r="E873" i="13"/>
  <c r="L873" i="13" s="1"/>
  <c r="L874" i="13"/>
  <c r="F17" i="1"/>
  <c r="F16" i="1"/>
  <c r="F40" i="1"/>
  <c r="F41" i="1"/>
  <c r="F45" i="1"/>
  <c r="F35" i="1"/>
  <c r="F34" i="1"/>
  <c r="F33" i="1"/>
  <c r="F32" i="1"/>
  <c r="F22" i="1"/>
  <c r="F23" i="1"/>
  <c r="C231" i="13" s="1"/>
  <c r="C16" i="21" s="1"/>
  <c r="F24" i="1"/>
  <c r="F25" i="1"/>
  <c r="F26" i="1"/>
  <c r="F27" i="1"/>
  <c r="F28" i="1"/>
  <c r="F29" i="1"/>
  <c r="F30" i="1"/>
  <c r="F31" i="1"/>
  <c r="F46" i="1"/>
  <c r="F47" i="1"/>
  <c r="F48" i="1"/>
  <c r="F49" i="1"/>
  <c r="F50" i="1"/>
  <c r="F51" i="1"/>
  <c r="F52" i="1"/>
  <c r="F53" i="1"/>
  <c r="F54" i="1"/>
  <c r="F55" i="1"/>
  <c r="F57" i="1"/>
  <c r="F58" i="1"/>
  <c r="F59" i="1"/>
  <c r="F63" i="1"/>
  <c r="F64" i="1"/>
  <c r="F65" i="1"/>
  <c r="F66" i="1"/>
  <c r="F67" i="1"/>
  <c r="F68" i="1"/>
  <c r="F69" i="1"/>
  <c r="F70" i="1"/>
  <c r="F71" i="1"/>
  <c r="F72" i="1"/>
  <c r="F74" i="1"/>
  <c r="C232" i="13" l="1"/>
  <c r="C235" i="13" s="1"/>
  <c r="C233" i="13"/>
  <c r="C376" i="13"/>
  <c r="C236" i="13" l="1"/>
  <c r="C28" i="3"/>
  <c r="A28" i="3"/>
  <c r="A26" i="3"/>
  <c r="C26" i="3"/>
  <c r="F768" i="1"/>
  <c r="F769" i="1"/>
  <c r="F770" i="1"/>
  <c r="F771" i="1"/>
  <c r="F772" i="1"/>
  <c r="F773" i="1"/>
  <c r="F774" i="1"/>
  <c r="F775" i="1"/>
  <c r="F776" i="1"/>
  <c r="F759" i="1"/>
  <c r="M508" i="5"/>
  <c r="O508" i="5" s="1"/>
  <c r="M509" i="5"/>
  <c r="F864" i="1"/>
  <c r="F867" i="1"/>
  <c r="D862" i="1"/>
  <c r="F240" i="5"/>
  <c r="F328" i="5" l="1"/>
  <c r="F25" i="27"/>
  <c r="O25" i="27" s="1"/>
  <c r="F325" i="5"/>
  <c r="F22" i="27"/>
  <c r="O22" i="27" s="1"/>
  <c r="F843" i="1"/>
  <c r="F844" i="1"/>
  <c r="F845" i="1"/>
  <c r="F846" i="1"/>
  <c r="F847" i="1"/>
  <c r="F848" i="1"/>
  <c r="F849" i="1"/>
  <c r="F850" i="1"/>
  <c r="F146" i="5" s="1"/>
  <c r="F851" i="1"/>
  <c r="F852" i="1"/>
  <c r="F853" i="1"/>
  <c r="F68" i="5" s="1"/>
  <c r="F854" i="1"/>
  <c r="F65" i="5" s="1"/>
  <c r="F855" i="1"/>
  <c r="F66" i="5" s="1"/>
  <c r="F856" i="1"/>
  <c r="F67" i="5" s="1"/>
  <c r="F857" i="1"/>
  <c r="F858" i="1"/>
  <c r="F859" i="1"/>
  <c r="F860" i="1"/>
  <c r="F861" i="1"/>
  <c r="F741" i="15" s="1"/>
  <c r="F863" i="1"/>
  <c r="F75" i="5" s="1"/>
  <c r="O75" i="5" s="1"/>
  <c r="F865" i="1"/>
  <c r="F452" i="5" s="1"/>
  <c r="F866" i="1"/>
  <c r="F868" i="1"/>
  <c r="F869" i="1"/>
  <c r="F147" i="5" s="1"/>
  <c r="O147" i="5" s="1"/>
  <c r="B175" i="28" s="1"/>
  <c r="F870" i="1"/>
  <c r="F148" i="5" s="1"/>
  <c r="O148" i="5" s="1"/>
  <c r="B176" i="28" s="1"/>
  <c r="F871" i="1"/>
  <c r="F331" i="5" s="1"/>
  <c r="F872" i="1"/>
  <c r="F873" i="1"/>
  <c r="F874" i="1"/>
  <c r="F875" i="1"/>
  <c r="F876" i="1"/>
  <c r="F877" i="1"/>
  <c r="F878" i="1"/>
  <c r="F879" i="1"/>
  <c r="F880" i="1"/>
  <c r="F881" i="1"/>
  <c r="F333" i="15" s="1"/>
  <c r="F334" i="15" s="1"/>
  <c r="F882" i="1"/>
  <c r="F883" i="1"/>
  <c r="F884" i="1"/>
  <c r="F885" i="1"/>
  <c r="F886" i="1"/>
  <c r="F887" i="1"/>
  <c r="F888" i="1"/>
  <c r="F889" i="1"/>
  <c r="F890" i="1"/>
  <c r="F891" i="1"/>
  <c r="F892" i="1"/>
  <c r="F893" i="1"/>
  <c r="F894" i="1"/>
  <c r="F895" i="1"/>
  <c r="F896" i="1"/>
  <c r="F897" i="1"/>
  <c r="F30" i="22" l="1"/>
  <c r="F31" i="22"/>
  <c r="F24" i="22"/>
  <c r="F21" i="22"/>
  <c r="F97" i="5"/>
  <c r="F710" i="15"/>
  <c r="F711" i="15" s="1"/>
  <c r="F98" i="5"/>
  <c r="F713" i="15"/>
  <c r="F714" i="15" s="1"/>
  <c r="F99" i="5"/>
  <c r="F95" i="5"/>
  <c r="B48" i="28"/>
  <c r="F73" i="5"/>
  <c r="F398" i="5"/>
  <c r="F278" i="5"/>
  <c r="F125" i="5"/>
  <c r="F122" i="5"/>
  <c r="F13" i="5"/>
  <c r="O13" i="5" s="1"/>
  <c r="B6" i="28" s="1"/>
  <c r="F12" i="5"/>
  <c r="F10" i="27"/>
  <c r="O10" i="27" s="1"/>
  <c r="F24" i="27"/>
  <c r="O24" i="27" s="1"/>
  <c r="F34" i="5"/>
  <c r="F39" i="5"/>
  <c r="F44" i="5"/>
  <c r="F49" i="5"/>
  <c r="F29" i="5"/>
  <c r="F45" i="5"/>
  <c r="F50" i="5"/>
  <c r="F30" i="5"/>
  <c r="F106" i="5"/>
  <c r="F35" i="5"/>
  <c r="F40" i="5"/>
  <c r="F104" i="5"/>
  <c r="F376" i="5"/>
  <c r="F368" i="5"/>
  <c r="F27" i="5"/>
  <c r="F32" i="5"/>
  <c r="F37" i="5"/>
  <c r="F93" i="5"/>
  <c r="F42" i="5"/>
  <c r="F47" i="5"/>
  <c r="F372" i="5"/>
  <c r="F364" i="5"/>
  <c r="F28" i="27"/>
  <c r="O28" i="27" s="1"/>
  <c r="F312" i="5"/>
  <c r="F11" i="27"/>
  <c r="O11" i="27" s="1"/>
  <c r="F28" i="5"/>
  <c r="F33" i="5"/>
  <c r="F38" i="5"/>
  <c r="F94" i="5"/>
  <c r="F43" i="5"/>
  <c r="F48" i="5"/>
  <c r="F27" i="27"/>
  <c r="O27" i="27" s="1"/>
  <c r="F26" i="27"/>
  <c r="O26" i="27" s="1"/>
  <c r="F326" i="5"/>
  <c r="F23" i="27"/>
  <c r="O23" i="27" s="1"/>
  <c r="F310" i="5"/>
  <c r="F9" i="27"/>
  <c r="O9" i="27" s="1"/>
  <c r="F14" i="5"/>
  <c r="F10" i="22"/>
  <c r="F329" i="5"/>
  <c r="F177" i="5"/>
  <c r="O177" i="5" s="1"/>
  <c r="B115" i="28" s="1"/>
  <c r="F235" i="5"/>
  <c r="O235" i="5" s="1"/>
  <c r="B202" i="28" s="1"/>
  <c r="F160" i="5"/>
  <c r="O160" i="5" s="1"/>
  <c r="B178" i="28" s="1"/>
  <c r="F330" i="5"/>
  <c r="F207" i="5"/>
  <c r="F178" i="5"/>
  <c r="O178" i="5" s="1"/>
  <c r="B116" i="28" s="1"/>
  <c r="F236" i="5"/>
  <c r="O236" i="5" s="1"/>
  <c r="B203" i="28" s="1"/>
  <c r="F161" i="5"/>
  <c r="O161" i="5" s="1"/>
  <c r="B179" i="28" s="1"/>
  <c r="F162" i="5"/>
  <c r="F144" i="5"/>
  <c r="F330" i="15"/>
  <c r="F331" i="15" s="1"/>
  <c r="F342" i="15"/>
  <c r="F347" i="15"/>
  <c r="F348" i="15" s="1"/>
  <c r="F145" i="5"/>
  <c r="F163" i="5"/>
  <c r="F132" i="5"/>
  <c r="F131" i="5"/>
  <c r="F254" i="15"/>
  <c r="F181" i="5"/>
  <c r="F45" i="22" s="1"/>
  <c r="F164" i="5"/>
  <c r="O164" i="5" s="1"/>
  <c r="B182" i="28" s="1"/>
  <c r="F273" i="5"/>
  <c r="F393" i="5"/>
  <c r="F166" i="5"/>
  <c r="F327" i="5"/>
  <c r="F311" i="5"/>
  <c r="F236" i="15"/>
  <c r="F272" i="5"/>
  <c r="F392" i="5"/>
  <c r="F271" i="5"/>
  <c r="F391" i="5"/>
  <c r="F270" i="5"/>
  <c r="F390" i="5"/>
  <c r="F451" i="5"/>
  <c r="F241" i="5"/>
  <c r="F237" i="5"/>
  <c r="F183" i="5"/>
  <c r="F862" i="1"/>
  <c r="F313" i="5" s="1"/>
  <c r="F726" i="1"/>
  <c r="F22" i="22" l="1"/>
  <c r="F25" i="22"/>
  <c r="O29" i="27"/>
  <c r="F8" i="27"/>
  <c r="O8" i="27" s="1"/>
  <c r="F12" i="27"/>
  <c r="O12" i="27" s="1"/>
  <c r="F309" i="5"/>
  <c r="F447" i="5"/>
  <c r="F763" i="1"/>
  <c r="F762" i="1"/>
  <c r="F750" i="1"/>
  <c r="F749" i="1"/>
  <c r="F751" i="1"/>
  <c r="F757" i="1"/>
  <c r="F745" i="1"/>
  <c r="F722" i="1"/>
  <c r="F585" i="1"/>
  <c r="F470" i="1"/>
  <c r="F442" i="1"/>
  <c r="F738" i="1"/>
  <c r="F739" i="1"/>
  <c r="F740" i="1"/>
  <c r="F741" i="1"/>
  <c r="F732" i="1"/>
  <c r="F733" i="1"/>
  <c r="F734" i="1"/>
  <c r="F735" i="1"/>
  <c r="F736" i="1"/>
  <c r="F737" i="1"/>
  <c r="C791" i="13"/>
  <c r="C785" i="13"/>
  <c r="C779" i="13"/>
  <c r="C773" i="13"/>
  <c r="C801" i="13"/>
  <c r="C798" i="13"/>
  <c r="F420" i="1"/>
  <c r="C403" i="13" l="1"/>
  <c r="O13" i="27"/>
  <c r="G844" i="13"/>
  <c r="G851" i="13"/>
  <c r="G847" i="13"/>
  <c r="G850" i="13"/>
  <c r="G849" i="13"/>
  <c r="G1355" i="13"/>
  <c r="G1356" i="13"/>
  <c r="G1354" i="13"/>
  <c r="G1352" i="13"/>
  <c r="G1350" i="13"/>
  <c r="G848" i="13"/>
  <c r="G1349" i="13"/>
  <c r="G846" i="13"/>
  <c r="G1353" i="13"/>
  <c r="G845" i="13"/>
  <c r="G1351" i="13"/>
  <c r="C848" i="13"/>
  <c r="C845" i="13"/>
  <c r="C874" i="13" s="1"/>
  <c r="J874" i="13" s="1"/>
  <c r="C851" i="13"/>
  <c r="C847" i="13"/>
  <c r="C1352" i="13"/>
  <c r="C1355" i="13"/>
  <c r="C1353" i="13"/>
  <c r="C1351" i="13"/>
  <c r="C1349" i="13"/>
  <c r="C846" i="13"/>
  <c r="C850" i="13"/>
  <c r="C844" i="13"/>
  <c r="C1356" i="13"/>
  <c r="C1354" i="13"/>
  <c r="C849" i="13"/>
  <c r="C1350" i="13"/>
  <c r="F848" i="13"/>
  <c r="F845" i="13"/>
  <c r="F874" i="13" s="1"/>
  <c r="F1349" i="13"/>
  <c r="F849" i="13"/>
  <c r="F847" i="13"/>
  <c r="F846" i="13"/>
  <c r="F851" i="13"/>
  <c r="F1353" i="13"/>
  <c r="F844" i="13"/>
  <c r="F1356" i="13"/>
  <c r="F1354" i="13"/>
  <c r="F1352" i="13"/>
  <c r="F1350" i="13"/>
  <c r="F1355" i="13"/>
  <c r="F850" i="13"/>
  <c r="F1351" i="13"/>
  <c r="D848" i="13"/>
  <c r="D845" i="13"/>
  <c r="D874" i="13" s="1"/>
  <c r="C436" i="13" s="1"/>
  <c r="D1355" i="13"/>
  <c r="D1353" i="13"/>
  <c r="D1351" i="13"/>
  <c r="D1349" i="13"/>
  <c r="D844" i="13"/>
  <c r="D851" i="13"/>
  <c r="D850" i="13"/>
  <c r="D849" i="13"/>
  <c r="D847" i="13"/>
  <c r="D1356" i="13"/>
  <c r="D1354" i="13"/>
  <c r="D1352" i="13"/>
  <c r="D1350" i="13"/>
  <c r="D846" i="13"/>
  <c r="F462" i="1"/>
  <c r="H291" i="5"/>
  <c r="F691" i="15"/>
  <c r="F295" i="5" s="1"/>
  <c r="F771" i="15"/>
  <c r="F688" i="15"/>
  <c r="F297" i="5" s="1"/>
  <c r="G1379" i="13" l="1"/>
  <c r="N1379" i="13" s="1"/>
  <c r="F873" i="13"/>
  <c r="M874" i="13"/>
  <c r="C1379" i="13"/>
  <c r="J1379" i="13" s="1"/>
  <c r="F1379" i="13"/>
  <c r="M1379" i="13" s="1"/>
  <c r="D1379" i="13"/>
  <c r="K1379" i="13" s="1"/>
  <c r="G874" i="13"/>
  <c r="N874" i="13" s="1"/>
  <c r="D873" i="13"/>
  <c r="C435" i="13" s="1"/>
  <c r="K874" i="13"/>
  <c r="E436" i="13" s="1"/>
  <c r="F777" i="15"/>
  <c r="F774" i="15"/>
  <c r="F685" i="15"/>
  <c r="F296" i="5" s="1"/>
  <c r="M873" i="13" l="1"/>
  <c r="K873" i="13"/>
  <c r="E435" i="13" s="1"/>
  <c r="G1378" i="13"/>
  <c r="N1378" i="13" s="1"/>
  <c r="G873" i="13"/>
  <c r="N873" i="13" s="1"/>
  <c r="D1378" i="13"/>
  <c r="K1378" i="13" s="1"/>
  <c r="F1378" i="13"/>
  <c r="M1378" i="13" s="1"/>
  <c r="C1378" i="13"/>
  <c r="J1378" i="13" s="1"/>
  <c r="C873" i="13"/>
  <c r="J873" i="13" s="1"/>
  <c r="F725" i="1" l="1"/>
  <c r="F755" i="1"/>
  <c r="F756" i="1"/>
  <c r="F758" i="1"/>
  <c r="H758" i="1" s="1"/>
  <c r="F760" i="1"/>
  <c r="F761" i="1"/>
  <c r="F764" i="1"/>
  <c r="F765" i="1"/>
  <c r="F766" i="1"/>
  <c r="F767" i="1"/>
  <c r="F719" i="1"/>
  <c r="F720" i="1"/>
  <c r="F721" i="1"/>
  <c r="F723" i="1"/>
  <c r="F724" i="1"/>
  <c r="F728" i="1"/>
  <c r="F729" i="1"/>
  <c r="F730" i="1"/>
  <c r="F731" i="1"/>
  <c r="F742" i="1"/>
  <c r="F743" i="1"/>
  <c r="F744" i="1"/>
  <c r="F746" i="1"/>
  <c r="H746" i="1" s="1"/>
  <c r="F747" i="1"/>
  <c r="F748" i="1"/>
  <c r="F752" i="1"/>
  <c r="F753" i="1"/>
  <c r="F754" i="1"/>
  <c r="F4" i="1"/>
  <c r="B231" i="15" s="1"/>
  <c r="B232" i="15" s="1"/>
  <c r="F5" i="1"/>
  <c r="F6" i="1"/>
  <c r="F7" i="1"/>
  <c r="F8" i="1"/>
  <c r="F9" i="1"/>
  <c r="F10" i="1"/>
  <c r="F11" i="1"/>
  <c r="F12" i="1"/>
  <c r="F13" i="1"/>
  <c r="B126" i="53" s="1"/>
  <c r="F14" i="1"/>
  <c r="C18" i="21" s="1"/>
  <c r="B330" i="15"/>
  <c r="B332" i="15" s="1"/>
  <c r="B347" i="15"/>
  <c r="C410" i="13"/>
  <c r="E410" i="13" s="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81" i="1"/>
  <c r="F284"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85" i="1"/>
  <c r="F388" i="1"/>
  <c r="F392" i="1"/>
  <c r="F413" i="1"/>
  <c r="F414" i="1"/>
  <c r="F415" i="1"/>
  <c r="B497" i="15" s="1"/>
  <c r="F416" i="1"/>
  <c r="F417" i="1"/>
  <c r="F418" i="1"/>
  <c r="F419" i="1"/>
  <c r="F421" i="1"/>
  <c r="F422" i="1"/>
  <c r="F423" i="1"/>
  <c r="F424" i="1"/>
  <c r="F425" i="1"/>
  <c r="F426" i="1"/>
  <c r="F427" i="1"/>
  <c r="F428" i="1"/>
  <c r="F429" i="1"/>
  <c r="F430" i="1"/>
  <c r="F431" i="1"/>
  <c r="F432" i="1"/>
  <c r="F433" i="1"/>
  <c r="F434" i="1"/>
  <c r="F435" i="1"/>
  <c r="F436" i="1"/>
  <c r="F437" i="1"/>
  <c r="F438" i="1"/>
  <c r="F439" i="1"/>
  <c r="B498" i="15" s="1"/>
  <c r="F440" i="1"/>
  <c r="F441" i="1"/>
  <c r="F443" i="1"/>
  <c r="F444" i="1"/>
  <c r="F445" i="1"/>
  <c r="F446" i="1"/>
  <c r="F447" i="1"/>
  <c r="F448" i="1"/>
  <c r="F449" i="1"/>
  <c r="F450" i="1"/>
  <c r="F451" i="1"/>
  <c r="F452" i="1"/>
  <c r="F453" i="1"/>
  <c r="F454" i="1"/>
  <c r="F455" i="1"/>
  <c r="F456" i="1"/>
  <c r="F457" i="1"/>
  <c r="F458" i="1"/>
  <c r="F459" i="1"/>
  <c r="F460" i="1"/>
  <c r="F461" i="1"/>
  <c r="F463" i="1"/>
  <c r="F464" i="1"/>
  <c r="F465" i="1"/>
  <c r="F466" i="1"/>
  <c r="F467" i="1"/>
  <c r="F468" i="1"/>
  <c r="F469"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69" i="1"/>
  <c r="F572" i="1"/>
  <c r="F576" i="1"/>
  <c r="F577" i="1"/>
  <c r="F578" i="1"/>
  <c r="F579" i="1"/>
  <c r="F580" i="1"/>
  <c r="F581" i="1"/>
  <c r="F582" i="1"/>
  <c r="F583" i="1"/>
  <c r="F584" i="1"/>
  <c r="F586"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88" i="1"/>
  <c r="F691" i="1"/>
  <c r="F695" i="1"/>
  <c r="F696" i="1"/>
  <c r="F697" i="1"/>
  <c r="F713" i="1"/>
  <c r="F714" i="1"/>
  <c r="F715" i="1"/>
  <c r="F716" i="1"/>
  <c r="F717" i="1"/>
  <c r="F718" i="1"/>
  <c r="F742" i="15"/>
  <c r="G561" i="15"/>
  <c r="G558" i="15"/>
  <c r="H450" i="5"/>
  <c r="G450" i="5"/>
  <c r="B129" i="53" l="1"/>
  <c r="B137" i="53"/>
  <c r="B130" i="53"/>
  <c r="B134" i="53"/>
  <c r="B131" i="53"/>
  <c r="B135" i="53"/>
  <c r="B133" i="53"/>
  <c r="B132" i="53"/>
  <c r="B128" i="53"/>
  <c r="B136" i="53"/>
  <c r="I15" i="1"/>
  <c r="K15" i="1"/>
  <c r="M15" i="1" s="1"/>
  <c r="J15" i="1"/>
  <c r="F728" i="13" s="1"/>
  <c r="H15" i="1"/>
  <c r="B46" i="25"/>
  <c r="I46" i="25" s="1"/>
  <c r="B102" i="21"/>
  <c r="B103" i="21" s="1"/>
  <c r="C28" i="26"/>
  <c r="C904" i="13"/>
  <c r="C905" i="13"/>
  <c r="B671" i="15"/>
  <c r="B54" i="15"/>
  <c r="B12" i="6" s="1"/>
  <c r="I12" i="6" s="1"/>
  <c r="C11" i="28" s="1"/>
  <c r="B55" i="15"/>
  <c r="B11" i="6" s="1"/>
  <c r="I11" i="6" s="1"/>
  <c r="C10" i="28" s="1"/>
  <c r="B233" i="15"/>
  <c r="B10" i="15"/>
  <c r="B236" i="15"/>
  <c r="B490" i="15"/>
  <c r="C243" i="13"/>
  <c r="C242" i="13"/>
  <c r="E242" i="13" s="1"/>
  <c r="C252" i="13"/>
  <c r="G351" i="13"/>
  <c r="C390" i="13" s="1"/>
  <c r="C398" i="13" s="1"/>
  <c r="G338" i="13"/>
  <c r="G341" i="13" s="1"/>
  <c r="G323" i="13"/>
  <c r="G277" i="13"/>
  <c r="C249" i="13"/>
  <c r="C257" i="13"/>
  <c r="C57" i="26" s="1"/>
  <c r="E57" i="26" s="1"/>
  <c r="G57" i="26" s="1"/>
  <c r="C254" i="13"/>
  <c r="C54" i="26" s="1"/>
  <c r="E54" i="26" s="1"/>
  <c r="G54" i="26" s="1"/>
  <c r="C258" i="13"/>
  <c r="C58" i="26" s="1"/>
  <c r="E58" i="26" s="1"/>
  <c r="G58" i="26" s="1"/>
  <c r="C256" i="13"/>
  <c r="C56" i="26" s="1"/>
  <c r="E56" i="26" s="1"/>
  <c r="G56" i="26" s="1"/>
  <c r="C259" i="13"/>
  <c r="C59" i="26" s="1"/>
  <c r="E59" i="26" s="1"/>
  <c r="G59" i="26" s="1"/>
  <c r="C255" i="13"/>
  <c r="C55" i="26" s="1"/>
  <c r="E55" i="26" s="1"/>
  <c r="G55" i="26" s="1"/>
  <c r="C253" i="13"/>
  <c r="C53" i="26" s="1"/>
  <c r="E53" i="26" s="1"/>
  <c r="G53" i="26" s="1"/>
  <c r="C251" i="13"/>
  <c r="C51" i="26" s="1"/>
  <c r="E51" i="26" s="1"/>
  <c r="G51" i="26" s="1"/>
  <c r="B254" i="15"/>
  <c r="D330" i="15"/>
  <c r="D331" i="15" s="1"/>
  <c r="B331" i="15"/>
  <c r="D14" i="19"/>
  <c r="D15" i="19" s="1"/>
  <c r="D19" i="19" s="1"/>
  <c r="D51" i="19"/>
  <c r="D52" i="19" s="1"/>
  <c r="D40" i="19"/>
  <c r="B73" i="19" s="1"/>
  <c r="C325" i="13"/>
  <c r="F450" i="5"/>
  <c r="B12" i="15"/>
  <c r="F682" i="15"/>
  <c r="F294" i="5" s="1"/>
  <c r="F768" i="15"/>
  <c r="C277" i="13"/>
  <c r="C46" i="26" l="1"/>
  <c r="E46" i="26" s="1"/>
  <c r="G46" i="26" s="1"/>
  <c r="I46" i="26" s="1"/>
  <c r="E243" i="13"/>
  <c r="G243" i="13" s="1"/>
  <c r="D16" i="19"/>
  <c r="D17" i="19" s="1"/>
  <c r="N15" i="1"/>
  <c r="O15" i="1" s="1"/>
  <c r="L15" i="1"/>
  <c r="B104" i="21"/>
  <c r="B107" i="21"/>
  <c r="I728" i="13"/>
  <c r="C52" i="26"/>
  <c r="E52" i="26" s="1"/>
  <c r="G52" i="26" s="1"/>
  <c r="I51" i="26" s="1"/>
  <c r="B255" i="15"/>
  <c r="B129" i="5" s="1"/>
  <c r="G256" i="15"/>
  <c r="B281" i="15" s="1"/>
  <c r="B129" i="6" s="1"/>
  <c r="G238" i="15"/>
  <c r="B280" i="15" s="1"/>
  <c r="B128" i="6" s="1"/>
  <c r="B121" i="5"/>
  <c r="B275" i="15"/>
  <c r="B276" i="15" s="1"/>
  <c r="B124" i="6" s="1"/>
  <c r="B250" i="15"/>
  <c r="B251" i="15" s="1"/>
  <c r="B124" i="5" s="1"/>
  <c r="B237" i="15"/>
  <c r="B128" i="5" s="1"/>
  <c r="B268" i="15"/>
  <c r="B269" i="15" s="1"/>
  <c r="B127" i="5" s="1"/>
  <c r="B259" i="15"/>
  <c r="B241" i="15"/>
  <c r="B131" i="5"/>
  <c r="G242" i="13"/>
  <c r="M271" i="13"/>
  <c r="I700" i="13"/>
  <c r="G353" i="13"/>
  <c r="D42" i="19"/>
  <c r="D45" i="19" s="1"/>
  <c r="D48" i="19" s="1"/>
  <c r="D49" i="19" s="1"/>
  <c r="G280" i="13"/>
  <c r="G281" i="13"/>
  <c r="G340" i="13"/>
  <c r="G326" i="13"/>
  <c r="G325" i="13"/>
  <c r="G327" i="13"/>
  <c r="B334" i="15"/>
  <c r="B337" i="15"/>
  <c r="B333" i="15"/>
  <c r="D354" i="15"/>
  <c r="D353" i="15"/>
  <c r="D347" i="15"/>
  <c r="C326" i="13"/>
  <c r="C327" i="13"/>
  <c r="C281" i="13"/>
  <c r="C280" i="13"/>
  <c r="I87" i="26" l="1"/>
  <c r="K46" i="26"/>
  <c r="B108" i="21"/>
  <c r="B111" i="21" s="1"/>
  <c r="B105" i="21"/>
  <c r="B109" i="21" s="1"/>
  <c r="B26" i="22"/>
  <c r="M26" i="22" s="1"/>
  <c r="O26" i="22" s="1"/>
  <c r="M127" i="5"/>
  <c r="O127" i="5" s="1"/>
  <c r="M124" i="5"/>
  <c r="O124" i="5" s="1"/>
  <c r="B23" i="22"/>
  <c r="M23" i="22" s="1"/>
  <c r="O23" i="22" s="1"/>
  <c r="I128" i="6"/>
  <c r="B32" i="25"/>
  <c r="M129" i="5"/>
  <c r="O129" i="5" s="1"/>
  <c r="B28" i="22"/>
  <c r="M28" i="22" s="1"/>
  <c r="O28" i="22" s="1"/>
  <c r="M121" i="5"/>
  <c r="O121" i="5" s="1"/>
  <c r="B20" i="22"/>
  <c r="M20" i="22" s="1"/>
  <c r="O20" i="22" s="1"/>
  <c r="I124" i="6"/>
  <c r="B28" i="25"/>
  <c r="I28" i="25" s="1"/>
  <c r="I129" i="6"/>
  <c r="B33" i="25"/>
  <c r="M128" i="5"/>
  <c r="O128" i="5" s="1"/>
  <c r="B27" i="22"/>
  <c r="M131" i="5"/>
  <c r="O131" i="5" s="1"/>
  <c r="B30" i="22"/>
  <c r="I243" i="13"/>
  <c r="C261" i="13" s="1"/>
  <c r="M270" i="13" s="1"/>
  <c r="B143" i="5"/>
  <c r="M143" i="5" s="1"/>
  <c r="B320" i="15"/>
  <c r="B321" i="15" s="1"/>
  <c r="B159" i="6" s="1"/>
  <c r="B159" i="5"/>
  <c r="M159" i="5" s="1"/>
  <c r="O159" i="5" s="1"/>
  <c r="B132" i="5"/>
  <c r="B361" i="15"/>
  <c r="B182" i="6" s="1"/>
  <c r="I182" i="6" s="1"/>
  <c r="B447" i="15"/>
  <c r="B239" i="6" s="1"/>
  <c r="B445" i="6" s="1"/>
  <c r="I445" i="6" s="1"/>
  <c r="C359" i="28" s="1"/>
  <c r="I242" i="13"/>
  <c r="B362" i="15"/>
  <c r="B176" i="5"/>
  <c r="B194" i="5"/>
  <c r="B193" i="5"/>
  <c r="B271" i="15"/>
  <c r="B260" i="15"/>
  <c r="D259" i="15"/>
  <c r="D267" i="15" s="1"/>
  <c r="D241" i="15"/>
  <c r="D249" i="15" s="1"/>
  <c r="B242" i="15"/>
  <c r="E232" i="13"/>
  <c r="E233" i="13"/>
  <c r="D43" i="5"/>
  <c r="D48" i="5"/>
  <c r="D33" i="5"/>
  <c r="D38" i="5"/>
  <c r="D28" i="5"/>
  <c r="I1230" i="13"/>
  <c r="D63" i="19"/>
  <c r="D64" i="19" s="1"/>
  <c r="D55" i="19"/>
  <c r="D57" i="19"/>
  <c r="D58" i="19" s="1"/>
  <c r="B335" i="15"/>
  <c r="B338" i="15" s="1"/>
  <c r="B353" i="15" s="1"/>
  <c r="D46" i="19"/>
  <c r="D56" i="19" s="1"/>
  <c r="D53" i="19"/>
  <c r="D50" i="5"/>
  <c r="C1326" i="13"/>
  <c r="C1325" i="13"/>
  <c r="B288" i="15"/>
  <c r="G440" i="15"/>
  <c r="F440" i="15"/>
  <c r="G420" i="15"/>
  <c r="G417" i="15"/>
  <c r="G237" i="5" s="1"/>
  <c r="G292" i="15"/>
  <c r="G289" i="15"/>
  <c r="B535" i="15"/>
  <c r="B526" i="15"/>
  <c r="B517" i="15"/>
  <c r="G498" i="15"/>
  <c r="G499" i="15" s="1"/>
  <c r="B727" i="15"/>
  <c r="F557" i="15"/>
  <c r="F560" i="15"/>
  <c r="F561" i="15" s="1"/>
  <c r="F569" i="15"/>
  <c r="F490" i="15"/>
  <c r="F467" i="15"/>
  <c r="D142" i="28" l="1"/>
  <c r="B110" i="28"/>
  <c r="B111" i="28"/>
  <c r="B113" i="28"/>
  <c r="D145" i="28"/>
  <c r="B167" i="28"/>
  <c r="B168" i="28"/>
  <c r="B177" i="28"/>
  <c r="C187" i="28"/>
  <c r="B107" i="28"/>
  <c r="M132" i="5"/>
  <c r="O132" i="5" s="1"/>
  <c r="B31" i="22"/>
  <c r="M31" i="22" s="1"/>
  <c r="O31" i="22" s="1"/>
  <c r="M193" i="5"/>
  <c r="O193" i="5" s="1"/>
  <c r="B55" i="22"/>
  <c r="M55" i="22" s="1"/>
  <c r="O55" i="22" s="1"/>
  <c r="M194" i="5"/>
  <c r="O194" i="5" s="1"/>
  <c r="B56" i="22"/>
  <c r="M56" i="22" s="1"/>
  <c r="O56" i="22" s="1"/>
  <c r="M176" i="5"/>
  <c r="O176" i="5" s="1"/>
  <c r="B42" i="22"/>
  <c r="M42" i="22" s="1"/>
  <c r="O42" i="22" s="1"/>
  <c r="I159" i="6"/>
  <c r="O143" i="5"/>
  <c r="B355" i="15"/>
  <c r="B354" i="15"/>
  <c r="B356" i="15" s="1"/>
  <c r="B202" i="6"/>
  <c r="B67" i="25" s="1"/>
  <c r="I67" i="25" s="1"/>
  <c r="D288" i="15"/>
  <c r="B289" i="15"/>
  <c r="B272" i="15"/>
  <c r="B130" i="5" s="1"/>
  <c r="B339" i="15"/>
  <c r="B262" i="15"/>
  <c r="B279" i="15" s="1"/>
  <c r="B127" i="6" s="1"/>
  <c r="B261" i="15"/>
  <c r="B244" i="15"/>
  <c r="B278" i="15" s="1"/>
  <c r="B126" i="6" s="1"/>
  <c r="B243" i="15"/>
  <c r="G123" i="5"/>
  <c r="G126" i="5"/>
  <c r="G377" i="5"/>
  <c r="G369" i="5"/>
  <c r="G373" i="5"/>
  <c r="G365" i="5"/>
  <c r="F291" i="5"/>
  <c r="F428" i="5"/>
  <c r="G238" i="5"/>
  <c r="G105" i="5"/>
  <c r="D40" i="5"/>
  <c r="D45" i="5"/>
  <c r="D35" i="5"/>
  <c r="D30" i="5"/>
  <c r="D65" i="19"/>
  <c r="B336" i="15"/>
  <c r="F570" i="15"/>
  <c r="F558" i="15"/>
  <c r="B569" i="15"/>
  <c r="B433" i="15"/>
  <c r="F416" i="15"/>
  <c r="F417" i="15" s="1"/>
  <c r="F419" i="15"/>
  <c r="F420" i="15" s="1"/>
  <c r="F300" i="15"/>
  <c r="F305" i="15"/>
  <c r="F291" i="15"/>
  <c r="F722" i="15"/>
  <c r="F727" i="15"/>
  <c r="B290" i="15"/>
  <c r="B295" i="15" s="1"/>
  <c r="F497" i="15"/>
  <c r="F498" i="15" s="1"/>
  <c r="F499" i="15" s="1"/>
  <c r="F428" i="15"/>
  <c r="F433" i="15"/>
  <c r="F434" i="15" s="1"/>
  <c r="F504" i="15"/>
  <c r="F288" i="15"/>
  <c r="B508" i="15"/>
  <c r="B471" i="15"/>
  <c r="C271" i="13" l="1"/>
  <c r="E271" i="13" s="1"/>
  <c r="C300" i="13" s="1"/>
  <c r="C291" i="13" s="1"/>
  <c r="I699" i="13"/>
  <c r="I1229" i="13" s="1"/>
  <c r="B114" i="28"/>
  <c r="C123" i="28"/>
  <c r="C122" i="28"/>
  <c r="B170" i="28"/>
  <c r="B171" i="28"/>
  <c r="C189" i="28"/>
  <c r="M130" i="5"/>
  <c r="O130" i="5" s="1"/>
  <c r="B29" i="22"/>
  <c r="I126" i="6"/>
  <c r="B30" i="25"/>
  <c r="I30" i="25" s="1"/>
  <c r="I127" i="6"/>
  <c r="B31" i="25"/>
  <c r="I31" i="25" s="1"/>
  <c r="C264" i="13"/>
  <c r="E264" i="13" s="1"/>
  <c r="C293" i="13" s="1"/>
  <c r="C284" i="13" s="1"/>
  <c r="E252" i="13"/>
  <c r="E258" i="13"/>
  <c r="E256" i="13"/>
  <c r="C266" i="13"/>
  <c r="E266" i="13" s="1"/>
  <c r="C267" i="13"/>
  <c r="E267" i="13" s="1"/>
  <c r="C296" i="13" s="1"/>
  <c r="C287" i="13" s="1"/>
  <c r="C263" i="13"/>
  <c r="E263" i="13" s="1"/>
  <c r="C292" i="13" s="1"/>
  <c r="C283" i="13" s="1"/>
  <c r="E255" i="13"/>
  <c r="C305" i="13"/>
  <c r="E259" i="13"/>
  <c r="C361" i="13"/>
  <c r="C362" i="13" s="1"/>
  <c r="C269" i="13"/>
  <c r="E269" i="13" s="1"/>
  <c r="C298" i="13" s="1"/>
  <c r="C289" i="13" s="1"/>
  <c r="C686" i="13" s="1"/>
  <c r="C1216" i="13" s="1"/>
  <c r="C1226" i="13" s="1"/>
  <c r="C1234" i="13" s="1"/>
  <c r="E1234" i="13" s="1"/>
  <c r="C268" i="13"/>
  <c r="E268" i="13" s="1"/>
  <c r="C297" i="13" s="1"/>
  <c r="C288" i="13" s="1"/>
  <c r="E254" i="13"/>
  <c r="E251" i="13"/>
  <c r="E257" i="13"/>
  <c r="M272" i="13"/>
  <c r="C270" i="13"/>
  <c r="E270" i="13" s="1"/>
  <c r="C299" i="13" s="1"/>
  <c r="C290" i="13" s="1"/>
  <c r="C265" i="13"/>
  <c r="E265" i="13" s="1"/>
  <c r="C294" i="13" s="1"/>
  <c r="C285" i="13" s="1"/>
  <c r="E253" i="13"/>
  <c r="B183" i="5"/>
  <c r="M183" i="5" s="1"/>
  <c r="O183" i="5" s="1"/>
  <c r="B179" i="5"/>
  <c r="B180" i="5"/>
  <c r="B277" i="15"/>
  <c r="B125" i="6" s="1"/>
  <c r="B263" i="15"/>
  <c r="B265" i="15" s="1"/>
  <c r="B125" i="5" s="1"/>
  <c r="B245" i="15"/>
  <c r="B247" i="15" s="1"/>
  <c r="F126" i="5"/>
  <c r="F123" i="5"/>
  <c r="F394" i="5"/>
  <c r="F69" i="5"/>
  <c r="F377" i="5"/>
  <c r="F369" i="5"/>
  <c r="F373" i="5"/>
  <c r="F365" i="5"/>
  <c r="F238" i="5"/>
  <c r="F105" i="5"/>
  <c r="F70" i="5"/>
  <c r="F71" i="5"/>
  <c r="F72" i="5"/>
  <c r="F396" i="5"/>
  <c r="F395" i="5"/>
  <c r="F397" i="5"/>
  <c r="F289" i="15"/>
  <c r="F179" i="5" s="1"/>
  <c r="F43" i="22" s="1"/>
  <c r="F274" i="5"/>
  <c r="F276" i="5"/>
  <c r="F275" i="5"/>
  <c r="F277" i="5"/>
  <c r="F728" i="15"/>
  <c r="B292" i="15"/>
  <c r="B291" i="15"/>
  <c r="D144" i="28" l="1"/>
  <c r="B121" i="28"/>
  <c r="C186" i="28"/>
  <c r="B169" i="28"/>
  <c r="C684" i="13"/>
  <c r="C1214" i="13" s="1"/>
  <c r="B112" i="28"/>
  <c r="I701" i="13"/>
  <c r="I1231" i="13" s="1"/>
  <c r="M180" i="5"/>
  <c r="M179" i="5"/>
  <c r="O179" i="5" s="1"/>
  <c r="I125" i="6"/>
  <c r="B29" i="25"/>
  <c r="M125" i="5"/>
  <c r="O125" i="5" s="1"/>
  <c r="B24" i="22"/>
  <c r="C363" i="13"/>
  <c r="C365" i="13"/>
  <c r="C364" i="13"/>
  <c r="C74" i="21"/>
  <c r="C306" i="13"/>
  <c r="I691" i="13"/>
  <c r="I1214" i="13" s="1"/>
  <c r="M262" i="13"/>
  <c r="I689" i="13"/>
  <c r="I1212" i="13" s="1"/>
  <c r="M260" i="13"/>
  <c r="C295" i="13"/>
  <c r="C286" i="13" s="1"/>
  <c r="E1216" i="13"/>
  <c r="M264" i="13"/>
  <c r="I693" i="13"/>
  <c r="I1216" i="13" s="1"/>
  <c r="I692" i="13"/>
  <c r="I1215" i="13" s="1"/>
  <c r="M263" i="13"/>
  <c r="I694" i="13"/>
  <c r="I1217" i="13" s="1"/>
  <c r="M265" i="13"/>
  <c r="M261" i="13"/>
  <c r="I690" i="13"/>
  <c r="I1213" i="13" s="1"/>
  <c r="I688" i="13"/>
  <c r="I1211" i="13" s="1"/>
  <c r="M259" i="13"/>
  <c r="I695" i="13"/>
  <c r="I1218" i="13" s="1"/>
  <c r="M266" i="13"/>
  <c r="B319" i="15"/>
  <c r="B161" i="6" s="1"/>
  <c r="B318" i="15"/>
  <c r="B140" i="6" s="1"/>
  <c r="I140" i="6" s="1"/>
  <c r="B126" i="5"/>
  <c r="B122" i="5"/>
  <c r="B123" i="5"/>
  <c r="B293" i="15"/>
  <c r="B296" i="15" s="1"/>
  <c r="B297" i="15" s="1"/>
  <c r="E1226" i="13"/>
  <c r="K1227" i="13" s="1"/>
  <c r="C1318" i="13"/>
  <c r="K1216" i="13"/>
  <c r="F491" i="15"/>
  <c r="D491" i="15"/>
  <c r="G375" i="15"/>
  <c r="G376" i="15" s="1"/>
  <c r="G254" i="5" s="1"/>
  <c r="F312" i="15"/>
  <c r="G306" i="15"/>
  <c r="F292" i="15"/>
  <c r="F180" i="5" s="1"/>
  <c r="G504" i="15"/>
  <c r="I141" i="6" l="1"/>
  <c r="C185" i="28"/>
  <c r="B165" i="28"/>
  <c r="C1224" i="13"/>
  <c r="E1214" i="13"/>
  <c r="B117" i="28"/>
  <c r="D143" i="28"/>
  <c r="I130" i="6"/>
  <c r="O180" i="5"/>
  <c r="F44" i="22"/>
  <c r="I161" i="6"/>
  <c r="B47" i="25"/>
  <c r="I47" i="25" s="1"/>
  <c r="M122" i="5"/>
  <c r="O122" i="5" s="1"/>
  <c r="B21" i="22"/>
  <c r="M123" i="5"/>
  <c r="O123" i="5" s="1"/>
  <c r="B22" i="22"/>
  <c r="M126" i="5"/>
  <c r="O126" i="5" s="1"/>
  <c r="B25" i="22"/>
  <c r="C349" i="13"/>
  <c r="C350" i="13" s="1"/>
  <c r="C321" i="13"/>
  <c r="C49" i="26"/>
  <c r="E49" i="26" s="1"/>
  <c r="G49" i="26" s="1"/>
  <c r="E364" i="13"/>
  <c r="M278" i="13"/>
  <c r="M279" i="13"/>
  <c r="E365" i="13"/>
  <c r="C48" i="26"/>
  <c r="E48" i="26" s="1"/>
  <c r="G48" i="26" s="1"/>
  <c r="E363" i="13"/>
  <c r="M277" i="13"/>
  <c r="C188" i="28"/>
  <c r="B670" i="6"/>
  <c r="B144" i="5"/>
  <c r="M144" i="5" s="1"/>
  <c r="O144" i="5" s="1"/>
  <c r="B163" i="5"/>
  <c r="B162" i="5"/>
  <c r="B145" i="5"/>
  <c r="M145" i="5" s="1"/>
  <c r="O145" i="5" s="1"/>
  <c r="G102" i="5"/>
  <c r="G379" i="5"/>
  <c r="G64" i="5"/>
  <c r="G196" i="5"/>
  <c r="E283" i="13"/>
  <c r="E292" i="13"/>
  <c r="E293" i="13"/>
  <c r="B492" i="15"/>
  <c r="B294" i="15"/>
  <c r="B311" i="15"/>
  <c r="B118" i="28" l="1"/>
  <c r="B109" i="28"/>
  <c r="B166" i="28"/>
  <c r="B669" i="6"/>
  <c r="B697" i="6" s="1"/>
  <c r="B721" i="6" s="1"/>
  <c r="B173" i="28"/>
  <c r="C191" i="28"/>
  <c r="C1232" i="13"/>
  <c r="E1232" i="13" s="1"/>
  <c r="E1224" i="13"/>
  <c r="K1225" i="13" s="1"/>
  <c r="B698" i="6"/>
  <c r="B722" i="6" s="1"/>
  <c r="O134" i="5"/>
  <c r="M162" i="5"/>
  <c r="O162" i="5" s="1"/>
  <c r="B43" i="22"/>
  <c r="M43" i="22" s="1"/>
  <c r="O43" i="22" s="1"/>
  <c r="M163" i="5"/>
  <c r="O163" i="5" s="1"/>
  <c r="B44" i="22"/>
  <c r="M44" i="22" s="1"/>
  <c r="O44" i="22" s="1"/>
  <c r="B108" i="28"/>
  <c r="I48" i="26"/>
  <c r="K48" i="26" s="1"/>
  <c r="M267" i="13"/>
  <c r="C322" i="13"/>
  <c r="M269" i="13"/>
  <c r="C355" i="13"/>
  <c r="I698" i="13"/>
  <c r="I1221" i="13" s="1"/>
  <c r="B172" i="28"/>
  <c r="E284" i="13"/>
  <c r="B312" i="15"/>
  <c r="B314" i="15" s="1"/>
  <c r="B313" i="15"/>
  <c r="B181" i="28" l="1"/>
  <c r="K1214" i="13"/>
  <c r="C1316" i="13"/>
  <c r="B180" i="28"/>
  <c r="C354" i="13"/>
  <c r="E354" i="13" s="1"/>
  <c r="E355" i="13"/>
  <c r="C331" i="13"/>
  <c r="I696" i="13"/>
  <c r="I1219" i="13" s="1"/>
  <c r="J311" i="26"/>
  <c r="I311" i="26"/>
  <c r="O311" i="26" s="1"/>
  <c r="M28" i="5"/>
  <c r="M33" i="5"/>
  <c r="M38" i="5"/>
  <c r="M43" i="5"/>
  <c r="M27" i="5"/>
  <c r="M48" i="5"/>
  <c r="M32" i="5"/>
  <c r="M37" i="5"/>
  <c r="M42" i="5"/>
  <c r="M47" i="5"/>
  <c r="C330" i="13" l="1"/>
  <c r="E331" i="13"/>
  <c r="E330" i="13" l="1"/>
  <c r="C329" i="13"/>
  <c r="C328" i="13" l="1"/>
  <c r="E328" i="13" s="1"/>
  <c r="E329" i="13"/>
  <c r="B342" i="15" l="1"/>
  <c r="B300" i="15"/>
  <c r="B146" i="5" s="1"/>
  <c r="M146" i="5" s="1"/>
  <c r="O146" i="5" s="1"/>
  <c r="C359" i="3"/>
  <c r="C360" i="3"/>
  <c r="C361" i="3"/>
  <c r="C362" i="3"/>
  <c r="C363" i="3"/>
  <c r="C364" i="3"/>
  <c r="C365" i="3"/>
  <c r="B14" i="5"/>
  <c r="B18" i="15"/>
  <c r="B19" i="15" s="1"/>
  <c r="O150" i="5" l="1"/>
  <c r="M14" i="5"/>
  <c r="B10" i="22"/>
  <c r="B174" i="28"/>
  <c r="B181" i="5"/>
  <c r="M29" i="5"/>
  <c r="M34" i="5"/>
  <c r="M39" i="5"/>
  <c r="M44" i="5"/>
  <c r="M49" i="5"/>
  <c r="D342" i="15"/>
  <c r="E300" i="13"/>
  <c r="E291" i="13"/>
  <c r="E297" i="13"/>
  <c r="E288" i="13"/>
  <c r="B549" i="5" l="1"/>
  <c r="M181" i="5"/>
  <c r="O181" i="5" s="1"/>
  <c r="B45" i="22"/>
  <c r="M45" i="22" s="1"/>
  <c r="O45" i="22" s="1"/>
  <c r="B582" i="5"/>
  <c r="B621" i="5" s="1"/>
  <c r="E452" i="6" a="1"/>
  <c r="C444" i="6"/>
  <c r="C445" i="6" s="1"/>
  <c r="C446" i="6" s="1"/>
  <c r="E247" i="6" a="1"/>
  <c r="E291" i="6" a="1"/>
  <c r="E291" i="6" s="1"/>
  <c r="E290" i="6"/>
  <c r="E190" i="6"/>
  <c r="E189" i="6"/>
  <c r="E188" i="6"/>
  <c r="E187" i="6"/>
  <c r="E191" i="6" s="1"/>
  <c r="M510" i="5"/>
  <c r="E294" i="6" l="1"/>
  <c r="E452" i="6"/>
  <c r="E456" i="6"/>
  <c r="C362" i="28" s="1"/>
  <c r="E247" i="6"/>
  <c r="E251" i="6"/>
  <c r="C221" i="28" s="1"/>
  <c r="B119" i="28"/>
  <c r="D158" i="28"/>
  <c r="C262" i="28"/>
  <c r="H1335" i="13" l="1"/>
  <c r="H1369" i="13" s="1"/>
  <c r="G1335" i="13"/>
  <c r="G1369" i="13" s="1"/>
  <c r="F1335" i="13"/>
  <c r="F1369" i="13" s="1"/>
  <c r="D1335" i="13"/>
  <c r="D1369" i="13" s="1"/>
  <c r="E1335" i="13"/>
  <c r="E1369" i="13" s="1"/>
  <c r="C1335" i="13"/>
  <c r="C1369" i="13" s="1"/>
  <c r="M1369" i="13" l="1"/>
  <c r="F1368" i="13"/>
  <c r="M1368" i="13" s="1"/>
  <c r="C1368" i="13"/>
  <c r="J1368" i="13" s="1"/>
  <c r="J1369" i="13"/>
  <c r="L1369" i="13"/>
  <c r="E1368" i="13"/>
  <c r="L1368" i="13" s="1"/>
  <c r="G1368" i="13"/>
  <c r="N1368" i="13" s="1"/>
  <c r="N1369" i="13"/>
  <c r="D1368" i="13"/>
  <c r="K1368" i="13" s="1"/>
  <c r="K1369" i="13"/>
  <c r="O1369" i="13"/>
  <c r="H1368" i="13"/>
  <c r="O1368" i="13" s="1"/>
  <c r="F306" i="15" l="1"/>
  <c r="F63" i="15"/>
  <c r="C89" i="3"/>
  <c r="D694" i="1"/>
  <c r="F694" i="1" s="1"/>
  <c r="D693" i="1"/>
  <c r="F693" i="1" s="1"/>
  <c r="D692" i="1"/>
  <c r="F692" i="1" s="1"/>
  <c r="D690" i="1"/>
  <c r="F690" i="1" s="1"/>
  <c r="D689" i="1"/>
  <c r="F689" i="1" s="1"/>
  <c r="D687" i="1"/>
  <c r="F687" i="1" s="1"/>
  <c r="D686" i="1"/>
  <c r="F686" i="1" s="1"/>
  <c r="D685" i="1"/>
  <c r="F685" i="1" s="1"/>
  <c r="D684" i="1"/>
  <c r="F684" i="1" s="1"/>
  <c r="D683" i="1"/>
  <c r="F683" i="1" s="1"/>
  <c r="D682" i="1"/>
  <c r="F682" i="1" s="1"/>
  <c r="D681" i="1"/>
  <c r="F681" i="1" s="1"/>
  <c r="D680" i="1"/>
  <c r="F680" i="1" s="1"/>
  <c r="D679" i="1"/>
  <c r="F679" i="1" s="1"/>
  <c r="D678" i="1"/>
  <c r="F678" i="1" s="1"/>
  <c r="D677" i="1"/>
  <c r="F677" i="1" s="1"/>
  <c r="D676" i="1"/>
  <c r="F676" i="1" s="1"/>
  <c r="D675" i="1"/>
  <c r="F675" i="1" s="1"/>
  <c r="D575" i="1"/>
  <c r="F575" i="1" s="1"/>
  <c r="D574" i="1"/>
  <c r="F574" i="1" s="1"/>
  <c r="D573" i="1"/>
  <c r="F573" i="1" s="1"/>
  <c r="D571" i="1"/>
  <c r="F571" i="1" s="1"/>
  <c r="D570" i="1"/>
  <c r="F570" i="1" s="1"/>
  <c r="D568" i="1"/>
  <c r="F568" i="1" s="1"/>
  <c r="D567" i="1"/>
  <c r="F567" i="1" s="1"/>
  <c r="D566" i="1"/>
  <c r="F566" i="1" s="1"/>
  <c r="D565" i="1"/>
  <c r="F565" i="1" s="1"/>
  <c r="D564" i="1"/>
  <c r="F564" i="1" s="1"/>
  <c r="D563" i="1"/>
  <c r="F563" i="1" s="1"/>
  <c r="D562" i="1"/>
  <c r="F562" i="1" s="1"/>
  <c r="D561" i="1"/>
  <c r="F561" i="1" s="1"/>
  <c r="D560" i="1"/>
  <c r="F560" i="1" s="1"/>
  <c r="D559" i="1"/>
  <c r="F559" i="1" s="1"/>
  <c r="D558" i="1"/>
  <c r="F558" i="1" s="1"/>
  <c r="D557" i="1"/>
  <c r="F557" i="1" s="1"/>
  <c r="D556" i="1"/>
  <c r="F556" i="1" s="1"/>
  <c r="B20" i="15"/>
  <c r="D391" i="1"/>
  <c r="F391" i="1" s="1"/>
  <c r="D390" i="1"/>
  <c r="F390" i="1" s="1"/>
  <c r="D389" i="1"/>
  <c r="F389" i="1" s="1"/>
  <c r="D387" i="1"/>
  <c r="F387" i="1" s="1"/>
  <c r="D386" i="1"/>
  <c r="F386" i="1" s="1"/>
  <c r="D384" i="1"/>
  <c r="F384" i="1" s="1"/>
  <c r="D383" i="1"/>
  <c r="F383" i="1" s="1"/>
  <c r="D382" i="1"/>
  <c r="F382" i="1" s="1"/>
  <c r="D381" i="1"/>
  <c r="F381" i="1" s="1"/>
  <c r="D380" i="1"/>
  <c r="F380" i="1" s="1"/>
  <c r="D379" i="1"/>
  <c r="F379" i="1" s="1"/>
  <c r="D378" i="1"/>
  <c r="F378" i="1" s="1"/>
  <c r="D377" i="1"/>
  <c r="F377" i="1" s="1"/>
  <c r="D376" i="1"/>
  <c r="F376" i="1" s="1"/>
  <c r="D375" i="1"/>
  <c r="F375" i="1" s="1"/>
  <c r="D374" i="1"/>
  <c r="F374" i="1" s="1"/>
  <c r="D373" i="1"/>
  <c r="F373" i="1" s="1"/>
  <c r="D372" i="1"/>
  <c r="F372" i="1" s="1"/>
  <c r="D287" i="1"/>
  <c r="F287" i="1" s="1"/>
  <c r="D286" i="1"/>
  <c r="F286" i="1" s="1"/>
  <c r="D285" i="1"/>
  <c r="F285" i="1" s="1"/>
  <c r="D282" i="1"/>
  <c r="F282" i="1" s="1"/>
  <c r="D274" i="1"/>
  <c r="F274" i="1" s="1"/>
  <c r="D268" i="1"/>
  <c r="F268" i="1" s="1"/>
  <c r="D273" i="1"/>
  <c r="F273" i="1" s="1"/>
  <c r="D283" i="1"/>
  <c r="F283" i="1" s="1"/>
  <c r="D280" i="1"/>
  <c r="F280" i="1" s="1"/>
  <c r="D279" i="1"/>
  <c r="F279" i="1" s="1"/>
  <c r="D278" i="1"/>
  <c r="F278" i="1" s="1"/>
  <c r="D277" i="1"/>
  <c r="F277" i="1" s="1"/>
  <c r="D276" i="1"/>
  <c r="F276" i="1" s="1"/>
  <c r="D275" i="1"/>
  <c r="F275" i="1" s="1"/>
  <c r="D272" i="1"/>
  <c r="F272" i="1" s="1"/>
  <c r="D271" i="1"/>
  <c r="F271" i="1" s="1"/>
  <c r="D270" i="1"/>
  <c r="F270" i="1" s="1"/>
  <c r="D269" i="1"/>
  <c r="F269" i="1" s="1"/>
  <c r="B22" i="15" l="1"/>
  <c r="B56" i="15"/>
  <c r="B10" i="6" s="1"/>
  <c r="F465" i="15"/>
  <c r="F466" i="15"/>
  <c r="B11" i="15"/>
  <c r="D289" i="15"/>
  <c r="F377" i="15"/>
  <c r="F378" i="15" s="1"/>
  <c r="F254" i="5" s="1"/>
  <c r="B305" i="15"/>
  <c r="B306" i="15" s="1"/>
  <c r="I10" i="6" l="1"/>
  <c r="B11" i="25"/>
  <c r="I11" i="25" s="1"/>
  <c r="I12" i="25" s="1"/>
  <c r="B123" i="25" s="1"/>
  <c r="B307" i="15"/>
  <c r="B165" i="5" s="1"/>
  <c r="M165" i="5" s="1"/>
  <c r="O165" i="5" s="1"/>
  <c r="B160" i="6"/>
  <c r="F102" i="5"/>
  <c r="F379" i="5"/>
  <c r="F64" i="5"/>
  <c r="D27" i="5"/>
  <c r="D32" i="5"/>
  <c r="D37" i="5"/>
  <c r="D42" i="5"/>
  <c r="D47" i="5"/>
  <c r="F196" i="5"/>
  <c r="B348" i="15"/>
  <c r="B548" i="5"/>
  <c r="D300" i="15"/>
  <c r="D312" i="15"/>
  <c r="B166" i="5" s="1"/>
  <c r="M166" i="5" s="1"/>
  <c r="O166" i="5" s="1"/>
  <c r="D311" i="15"/>
  <c r="D305" i="15"/>
  <c r="B14" i="15"/>
  <c r="B15" i="15" s="1"/>
  <c r="B16" i="15" s="1"/>
  <c r="B13" i="15"/>
  <c r="M10" i="22" s="1"/>
  <c r="B184" i="28" l="1"/>
  <c r="I13" i="6"/>
  <c r="C9" i="28"/>
  <c r="B581" i="5"/>
  <c r="B620" i="5" s="1"/>
  <c r="B183" i="28"/>
  <c r="O167" i="5"/>
  <c r="I160" i="6"/>
  <c r="B349" i="15"/>
  <c r="B182" i="5" s="1"/>
  <c r="B360" i="15"/>
  <c r="B181" i="6" s="1"/>
  <c r="B45" i="25" s="1"/>
  <c r="M40" i="5"/>
  <c r="M50" i="5"/>
  <c r="M45" i="5"/>
  <c r="M30" i="5"/>
  <c r="M35" i="5"/>
  <c r="B23" i="15"/>
  <c r="D14" i="5" s="1"/>
  <c r="D10" i="22" s="1"/>
  <c r="O10" i="22" s="1"/>
  <c r="C343" i="13"/>
  <c r="E343" i="13" s="1"/>
  <c r="E294" i="13"/>
  <c r="E298" i="13"/>
  <c r="E299" i="13"/>
  <c r="E295" i="13"/>
  <c r="B491" i="15"/>
  <c r="B493" i="15" s="1"/>
  <c r="I162" i="6" l="1"/>
  <c r="C190" i="28"/>
  <c r="M182" i="5"/>
  <c r="O182" i="5" s="1"/>
  <c r="B46" i="22"/>
  <c r="M46" i="22" s="1"/>
  <c r="O46" i="22" s="1"/>
  <c r="O47" i="22" s="1"/>
  <c r="B76" i="22" s="1"/>
  <c r="O14" i="5"/>
  <c r="B550" i="5"/>
  <c r="C342" i="13"/>
  <c r="E296" i="13"/>
  <c r="E290" i="13"/>
  <c r="B671" i="6" l="1"/>
  <c r="B699" i="6" s="1"/>
  <c r="B723" i="6" s="1"/>
  <c r="B583" i="5"/>
  <c r="B622" i="5" s="1"/>
  <c r="B120" i="28"/>
  <c r="O184" i="5"/>
  <c r="B7" i="28"/>
  <c r="E342" i="13"/>
  <c r="E287" i="13"/>
  <c r="E684" i="13"/>
  <c r="E289" i="13"/>
  <c r="E686" i="13"/>
  <c r="E286" i="13"/>
  <c r="E285" i="13"/>
  <c r="B551" i="5" l="1"/>
  <c r="B584" i="5" s="1"/>
  <c r="B623" i="5" s="1"/>
  <c r="J693" i="13"/>
  <c r="J1216" i="13" s="1"/>
  <c r="C99" i="26"/>
  <c r="J691" i="13"/>
  <c r="J1214" i="13" s="1"/>
  <c r="C97" i="26"/>
  <c r="C702" i="13"/>
  <c r="C700" i="13"/>
  <c r="C713" i="13" l="1"/>
  <c r="C813" i="13" s="1"/>
  <c r="E832" i="13" s="1"/>
  <c r="E868" i="13" s="1"/>
  <c r="C711" i="13"/>
  <c r="C811" i="13" s="1"/>
  <c r="C692" i="13"/>
  <c r="C694" i="13"/>
  <c r="D830" i="13" l="1"/>
  <c r="D864" i="13" s="1"/>
  <c r="E830" i="13"/>
  <c r="E864" i="13" s="1"/>
  <c r="E863" i="13" s="1"/>
  <c r="L863" i="13" s="1"/>
  <c r="H830" i="13"/>
  <c r="H864" i="13" s="1"/>
  <c r="G830" i="13"/>
  <c r="G864" i="13" s="1"/>
  <c r="C830" i="13"/>
  <c r="C864" i="13" s="1"/>
  <c r="F830" i="13"/>
  <c r="F864" i="13" s="1"/>
  <c r="H832" i="13"/>
  <c r="H868" i="13" s="1"/>
  <c r="F832" i="13"/>
  <c r="F868" i="13" s="1"/>
  <c r="D832" i="13"/>
  <c r="D868" i="13" s="1"/>
  <c r="C430" i="13" s="1"/>
  <c r="G832" i="13"/>
  <c r="G868" i="13" s="1"/>
  <c r="N868" i="13" s="1"/>
  <c r="C899" i="13" s="1"/>
  <c r="L868" i="13"/>
  <c r="E867" i="13"/>
  <c r="L867" i="13" s="1"/>
  <c r="C832" i="13"/>
  <c r="C868" i="13" s="1"/>
  <c r="L864" i="13"/>
  <c r="F1337" i="13"/>
  <c r="F1373" i="13" s="1"/>
  <c r="G1337" i="13"/>
  <c r="G1373" i="13" s="1"/>
  <c r="E1337" i="13"/>
  <c r="E1373" i="13" s="1"/>
  <c r="C1337" i="13"/>
  <c r="C1373" i="13" s="1"/>
  <c r="H1337" i="13"/>
  <c r="H1373" i="13" s="1"/>
  <c r="D1337" i="13"/>
  <c r="D1373" i="13" s="1"/>
  <c r="C426" i="13" l="1"/>
  <c r="K864" i="13"/>
  <c r="D863" i="13"/>
  <c r="H863" i="13"/>
  <c r="O863" i="13" s="1"/>
  <c r="O864" i="13"/>
  <c r="N864" i="13"/>
  <c r="C895" i="13" s="1"/>
  <c r="G863" i="13"/>
  <c r="N863" i="13" s="1"/>
  <c r="C894" i="13" s="1"/>
  <c r="F863" i="13"/>
  <c r="M863" i="13" s="1"/>
  <c r="M864" i="13"/>
  <c r="H867" i="13"/>
  <c r="O867" i="13" s="1"/>
  <c r="O868" i="13"/>
  <c r="F867" i="13"/>
  <c r="M867" i="13" s="1"/>
  <c r="M868" i="13"/>
  <c r="K868" i="13"/>
  <c r="E430" i="13" s="1"/>
  <c r="D867" i="13"/>
  <c r="J868" i="13"/>
  <c r="C867" i="13"/>
  <c r="J867" i="13" s="1"/>
  <c r="C863" i="13"/>
  <c r="J863" i="13" s="1"/>
  <c r="J864" i="13"/>
  <c r="G867" i="13"/>
  <c r="N867" i="13" s="1"/>
  <c r="C898" i="13" s="1"/>
  <c r="C116" i="26" s="1"/>
  <c r="E116" i="26" s="1"/>
  <c r="G116" i="26" s="1"/>
  <c r="E426" i="13"/>
  <c r="C425" i="13"/>
  <c r="K863" i="13"/>
  <c r="E425" i="13" s="1"/>
  <c r="C1372" i="13"/>
  <c r="J1372" i="13" s="1"/>
  <c r="J1373" i="13"/>
  <c r="K1373" i="13"/>
  <c r="D1372" i="13"/>
  <c r="K1372" i="13" s="1"/>
  <c r="E1372" i="13"/>
  <c r="L1372" i="13" s="1"/>
  <c r="L1373" i="13"/>
  <c r="M1373" i="13"/>
  <c r="F1372" i="13"/>
  <c r="M1372" i="13" s="1"/>
  <c r="G1372" i="13"/>
  <c r="N1372" i="13" s="1"/>
  <c r="N1373" i="13"/>
  <c r="O1373" i="13"/>
  <c r="H1372" i="13"/>
  <c r="O1372" i="13" s="1"/>
  <c r="C114" i="26" l="1"/>
  <c r="E114" i="26" s="1"/>
  <c r="G114" i="26" s="1"/>
  <c r="C429" i="13"/>
  <c r="K867" i="13"/>
  <c r="E429" i="13" s="1"/>
  <c r="O533" i="5"/>
  <c r="O536" i="5"/>
  <c r="M511" i="5" l="1"/>
  <c r="O511" i="5" l="1"/>
  <c r="C12" i="28" l="1"/>
  <c r="B631" i="6"/>
  <c r="I631" i="6" s="1"/>
  <c r="B666" i="6"/>
  <c r="D148" i="28"/>
  <c r="B694" i="6" l="1"/>
  <c r="B718" i="6"/>
  <c r="B680" i="6"/>
  <c r="B738" i="6" s="1"/>
  <c r="B709" i="6"/>
  <c r="I202" i="6"/>
  <c r="D150" i="28" l="1"/>
  <c r="I181" i="6"/>
  <c r="D147" i="28" l="1"/>
  <c r="M492" i="5" l="1"/>
  <c r="O492" i="5" s="1"/>
  <c r="M494" i="5" l="1"/>
  <c r="O494" i="5" s="1"/>
  <c r="M493" i="5" l="1"/>
  <c r="O493" i="5" s="1"/>
  <c r="M495" i="5" l="1"/>
  <c r="O495" i="5" s="1"/>
  <c r="M496" i="5" l="1"/>
  <c r="O496" i="5" s="1"/>
  <c r="O499" i="5" s="1"/>
  <c r="O510" i="5" l="1"/>
  <c r="O509" i="5" l="1"/>
  <c r="O512" i="5" s="1"/>
  <c r="K489" i="13" l="1"/>
  <c r="M489" i="13" s="1"/>
  <c r="I488" i="13" l="1"/>
  <c r="K488" i="13" s="1"/>
  <c r="O488" i="13" s="1"/>
  <c r="Q488" i="13" s="1"/>
  <c r="M488" i="13" l="1"/>
  <c r="B363" i="15"/>
  <c r="B180" i="6" l="1"/>
  <c r="I180" i="6" l="1"/>
  <c r="B44" i="25"/>
  <c r="I44" i="25" s="1"/>
  <c r="M346" i="5"/>
  <c r="O346" i="5" s="1"/>
  <c r="B289" i="28" s="1"/>
  <c r="M345" i="5"/>
  <c r="O345" i="5" s="1"/>
  <c r="B288" i="28" s="1"/>
  <c r="I183" i="6" l="1"/>
  <c r="D146" i="28"/>
  <c r="E97" i="26"/>
  <c r="G97" i="26" s="1"/>
  <c r="E99" i="26"/>
  <c r="G99" i="26" s="1"/>
  <c r="C975" i="13"/>
  <c r="D975" i="13" s="1"/>
  <c r="E975" i="13" s="1"/>
  <c r="G975" i="13" s="1"/>
  <c r="C976" i="13"/>
  <c r="E976" i="13" s="1"/>
  <c r="D976" i="13" s="1"/>
  <c r="C979" i="13"/>
  <c r="C980" i="13"/>
  <c r="E980" i="13" s="1"/>
  <c r="D980" i="13" s="1"/>
  <c r="C985" i="13"/>
  <c r="C986" i="13"/>
  <c r="B672" i="6" l="1"/>
  <c r="B700" i="6" s="1"/>
  <c r="B724" i="6" s="1"/>
  <c r="D985" i="13"/>
  <c r="E985" i="13" s="1"/>
  <c r="I975" i="13"/>
  <c r="H975" i="13" s="1"/>
  <c r="D979" i="13"/>
  <c r="E979" i="13" s="1"/>
  <c r="G979" i="13" s="1"/>
  <c r="D986" i="13"/>
  <c r="E986" i="13" s="1"/>
  <c r="G980" i="13"/>
  <c r="G976" i="13"/>
  <c r="I979" i="13" l="1"/>
  <c r="H979" i="13" s="1"/>
  <c r="I976" i="13"/>
  <c r="I980" i="13"/>
  <c r="H980" i="13" s="1"/>
  <c r="C1006" i="13" l="1"/>
  <c r="C1004" i="13"/>
  <c r="H976" i="13"/>
  <c r="E1004" i="13" l="1"/>
  <c r="C130" i="26"/>
  <c r="E130" i="26" s="1"/>
  <c r="G130" i="26" s="1"/>
  <c r="E1006" i="13"/>
  <c r="C132" i="26"/>
  <c r="E132" i="26" s="1"/>
  <c r="G132" i="26" s="1"/>
  <c r="M21" i="22"/>
  <c r="O21" i="22" s="1"/>
  <c r="M22" i="22"/>
  <c r="O22" i="22" s="1"/>
  <c r="M24" i="22"/>
  <c r="O24" i="22" s="1"/>
  <c r="M25" i="22"/>
  <c r="O25" i="22" s="1"/>
  <c r="M27" i="22"/>
  <c r="O27" i="22" s="1"/>
  <c r="M29" i="22"/>
  <c r="O29" i="22" s="1"/>
  <c r="M30" i="22"/>
  <c r="O30" i="22" s="1"/>
  <c r="I29" i="25"/>
  <c r="I32" i="25"/>
  <c r="I33" i="25"/>
  <c r="I45" i="25"/>
  <c r="I48" i="25" s="1"/>
  <c r="B125" i="25" s="1"/>
  <c r="O33" i="22" l="1"/>
  <c r="B75" i="22" s="1"/>
  <c r="I34" i="25"/>
  <c r="B124" i="25" s="1"/>
  <c r="H62" i="32"/>
  <c r="I62" i="32"/>
  <c r="J62" i="32"/>
  <c r="K62" i="32"/>
  <c r="L62" i="32"/>
  <c r="M62" i="32"/>
  <c r="N62" i="32"/>
  <c r="N96" i="32" s="1"/>
  <c r="O62" i="32"/>
  <c r="O96" i="32" s="1"/>
  <c r="P62" i="32"/>
  <c r="P96" i="32" s="1"/>
  <c r="Q62" i="32"/>
  <c r="Q96" i="32" s="1"/>
  <c r="R62" i="32"/>
  <c r="R96" i="32" s="1"/>
  <c r="S62" i="32"/>
  <c r="T62" i="32"/>
  <c r="U62" i="32"/>
  <c r="V62" i="32"/>
  <c r="W62" i="32"/>
  <c r="X62" i="32"/>
  <c r="Y62" i="32"/>
  <c r="Z62" i="32"/>
  <c r="AA62" i="32"/>
  <c r="AA96" i="32" s="1"/>
  <c r="AB62" i="32"/>
  <c r="AB96" i="32" s="1"/>
  <c r="AC62" i="32"/>
  <c r="AC96" i="32" s="1"/>
  <c r="AD62" i="32"/>
  <c r="AD96" i="32" s="1"/>
  <c r="AE62" i="32"/>
  <c r="AF62" i="32"/>
  <c r="AG62" i="32"/>
  <c r="AH62" i="32"/>
  <c r="AI62" i="32"/>
  <c r="AJ62" i="32"/>
  <c r="AK62" i="32"/>
  <c r="H96" i="32"/>
  <c r="I96" i="32"/>
  <c r="J96" i="32"/>
  <c r="K96" i="32"/>
  <c r="L96" i="32"/>
  <c r="M96" i="32"/>
  <c r="S96" i="32"/>
  <c r="T96" i="32"/>
  <c r="U96" i="32"/>
  <c r="V96" i="32"/>
  <c r="W96" i="32"/>
  <c r="X96" i="32"/>
  <c r="Y96" i="32"/>
  <c r="Z96" i="32"/>
  <c r="AE96" i="32"/>
  <c r="AF96" i="32"/>
  <c r="AG96" i="32"/>
  <c r="AH96" i="32"/>
  <c r="AI96" i="32"/>
  <c r="AJ96" i="32"/>
  <c r="AK96" i="32"/>
  <c r="H63" i="32"/>
  <c r="I63" i="32"/>
  <c r="J63" i="32"/>
  <c r="K63" i="32"/>
  <c r="L63" i="32"/>
  <c r="M63" i="32"/>
  <c r="N63" i="32"/>
  <c r="O63" i="32"/>
  <c r="P63" i="32"/>
  <c r="Q63" i="32"/>
  <c r="R63" i="32"/>
  <c r="S63" i="32"/>
  <c r="T63" i="32"/>
  <c r="U63" i="32"/>
  <c r="V63" i="32"/>
  <c r="W63" i="32"/>
  <c r="X63" i="32"/>
  <c r="Y63" i="32"/>
  <c r="Z63" i="32"/>
  <c r="AA63" i="32"/>
  <c r="AB63" i="32"/>
  <c r="AC63" i="32"/>
  <c r="AD63" i="32"/>
  <c r="AE63" i="32"/>
  <c r="AF63" i="32"/>
  <c r="AG63" i="32"/>
  <c r="AH63" i="32"/>
  <c r="AI63" i="32"/>
  <c r="AJ63" i="32"/>
  <c r="AK63" i="32"/>
  <c r="H65" i="32"/>
  <c r="I65" i="32"/>
  <c r="J65" i="32"/>
  <c r="K65" i="32"/>
  <c r="L65" i="32"/>
  <c r="M65" i="32"/>
  <c r="N65" i="32"/>
  <c r="O65" i="32"/>
  <c r="P65" i="32"/>
  <c r="Q65" i="32"/>
  <c r="R65" i="32"/>
  <c r="S65" i="32"/>
  <c r="T65" i="32"/>
  <c r="U65" i="32"/>
  <c r="V65" i="32"/>
  <c r="W65" i="32"/>
  <c r="X65" i="32"/>
  <c r="Y65" i="32"/>
  <c r="Z65" i="32"/>
  <c r="AA65" i="32"/>
  <c r="AB65" i="32"/>
  <c r="AC65" i="32"/>
  <c r="AD65" i="32"/>
  <c r="AE65" i="32"/>
  <c r="AF65" i="32"/>
  <c r="AG65" i="32"/>
  <c r="AH65" i="32"/>
  <c r="AI65" i="32"/>
  <c r="AJ65" i="32"/>
  <c r="AK65" i="32"/>
  <c r="D96" i="32" l="1"/>
  <c r="B451" i="5" l="1"/>
  <c r="M451" i="5" s="1"/>
  <c r="O451" i="5" s="1"/>
  <c r="B429" i="28" s="1"/>
  <c r="D240" i="30" l="1"/>
  <c r="D241" i="30"/>
  <c r="D242" i="30"/>
  <c r="D243" i="30"/>
  <c r="D244" i="30"/>
  <c r="D245" i="30"/>
  <c r="D246" i="30"/>
  <c r="D247" i="30"/>
  <c r="D248" i="30"/>
  <c r="D249" i="30"/>
  <c r="D250" i="30"/>
  <c r="D251" i="30"/>
  <c r="D252" i="30"/>
  <c r="D253" i="30"/>
  <c r="D254" i="30"/>
  <c r="D255" i="30"/>
  <c r="D256" i="30"/>
  <c r="D279" i="33"/>
  <c r="D280" i="33"/>
  <c r="D281" i="33"/>
  <c r="D282" i="33"/>
  <c r="D283" i="33"/>
  <c r="D284" i="33"/>
  <c r="D285" i="33"/>
  <c r="D286" i="33"/>
  <c r="D287" i="33"/>
  <c r="D288" i="33"/>
  <c r="D289" i="33"/>
  <c r="D290" i="33"/>
  <c r="D291" i="33"/>
  <c r="D292" i="33"/>
  <c r="D293" i="33"/>
  <c r="D294" i="33"/>
  <c r="D295" i="33"/>
  <c r="D296" i="33"/>
  <c r="D297" i="33"/>
  <c r="D298" i="33"/>
  <c r="D299" i="33"/>
  <c r="D300" i="33"/>
  <c r="D301" i="33"/>
  <c r="B10" i="20" l="1"/>
  <c r="B11" i="20" s="1"/>
  <c r="B57" i="20"/>
  <c r="B75" i="20"/>
  <c r="B78" i="20"/>
  <c r="L79" i="20"/>
  <c r="L80" i="20"/>
  <c r="L81" i="20"/>
  <c r="L82" i="20"/>
  <c r="L83" i="20"/>
  <c r="L84" i="20"/>
  <c r="B89" i="20"/>
  <c r="B90" i="20" s="1"/>
  <c r="L99" i="20"/>
  <c r="B102" i="20"/>
  <c r="L106" i="20"/>
  <c r="L107" i="20"/>
  <c r="L108" i="20"/>
  <c r="L111" i="20"/>
  <c r="L112" i="20"/>
  <c r="L113" i="20"/>
  <c r="L114" i="20"/>
  <c r="L115" i="20"/>
  <c r="L116" i="20"/>
  <c r="L117" i="20"/>
  <c r="L118" i="20"/>
  <c r="L119" i="20"/>
  <c r="L120" i="20"/>
  <c r="L123" i="20"/>
  <c r="L124" i="20"/>
  <c r="L125" i="20"/>
  <c r="L126" i="20"/>
  <c r="L127" i="20"/>
  <c r="L128" i="20"/>
  <c r="L129" i="20"/>
  <c r="L130" i="20"/>
  <c r="L131" i="20"/>
  <c r="L132" i="20"/>
  <c r="L135" i="20"/>
  <c r="L136" i="20"/>
  <c r="L137" i="20"/>
  <c r="L138" i="20"/>
  <c r="L139" i="20"/>
  <c r="L140" i="20"/>
  <c r="L141" i="20"/>
  <c r="L142" i="20"/>
  <c r="L143" i="20"/>
  <c r="L144" i="20"/>
  <c r="B147" i="20"/>
  <c r="L147" i="20"/>
  <c r="L148" i="20"/>
  <c r="L149" i="20"/>
  <c r="L150" i="20"/>
  <c r="L151" i="20"/>
  <c r="L152" i="20"/>
  <c r="L153" i="20"/>
  <c r="L154" i="20"/>
  <c r="L155" i="20"/>
  <c r="L156" i="20"/>
  <c r="B159" i="20"/>
  <c r="L159" i="20"/>
  <c r="L160" i="20"/>
  <c r="L161" i="20"/>
  <c r="L162" i="20"/>
  <c r="L163" i="20"/>
  <c r="L164" i="20"/>
  <c r="L165" i="20"/>
  <c r="L166" i="20"/>
  <c r="L167" i="20"/>
  <c r="L168" i="20"/>
  <c r="B171" i="20"/>
  <c r="L175" i="20"/>
  <c r="L176" i="20"/>
  <c r="L177" i="20"/>
  <c r="L178" i="20"/>
  <c r="L179" i="20"/>
  <c r="L180" i="20"/>
  <c r="L183" i="20"/>
  <c r="L184" i="20"/>
  <c r="L185" i="20"/>
  <c r="L186" i="20"/>
  <c r="L187" i="20"/>
  <c r="L188" i="20"/>
  <c r="L189" i="20"/>
  <c r="L190" i="20"/>
  <c r="L191" i="20"/>
  <c r="L192" i="20"/>
  <c r="L195" i="20"/>
  <c r="L196" i="20"/>
  <c r="L197" i="20"/>
  <c r="L198" i="20"/>
  <c r="L199" i="20"/>
  <c r="L200" i="20"/>
  <c r="L201" i="20"/>
  <c r="L202" i="20"/>
  <c r="L203" i="20"/>
  <c r="L204" i="20"/>
  <c r="B207" i="20"/>
  <c r="B210" i="20" s="1"/>
  <c r="B211" i="20" s="1"/>
  <c r="B212" i="20" s="1"/>
  <c r="L219" i="20"/>
  <c r="L220" i="20"/>
  <c r="L221" i="20"/>
  <c r="L222" i="20"/>
  <c r="L223" i="20"/>
  <c r="L224" i="20"/>
  <c r="L225" i="20"/>
  <c r="L226" i="20"/>
  <c r="L227" i="20"/>
  <c r="L228" i="20"/>
  <c r="L231" i="20"/>
  <c r="L232" i="20"/>
  <c r="L233" i="20"/>
  <c r="L234" i="20"/>
  <c r="L235" i="20"/>
  <c r="L236" i="20"/>
  <c r="L237" i="20"/>
  <c r="L238" i="20"/>
  <c r="L239" i="20"/>
  <c r="L240" i="20"/>
  <c r="B256" i="20"/>
  <c r="L255" i="20" s="1"/>
  <c r="L256" i="20"/>
  <c r="L257" i="20"/>
  <c r="L258" i="20"/>
  <c r="L259" i="20"/>
  <c r="L260" i="20"/>
  <c r="L261" i="20"/>
  <c r="L262" i="20"/>
  <c r="L263" i="20"/>
  <c r="L264" i="20"/>
  <c r="L276" i="20"/>
  <c r="B285" i="20"/>
  <c r="B288" i="20"/>
  <c r="B289" i="20" s="1"/>
  <c r="B290" i="20" s="1"/>
  <c r="B297" i="20"/>
  <c r="L297" i="20" s="1"/>
  <c r="L298" i="20"/>
  <c r="L299" i="20"/>
  <c r="L300" i="20"/>
  <c r="L301" i="20"/>
  <c r="L302" i="20"/>
  <c r="L303" i="20"/>
  <c r="L304" i="20"/>
  <c r="L305" i="20"/>
  <c r="L306" i="20"/>
  <c r="B310" i="20"/>
  <c r="L314" i="20"/>
  <c r="L315" i="20"/>
  <c r="L316" i="20"/>
  <c r="L317" i="20"/>
  <c r="L318" i="20"/>
  <c r="B323" i="20"/>
  <c r="B333" i="20"/>
  <c r="B336" i="20"/>
  <c r="B337" i="20"/>
  <c r="B338" i="20"/>
  <c r="B345" i="20"/>
  <c r="L345" i="20" s="1"/>
  <c r="L346" i="20"/>
  <c r="L347" i="20"/>
  <c r="L348" i="20"/>
  <c r="L349" i="20"/>
  <c r="L350" i="20"/>
  <c r="L351" i="20"/>
  <c r="L352" i="20"/>
  <c r="L353" i="20"/>
  <c r="L354" i="20"/>
  <c r="L357" i="20"/>
  <c r="B358" i="20"/>
  <c r="L358" i="20"/>
  <c r="L359" i="20"/>
  <c r="L360" i="20"/>
  <c r="L361" i="20"/>
  <c r="L362" i="20"/>
  <c r="L363" i="20"/>
  <c r="L364" i="20"/>
  <c r="L365" i="20"/>
  <c r="L366" i="20"/>
  <c r="B371" i="20"/>
  <c r="B381" i="20"/>
  <c r="B384" i="20"/>
  <c r="B385" i="20"/>
  <c r="B386" i="20"/>
  <c r="B393" i="20"/>
  <c r="B395" i="20" s="1"/>
  <c r="B397" i="20" s="1"/>
  <c r="B408" i="20"/>
  <c r="L409" i="20"/>
  <c r="L410" i="20"/>
  <c r="L411" i="20"/>
  <c r="L412" i="20"/>
  <c r="L413" i="20"/>
  <c r="L414" i="20"/>
  <c r="B417" i="20"/>
  <c r="B420" i="20" s="1"/>
  <c r="B421" i="20" s="1"/>
  <c r="B422" i="20" s="1"/>
  <c r="B429" i="20"/>
  <c r="L429" i="20" s="1"/>
  <c r="L430" i="20"/>
  <c r="L431" i="20"/>
  <c r="L432" i="20"/>
  <c r="L433" i="20"/>
  <c r="L434" i="20"/>
  <c r="L435" i="20"/>
  <c r="L436" i="20"/>
  <c r="L437" i="20"/>
  <c r="L438" i="20"/>
  <c r="B442" i="20"/>
  <c r="B455" i="20"/>
  <c r="L457" i="20"/>
  <c r="L458" i="20"/>
  <c r="L459" i="20"/>
  <c r="L460" i="20"/>
  <c r="L461" i="20"/>
  <c r="L462" i="20"/>
  <c r="B469" i="20"/>
  <c r="L470" i="20"/>
  <c r="L471" i="20"/>
  <c r="L472" i="20"/>
  <c r="L473" i="20"/>
  <c r="L474" i="20"/>
  <c r="B477" i="20"/>
  <c r="B491" i="20"/>
  <c r="B501" i="20"/>
  <c r="B514" i="20"/>
  <c r="B525" i="20"/>
  <c r="B527" i="20" s="1"/>
  <c r="B840" i="20"/>
  <c r="B854" i="20"/>
  <c r="L854" i="20"/>
  <c r="L855" i="20"/>
  <c r="L856" i="20"/>
  <c r="L857" i="20"/>
  <c r="L858" i="20"/>
  <c r="L859" i="20"/>
  <c r="L860" i="20"/>
  <c r="L865" i="20"/>
  <c r="L866" i="20"/>
  <c r="L867" i="20"/>
  <c r="L868" i="20"/>
  <c r="L869" i="20"/>
  <c r="L870" i="20"/>
  <c r="L871" i="20"/>
  <c r="L872" i="20"/>
  <c r="B889" i="20"/>
  <c r="B892" i="20" s="1"/>
  <c r="B893" i="20" s="1"/>
  <c r="B894" i="20" s="1"/>
  <c r="B902" i="20"/>
  <c r="L901" i="20" s="1"/>
  <c r="L902" i="20"/>
  <c r="L903" i="20"/>
  <c r="L904" i="20"/>
  <c r="L905" i="20"/>
  <c r="L906" i="20"/>
  <c r="L907" i="20"/>
  <c r="L908" i="20"/>
  <c r="L909" i="20"/>
  <c r="L910" i="20"/>
  <c r="B916" i="20"/>
  <c r="B917" i="20" s="1"/>
  <c r="B918" i="20" s="1"/>
  <c r="B939" i="20"/>
  <c r="B941" i="20" s="1"/>
  <c r="B952" i="20"/>
  <c r="B954" i="20" s="1"/>
  <c r="B964" i="20"/>
  <c r="B965" i="20"/>
  <c r="B966" i="20" s="1"/>
  <c r="B974" i="20"/>
  <c r="B987" i="20"/>
  <c r="B989" i="20" s="1"/>
  <c r="B998" i="20"/>
  <c r="B999" i="20"/>
  <c r="B1000" i="20"/>
  <c r="B1011" i="20"/>
  <c r="B1023" i="20"/>
  <c r="B1025" i="20" s="1"/>
  <c r="B1035" i="20"/>
  <c r="B1036" i="20"/>
  <c r="B1037" i="20" s="1"/>
  <c r="B1048" i="20"/>
  <c r="B1049" i="20" s="1"/>
  <c r="B1050" i="20" s="1"/>
  <c r="L1057" i="20"/>
  <c r="L1058" i="20"/>
  <c r="L1059" i="20"/>
  <c r="L1060" i="20"/>
  <c r="L1061" i="20"/>
  <c r="L1062" i="20"/>
  <c r="L1063" i="20"/>
  <c r="L1064" i="20"/>
  <c r="L1065" i="20"/>
  <c r="L1066" i="20"/>
  <c r="B1077" i="20"/>
  <c r="B1080" i="20"/>
  <c r="B1081" i="20" s="1"/>
  <c r="B1082" i="20" s="1"/>
  <c r="B1089" i="20"/>
  <c r="B1092" i="20" s="1"/>
  <c r="B1093" i="20" s="1"/>
  <c r="B1094" i="20" s="1"/>
  <c r="B1113" i="20"/>
  <c r="L1116" i="20"/>
  <c r="L1117" i="20"/>
  <c r="L1118" i="20"/>
  <c r="L1119" i="20"/>
  <c r="L1120" i="20"/>
  <c r="L1121" i="20"/>
  <c r="L1122" i="20"/>
  <c r="B1125" i="20"/>
  <c r="B1126" i="20"/>
  <c r="L1125" i="20" s="1"/>
  <c r="L1126" i="20"/>
  <c r="L1127" i="20"/>
  <c r="L1128" i="20"/>
  <c r="L1129" i="20"/>
  <c r="L1130" i="20"/>
  <c r="L1131" i="20"/>
  <c r="L1132" i="20"/>
  <c r="L1133" i="20"/>
  <c r="L1134" i="20"/>
  <c r="L1137" i="20"/>
  <c r="L1138" i="20"/>
  <c r="L1139" i="20"/>
  <c r="L1140" i="20"/>
  <c r="L1141" i="20"/>
  <c r="L1142" i="20"/>
  <c r="L1143" i="20"/>
  <c r="L1144" i="20"/>
  <c r="L1145" i="20"/>
  <c r="L1146" i="20"/>
  <c r="B1157" i="20"/>
  <c r="B1160" i="20"/>
  <c r="B1161" i="20" s="1"/>
  <c r="B1162" i="20" s="1"/>
  <c r="B1169" i="20"/>
  <c r="B1171" i="20" s="1"/>
  <c r="B1182" i="20"/>
  <c r="B1196" i="20"/>
  <c r="L1198" i="20"/>
  <c r="L1199" i="20"/>
  <c r="L1200" i="20"/>
  <c r="L1201" i="20"/>
  <c r="L1202" i="20"/>
  <c r="B1217" i="20"/>
  <c r="B1240" i="20"/>
  <c r="L1244" i="20"/>
  <c r="L1245" i="20"/>
  <c r="L1246" i="20"/>
  <c r="L1247" i="20"/>
  <c r="L1248" i="20"/>
  <c r="L1249" i="20"/>
  <c r="B1252" i="20"/>
  <c r="L1256" i="20"/>
  <c r="L1257" i="20"/>
  <c r="L1258" i="20"/>
  <c r="L1259" i="20"/>
  <c r="L1260" i="20"/>
  <c r="L1261" i="20"/>
  <c r="B1264" i="20"/>
  <c r="B1276" i="20"/>
  <c r="B1277" i="20" s="1"/>
  <c r="B1288" i="20"/>
  <c r="L1288" i="20"/>
  <c r="L1289" i="20"/>
  <c r="L1290" i="20"/>
  <c r="L1291" i="20"/>
  <c r="L1292" i="20"/>
  <c r="L1293" i="20"/>
  <c r="L1294" i="20"/>
  <c r="L1295" i="20"/>
  <c r="L1296" i="20"/>
  <c r="L1297" i="20"/>
  <c r="B1300" i="20"/>
  <c r="B1312" i="20"/>
  <c r="L1312" i="20"/>
  <c r="L1313" i="20"/>
  <c r="L1314" i="20"/>
  <c r="L1315" i="20"/>
  <c r="L1316" i="20"/>
  <c r="L1317" i="20"/>
  <c r="L1318" i="20"/>
  <c r="L1319" i="20"/>
  <c r="L1320" i="20"/>
  <c r="L1321" i="20"/>
  <c r="B1324" i="20"/>
  <c r="L1324" i="20"/>
  <c r="L1325" i="20"/>
  <c r="L1326" i="20"/>
  <c r="L1327" i="20"/>
  <c r="L1328" i="20"/>
  <c r="L1329" i="20"/>
  <c r="L1330" i="20"/>
  <c r="L1331" i="20"/>
  <c r="L1332" i="20"/>
  <c r="L1333" i="20"/>
  <c r="B1336" i="20"/>
  <c r="B1339" i="20" s="1"/>
  <c r="B1340" i="20" s="1"/>
  <c r="B1341" i="20" s="1"/>
  <c r="B1348" i="20"/>
  <c r="B1512" i="20"/>
  <c r="B1361" i="20"/>
  <c r="B1379" i="20"/>
  <c r="B1380" i="20" s="1"/>
  <c r="B1391" i="20"/>
  <c r="B1394" i="20"/>
  <c r="B1395" i="20" s="1"/>
  <c r="B1396" i="20" s="1"/>
  <c r="B1403" i="20"/>
  <c r="B1406" i="20" s="1"/>
  <c r="B1407" i="20" s="1"/>
  <c r="B1408" i="20" s="1"/>
  <c r="B1415" i="20"/>
  <c r="L1418" i="20"/>
  <c r="L1419" i="20"/>
  <c r="L1420" i="20"/>
  <c r="L1421" i="20"/>
  <c r="L1422" i="20"/>
  <c r="L1423" i="20"/>
  <c r="L1424" i="20"/>
  <c r="B1430" i="20"/>
  <c r="L1432" i="20"/>
  <c r="L1433" i="20"/>
  <c r="L1434" i="20"/>
  <c r="L1435" i="20"/>
  <c r="L1436" i="20"/>
  <c r="B1439" i="20"/>
  <c r="B1441" i="20"/>
  <c r="B1443" i="20" s="1"/>
  <c r="B1451" i="20"/>
  <c r="B1453" i="20"/>
  <c r="B1455" i="20" s="1"/>
  <c r="B1463" i="20"/>
  <c r="B1466" i="20"/>
  <c r="B1467" i="20"/>
  <c r="B1468" i="20"/>
  <c r="L1468" i="20"/>
  <c r="L1469" i="20"/>
  <c r="L1470" i="20"/>
  <c r="L1471" i="20"/>
  <c r="L1472" i="20"/>
  <c r="B1475" i="20"/>
  <c r="L1487" i="20"/>
  <c r="L1488" i="20"/>
  <c r="L1489" i="20"/>
  <c r="L1490" i="20"/>
  <c r="L1491" i="20"/>
  <c r="L1492" i="20"/>
  <c r="L1493" i="20"/>
  <c r="L1494" i="20"/>
  <c r="L1495" i="20"/>
  <c r="L1496" i="20"/>
  <c r="L1499" i="20"/>
  <c r="L1500" i="20"/>
  <c r="L1501" i="20"/>
  <c r="L1502" i="20"/>
  <c r="L1503" i="20"/>
  <c r="L1504" i="20"/>
  <c r="L1505" i="20"/>
  <c r="L1506" i="20"/>
  <c r="L1507" i="20"/>
  <c r="L1508" i="20"/>
  <c r="B1523" i="20"/>
  <c r="L1523" i="20"/>
  <c r="L1524" i="20"/>
  <c r="L1525" i="20"/>
  <c r="L1526" i="20"/>
  <c r="L1527" i="20"/>
  <c r="L1528" i="20"/>
  <c r="L1529" i="20"/>
  <c r="L1530" i="20"/>
  <c r="L1531" i="20"/>
  <c r="L1532" i="20"/>
  <c r="B1545" i="20"/>
  <c r="B1546" i="20"/>
  <c r="L1545" i="20" s="1"/>
  <c r="L1546" i="20"/>
  <c r="L1547" i="20"/>
  <c r="L1548" i="20"/>
  <c r="L1549" i="20"/>
  <c r="L1550" i="20"/>
  <c r="L1551" i="20"/>
  <c r="L1552" i="20"/>
  <c r="L1553" i="20"/>
  <c r="L1554" i="20"/>
  <c r="B1557" i="20"/>
  <c r="B1560" i="20"/>
  <c r="B1561" i="20"/>
  <c r="B1562" i="20"/>
  <c r="L1562" i="20"/>
  <c r="L1563" i="20"/>
  <c r="L1564" i="20"/>
  <c r="L1565" i="20"/>
  <c r="L1566" i="20"/>
  <c r="B1569" i="20"/>
  <c r="B1570" i="20"/>
  <c r="L1569" i="20" s="1"/>
  <c r="L1570" i="20"/>
  <c r="L1571" i="20"/>
  <c r="L1572" i="20"/>
  <c r="L1573" i="20"/>
  <c r="L1574" i="20"/>
  <c r="L1575" i="20"/>
  <c r="L1576" i="20"/>
  <c r="L1577" i="20"/>
  <c r="L1578" i="20"/>
  <c r="B1581" i="20"/>
  <c r="L1581" i="20"/>
  <c r="L1582" i="20"/>
  <c r="L1583" i="20"/>
  <c r="L1584" i="20"/>
  <c r="L1585" i="20"/>
  <c r="L1586" i="20"/>
  <c r="L1587" i="20"/>
  <c r="L1588" i="20"/>
  <c r="L1589" i="20"/>
  <c r="L1590" i="20"/>
  <c r="B1593" i="20"/>
  <c r="L1593" i="20"/>
  <c r="L1594" i="20"/>
  <c r="L1595" i="20"/>
  <c r="L1596" i="20"/>
  <c r="L1597" i="20"/>
  <c r="L1598" i="20"/>
  <c r="L1599" i="20"/>
  <c r="L1600" i="20"/>
  <c r="L1601" i="20"/>
  <c r="L1602" i="20"/>
  <c r="B1608" i="20"/>
  <c r="B1609" i="20"/>
  <c r="B1610" i="20"/>
  <c r="L1610" i="20"/>
  <c r="L1611" i="20"/>
  <c r="L1612" i="20"/>
  <c r="L1613" i="20"/>
  <c r="L1614" i="20"/>
  <c r="L1617" i="20"/>
  <c r="L1618" i="20"/>
  <c r="L1619" i="20"/>
  <c r="L1620" i="20"/>
  <c r="L1621" i="20"/>
  <c r="L1622" i="20"/>
  <c r="L1623" i="20"/>
  <c r="L1624" i="20"/>
  <c r="L1625" i="20"/>
  <c r="L1626" i="20"/>
  <c r="B1630" i="20"/>
  <c r="L1641" i="20"/>
  <c r="L1642" i="20"/>
  <c r="L1643" i="20"/>
  <c r="L1644" i="20"/>
  <c r="L1645" i="20"/>
  <c r="L1646" i="20"/>
  <c r="L1647" i="20"/>
  <c r="L1648" i="20"/>
  <c r="L1649" i="20"/>
  <c r="L1650" i="20"/>
  <c r="B1660" i="20"/>
  <c r="B1661" i="20"/>
  <c r="L1660" i="20" s="1"/>
  <c r="L1661" i="20"/>
  <c r="L1662" i="20"/>
  <c r="L1663" i="20"/>
  <c r="L1664" i="20"/>
  <c r="L1665" i="20"/>
  <c r="L1666" i="20"/>
  <c r="L1667" i="20"/>
  <c r="L1668" i="20"/>
  <c r="L1669" i="20"/>
  <c r="B1672" i="20"/>
  <c r="B1675" i="20"/>
  <c r="B1676" i="20"/>
  <c r="B1677" i="20"/>
  <c r="L1677" i="20"/>
  <c r="L1678" i="20"/>
  <c r="L1679" i="20"/>
  <c r="L1680" i="20"/>
  <c r="L1681" i="20"/>
  <c r="B1684" i="20"/>
  <c r="B1685" i="20"/>
  <c r="L1684" i="20" s="1"/>
  <c r="L1685" i="20"/>
  <c r="L1686" i="20"/>
  <c r="L1687" i="20"/>
  <c r="L1688" i="20"/>
  <c r="L1689" i="20"/>
  <c r="L1690" i="20"/>
  <c r="L1691" i="20"/>
  <c r="L1692" i="20"/>
  <c r="L1693" i="20"/>
  <c r="B1696" i="20"/>
  <c r="L1696" i="20"/>
  <c r="L1697" i="20"/>
  <c r="L1698" i="20"/>
  <c r="L1699" i="20"/>
  <c r="L1700" i="20"/>
  <c r="L1701" i="20"/>
  <c r="L1702" i="20"/>
  <c r="L1703" i="20"/>
  <c r="L1704" i="20"/>
  <c r="L1705" i="20"/>
  <c r="B1708" i="20"/>
  <c r="L1708" i="20"/>
  <c r="L1709" i="20"/>
  <c r="L1710" i="20"/>
  <c r="L1711" i="20"/>
  <c r="L1712" i="20"/>
  <c r="L1713" i="20"/>
  <c r="L1714" i="20"/>
  <c r="L1715" i="20"/>
  <c r="L1716" i="20"/>
  <c r="L1717" i="20"/>
  <c r="B1721" i="20"/>
  <c r="L1720" i="20" s="1"/>
  <c r="L1721" i="20"/>
  <c r="L1722" i="20"/>
  <c r="L1723" i="20"/>
  <c r="L1724" i="20"/>
  <c r="L1725" i="20"/>
  <c r="L1726" i="20"/>
  <c r="L1727" i="20"/>
  <c r="L1728" i="20"/>
  <c r="L1729" i="20"/>
  <c r="B1733" i="20"/>
  <c r="L1732" i="20" s="1"/>
  <c r="L1733" i="20"/>
  <c r="L1734" i="20"/>
  <c r="L1735" i="20"/>
  <c r="L1736" i="20"/>
  <c r="L1737" i="20"/>
  <c r="L1738" i="20"/>
  <c r="L1739" i="20"/>
  <c r="L1740" i="20"/>
  <c r="L1741" i="20"/>
  <c r="B1744" i="20"/>
  <c r="L1744" i="20"/>
  <c r="L1745" i="20"/>
  <c r="L1746" i="20"/>
  <c r="L1747" i="20"/>
  <c r="L1748" i="20"/>
  <c r="L1749" i="20"/>
  <c r="L1750" i="20"/>
  <c r="L1751" i="20"/>
  <c r="L1752" i="20"/>
  <c r="L1753" i="20"/>
  <c r="L1756" i="20"/>
  <c r="L1757" i="20"/>
  <c r="L1758" i="20"/>
  <c r="L1759" i="20"/>
  <c r="L1760" i="20"/>
  <c r="L1761" i="20"/>
  <c r="L1762" i="20"/>
  <c r="L1763" i="20"/>
  <c r="L1764" i="20"/>
  <c r="L1765" i="20"/>
  <c r="B1769" i="20"/>
  <c r="L1768" i="20" s="1"/>
  <c r="L1769" i="20"/>
  <c r="L1770" i="20"/>
  <c r="L1771" i="20"/>
  <c r="L1772" i="20"/>
  <c r="L1773" i="20"/>
  <c r="L1774" i="20"/>
  <c r="L1775" i="20"/>
  <c r="L1776" i="20"/>
  <c r="L1777" i="20"/>
  <c r="L1780" i="20"/>
  <c r="L1781" i="20"/>
  <c r="L1782" i="20"/>
  <c r="L1783" i="20"/>
  <c r="L1784" i="20"/>
  <c r="L1785" i="20"/>
  <c r="L1786" i="20"/>
  <c r="L1787" i="20"/>
  <c r="L1788" i="20"/>
  <c r="L1789" i="20"/>
  <c r="B1800" i="20"/>
  <c r="B1801" i="20"/>
  <c r="L1800" i="20" s="1"/>
  <c r="L1801" i="20"/>
  <c r="L1802" i="20"/>
  <c r="L1803" i="20"/>
  <c r="L1804" i="20"/>
  <c r="L1805" i="20"/>
  <c r="L1806" i="20"/>
  <c r="L1807" i="20"/>
  <c r="L1808" i="20"/>
  <c r="L1809" i="20"/>
  <c r="B1812" i="20"/>
  <c r="B1814" i="20"/>
  <c r="B1816" i="20"/>
  <c r="L1816" i="20"/>
  <c r="L1817" i="20"/>
  <c r="L1818" i="20"/>
  <c r="L1819" i="20"/>
  <c r="L1820" i="20"/>
  <c r="L1821" i="20"/>
  <c r="B1824" i="20"/>
  <c r="B1827" i="20"/>
  <c r="B1828" i="20"/>
  <c r="B1829" i="20"/>
  <c r="L1829" i="20"/>
  <c r="L1830" i="20"/>
  <c r="L1831" i="20"/>
  <c r="L1832" i="20"/>
  <c r="L1833" i="20"/>
  <c r="L1860" i="20"/>
  <c r="L1861" i="20"/>
  <c r="L1862" i="20"/>
  <c r="L1863" i="20"/>
  <c r="L1864" i="20"/>
  <c r="L1865" i="20"/>
  <c r="L1866" i="20"/>
  <c r="L1867" i="20"/>
  <c r="L1868" i="20"/>
  <c r="L1869" i="20"/>
  <c r="B1886" i="20"/>
  <c r="B1887" i="20"/>
  <c r="L1887" i="20"/>
  <c r="L1888" i="20"/>
  <c r="L1889" i="20"/>
  <c r="L1890" i="20"/>
  <c r="L1891" i="20"/>
  <c r="L1892" i="20"/>
  <c r="L1893" i="20"/>
  <c r="L1894" i="20"/>
  <c r="B1897" i="20"/>
  <c r="B1900" i="20"/>
  <c r="B1901" i="20"/>
  <c r="B1902" i="20"/>
  <c r="L1902" i="20"/>
  <c r="L1903" i="20"/>
  <c r="L1904" i="20"/>
  <c r="L1905" i="20"/>
  <c r="L1906" i="20"/>
  <c r="B1909" i="20"/>
  <c r="B1912" i="20"/>
  <c r="B1913" i="20"/>
  <c r="B1914" i="20"/>
  <c r="L1914" i="20"/>
  <c r="L1915" i="20"/>
  <c r="L1916" i="20"/>
  <c r="L1917" i="20"/>
  <c r="L1918" i="20"/>
  <c r="B1921" i="20"/>
  <c r="B1922" i="20"/>
  <c r="L1921" i="20" s="1"/>
  <c r="L1922" i="20"/>
  <c r="L1923" i="20"/>
  <c r="L1924" i="20"/>
  <c r="L1925" i="20"/>
  <c r="L1926" i="20"/>
  <c r="L1927" i="20"/>
  <c r="L1928" i="20"/>
  <c r="L1929" i="20"/>
  <c r="L1930" i="20"/>
  <c r="B1933" i="20"/>
  <c r="B1936" i="20"/>
  <c r="B1937" i="20"/>
  <c r="B1938" i="20"/>
  <c r="L1938" i="20"/>
  <c r="L1939" i="20"/>
  <c r="L1940" i="20"/>
  <c r="L1941" i="20"/>
  <c r="L1942" i="20"/>
  <c r="B1945" i="20"/>
  <c r="B1948" i="20"/>
  <c r="B1949" i="20"/>
  <c r="B1950" i="20"/>
  <c r="L1950" i="20"/>
  <c r="L1951" i="20"/>
  <c r="L1952" i="20"/>
  <c r="L1953" i="20"/>
  <c r="L1954" i="20"/>
  <c r="B1957" i="20"/>
  <c r="B1958" i="20"/>
  <c r="L1957" i="20" s="1"/>
  <c r="L1958" i="20"/>
  <c r="L1959" i="20"/>
  <c r="L1960" i="20"/>
  <c r="L1961" i="20"/>
  <c r="L1962" i="20"/>
  <c r="L1963" i="20"/>
  <c r="L1964" i="20"/>
  <c r="L1965" i="20"/>
  <c r="L1966" i="20"/>
  <c r="B1969" i="20"/>
  <c r="B1972" i="20"/>
  <c r="B1973" i="20"/>
  <c r="B1974" i="20"/>
  <c r="L1974" i="20"/>
  <c r="L1975" i="20"/>
  <c r="L1976" i="20"/>
  <c r="L1977" i="20"/>
  <c r="L1978" i="20"/>
  <c r="B1981" i="20"/>
  <c r="B1984" i="20"/>
  <c r="B1985" i="20"/>
  <c r="B1986" i="20"/>
  <c r="L1986" i="20"/>
  <c r="L1987" i="20"/>
  <c r="L1988" i="20"/>
  <c r="L1989" i="20"/>
  <c r="L1990" i="20"/>
  <c r="B1993" i="20"/>
  <c r="B1994" i="20"/>
  <c r="L1993" i="20" s="1"/>
  <c r="L1994" i="20"/>
  <c r="L1995" i="20"/>
  <c r="L1996" i="20"/>
  <c r="L1997" i="20"/>
  <c r="L1998" i="20"/>
  <c r="L1999" i="20"/>
  <c r="L2000" i="20"/>
  <c r="L2001" i="20"/>
  <c r="L2002" i="20"/>
  <c r="B2005" i="20"/>
  <c r="B2008" i="20"/>
  <c r="B2009" i="20"/>
  <c r="B2010" i="20"/>
  <c r="L2010" i="20"/>
  <c r="L2011" i="20"/>
  <c r="L2012" i="20"/>
  <c r="L2013" i="20"/>
  <c r="L2014" i="20"/>
  <c r="B2017" i="20"/>
  <c r="B2018" i="20"/>
  <c r="L2017" i="20" s="1"/>
  <c r="L2018" i="20"/>
  <c r="L2019" i="20"/>
  <c r="L2020" i="20"/>
  <c r="L2021" i="20"/>
  <c r="L2022" i="20"/>
  <c r="L2023" i="20"/>
  <c r="L2024" i="20"/>
  <c r="L2025" i="20"/>
  <c r="L2026" i="20"/>
  <c r="B2032" i="20"/>
  <c r="B2033" i="20"/>
  <c r="L2033" i="20"/>
  <c r="L2034" i="20"/>
  <c r="L2035" i="20"/>
  <c r="L2036" i="20"/>
  <c r="L2037" i="20"/>
  <c r="L2038" i="20"/>
  <c r="B2041" i="20"/>
  <c r="L2041" i="20"/>
  <c r="L2042" i="20"/>
  <c r="L2043" i="20"/>
  <c r="L2044" i="20"/>
  <c r="L2045" i="20"/>
  <c r="L2046" i="20"/>
  <c r="L2047" i="20"/>
  <c r="L2048" i="20"/>
  <c r="L2049" i="20"/>
  <c r="L2050" i="20"/>
  <c r="B2053" i="20"/>
  <c r="L2053" i="20"/>
  <c r="L2054" i="20"/>
  <c r="L2055" i="20"/>
  <c r="L2056" i="20"/>
  <c r="L2057" i="20"/>
  <c r="L2058" i="20"/>
  <c r="L2059" i="20"/>
  <c r="L2060" i="20"/>
  <c r="L2061" i="20"/>
  <c r="L2062" i="20"/>
  <c r="B2065" i="20"/>
  <c r="B2066" i="20"/>
  <c r="L2065" i="20" s="1"/>
  <c r="L2066" i="20"/>
  <c r="L2067" i="20"/>
  <c r="L2068" i="20"/>
  <c r="L2069" i="20"/>
  <c r="L2070" i="20"/>
  <c r="L2071" i="20"/>
  <c r="L2072" i="20"/>
  <c r="L2073" i="20"/>
  <c r="L2074" i="20"/>
  <c r="B2077" i="20"/>
  <c r="L2077" i="20"/>
  <c r="L2078" i="20"/>
  <c r="L2079" i="20"/>
  <c r="L2080" i="20"/>
  <c r="L2081" i="20"/>
  <c r="L2082" i="20"/>
  <c r="L2083" i="20"/>
  <c r="L2084" i="20"/>
  <c r="L2085" i="20"/>
  <c r="L2086" i="20"/>
  <c r="B2089" i="20"/>
  <c r="B2090" i="20"/>
  <c r="L2089" i="20" s="1"/>
  <c r="L2090" i="20"/>
  <c r="L2091" i="20"/>
  <c r="L2092" i="20"/>
  <c r="L2093" i="20"/>
  <c r="L2094" i="20"/>
  <c r="L2095" i="20"/>
  <c r="L2096" i="20"/>
  <c r="L2097" i="20"/>
  <c r="L2098" i="20"/>
  <c r="L2101" i="20"/>
  <c r="L2102" i="20"/>
  <c r="L2103" i="20"/>
  <c r="L2104" i="20"/>
  <c r="L2105" i="20"/>
  <c r="L2106" i="20"/>
  <c r="L2107" i="20"/>
  <c r="L2108" i="20"/>
  <c r="L2109" i="20"/>
  <c r="L2110" i="20"/>
  <c r="L2111" i="20"/>
  <c r="B2114" i="20"/>
  <c r="L2113" i="20" s="1"/>
  <c r="L2114" i="20"/>
  <c r="L2115" i="20"/>
  <c r="L2116" i="20"/>
  <c r="L2117" i="20"/>
  <c r="L2118" i="20"/>
  <c r="L2119" i="20"/>
  <c r="L2120" i="20"/>
  <c r="L2121" i="20"/>
  <c r="L2122" i="20"/>
  <c r="B2125" i="20"/>
  <c r="L2125" i="20"/>
  <c r="L2126" i="20"/>
  <c r="L2127" i="20"/>
  <c r="L2128" i="20"/>
  <c r="L2129" i="20"/>
  <c r="L2130" i="20"/>
  <c r="L2131" i="20"/>
  <c r="L2132" i="20"/>
  <c r="L2133" i="20"/>
  <c r="L2134" i="20"/>
  <c r="B2144" i="20"/>
  <c r="L2144" i="20"/>
  <c r="L2145" i="20"/>
  <c r="L2146" i="20"/>
  <c r="L2147" i="20"/>
  <c r="L2148" i="20"/>
  <c r="L2149" i="20"/>
  <c r="L2150" i="20"/>
  <c r="L2151" i="20"/>
  <c r="L2152" i="20"/>
  <c r="L2153" i="20"/>
  <c r="B2156" i="20"/>
  <c r="L2156" i="20"/>
  <c r="L2157" i="20"/>
  <c r="L2158" i="20"/>
  <c r="L2159" i="20"/>
  <c r="L2160" i="20"/>
  <c r="L2161" i="20"/>
  <c r="L2162" i="20"/>
  <c r="L2163" i="20"/>
  <c r="L2164" i="20"/>
  <c r="L2165" i="20"/>
  <c r="B2168" i="20"/>
  <c r="L2168" i="20"/>
  <c r="L2169" i="20"/>
  <c r="L2170" i="20"/>
  <c r="L2171" i="20"/>
  <c r="L2172" i="20"/>
  <c r="L2173" i="20"/>
  <c r="L2174" i="20"/>
  <c r="L2175" i="20"/>
  <c r="L2176" i="20"/>
  <c r="L2177" i="20"/>
  <c r="B2180" i="20"/>
  <c r="B2181" i="20"/>
  <c r="L2180" i="20" s="1"/>
  <c r="L2181" i="20"/>
  <c r="L2182" i="20"/>
  <c r="L2183" i="20"/>
  <c r="L2184" i="20"/>
  <c r="L2185" i="20"/>
  <c r="L2186" i="20"/>
  <c r="L2187" i="20"/>
  <c r="L2188" i="20"/>
  <c r="L2189" i="20"/>
  <c r="B2192" i="20"/>
  <c r="L2192" i="20"/>
  <c r="L2193" i="20"/>
  <c r="L2194" i="20"/>
  <c r="L2195" i="20"/>
  <c r="L2196" i="20"/>
  <c r="L2197" i="20"/>
  <c r="L2198" i="20"/>
  <c r="L2199" i="20"/>
  <c r="L2200" i="20"/>
  <c r="L2201" i="20"/>
  <c r="B2204" i="20"/>
  <c r="L2204" i="20"/>
  <c r="L2205" i="20"/>
  <c r="L2206" i="20"/>
  <c r="L2207" i="20"/>
  <c r="L2208" i="20"/>
  <c r="L2209" i="20"/>
  <c r="L2210" i="20"/>
  <c r="L2211" i="20"/>
  <c r="L2212" i="20"/>
  <c r="L2213" i="20"/>
  <c r="B2216" i="20"/>
  <c r="L2216" i="20"/>
  <c r="L2217" i="20"/>
  <c r="L2218" i="20"/>
  <c r="L2219" i="20"/>
  <c r="L2220" i="20"/>
  <c r="L2221" i="20"/>
  <c r="L2222" i="20"/>
  <c r="L2223" i="20"/>
  <c r="L2224" i="20"/>
  <c r="L2225" i="20"/>
  <c r="B2228" i="20"/>
  <c r="L2228" i="20"/>
  <c r="L2229" i="20"/>
  <c r="L2230" i="20"/>
  <c r="L2231" i="20"/>
  <c r="L2232" i="20"/>
  <c r="L2233" i="20"/>
  <c r="L2234" i="20"/>
  <c r="L2235" i="20"/>
  <c r="L2236" i="20"/>
  <c r="L2237" i="20"/>
  <c r="B2240" i="20"/>
  <c r="B2243" i="20"/>
  <c r="B2244" i="20"/>
  <c r="B2245" i="20"/>
  <c r="L2245" i="20"/>
  <c r="L2246" i="20"/>
  <c r="L2247" i="20"/>
  <c r="L2248" i="20"/>
  <c r="L2249" i="20"/>
  <c r="B2252" i="20"/>
  <c r="B2265" i="20"/>
  <c r="B2283" i="20"/>
  <c r="B2284" i="20"/>
  <c r="L2283" i="20" s="1"/>
  <c r="L2284" i="20"/>
  <c r="L2285" i="20"/>
  <c r="L2286" i="20"/>
  <c r="L2287" i="20"/>
  <c r="L2288" i="20"/>
  <c r="L2289" i="20"/>
  <c r="L2290" i="20"/>
  <c r="L2291" i="20"/>
  <c r="L2292" i="20"/>
  <c r="B2295" i="20"/>
  <c r="B2298" i="20"/>
  <c r="B2299" i="20"/>
  <c r="B2300" i="20"/>
  <c r="L2300" i="20"/>
  <c r="L2301" i="20"/>
  <c r="L2302" i="20"/>
  <c r="L2303" i="20"/>
  <c r="L2304" i="20"/>
  <c r="B2307" i="20"/>
  <c r="L2307" i="20"/>
  <c r="L2308" i="20"/>
  <c r="L2309" i="20"/>
  <c r="L2310" i="20"/>
  <c r="L2311" i="20"/>
  <c r="L2312" i="20"/>
  <c r="L2313" i="20"/>
  <c r="L2314" i="20"/>
  <c r="L2315" i="20"/>
  <c r="L2316" i="20"/>
  <c r="B2319" i="20"/>
  <c r="B2322" i="20"/>
  <c r="B2323" i="20"/>
  <c r="B2324" i="20"/>
  <c r="L2324" i="20"/>
  <c r="L2325" i="20"/>
  <c r="L2326" i="20"/>
  <c r="L2327" i="20"/>
  <c r="L2328" i="20"/>
  <c r="B2331" i="20"/>
  <c r="B2334" i="20"/>
  <c r="B2335" i="20"/>
  <c r="B2336" i="20"/>
  <c r="L2336" i="20"/>
  <c r="L2337" i="20"/>
  <c r="L2338" i="20"/>
  <c r="L2339" i="20"/>
  <c r="L2340" i="20"/>
  <c r="B2344" i="20"/>
  <c r="L2343" i="20" s="1"/>
  <c r="L2344" i="20"/>
  <c r="L2345" i="20"/>
  <c r="L2346" i="20"/>
  <c r="L2347" i="20"/>
  <c r="L2348" i="20"/>
  <c r="L2349" i="20"/>
  <c r="L2350" i="20"/>
  <c r="L2351" i="20"/>
  <c r="L2352" i="20"/>
  <c r="B2356" i="20"/>
  <c r="L2355" i="20" s="1"/>
  <c r="L2356" i="20"/>
  <c r="L2357" i="20"/>
  <c r="L2358" i="20"/>
  <c r="L2359" i="20"/>
  <c r="L2360" i="20"/>
  <c r="L2361" i="20"/>
  <c r="L2362" i="20"/>
  <c r="L2363" i="20"/>
  <c r="L2364" i="20"/>
  <c r="B2367" i="20"/>
  <c r="L2367" i="20"/>
  <c r="L2368" i="20"/>
  <c r="L2369" i="20"/>
  <c r="L2370" i="20"/>
  <c r="L2371" i="20"/>
  <c r="L2372" i="20"/>
  <c r="L2373" i="20"/>
  <c r="L2374" i="20"/>
  <c r="L2375" i="20"/>
  <c r="L2376" i="20"/>
  <c r="B2379" i="20"/>
  <c r="L2379" i="20"/>
  <c r="L2380" i="20"/>
  <c r="L2381" i="20"/>
  <c r="L2382" i="20"/>
  <c r="L2383" i="20"/>
  <c r="L2384" i="20"/>
  <c r="L2385" i="20"/>
  <c r="L2386" i="20"/>
  <c r="L2387" i="20"/>
  <c r="L2388" i="20"/>
  <c r="L2391" i="20"/>
  <c r="L2392" i="20"/>
  <c r="L2393" i="20"/>
  <c r="L2394" i="20"/>
  <c r="L2395" i="20"/>
  <c r="L2396" i="20"/>
  <c r="L2397" i="20"/>
  <c r="L2398" i="20"/>
  <c r="L2399" i="20"/>
  <c r="L2400" i="20"/>
  <c r="B2404" i="20"/>
  <c r="L2403" i="20" s="1"/>
  <c r="L2404" i="20"/>
  <c r="L2405" i="20"/>
  <c r="L2406" i="20"/>
  <c r="L2407" i="20"/>
  <c r="L2408" i="20"/>
  <c r="L2409" i="20"/>
  <c r="L2410" i="20"/>
  <c r="L2411" i="20"/>
  <c r="L2412" i="20"/>
  <c r="B2422" i="20"/>
  <c r="B2423" i="20"/>
  <c r="L2422" i="20" s="1"/>
  <c r="L2423" i="20"/>
  <c r="L2424" i="20"/>
  <c r="L2425" i="20"/>
  <c r="L2426" i="20"/>
  <c r="L2427" i="20"/>
  <c r="L2428" i="20"/>
  <c r="L2429" i="20"/>
  <c r="L2430" i="20"/>
  <c r="L2431" i="20"/>
  <c r="B2434" i="20"/>
  <c r="B2437" i="20"/>
  <c r="B2438" i="20"/>
  <c r="B2439" i="20"/>
  <c r="L2439" i="20"/>
  <c r="L2440" i="20"/>
  <c r="L2441" i="20"/>
  <c r="L2442" i="20"/>
  <c r="L2443" i="20"/>
  <c r="B2446" i="20"/>
  <c r="B2449" i="20"/>
  <c r="B2450" i="20"/>
  <c r="B2451" i="20"/>
  <c r="L2451" i="20"/>
  <c r="L2452" i="20"/>
  <c r="L2453" i="20"/>
  <c r="L2454" i="20"/>
  <c r="L2455" i="20"/>
  <c r="B2458" i="20"/>
  <c r="L2458" i="20"/>
  <c r="L2459" i="20"/>
  <c r="L2460" i="20"/>
  <c r="L2461" i="20"/>
  <c r="L2462" i="20"/>
  <c r="L2463" i="20"/>
  <c r="L2464" i="20"/>
  <c r="L2465" i="20"/>
  <c r="L2466" i="20"/>
  <c r="L2467" i="20"/>
  <c r="B2473" i="20"/>
  <c r="L2473" i="20"/>
  <c r="L2474" i="20"/>
  <c r="L2475" i="20"/>
  <c r="L2476" i="20"/>
  <c r="L2477" i="20"/>
  <c r="L2478" i="20"/>
  <c r="L2479" i="20"/>
  <c r="B2482" i="20"/>
  <c r="B2484" i="20"/>
  <c r="B2486" i="20"/>
  <c r="L2486" i="20"/>
  <c r="L2487" i="20"/>
  <c r="L2488" i="20"/>
  <c r="L2489" i="20"/>
  <c r="L2490" i="20"/>
  <c r="L2491" i="20"/>
  <c r="B2494" i="20"/>
  <c r="B2496" i="20"/>
  <c r="B2498" i="20"/>
  <c r="L2498" i="20"/>
  <c r="L2499" i="20"/>
  <c r="L2500" i="20"/>
  <c r="L2501" i="20"/>
  <c r="L2502" i="20"/>
  <c r="L2503" i="20"/>
  <c r="B2506" i="20"/>
  <c r="B2509" i="20"/>
  <c r="B2510" i="20"/>
  <c r="B2511" i="20"/>
  <c r="L2511" i="20"/>
  <c r="L2512" i="20"/>
  <c r="L2513" i="20"/>
  <c r="L2514" i="20"/>
  <c r="L2515" i="20"/>
  <c r="B2518" i="20"/>
  <c r="L2530" i="20"/>
  <c r="L2531" i="20"/>
  <c r="L2532" i="20"/>
  <c r="L2533" i="20"/>
  <c r="L2534" i="20"/>
  <c r="L2535" i="20"/>
  <c r="L2536" i="20"/>
  <c r="L2537" i="20"/>
  <c r="L2538" i="20"/>
  <c r="L2539" i="20"/>
  <c r="L2542" i="20"/>
  <c r="L2543" i="20"/>
  <c r="L2544" i="20"/>
  <c r="L2545" i="20"/>
  <c r="L2546" i="20"/>
  <c r="L2547" i="20"/>
  <c r="L2548" i="20"/>
  <c r="L2549" i="20"/>
  <c r="L2550" i="20"/>
  <c r="L2551" i="20"/>
  <c r="B2555" i="20"/>
  <c r="L2554" i="20" s="1"/>
  <c r="L2555" i="20"/>
  <c r="L2556" i="20"/>
  <c r="L2557" i="20"/>
  <c r="L2558" i="20"/>
  <c r="L2559" i="20"/>
  <c r="L2560" i="20"/>
  <c r="L2561" i="20"/>
  <c r="L2562" i="20"/>
  <c r="L2563" i="20"/>
  <c r="B2566" i="20"/>
  <c r="L2566" i="20"/>
  <c r="L2567" i="20"/>
  <c r="L2568" i="20"/>
  <c r="L2569" i="20"/>
  <c r="L2570" i="20"/>
  <c r="L2571" i="20"/>
  <c r="L2572" i="20"/>
  <c r="L2573" i="20"/>
  <c r="L2574" i="20"/>
  <c r="L2575" i="20"/>
  <c r="B2587" i="20"/>
  <c r="B2588" i="20"/>
  <c r="L2587" i="20" s="1"/>
  <c r="L2588" i="20"/>
  <c r="L2589" i="20"/>
  <c r="L2590" i="20"/>
  <c r="L2591" i="20"/>
  <c r="L2592" i="20"/>
  <c r="L2593" i="20"/>
  <c r="L2594" i="20"/>
  <c r="L2595" i="20"/>
  <c r="L2596" i="20"/>
  <c r="B2599" i="20"/>
  <c r="B2602" i="20"/>
  <c r="B2603" i="20"/>
  <c r="B2604" i="20"/>
  <c r="L2604" i="20"/>
  <c r="L2605" i="20"/>
  <c r="L2606" i="20"/>
  <c r="L2607" i="20"/>
  <c r="L2608" i="20"/>
  <c r="B2611" i="20"/>
  <c r="B2612" i="20"/>
  <c r="L2611" i="20" s="1"/>
  <c r="L2612" i="20"/>
  <c r="L2613" i="20"/>
  <c r="L2614" i="20"/>
  <c r="L2615" i="20"/>
  <c r="L2616" i="20"/>
  <c r="L2617" i="20"/>
  <c r="L2618" i="20"/>
  <c r="L2619" i="20"/>
  <c r="L2620" i="20"/>
  <c r="B2623" i="20"/>
  <c r="L2623" i="20"/>
  <c r="L2624" i="20"/>
  <c r="L2625" i="20"/>
  <c r="L2626" i="20"/>
  <c r="L2627" i="20"/>
  <c r="L2628" i="20"/>
  <c r="L2629" i="20"/>
  <c r="L2630" i="20"/>
  <c r="L2631" i="20"/>
  <c r="L2632" i="20"/>
  <c r="B2635" i="20"/>
  <c r="L2635" i="20"/>
  <c r="L2636" i="20"/>
  <c r="L2637" i="20"/>
  <c r="L2638" i="20"/>
  <c r="L2639" i="20"/>
  <c r="L2640" i="20"/>
  <c r="L2641" i="20"/>
  <c r="L2642" i="20"/>
  <c r="L2643" i="20"/>
  <c r="L2644" i="20"/>
  <c r="B2650" i="20"/>
  <c r="B2651" i="20"/>
  <c r="B2652" i="20"/>
  <c r="L2652" i="20"/>
  <c r="L2653" i="20"/>
  <c r="L2654" i="20"/>
  <c r="L2655" i="20"/>
  <c r="L2656" i="20"/>
  <c r="B2659" i="20"/>
  <c r="L2659" i="20"/>
  <c r="L2660" i="20"/>
  <c r="L2661" i="20"/>
  <c r="L2662" i="20"/>
  <c r="L2663" i="20"/>
  <c r="L2664" i="20"/>
  <c r="L2665" i="20"/>
  <c r="L2666" i="20"/>
  <c r="L2667" i="20"/>
  <c r="L2668" i="20"/>
  <c r="L2671" i="20"/>
  <c r="L2672" i="20"/>
  <c r="L2673" i="20"/>
  <c r="L2674" i="20"/>
  <c r="L2675" i="20"/>
  <c r="L2676" i="20"/>
  <c r="L2677" i="20"/>
  <c r="L2678" i="20"/>
  <c r="L2679" i="20"/>
  <c r="L2680" i="20"/>
  <c r="B2684" i="20"/>
  <c r="L2683" i="20" s="1"/>
  <c r="L2684" i="20"/>
  <c r="L2685" i="20"/>
  <c r="L2686" i="20"/>
  <c r="L2687" i="20"/>
  <c r="L2688" i="20"/>
  <c r="L2689" i="20"/>
  <c r="L2690" i="20"/>
  <c r="L2691" i="20"/>
  <c r="L2692" i="20"/>
  <c r="B2695" i="20"/>
  <c r="L2695" i="20"/>
  <c r="L2696" i="20"/>
  <c r="L2697" i="20"/>
  <c r="L2698" i="20"/>
  <c r="L2699" i="20"/>
  <c r="L2700" i="20"/>
  <c r="L2701" i="20"/>
  <c r="L2702" i="20"/>
  <c r="L2703" i="20"/>
  <c r="L2704" i="20"/>
  <c r="B2717" i="20"/>
  <c r="B2719" i="20"/>
  <c r="B2721" i="20"/>
  <c r="L2721" i="20"/>
  <c r="L2722" i="20"/>
  <c r="L2723" i="20"/>
  <c r="L2724" i="20"/>
  <c r="L2725" i="20"/>
  <c r="L2726" i="20"/>
  <c r="B2729" i="20"/>
  <c r="B2731" i="20"/>
  <c r="B2733" i="20"/>
  <c r="L2733" i="20"/>
  <c r="L2734" i="20"/>
  <c r="L2735" i="20"/>
  <c r="L2736" i="20"/>
  <c r="L2737" i="20"/>
  <c r="L2738" i="20"/>
  <c r="B2741" i="20"/>
  <c r="B2744" i="20"/>
  <c r="B2745" i="20"/>
  <c r="B2746" i="20"/>
  <c r="L2746" i="20"/>
  <c r="L2747" i="20"/>
  <c r="L2748" i="20"/>
  <c r="L2749" i="20"/>
  <c r="L2750" i="20"/>
  <c r="B2765" i="20"/>
  <c r="B2768" i="20"/>
  <c r="B2769" i="20"/>
  <c r="B2770" i="20"/>
  <c r="L2770" i="20"/>
  <c r="L2771" i="20"/>
  <c r="L2772" i="20"/>
  <c r="L2773" i="20"/>
  <c r="L2774" i="20"/>
  <c r="B2777" i="20"/>
  <c r="B2780" i="20"/>
  <c r="B2781" i="20"/>
  <c r="B2782" i="20"/>
  <c r="L2782" i="20"/>
  <c r="L2783" i="20"/>
  <c r="L2784" i="20"/>
  <c r="L2785" i="20"/>
  <c r="L2786" i="20"/>
  <c r="L2789" i="20"/>
  <c r="L2790" i="20"/>
  <c r="L2791" i="20"/>
  <c r="L2792" i="20"/>
  <c r="L2793" i="20"/>
  <c r="L2794" i="20"/>
  <c r="L2795" i="20"/>
  <c r="L2796" i="20"/>
  <c r="L2797" i="20"/>
  <c r="L2798" i="20"/>
  <c r="L2801" i="20"/>
  <c r="L2802" i="20"/>
  <c r="L2803" i="20"/>
  <c r="L2804" i="20"/>
  <c r="L2805" i="20"/>
  <c r="L2806" i="20"/>
  <c r="L2807" i="20"/>
  <c r="L2808" i="20"/>
  <c r="L2809" i="20"/>
  <c r="L2810" i="20"/>
  <c r="B2813" i="20"/>
  <c r="B2753" i="20" s="1"/>
  <c r="B2814" i="20"/>
  <c r="L2813" i="20" s="1"/>
  <c r="L2814" i="20"/>
  <c r="L2815" i="20"/>
  <c r="L2816" i="20"/>
  <c r="L2817" i="20"/>
  <c r="L2818" i="20"/>
  <c r="L2819" i="20"/>
  <c r="L2820" i="20"/>
  <c r="L2821" i="20"/>
  <c r="L2822" i="20"/>
  <c r="L2825" i="20"/>
  <c r="L2826" i="20"/>
  <c r="L2827" i="20"/>
  <c r="L2828" i="20"/>
  <c r="L2829" i="20"/>
  <c r="L2830" i="20"/>
  <c r="L2831" i="20"/>
  <c r="L2832" i="20"/>
  <c r="L2833" i="20"/>
  <c r="L2834" i="20"/>
  <c r="B2837" i="20"/>
  <c r="B2838" i="20"/>
  <c r="L2837" i="20" s="1"/>
  <c r="L2838" i="20"/>
  <c r="L2839" i="20"/>
  <c r="L2840" i="20"/>
  <c r="L2841" i="20"/>
  <c r="L2842" i="20"/>
  <c r="L2843" i="20"/>
  <c r="L2844" i="20"/>
  <c r="L2845" i="20"/>
  <c r="L2846" i="20"/>
  <c r="B2849" i="20"/>
  <c r="B2850" i="20"/>
  <c r="L2849" i="20" s="1"/>
  <c r="L2850" i="20"/>
  <c r="L2851" i="20"/>
  <c r="L2852" i="20"/>
  <c r="L2853" i="20"/>
  <c r="L2854" i="20"/>
  <c r="L2855" i="20"/>
  <c r="L2856" i="20"/>
  <c r="L2857" i="20"/>
  <c r="L2858" i="20"/>
  <c r="B2862" i="20"/>
  <c r="L2861" i="20" s="1"/>
  <c r="L2862" i="20"/>
  <c r="L2863" i="20"/>
  <c r="L2864" i="20"/>
  <c r="L2865" i="20"/>
  <c r="L2866" i="20"/>
  <c r="L2867" i="20"/>
  <c r="L2868" i="20"/>
  <c r="L2869" i="20"/>
  <c r="L2870" i="20"/>
  <c r="L2873" i="20"/>
  <c r="L2874" i="20"/>
  <c r="L2875" i="20"/>
  <c r="L2876" i="20"/>
  <c r="L2877" i="20"/>
  <c r="L2878" i="20"/>
  <c r="L2879" i="20"/>
  <c r="L2880" i="20"/>
  <c r="L2881" i="20"/>
  <c r="L2882" i="20"/>
  <c r="L8" i="20" l="1"/>
  <c r="L15" i="20"/>
  <c r="L7" i="20"/>
  <c r="L14" i="20"/>
  <c r="L10" i="20"/>
  <c r="L13" i="20"/>
  <c r="B19" i="20"/>
  <c r="L12" i="20"/>
  <c r="L11" i="20"/>
  <c r="L9" i="20"/>
  <c r="L16" i="20"/>
  <c r="L60" i="20"/>
  <c r="L55" i="20"/>
  <c r="L59" i="20"/>
  <c r="L57" i="20"/>
  <c r="L63" i="20"/>
  <c r="L62" i="20"/>
  <c r="L56" i="20"/>
  <c r="L61" i="20"/>
  <c r="L64" i="20"/>
  <c r="L58" i="20"/>
  <c r="L76" i="20"/>
  <c r="L78" i="20"/>
  <c r="B79" i="20"/>
  <c r="B80" i="20" s="1"/>
  <c r="L75" i="20" s="1"/>
  <c r="L77" i="20"/>
  <c r="L88" i="20"/>
  <c r="L93" i="20"/>
  <c r="L89" i="20"/>
  <c r="L92" i="20"/>
  <c r="L96" i="20"/>
  <c r="L91" i="20"/>
  <c r="L87" i="20"/>
  <c r="L94" i="20"/>
  <c r="L90" i="20"/>
  <c r="L95" i="20"/>
  <c r="L101" i="20"/>
  <c r="L100" i="20"/>
  <c r="L104" i="20"/>
  <c r="L103" i="20"/>
  <c r="L102" i="20"/>
  <c r="L105" i="20"/>
  <c r="L172" i="20"/>
  <c r="L174" i="20"/>
  <c r="L173" i="20"/>
  <c r="L171" i="20"/>
  <c r="L209" i="20"/>
  <c r="L216" i="20"/>
  <c r="L213" i="20"/>
  <c r="L207" i="20"/>
  <c r="L214" i="20"/>
  <c r="L211" i="20"/>
  <c r="L208" i="20"/>
  <c r="L215" i="20"/>
  <c r="L212" i="20"/>
  <c r="L210" i="20"/>
  <c r="L272" i="20"/>
  <c r="L275" i="20"/>
  <c r="L270" i="20"/>
  <c r="L273" i="20"/>
  <c r="L271" i="20"/>
  <c r="L268" i="20"/>
  <c r="L274" i="20"/>
  <c r="L269" i="20"/>
  <c r="L267" i="20"/>
  <c r="L293" i="20"/>
  <c r="L290" i="20"/>
  <c r="L288" i="20"/>
  <c r="L285" i="20"/>
  <c r="L292" i="20"/>
  <c r="L286" i="20"/>
  <c r="L291" i="20"/>
  <c r="L289" i="20"/>
  <c r="L287" i="20"/>
  <c r="L294" i="20"/>
  <c r="L309" i="20"/>
  <c r="L312" i="20"/>
  <c r="L311" i="20"/>
  <c r="L310" i="20"/>
  <c r="L313" i="20"/>
  <c r="L329" i="20"/>
  <c r="L326" i="20"/>
  <c r="L324" i="20"/>
  <c r="L323" i="20"/>
  <c r="L327" i="20"/>
  <c r="L322" i="20"/>
  <c r="L328" i="20"/>
  <c r="L325" i="20"/>
  <c r="L321" i="20"/>
  <c r="L330" i="20"/>
  <c r="L333" i="20"/>
  <c r="L337" i="20"/>
  <c r="L340" i="20"/>
  <c r="L334" i="20"/>
  <c r="L336" i="20"/>
  <c r="L338" i="20"/>
  <c r="L339" i="20"/>
  <c r="L335" i="20"/>
  <c r="L341" i="20"/>
  <c r="L342" i="20"/>
  <c r="L377" i="20"/>
  <c r="L374" i="20"/>
  <c r="L370" i="20"/>
  <c r="L376" i="20"/>
  <c r="L369" i="20"/>
  <c r="L378" i="20"/>
  <c r="L375" i="20"/>
  <c r="L372" i="20"/>
  <c r="L371" i="20"/>
  <c r="L373" i="20"/>
  <c r="L382" i="20"/>
  <c r="L387" i="20"/>
  <c r="L389" i="20"/>
  <c r="L384" i="20"/>
  <c r="L381" i="20"/>
  <c r="L386" i="20"/>
  <c r="L383" i="20"/>
  <c r="L390" i="20"/>
  <c r="L388" i="20"/>
  <c r="L385" i="20"/>
  <c r="L393" i="20"/>
  <c r="L401" i="20"/>
  <c r="L398" i="20"/>
  <c r="L396" i="20"/>
  <c r="L394" i="20"/>
  <c r="L400" i="20"/>
  <c r="L397" i="20"/>
  <c r="L395" i="20"/>
  <c r="L402" i="20"/>
  <c r="L399" i="20"/>
  <c r="L405" i="20"/>
  <c r="L408" i="20"/>
  <c r="L407" i="20"/>
  <c r="L406" i="20"/>
  <c r="L419" i="20"/>
  <c r="L418" i="20"/>
  <c r="L423" i="20"/>
  <c r="L422" i="20"/>
  <c r="L420" i="20"/>
  <c r="L426" i="20"/>
  <c r="L424" i="20"/>
  <c r="L421" i="20"/>
  <c r="L417" i="20"/>
  <c r="L425" i="20"/>
  <c r="L448" i="20"/>
  <c r="L445" i="20"/>
  <c r="L441" i="20"/>
  <c r="L450" i="20"/>
  <c r="L449" i="20"/>
  <c r="L447" i="20"/>
  <c r="L444" i="20"/>
  <c r="L442" i="20"/>
  <c r="L446" i="20"/>
  <c r="L443" i="20"/>
  <c r="L455" i="20"/>
  <c r="L454" i="20"/>
  <c r="L453" i="20"/>
  <c r="L456" i="20"/>
  <c r="L468" i="20"/>
  <c r="L469" i="20"/>
  <c r="L467" i="20"/>
  <c r="L466" i="20"/>
  <c r="L465" i="20"/>
  <c r="L485" i="20"/>
  <c r="L481" i="20"/>
  <c r="L479" i="20"/>
  <c r="L482" i="20"/>
  <c r="L477" i="20"/>
  <c r="L484" i="20"/>
  <c r="L478" i="20"/>
  <c r="L486" i="20"/>
  <c r="L483" i="20"/>
  <c r="L480" i="20"/>
  <c r="L496" i="20"/>
  <c r="L492" i="20"/>
  <c r="L489" i="20"/>
  <c r="L497" i="20"/>
  <c r="L494" i="20"/>
  <c r="L491" i="20"/>
  <c r="L493" i="20"/>
  <c r="L490" i="20"/>
  <c r="L498" i="20"/>
  <c r="L495" i="20"/>
  <c r="L507" i="20"/>
  <c r="L504" i="20"/>
  <c r="L501" i="20"/>
  <c r="L510" i="20"/>
  <c r="L508" i="20"/>
  <c r="L505" i="20"/>
  <c r="L502" i="20"/>
  <c r="L509" i="20"/>
  <c r="L506" i="20"/>
  <c r="L503" i="20"/>
  <c r="L521" i="20"/>
  <c r="L518" i="20"/>
  <c r="L515" i="20"/>
  <c r="L520" i="20"/>
  <c r="L516" i="20"/>
  <c r="L513" i="20"/>
  <c r="L522" i="20"/>
  <c r="L517" i="20"/>
  <c r="L514" i="20"/>
  <c r="L519" i="20"/>
  <c r="L526" i="20"/>
  <c r="L531" i="20"/>
  <c r="L527" i="20"/>
  <c r="L529" i="20"/>
  <c r="L533" i="20"/>
  <c r="L532" i="20"/>
  <c r="L528" i="20"/>
  <c r="L525" i="20"/>
  <c r="L534" i="20"/>
  <c r="L530" i="20"/>
  <c r="L839" i="20"/>
  <c r="L846" i="20"/>
  <c r="L843" i="20"/>
  <c r="L847" i="20"/>
  <c r="L844" i="20"/>
  <c r="L840" i="20"/>
  <c r="L842" i="20"/>
  <c r="L848" i="20"/>
  <c r="L845" i="20"/>
  <c r="L841" i="20"/>
  <c r="L852" i="20"/>
  <c r="L851" i="20"/>
  <c r="L853" i="20"/>
  <c r="L863" i="20"/>
  <c r="L864" i="20"/>
  <c r="L897" i="20"/>
  <c r="L892" i="20"/>
  <c r="L891" i="20"/>
  <c r="L895" i="20"/>
  <c r="L893" i="20"/>
  <c r="L889" i="20"/>
  <c r="L898" i="20"/>
  <c r="L894" i="20"/>
  <c r="L890" i="20"/>
  <c r="L896" i="20"/>
  <c r="L916" i="20"/>
  <c r="L914" i="20"/>
  <c r="L921" i="20"/>
  <c r="L915" i="20"/>
  <c r="L922" i="20"/>
  <c r="L917" i="20"/>
  <c r="L913" i="20"/>
  <c r="L919" i="20"/>
  <c r="L918" i="20"/>
  <c r="L920" i="20"/>
  <c r="B926" i="20"/>
  <c r="B927" i="20" s="1"/>
  <c r="B928" i="20" s="1"/>
  <c r="L946" i="20"/>
  <c r="L942" i="20"/>
  <c r="L939" i="20"/>
  <c r="L937" i="20"/>
  <c r="L944" i="20"/>
  <c r="L941" i="20"/>
  <c r="L940" i="20"/>
  <c r="L938" i="20"/>
  <c r="L945" i="20"/>
  <c r="L943" i="20"/>
  <c r="L952" i="20"/>
  <c r="L950" i="20"/>
  <c r="L957" i="20"/>
  <c r="L958" i="20"/>
  <c r="L954" i="20"/>
  <c r="L955" i="20"/>
  <c r="L953" i="20"/>
  <c r="L951" i="20"/>
  <c r="L949" i="20"/>
  <c r="L956" i="20"/>
  <c r="L964" i="20"/>
  <c r="L961" i="20"/>
  <c r="L968" i="20"/>
  <c r="L962" i="20"/>
  <c r="L967" i="20"/>
  <c r="L965" i="20"/>
  <c r="L963" i="20"/>
  <c r="L970" i="20"/>
  <c r="L966" i="20"/>
  <c r="L969" i="20"/>
  <c r="L981" i="20"/>
  <c r="L977" i="20"/>
  <c r="L975" i="20"/>
  <c r="L973" i="20"/>
  <c r="L982" i="20"/>
  <c r="L980" i="20"/>
  <c r="L976" i="20"/>
  <c r="L974" i="20"/>
  <c r="L978" i="20"/>
  <c r="L979" i="20"/>
  <c r="L992" i="20"/>
  <c r="L989" i="20"/>
  <c r="L988" i="20"/>
  <c r="L986" i="20"/>
  <c r="L993" i="20"/>
  <c r="L990" i="20"/>
  <c r="L987" i="20"/>
  <c r="L985" i="20"/>
  <c r="L994" i="20"/>
  <c r="L991" i="20"/>
  <c r="L1002" i="20"/>
  <c r="L998" i="20"/>
  <c r="L1000" i="20"/>
  <c r="L1003" i="20"/>
  <c r="L1006" i="20"/>
  <c r="L999" i="20"/>
  <c r="L1001" i="20"/>
  <c r="L1004" i="20"/>
  <c r="L997" i="20"/>
  <c r="L1005" i="20"/>
  <c r="L1018" i="20"/>
  <c r="L1016" i="20"/>
  <c r="L1014" i="20"/>
  <c r="L1012" i="20"/>
  <c r="L1009" i="20"/>
  <c r="L1010" i="20"/>
  <c r="L1017" i="20"/>
  <c r="L1013" i="20"/>
  <c r="L1015" i="20"/>
  <c r="L1011" i="20"/>
  <c r="L1024" i="20"/>
  <c r="L1022" i="20"/>
  <c r="L1030" i="20"/>
  <c r="L1026" i="20"/>
  <c r="L1021" i="20"/>
  <c r="L1028" i="20"/>
  <c r="L1025" i="20"/>
  <c r="L1023" i="20"/>
  <c r="L1029" i="20"/>
  <c r="L1027" i="20"/>
  <c r="L1033" i="20"/>
  <c r="L1042" i="20"/>
  <c r="L1038" i="20"/>
  <c r="L1034" i="20"/>
  <c r="L1040" i="20"/>
  <c r="L1037" i="20"/>
  <c r="L1035" i="20"/>
  <c r="L1041" i="20"/>
  <c r="L1036" i="20"/>
  <c r="L1039" i="20"/>
  <c r="L1048" i="20"/>
  <c r="L1046" i="20"/>
  <c r="L1053" i="20"/>
  <c r="L1051" i="20"/>
  <c r="L1054" i="20"/>
  <c r="L1050" i="20"/>
  <c r="L1047" i="20"/>
  <c r="L1052" i="20"/>
  <c r="L1049" i="20"/>
  <c r="L1045" i="20"/>
  <c r="L1080" i="20"/>
  <c r="L1077" i="20"/>
  <c r="L1084" i="20"/>
  <c r="L1081" i="20"/>
  <c r="L1079" i="20"/>
  <c r="L1085" i="20"/>
  <c r="L1078" i="20"/>
  <c r="L1082" i="20"/>
  <c r="L1086" i="20"/>
  <c r="L1083" i="20"/>
  <c r="L1089" i="20"/>
  <c r="L1097" i="20"/>
  <c r="L1094" i="20"/>
  <c r="L1092" i="20"/>
  <c r="L1090" i="20"/>
  <c r="L1096" i="20"/>
  <c r="L1091" i="20"/>
  <c r="L1098" i="20"/>
  <c r="L1093" i="20"/>
  <c r="L1095" i="20"/>
  <c r="L1115" i="20"/>
  <c r="L1113" i="20"/>
  <c r="L1114" i="20"/>
  <c r="L1157" i="20"/>
  <c r="L1164" i="20"/>
  <c r="L1166" i="20"/>
  <c r="L1162" i="20"/>
  <c r="L1160" i="20"/>
  <c r="L1159" i="20"/>
  <c r="L1165" i="20"/>
  <c r="L1161" i="20"/>
  <c r="L1158" i="20"/>
  <c r="L1163" i="20"/>
  <c r="L1170" i="20"/>
  <c r="L1178" i="20"/>
  <c r="L1169" i="20"/>
  <c r="L1177" i="20"/>
  <c r="L1174" i="20"/>
  <c r="L1171" i="20"/>
  <c r="L1176" i="20"/>
  <c r="L1173" i="20"/>
  <c r="L1172" i="20"/>
  <c r="L1175" i="20"/>
  <c r="L1188" i="20"/>
  <c r="L1181" i="20"/>
  <c r="L1185" i="20"/>
  <c r="L1186" i="20"/>
  <c r="L1183" i="20"/>
  <c r="L1187" i="20"/>
  <c r="L1182" i="20"/>
  <c r="L1190" i="20"/>
  <c r="L1189" i="20"/>
  <c r="L1184" i="20"/>
  <c r="L1195" i="20"/>
  <c r="L1194" i="20"/>
  <c r="L1196" i="20"/>
  <c r="L1197" i="20"/>
  <c r="L1193" i="20"/>
  <c r="L1206" i="20"/>
  <c r="L1209" i="20"/>
  <c r="L1211" i="20"/>
  <c r="L1208" i="20"/>
  <c r="L1214" i="20"/>
  <c r="L1213" i="20"/>
  <c r="L1205" i="20"/>
  <c r="L1207" i="20"/>
  <c r="L1212" i="20"/>
  <c r="L1210" i="20"/>
  <c r="L1223" i="20"/>
  <c r="L1217" i="20"/>
  <c r="L1224" i="20"/>
  <c r="L1221" i="20"/>
  <c r="L1222" i="20"/>
  <c r="L1219" i="20"/>
  <c r="L1226" i="20"/>
  <c r="L1218" i="20"/>
  <c r="L1225" i="20"/>
  <c r="L1220" i="20"/>
  <c r="L1243" i="20"/>
  <c r="L1241" i="20"/>
  <c r="L1240" i="20"/>
  <c r="L1242" i="20"/>
  <c r="L1254" i="20"/>
  <c r="L1252" i="20"/>
  <c r="L1253" i="20"/>
  <c r="L1255" i="20"/>
  <c r="L1272" i="20"/>
  <c r="L1267" i="20"/>
  <c r="L1270" i="20"/>
  <c r="L1265" i="20"/>
  <c r="L1271" i="20"/>
  <c r="L1266" i="20"/>
  <c r="L1269" i="20"/>
  <c r="L1264" i="20"/>
  <c r="L1273" i="20"/>
  <c r="L1268" i="20"/>
  <c r="L1281" i="20"/>
  <c r="L1282" i="20"/>
  <c r="L1276" i="20"/>
  <c r="L1279" i="20"/>
  <c r="L1284" i="20"/>
  <c r="L1278" i="20"/>
  <c r="L1283" i="20"/>
  <c r="L1277" i="20"/>
  <c r="L1285" i="20"/>
  <c r="L1280" i="20"/>
  <c r="L1303" i="20"/>
  <c r="L1309" i="20"/>
  <c r="L1304" i="20"/>
  <c r="L1308" i="20"/>
  <c r="L1302" i="20"/>
  <c r="L1306" i="20"/>
  <c r="L1300" i="20"/>
  <c r="L1307" i="20"/>
  <c r="L1301" i="20"/>
  <c r="L1305" i="20"/>
  <c r="L1336" i="20"/>
  <c r="L1342" i="20"/>
  <c r="L1340" i="20"/>
  <c r="L1338" i="20"/>
  <c r="L1343" i="20"/>
  <c r="L1341" i="20"/>
  <c r="L1337" i="20"/>
  <c r="L1344" i="20"/>
  <c r="L1339" i="20"/>
  <c r="L1345" i="20"/>
  <c r="L1354" i="20"/>
  <c r="L1348" i="20"/>
  <c r="L1357" i="20"/>
  <c r="L1353" i="20"/>
  <c r="L1350" i="20"/>
  <c r="L2261" i="20"/>
  <c r="L2260" i="20"/>
  <c r="L2259" i="20"/>
  <c r="L2258" i="20"/>
  <c r="L2257" i="20"/>
  <c r="L2256" i="20"/>
  <c r="L2255" i="20"/>
  <c r="L2254" i="20"/>
  <c r="L2253" i="20"/>
  <c r="L2252" i="20"/>
  <c r="L1355" i="20"/>
  <c r="L1351" i="20"/>
  <c r="L1349" i="20"/>
  <c r="L1356" i="20"/>
  <c r="L1352" i="20"/>
  <c r="L1511" i="20"/>
  <c r="L1638" i="20"/>
  <c r="L1637" i="20"/>
  <c r="L1636" i="20"/>
  <c r="L1635" i="20"/>
  <c r="L1634" i="20"/>
  <c r="L1633" i="20"/>
  <c r="L1632" i="20"/>
  <c r="L1631" i="20"/>
  <c r="L1630" i="20"/>
  <c r="L1629" i="20"/>
  <c r="L1520" i="20"/>
  <c r="L1519" i="20"/>
  <c r="L1518" i="20"/>
  <c r="L1517" i="20"/>
  <c r="L1516" i="20"/>
  <c r="L1515" i="20"/>
  <c r="L1514" i="20"/>
  <c r="L1513" i="20"/>
  <c r="L1512" i="20"/>
  <c r="L1361" i="20"/>
  <c r="L1368" i="20"/>
  <c r="L1363" i="20"/>
  <c r="L1365" i="20"/>
  <c r="L1360" i="20"/>
  <c r="L1366" i="20"/>
  <c r="L1367" i="20"/>
  <c r="L1362" i="20"/>
  <c r="L2273" i="20"/>
  <c r="L2272" i="20"/>
  <c r="L2271" i="20"/>
  <c r="L2270" i="20"/>
  <c r="L2269" i="20"/>
  <c r="L2268" i="20"/>
  <c r="L2267" i="20"/>
  <c r="L2266" i="20"/>
  <c r="L2265" i="20"/>
  <c r="L2264" i="20"/>
  <c r="L1369" i="20"/>
  <c r="L1364" i="20"/>
  <c r="L1387" i="20"/>
  <c r="L1380" i="20"/>
  <c r="L1386" i="20"/>
  <c r="L1379" i="20"/>
  <c r="L1384" i="20"/>
  <c r="L1382" i="20"/>
  <c r="L1388" i="20"/>
  <c r="L1381" i="20"/>
  <c r="L1385" i="20"/>
  <c r="L1383" i="20"/>
  <c r="L1395" i="20"/>
  <c r="L1399" i="20"/>
  <c r="L1396" i="20"/>
  <c r="L1391" i="20"/>
  <c r="L1397" i="20"/>
  <c r="L1393" i="20"/>
  <c r="L1398" i="20"/>
  <c r="L1394" i="20"/>
  <c r="L1392" i="20"/>
  <c r="L1400" i="20"/>
  <c r="L1405" i="20"/>
  <c r="L1408" i="20"/>
  <c r="L1406" i="20"/>
  <c r="L1410" i="20"/>
  <c r="L1409" i="20"/>
  <c r="L1404" i="20"/>
  <c r="L1412" i="20"/>
  <c r="L1407" i="20"/>
  <c r="L1403" i="20"/>
  <c r="L1411" i="20"/>
  <c r="L1416" i="20"/>
  <c r="L1417" i="20"/>
  <c r="L1415" i="20"/>
  <c r="L1431" i="20"/>
  <c r="L1429" i="20"/>
  <c r="L1430" i="20"/>
  <c r="L1427" i="20"/>
  <c r="L1428" i="20"/>
  <c r="L1447" i="20"/>
  <c r="L1441" i="20"/>
  <c r="L1446" i="20"/>
  <c r="L1443" i="20"/>
  <c r="L1440" i="20"/>
  <c r="L1448" i="20"/>
  <c r="L1444" i="20"/>
  <c r="L1442" i="20"/>
  <c r="L1439" i="20"/>
  <c r="L1445" i="20"/>
  <c r="L1454" i="20"/>
  <c r="L1452" i="20"/>
  <c r="L1453" i="20"/>
  <c r="L1451" i="20"/>
  <c r="L1460" i="20"/>
  <c r="L1459" i="20"/>
  <c r="L1458" i="20"/>
  <c r="L1457" i="20"/>
  <c r="L1456" i="20"/>
  <c r="L1455" i="20"/>
  <c r="L1463" i="20"/>
  <c r="L1464" i="20"/>
  <c r="L1465" i="20"/>
  <c r="L1466" i="20"/>
  <c r="L1467" i="20"/>
  <c r="L1484" i="20"/>
  <c r="L1483" i="20"/>
  <c r="L1482" i="20"/>
  <c r="L1481" i="20"/>
  <c r="L1480" i="20"/>
  <c r="L1479" i="20"/>
  <c r="L1478" i="20"/>
  <c r="L1477" i="20"/>
  <c r="L1476" i="20"/>
  <c r="L1475" i="20"/>
  <c r="L1557" i="20"/>
  <c r="L1558" i="20"/>
  <c r="L1559" i="20"/>
  <c r="L1560" i="20"/>
  <c r="L1561" i="20"/>
  <c r="L1608" i="20"/>
  <c r="L1609" i="20"/>
  <c r="L1605" i="20"/>
  <c r="L1606" i="20"/>
  <c r="L1607" i="20"/>
  <c r="L1676" i="20"/>
  <c r="L1675" i="20"/>
  <c r="L1674" i="20"/>
  <c r="L1673" i="20"/>
  <c r="L1672" i="20"/>
  <c r="L1812" i="20"/>
  <c r="L1813" i="20"/>
  <c r="L1814" i="20"/>
  <c r="L1815" i="20"/>
  <c r="L1824" i="20"/>
  <c r="L1826" i="20"/>
  <c r="L1827" i="20"/>
  <c r="L1828" i="20"/>
  <c r="L1825" i="20"/>
  <c r="L1885" i="20"/>
  <c r="L1886" i="20"/>
  <c r="L1897" i="20"/>
  <c r="L1898" i="20"/>
  <c r="L1899" i="20"/>
  <c r="L1901" i="20"/>
  <c r="L1900" i="20"/>
  <c r="L1913" i="20"/>
  <c r="L1912" i="20"/>
  <c r="L1911" i="20"/>
  <c r="L1910" i="20"/>
  <c r="L1909" i="20"/>
  <c r="L1933" i="20"/>
  <c r="L1934" i="20"/>
  <c r="L1935" i="20"/>
  <c r="L1936" i="20"/>
  <c r="L1937" i="20"/>
  <c r="L1945" i="20"/>
  <c r="L1946" i="20"/>
  <c r="L1947" i="20"/>
  <c r="L1948" i="20"/>
  <c r="L1949" i="20"/>
  <c r="L1970" i="20"/>
  <c r="L1971" i="20"/>
  <c r="L1972" i="20"/>
  <c r="L1973" i="20"/>
  <c r="L1969" i="20"/>
  <c r="L1984" i="20"/>
  <c r="L1985" i="20"/>
  <c r="L1981" i="20"/>
  <c r="L1982" i="20"/>
  <c r="L1983" i="20"/>
  <c r="L2005" i="20"/>
  <c r="L2006" i="20"/>
  <c r="L2007" i="20"/>
  <c r="L2008" i="20"/>
  <c r="L2009" i="20"/>
  <c r="L2030" i="20"/>
  <c r="L2031" i="20"/>
  <c r="L2032" i="20"/>
  <c r="L2029" i="20"/>
  <c r="L2240" i="20"/>
  <c r="L2241" i="20"/>
  <c r="L2242" i="20"/>
  <c r="L2244" i="20"/>
  <c r="L2243" i="20"/>
  <c r="L2295" i="20"/>
  <c r="L2296" i="20"/>
  <c r="L2297" i="20"/>
  <c r="L2298" i="20"/>
  <c r="L2299" i="20"/>
  <c r="L2319" i="20"/>
  <c r="L2320" i="20"/>
  <c r="L2322" i="20"/>
  <c r="L2323" i="20"/>
  <c r="L2321" i="20"/>
  <c r="L2334" i="20"/>
  <c r="L2335" i="20"/>
  <c r="L2331" i="20"/>
  <c r="L2332" i="20"/>
  <c r="L2333" i="20"/>
  <c r="L2438" i="20"/>
  <c r="L2435" i="20"/>
  <c r="L2434" i="20"/>
  <c r="L2437" i="20"/>
  <c r="L2436" i="20"/>
  <c r="L2446" i="20"/>
  <c r="L2447" i="20"/>
  <c r="L2448" i="20"/>
  <c r="L2449" i="20"/>
  <c r="L2450" i="20"/>
  <c r="L2470" i="20"/>
  <c r="L2471" i="20"/>
  <c r="L2472" i="20"/>
  <c r="L2482" i="20"/>
  <c r="L2483" i="20"/>
  <c r="L2484" i="20"/>
  <c r="L2485" i="20"/>
  <c r="L2494" i="20"/>
  <c r="L2495" i="20"/>
  <c r="L2497" i="20"/>
  <c r="L2496" i="20"/>
  <c r="L2510" i="20"/>
  <c r="L2509" i="20"/>
  <c r="L2508" i="20"/>
  <c r="L2507" i="20"/>
  <c r="L2506" i="20"/>
  <c r="L2527" i="20"/>
  <c r="L2526" i="20"/>
  <c r="L2525" i="20"/>
  <c r="L2524" i="20"/>
  <c r="L2523" i="20"/>
  <c r="L2522" i="20"/>
  <c r="L2521" i="20"/>
  <c r="L2520" i="20"/>
  <c r="L2519" i="20"/>
  <c r="L2518" i="20"/>
  <c r="L2599" i="20"/>
  <c r="L2600" i="20"/>
  <c r="L2601" i="20"/>
  <c r="L2602" i="20"/>
  <c r="L2603" i="20"/>
  <c r="L2647" i="20"/>
  <c r="L2650" i="20"/>
  <c r="L2651" i="20"/>
  <c r="L2648" i="20"/>
  <c r="L2649" i="20"/>
  <c r="L2717" i="20"/>
  <c r="L2718" i="20"/>
  <c r="L2719" i="20"/>
  <c r="L2720" i="20"/>
  <c r="L2729" i="20"/>
  <c r="L2730" i="20"/>
  <c r="L2731" i="20"/>
  <c r="L2732" i="20"/>
  <c r="L2741" i="20"/>
  <c r="L2742" i="20"/>
  <c r="L2743" i="20"/>
  <c r="L2744" i="20"/>
  <c r="L2745" i="20"/>
  <c r="L2765" i="20"/>
  <c r="L2767" i="20"/>
  <c r="L2768" i="20"/>
  <c r="L2769" i="20"/>
  <c r="L2766" i="20"/>
  <c r="L2777" i="20"/>
  <c r="L2778" i="20"/>
  <c r="L2779" i="20"/>
  <c r="L2780" i="20"/>
  <c r="L2781" i="20"/>
  <c r="L2762" i="20"/>
  <c r="L2761" i="20"/>
  <c r="L2760" i="20"/>
  <c r="L2759" i="20"/>
  <c r="L2758" i="20"/>
  <c r="L2757" i="20"/>
  <c r="L2756" i="20"/>
  <c r="L2755" i="20"/>
  <c r="L2754" i="20"/>
  <c r="L2753" i="20"/>
  <c r="L26" i="20" l="1"/>
  <c r="L21" i="20"/>
  <c r="L27" i="20"/>
  <c r="L22" i="20"/>
  <c r="L24" i="20"/>
  <c r="L20" i="20"/>
  <c r="L25" i="20"/>
  <c r="L19" i="20"/>
  <c r="L28" i="20"/>
  <c r="L23" i="20"/>
  <c r="L926" i="20"/>
  <c r="L933" i="20"/>
  <c r="L929" i="20"/>
  <c r="L928" i="20"/>
  <c r="L934" i="20"/>
  <c r="L930" i="20"/>
  <c r="L927" i="20"/>
  <c r="L925" i="20"/>
  <c r="L931" i="20"/>
  <c r="L932" i="20"/>
  <c r="H4" i="30"/>
  <c r="I4" i="30"/>
  <c r="J4" i="30"/>
  <c r="D5" i="30"/>
  <c r="H5" i="30"/>
  <c r="I5" i="30"/>
  <c r="J5" i="30"/>
  <c r="D6" i="30"/>
  <c r="H6" i="30"/>
  <c r="I6" i="30"/>
  <c r="J6" i="30"/>
  <c r="D7" i="30"/>
  <c r="H7" i="30"/>
  <c r="I7" i="30"/>
  <c r="J7" i="30"/>
  <c r="D8" i="30"/>
  <c r="H8" i="30"/>
  <c r="I8" i="30"/>
  <c r="J8" i="30"/>
  <c r="H11" i="30"/>
  <c r="H12" i="30"/>
  <c r="H13" i="30"/>
  <c r="D14" i="30"/>
  <c r="H14" i="30"/>
  <c r="H15" i="30"/>
  <c r="D29" i="30"/>
  <c r="D30" i="30"/>
  <c r="D31" i="30"/>
  <c r="D32" i="30"/>
  <c r="D33" i="30"/>
  <c r="D47" i="30"/>
  <c r="E52" i="30"/>
  <c r="F52" i="30"/>
  <c r="G52" i="30"/>
  <c r="E53" i="30"/>
  <c r="G54" i="30"/>
  <c r="E56" i="30"/>
  <c r="F56" i="30"/>
  <c r="G56" i="30"/>
  <c r="H56" i="30"/>
  <c r="I56" i="30"/>
  <c r="J56" i="30"/>
  <c r="K56" i="30"/>
  <c r="L56" i="30"/>
  <c r="M56" i="30"/>
  <c r="N56" i="30"/>
  <c r="O56" i="30"/>
  <c r="P56" i="30"/>
  <c r="Q56" i="30"/>
  <c r="E57" i="30"/>
  <c r="F57" i="30"/>
  <c r="G57" i="30"/>
  <c r="H57" i="30"/>
  <c r="I57" i="30"/>
  <c r="J57" i="30"/>
  <c r="K57" i="30"/>
  <c r="L57" i="30"/>
  <c r="M57" i="30"/>
  <c r="N57" i="30"/>
  <c r="O57" i="30"/>
  <c r="P57" i="30"/>
  <c r="Q57" i="30"/>
  <c r="R57" i="30"/>
  <c r="S57" i="30"/>
  <c r="T57" i="30"/>
  <c r="U57" i="30"/>
  <c r="V57" i="30"/>
  <c r="W57" i="30"/>
  <c r="X57" i="30"/>
  <c r="Y57" i="30"/>
  <c r="Z57" i="30"/>
  <c r="AA57" i="30"/>
  <c r="AB57" i="30"/>
  <c r="AC57" i="30"/>
  <c r="AD57" i="30"/>
  <c r="AE57" i="30"/>
  <c r="AF57" i="30"/>
  <c r="AG57" i="30"/>
  <c r="AH57" i="30"/>
  <c r="AI57" i="30"/>
  <c r="AJ57" i="30"/>
  <c r="AK57" i="30"/>
  <c r="E58" i="30"/>
  <c r="F58" i="30"/>
  <c r="G58" i="30"/>
  <c r="H58" i="30"/>
  <c r="I58" i="30"/>
  <c r="J58" i="30"/>
  <c r="K58" i="30"/>
  <c r="L58" i="30"/>
  <c r="M58" i="30"/>
  <c r="N58" i="30"/>
  <c r="O58" i="30"/>
  <c r="P58" i="30"/>
  <c r="Q58" i="30"/>
  <c r="R58" i="30"/>
  <c r="S58" i="30"/>
  <c r="T58" i="30"/>
  <c r="U58" i="30"/>
  <c r="V58" i="30"/>
  <c r="W58" i="30"/>
  <c r="X58" i="30"/>
  <c r="Y58" i="30"/>
  <c r="Z58" i="30"/>
  <c r="AA58" i="30"/>
  <c r="AB58" i="30"/>
  <c r="AC58" i="30"/>
  <c r="AD58" i="30"/>
  <c r="AE58" i="30"/>
  <c r="AF58" i="30"/>
  <c r="AG58" i="30"/>
  <c r="AH58" i="30"/>
  <c r="AI58" i="30"/>
  <c r="AJ58" i="30"/>
  <c r="AK58" i="30"/>
  <c r="E60" i="30"/>
  <c r="F60" i="30"/>
  <c r="G60" i="30"/>
  <c r="H60" i="30"/>
  <c r="I60" i="30"/>
  <c r="J60" i="30"/>
  <c r="K60" i="30"/>
  <c r="L60" i="30"/>
  <c r="M60" i="30"/>
  <c r="N60" i="30"/>
  <c r="O60" i="30"/>
  <c r="P60" i="30"/>
  <c r="Q60" i="30"/>
  <c r="H62" i="30"/>
  <c r="I62" i="30"/>
  <c r="J62" i="30"/>
  <c r="K62" i="30"/>
  <c r="L62" i="30"/>
  <c r="M62" i="30"/>
  <c r="N62" i="30"/>
  <c r="O62" i="30"/>
  <c r="P62" i="30"/>
  <c r="Q62" i="30"/>
  <c r="R62" i="30"/>
  <c r="S62" i="30"/>
  <c r="T62" i="30"/>
  <c r="U62" i="30"/>
  <c r="V62" i="30"/>
  <c r="W62" i="30"/>
  <c r="X62" i="30"/>
  <c r="Y62" i="30"/>
  <c r="Z62" i="30"/>
  <c r="AA62" i="30"/>
  <c r="AB62" i="30"/>
  <c r="AC62" i="30"/>
  <c r="AD62" i="30"/>
  <c r="AE62" i="30"/>
  <c r="AF62" i="30"/>
  <c r="AG62" i="30"/>
  <c r="AH62" i="30"/>
  <c r="AI62" i="30"/>
  <c r="AJ62" i="30"/>
  <c r="AK62" i="30"/>
  <c r="H63" i="30"/>
  <c r="I63" i="30"/>
  <c r="J63" i="30"/>
  <c r="K63" i="30"/>
  <c r="L63" i="30"/>
  <c r="M63" i="30"/>
  <c r="N63" i="30"/>
  <c r="O63" i="30"/>
  <c r="P63" i="30"/>
  <c r="Q63" i="30"/>
  <c r="R63" i="30"/>
  <c r="S63" i="30"/>
  <c r="T63" i="30"/>
  <c r="U63" i="30"/>
  <c r="V63" i="30"/>
  <c r="W63" i="30"/>
  <c r="X63" i="30"/>
  <c r="Y63" i="30"/>
  <c r="Z63" i="30"/>
  <c r="AA63" i="30"/>
  <c r="AB63" i="30"/>
  <c r="AC63" i="30"/>
  <c r="AD63" i="30"/>
  <c r="AE63" i="30"/>
  <c r="AF63" i="30"/>
  <c r="AG63" i="30"/>
  <c r="AH63" i="30"/>
  <c r="AI63" i="30"/>
  <c r="AJ63" i="30"/>
  <c r="AK63" i="30"/>
  <c r="H64" i="30"/>
  <c r="I64" i="30"/>
  <c r="J64" i="30"/>
  <c r="K64" i="30"/>
  <c r="L64" i="30"/>
  <c r="M64" i="30"/>
  <c r="N64" i="30"/>
  <c r="O64" i="30"/>
  <c r="P64" i="30"/>
  <c r="Q64" i="30"/>
  <c r="R64" i="30"/>
  <c r="S64" i="30"/>
  <c r="T64" i="30"/>
  <c r="U64" i="30"/>
  <c r="V64" i="30"/>
  <c r="W64" i="30"/>
  <c r="X64" i="30"/>
  <c r="Y64" i="30"/>
  <c r="Z64" i="30"/>
  <c r="AA64" i="30"/>
  <c r="AB64" i="30"/>
  <c r="AC64" i="30"/>
  <c r="AD64" i="30"/>
  <c r="AE64" i="30"/>
  <c r="AF64" i="30"/>
  <c r="AG64" i="30"/>
  <c r="AH64" i="30"/>
  <c r="AI64" i="30"/>
  <c r="AJ64" i="30"/>
  <c r="AK64" i="30"/>
  <c r="H65" i="30"/>
  <c r="I65" i="30"/>
  <c r="J65" i="30"/>
  <c r="K65" i="30"/>
  <c r="L65" i="30"/>
  <c r="M65" i="30"/>
  <c r="N65" i="30"/>
  <c r="O65" i="30"/>
  <c r="P65" i="30"/>
  <c r="Q65" i="30"/>
  <c r="R65" i="30"/>
  <c r="S65" i="30"/>
  <c r="T65" i="30"/>
  <c r="U65" i="30"/>
  <c r="V65" i="30"/>
  <c r="W65" i="30"/>
  <c r="X65" i="30"/>
  <c r="Y65" i="30"/>
  <c r="Z65" i="30"/>
  <c r="AA65" i="30"/>
  <c r="AB65" i="30"/>
  <c r="AC65" i="30"/>
  <c r="AD65" i="30"/>
  <c r="AE65" i="30"/>
  <c r="AF65" i="30"/>
  <c r="AG65" i="30"/>
  <c r="AH65" i="30"/>
  <c r="AI65" i="30"/>
  <c r="AJ65" i="30"/>
  <c r="AK65" i="30"/>
  <c r="H66" i="30"/>
  <c r="I66" i="30"/>
  <c r="J66" i="30"/>
  <c r="K66" i="30"/>
  <c r="L66" i="30"/>
  <c r="M66" i="30"/>
  <c r="N66" i="30"/>
  <c r="O66" i="30"/>
  <c r="P66" i="30"/>
  <c r="Q66" i="30"/>
  <c r="R66" i="30"/>
  <c r="S66" i="30"/>
  <c r="T66" i="30"/>
  <c r="U66" i="30"/>
  <c r="V66" i="30"/>
  <c r="W66" i="30"/>
  <c r="X66" i="30"/>
  <c r="Y66" i="30"/>
  <c r="Z66" i="30"/>
  <c r="AA66" i="30"/>
  <c r="AB66" i="30"/>
  <c r="AC66" i="30"/>
  <c r="AD66" i="30"/>
  <c r="AE66" i="30"/>
  <c r="AF66" i="30"/>
  <c r="AG66" i="30"/>
  <c r="AH66" i="30"/>
  <c r="AI66" i="30"/>
  <c r="AJ66" i="30"/>
  <c r="AK66" i="30"/>
  <c r="H68" i="30"/>
  <c r="I68" i="30"/>
  <c r="J68" i="30"/>
  <c r="K68" i="30"/>
  <c r="L68" i="30"/>
  <c r="M68" i="30"/>
  <c r="N68" i="30"/>
  <c r="O68" i="30"/>
  <c r="P68" i="30"/>
  <c r="Q68" i="30"/>
  <c r="R68" i="30"/>
  <c r="S68" i="30"/>
  <c r="T68" i="30"/>
  <c r="U68" i="30"/>
  <c r="V68" i="30"/>
  <c r="W68" i="30"/>
  <c r="X68" i="30"/>
  <c r="Y68" i="30"/>
  <c r="Z68" i="30"/>
  <c r="AA68" i="30"/>
  <c r="AB68" i="30"/>
  <c r="AC68" i="30"/>
  <c r="AD68" i="30"/>
  <c r="AE68" i="30"/>
  <c r="AF68" i="30"/>
  <c r="AG68" i="30"/>
  <c r="AH68" i="30"/>
  <c r="AI68" i="30"/>
  <c r="AJ68" i="30"/>
  <c r="AK68" i="30"/>
  <c r="H71" i="30"/>
  <c r="I71" i="30"/>
  <c r="J71" i="30"/>
  <c r="K71" i="30"/>
  <c r="L71" i="30"/>
  <c r="M71" i="30"/>
  <c r="N71" i="30"/>
  <c r="O71" i="30"/>
  <c r="P71" i="30"/>
  <c r="Q71" i="30"/>
  <c r="R71" i="30"/>
  <c r="S71" i="30"/>
  <c r="T71" i="30"/>
  <c r="U71" i="30"/>
  <c r="V71" i="30"/>
  <c r="W71" i="30"/>
  <c r="X71" i="30"/>
  <c r="Y71" i="30"/>
  <c r="Z71" i="30"/>
  <c r="AA71" i="30"/>
  <c r="AB71" i="30"/>
  <c r="AC71" i="30"/>
  <c r="AD71" i="30"/>
  <c r="AE71" i="30"/>
  <c r="AF71" i="30"/>
  <c r="AG71" i="30"/>
  <c r="AH71" i="30"/>
  <c r="AI71" i="30"/>
  <c r="AJ71" i="30"/>
  <c r="AK71" i="30"/>
  <c r="H73" i="30"/>
  <c r="I73" i="30"/>
  <c r="J73" i="30"/>
  <c r="K73" i="30"/>
  <c r="L73" i="30"/>
  <c r="M73" i="30"/>
  <c r="N73" i="30"/>
  <c r="O73" i="30"/>
  <c r="P73" i="30"/>
  <c r="Q73" i="30"/>
  <c r="R73" i="30"/>
  <c r="S73" i="30"/>
  <c r="T73" i="30"/>
  <c r="U73" i="30"/>
  <c r="V73" i="30"/>
  <c r="W73" i="30"/>
  <c r="X73" i="30"/>
  <c r="Y73" i="30"/>
  <c r="Z73" i="30"/>
  <c r="AA73" i="30"/>
  <c r="AB73" i="30"/>
  <c r="AC73" i="30"/>
  <c r="AD73" i="30"/>
  <c r="AE73" i="30"/>
  <c r="AF73" i="30"/>
  <c r="AG73" i="30"/>
  <c r="AH73" i="30"/>
  <c r="AI73" i="30"/>
  <c r="AJ73" i="30"/>
  <c r="AK73" i="30"/>
  <c r="H77" i="30"/>
  <c r="I77" i="30"/>
  <c r="J77" i="30"/>
  <c r="K77" i="30"/>
  <c r="L77" i="30"/>
  <c r="M77" i="30"/>
  <c r="N77" i="30"/>
  <c r="O77" i="30"/>
  <c r="P77" i="30"/>
  <c r="Q77" i="30"/>
  <c r="R77" i="30"/>
  <c r="S77" i="30"/>
  <c r="T77" i="30"/>
  <c r="U77" i="30"/>
  <c r="V77" i="30"/>
  <c r="W77" i="30"/>
  <c r="X77" i="30"/>
  <c r="Y77" i="30"/>
  <c r="Z77" i="30"/>
  <c r="AA77" i="30"/>
  <c r="AB77" i="30"/>
  <c r="AC77" i="30"/>
  <c r="AD77" i="30"/>
  <c r="AE77" i="30"/>
  <c r="AF77" i="30"/>
  <c r="AG77" i="30"/>
  <c r="AH77" i="30"/>
  <c r="AI77" i="30"/>
  <c r="AJ77" i="30"/>
  <c r="AK77" i="30"/>
  <c r="H79" i="30"/>
  <c r="I79" i="30"/>
  <c r="J79" i="30"/>
  <c r="K79" i="30"/>
  <c r="L79" i="30"/>
  <c r="M79" i="30"/>
  <c r="N79" i="30"/>
  <c r="O79" i="30"/>
  <c r="P79" i="30"/>
  <c r="Q79" i="30"/>
  <c r="R79" i="30"/>
  <c r="S79" i="30"/>
  <c r="T79" i="30"/>
  <c r="U79" i="30"/>
  <c r="V79" i="30"/>
  <c r="W79" i="30"/>
  <c r="X79" i="30"/>
  <c r="Y79" i="30"/>
  <c r="Z79" i="30"/>
  <c r="AA79" i="30"/>
  <c r="AB79" i="30"/>
  <c r="AC79" i="30"/>
  <c r="AD79" i="30"/>
  <c r="AE79" i="30"/>
  <c r="AF79" i="30"/>
  <c r="AG79" i="30"/>
  <c r="AH79" i="30"/>
  <c r="AI79" i="30"/>
  <c r="AJ79" i="30"/>
  <c r="AK79" i="30"/>
  <c r="I80" i="30"/>
  <c r="J80" i="30"/>
  <c r="K80" i="30"/>
  <c r="L80" i="30"/>
  <c r="M80" i="30"/>
  <c r="N80" i="30"/>
  <c r="O80" i="30"/>
  <c r="P80" i="30"/>
  <c r="Q80" i="30"/>
  <c r="R80" i="30"/>
  <c r="S80" i="30"/>
  <c r="T80" i="30"/>
  <c r="U80" i="30"/>
  <c r="V80" i="30"/>
  <c r="W80" i="30"/>
  <c r="X80" i="30"/>
  <c r="Y80" i="30"/>
  <c r="Z80" i="30"/>
  <c r="AA80" i="30"/>
  <c r="AB80" i="30"/>
  <c r="AC80" i="30"/>
  <c r="AD80" i="30"/>
  <c r="AE80" i="30"/>
  <c r="AF80" i="30"/>
  <c r="AG80" i="30"/>
  <c r="AH80" i="30"/>
  <c r="AI80" i="30"/>
  <c r="AJ80" i="30"/>
  <c r="AK80" i="30"/>
  <c r="H81" i="30"/>
  <c r="I81" i="30"/>
  <c r="J81" i="30"/>
  <c r="K81" i="30"/>
  <c r="L81" i="30"/>
  <c r="M81" i="30"/>
  <c r="N81" i="30"/>
  <c r="O81" i="30"/>
  <c r="P81" i="30"/>
  <c r="Q81" i="30"/>
  <c r="R81" i="30"/>
  <c r="S81" i="30"/>
  <c r="T81" i="30"/>
  <c r="U81" i="30"/>
  <c r="V81" i="30"/>
  <c r="W81" i="30"/>
  <c r="X81" i="30"/>
  <c r="Y81" i="30"/>
  <c r="Z81" i="30"/>
  <c r="AA81" i="30"/>
  <c r="AB81" i="30"/>
  <c r="AC81" i="30"/>
  <c r="AD81" i="30"/>
  <c r="AE81" i="30"/>
  <c r="AF81" i="30"/>
  <c r="AG81" i="30"/>
  <c r="AH81" i="30"/>
  <c r="AI81" i="30"/>
  <c r="AJ81" i="30"/>
  <c r="AK81" i="30"/>
  <c r="H82" i="30"/>
  <c r="I82" i="30"/>
  <c r="J82" i="30"/>
  <c r="K82" i="30"/>
  <c r="L82" i="30"/>
  <c r="M82" i="30"/>
  <c r="N82" i="30"/>
  <c r="O82" i="30"/>
  <c r="P82" i="30"/>
  <c r="Q82" i="30"/>
  <c r="R82" i="30"/>
  <c r="S82" i="30"/>
  <c r="T82" i="30"/>
  <c r="U82" i="30"/>
  <c r="V82" i="30"/>
  <c r="W82" i="30"/>
  <c r="X82" i="30"/>
  <c r="Y82" i="30"/>
  <c r="Z82" i="30"/>
  <c r="AA82" i="30"/>
  <c r="AB82" i="30"/>
  <c r="AC82" i="30"/>
  <c r="AD82" i="30"/>
  <c r="AE82" i="30"/>
  <c r="AF82" i="30"/>
  <c r="AG82" i="30"/>
  <c r="AH82" i="30"/>
  <c r="AI82" i="30"/>
  <c r="AJ82" i="30"/>
  <c r="AK82" i="30"/>
  <c r="H84" i="30"/>
  <c r="I84" i="30"/>
  <c r="J84" i="30"/>
  <c r="K84" i="30"/>
  <c r="L84" i="30"/>
  <c r="M84" i="30"/>
  <c r="N84" i="30"/>
  <c r="O84" i="30"/>
  <c r="P84" i="30"/>
  <c r="Q84" i="30"/>
  <c r="R84" i="30"/>
  <c r="S84" i="30"/>
  <c r="T84" i="30"/>
  <c r="U84" i="30"/>
  <c r="V84" i="30"/>
  <c r="W84" i="30"/>
  <c r="X84" i="30"/>
  <c r="Y84" i="30"/>
  <c r="Z84" i="30"/>
  <c r="AA84" i="30"/>
  <c r="AB84" i="30"/>
  <c r="AC84" i="30"/>
  <c r="AD84" i="30"/>
  <c r="AE84" i="30"/>
  <c r="AF84" i="30"/>
  <c r="AG84" i="30"/>
  <c r="AH84" i="30"/>
  <c r="AI84" i="30"/>
  <c r="AJ84" i="30"/>
  <c r="AK84" i="30"/>
  <c r="D86" i="30"/>
  <c r="H86" i="30"/>
  <c r="I86" i="30"/>
  <c r="J86" i="30"/>
  <c r="K86" i="30"/>
  <c r="L86" i="30"/>
  <c r="M86" i="30"/>
  <c r="N86" i="30"/>
  <c r="O86" i="30"/>
  <c r="P86" i="30"/>
  <c r="Q86" i="30"/>
  <c r="R86" i="30"/>
  <c r="S86" i="30"/>
  <c r="T86" i="30"/>
  <c r="U86" i="30"/>
  <c r="V86" i="30"/>
  <c r="W86" i="30"/>
  <c r="X86" i="30"/>
  <c r="Y86" i="30"/>
  <c r="Z86" i="30"/>
  <c r="AA86" i="30"/>
  <c r="AB86" i="30"/>
  <c r="AC86" i="30"/>
  <c r="AD86" i="30"/>
  <c r="AE86" i="30"/>
  <c r="AF86" i="30"/>
  <c r="AG86" i="30"/>
  <c r="AH86" i="30"/>
  <c r="AI86" i="30"/>
  <c r="AJ86" i="30"/>
  <c r="AK86" i="30"/>
  <c r="E87" i="30"/>
  <c r="F87" i="30"/>
  <c r="G87" i="30"/>
  <c r="D89" i="30"/>
  <c r="E89" i="30"/>
  <c r="D90" i="30"/>
  <c r="H90" i="30"/>
  <c r="I90" i="30"/>
  <c r="J90" i="30"/>
  <c r="K90" i="30"/>
  <c r="L90" i="30"/>
  <c r="M90" i="30"/>
  <c r="N90" i="30"/>
  <c r="O90" i="30"/>
  <c r="P90" i="30"/>
  <c r="Q90" i="30"/>
  <c r="R90" i="30"/>
  <c r="S90" i="30"/>
  <c r="T90" i="30"/>
  <c r="U90" i="30"/>
  <c r="V90" i="30"/>
  <c r="W90" i="30"/>
  <c r="X90" i="30"/>
  <c r="Y90" i="30"/>
  <c r="Z90" i="30"/>
  <c r="AA90" i="30"/>
  <c r="AB90" i="30"/>
  <c r="AC90" i="30"/>
  <c r="AD90" i="30"/>
  <c r="AE90" i="30"/>
  <c r="AF90" i="30"/>
  <c r="AG90" i="30"/>
  <c r="AH90" i="30"/>
  <c r="AI90" i="30"/>
  <c r="AJ90" i="30"/>
  <c r="AK90" i="30"/>
  <c r="D91" i="30"/>
  <c r="H91" i="30"/>
  <c r="I91" i="30"/>
  <c r="J91" i="30"/>
  <c r="K91" i="30"/>
  <c r="L91" i="30"/>
  <c r="M91" i="30"/>
  <c r="N91" i="30"/>
  <c r="O91" i="30"/>
  <c r="P91" i="30"/>
  <c r="Q91" i="30"/>
  <c r="R91" i="30"/>
  <c r="S91" i="30"/>
  <c r="T91" i="30"/>
  <c r="U91" i="30"/>
  <c r="V91" i="30"/>
  <c r="W91" i="30"/>
  <c r="X91" i="30"/>
  <c r="Y91" i="30"/>
  <c r="Z91" i="30"/>
  <c r="AA91" i="30"/>
  <c r="AB91" i="30"/>
  <c r="AC91" i="30"/>
  <c r="AD91" i="30"/>
  <c r="AE91" i="30"/>
  <c r="AF91" i="30"/>
  <c r="AG91" i="30"/>
  <c r="AH91" i="30"/>
  <c r="AI91" i="30"/>
  <c r="AJ91" i="30"/>
  <c r="AK91" i="30"/>
  <c r="D92" i="30"/>
  <c r="H92" i="30"/>
  <c r="I92" i="30"/>
  <c r="J92" i="30"/>
  <c r="K92" i="30"/>
  <c r="L92" i="30"/>
  <c r="M92" i="30"/>
  <c r="N92" i="30"/>
  <c r="O92" i="30"/>
  <c r="P92" i="30"/>
  <c r="Q92" i="30"/>
  <c r="R92" i="30"/>
  <c r="S92" i="30"/>
  <c r="T92" i="30"/>
  <c r="U92" i="30"/>
  <c r="V92" i="30"/>
  <c r="W92" i="30"/>
  <c r="X92" i="30"/>
  <c r="Y92" i="30"/>
  <c r="Z92" i="30"/>
  <c r="AA92" i="30"/>
  <c r="AB92" i="30"/>
  <c r="AC92" i="30"/>
  <c r="AD92" i="30"/>
  <c r="AE92" i="30"/>
  <c r="AF92" i="30"/>
  <c r="AG92" i="30"/>
  <c r="AH92" i="30"/>
  <c r="AI92" i="30"/>
  <c r="AJ92" i="30"/>
  <c r="AK92" i="30"/>
  <c r="D93" i="30"/>
  <c r="E93" i="30"/>
  <c r="F93" i="30"/>
  <c r="G93" i="30"/>
  <c r="D94" i="30"/>
  <c r="H94" i="30"/>
  <c r="I94" i="30"/>
  <c r="J94" i="30"/>
  <c r="K94" i="30"/>
  <c r="L94" i="30"/>
  <c r="M94" i="30"/>
  <c r="N94" i="30"/>
  <c r="O94" i="30"/>
  <c r="P94" i="30"/>
  <c r="Q94" i="30"/>
  <c r="R94" i="30"/>
  <c r="S94" i="30"/>
  <c r="T94" i="30"/>
  <c r="U94" i="30"/>
  <c r="V94" i="30"/>
  <c r="W94" i="30"/>
  <c r="X94" i="30"/>
  <c r="Y94" i="30"/>
  <c r="Z94" i="30"/>
  <c r="AA94" i="30"/>
  <c r="AB94" i="30"/>
  <c r="AC94" i="30"/>
  <c r="AD94" i="30"/>
  <c r="AE94" i="30"/>
  <c r="AF94" i="30"/>
  <c r="AG94" i="30"/>
  <c r="AH94" i="30"/>
  <c r="AI94" i="30"/>
  <c r="AJ94" i="30"/>
  <c r="AK94" i="30"/>
  <c r="D96" i="30"/>
  <c r="E96" i="30"/>
  <c r="H96" i="30"/>
  <c r="I96" i="30"/>
  <c r="J96" i="30"/>
  <c r="K96" i="30"/>
  <c r="L96" i="30"/>
  <c r="M96" i="30"/>
  <c r="N96" i="30"/>
  <c r="O96" i="30"/>
  <c r="P96" i="30"/>
  <c r="Q96" i="30"/>
  <c r="R96" i="30"/>
  <c r="S96" i="30"/>
  <c r="T96" i="30"/>
  <c r="U96" i="30"/>
  <c r="V96" i="30"/>
  <c r="W96" i="30"/>
  <c r="X96" i="30"/>
  <c r="Y96" i="30"/>
  <c r="Z96" i="30"/>
  <c r="AA96" i="30"/>
  <c r="AB96" i="30"/>
  <c r="AC96" i="30"/>
  <c r="AD96" i="30"/>
  <c r="AE96" i="30"/>
  <c r="AF96" i="30"/>
  <c r="AG96" i="30"/>
  <c r="AH96" i="30"/>
  <c r="AI96" i="30"/>
  <c r="AJ96" i="30"/>
  <c r="AK96" i="30"/>
  <c r="D97" i="30"/>
  <c r="E97" i="30"/>
  <c r="H97" i="30"/>
  <c r="I97" i="30"/>
  <c r="J97" i="30"/>
  <c r="K97" i="30"/>
  <c r="L97" i="30"/>
  <c r="M97" i="30"/>
  <c r="N97" i="30"/>
  <c r="O97" i="30"/>
  <c r="P97" i="30"/>
  <c r="Q97" i="30"/>
  <c r="R97" i="30"/>
  <c r="S97" i="30"/>
  <c r="T97" i="30"/>
  <c r="U97" i="30"/>
  <c r="V97" i="30"/>
  <c r="W97" i="30"/>
  <c r="X97" i="30"/>
  <c r="Y97" i="30"/>
  <c r="Z97" i="30"/>
  <c r="AA97" i="30"/>
  <c r="AB97" i="30"/>
  <c r="AC97" i="30"/>
  <c r="AD97" i="30"/>
  <c r="AE97" i="30"/>
  <c r="AF97" i="30"/>
  <c r="AG97" i="30"/>
  <c r="AH97" i="30"/>
  <c r="AI97" i="30"/>
  <c r="AJ97" i="30"/>
  <c r="AK97" i="30"/>
  <c r="D99" i="30"/>
  <c r="C105" i="30"/>
  <c r="D105" i="30"/>
  <c r="E105" i="30"/>
  <c r="F106" i="30"/>
  <c r="G106" i="30"/>
  <c r="H106" i="30"/>
  <c r="I106" i="30"/>
  <c r="J106" i="30"/>
  <c r="K106" i="30"/>
  <c r="L106" i="30"/>
  <c r="M106" i="30"/>
  <c r="N106" i="30"/>
  <c r="O106" i="30"/>
  <c r="P106" i="30"/>
  <c r="Q106" i="30"/>
  <c r="R106" i="30"/>
  <c r="S106" i="30"/>
  <c r="T106" i="30"/>
  <c r="U106" i="30"/>
  <c r="V106" i="30"/>
  <c r="W106" i="30"/>
  <c r="X106" i="30"/>
  <c r="Y106" i="30"/>
  <c r="Z106" i="30"/>
  <c r="AA106" i="30"/>
  <c r="AB106" i="30"/>
  <c r="AC106" i="30"/>
  <c r="AD106" i="30"/>
  <c r="AE106" i="30"/>
  <c r="AF106" i="30"/>
  <c r="AG106" i="30"/>
  <c r="AH106" i="30"/>
  <c r="AI106" i="30"/>
  <c r="E107" i="30"/>
  <c r="F107" i="30"/>
  <c r="G107" i="30"/>
  <c r="H107" i="30"/>
  <c r="I107" i="30"/>
  <c r="J107" i="30"/>
  <c r="K107" i="30"/>
  <c r="L107" i="30"/>
  <c r="M107" i="30"/>
  <c r="N107" i="30"/>
  <c r="O107" i="30"/>
  <c r="P107" i="30"/>
  <c r="Q107" i="30"/>
  <c r="R107" i="30"/>
  <c r="S107" i="30"/>
  <c r="T107" i="30"/>
  <c r="U107" i="30"/>
  <c r="V107" i="30"/>
  <c r="W107" i="30"/>
  <c r="X107" i="30"/>
  <c r="Y107" i="30"/>
  <c r="Z107" i="30"/>
  <c r="AA107" i="30"/>
  <c r="AB107" i="30"/>
  <c r="AC107" i="30"/>
  <c r="AD107" i="30"/>
  <c r="AE107" i="30"/>
  <c r="AF107" i="30"/>
  <c r="AG107" i="30"/>
  <c r="AH107" i="30"/>
  <c r="C108" i="30"/>
  <c r="D108" i="30"/>
  <c r="E108" i="30"/>
  <c r="F108" i="30"/>
  <c r="G108" i="30"/>
  <c r="H108" i="30"/>
  <c r="I108" i="30"/>
  <c r="J108" i="30"/>
  <c r="K108" i="30"/>
  <c r="L108" i="30"/>
  <c r="M108" i="30"/>
  <c r="N108" i="30"/>
  <c r="O108" i="30"/>
  <c r="P108" i="30"/>
  <c r="Q108" i="30"/>
  <c r="R108" i="30"/>
  <c r="S108" i="30"/>
  <c r="T108" i="30"/>
  <c r="U108" i="30"/>
  <c r="V108" i="30"/>
  <c r="W108" i="30"/>
  <c r="X108" i="30"/>
  <c r="Y108" i="30"/>
  <c r="Z108" i="30"/>
  <c r="AA108" i="30"/>
  <c r="AB108" i="30"/>
  <c r="AC108" i="30"/>
  <c r="AD108" i="30"/>
  <c r="AE108" i="30"/>
  <c r="AF108" i="30"/>
  <c r="AG108" i="30"/>
  <c r="AH108" i="30"/>
  <c r="AI108" i="30"/>
  <c r="F109" i="30"/>
  <c r="G109" i="30"/>
  <c r="H109" i="30"/>
  <c r="I109" i="30"/>
  <c r="J109" i="30"/>
  <c r="K109" i="30"/>
  <c r="L109" i="30"/>
  <c r="M109" i="30"/>
  <c r="N109" i="30"/>
  <c r="O109" i="30"/>
  <c r="P109" i="30"/>
  <c r="Q109" i="30"/>
  <c r="R109" i="30"/>
  <c r="S109" i="30"/>
  <c r="T109" i="30"/>
  <c r="U109" i="30"/>
  <c r="V109" i="30"/>
  <c r="W109" i="30"/>
  <c r="X109" i="30"/>
  <c r="Y109" i="30"/>
  <c r="Z109" i="30"/>
  <c r="AA109" i="30"/>
  <c r="AB109" i="30"/>
  <c r="AC109" i="30"/>
  <c r="AD109" i="30"/>
  <c r="AE109" i="30"/>
  <c r="AF109" i="30"/>
  <c r="AG109" i="30"/>
  <c r="AH109" i="30"/>
  <c r="AI109" i="30"/>
  <c r="F110" i="30"/>
  <c r="G110" i="30"/>
  <c r="H110" i="30"/>
  <c r="I110" i="30"/>
  <c r="J110" i="30"/>
  <c r="K110" i="30"/>
  <c r="L110" i="30"/>
  <c r="M110" i="30"/>
  <c r="N110" i="30"/>
  <c r="O110" i="30"/>
  <c r="P110" i="30"/>
  <c r="Q110" i="30"/>
  <c r="R110" i="30"/>
  <c r="S110" i="30"/>
  <c r="T110" i="30"/>
  <c r="U110" i="30"/>
  <c r="V110" i="30"/>
  <c r="W110" i="30"/>
  <c r="X110" i="30"/>
  <c r="Y110" i="30"/>
  <c r="Z110" i="30"/>
  <c r="AA110" i="30"/>
  <c r="AB110" i="30"/>
  <c r="AC110" i="30"/>
  <c r="AD110" i="30"/>
  <c r="AE110" i="30"/>
  <c r="AF110" i="30"/>
  <c r="AG110" i="30"/>
  <c r="AH110" i="30"/>
  <c r="AI110" i="30"/>
  <c r="F111" i="30"/>
  <c r="G111" i="30"/>
  <c r="H111" i="30"/>
  <c r="I111" i="30"/>
  <c r="J111" i="30"/>
  <c r="K111" i="30"/>
  <c r="L111" i="30"/>
  <c r="M111" i="30"/>
  <c r="N111" i="30"/>
  <c r="O111" i="30"/>
  <c r="P111" i="30"/>
  <c r="Q111" i="30"/>
  <c r="R111" i="30"/>
  <c r="S111" i="30"/>
  <c r="T111" i="30"/>
  <c r="U111" i="30"/>
  <c r="V111" i="30"/>
  <c r="W111" i="30"/>
  <c r="X111" i="30"/>
  <c r="Y111" i="30"/>
  <c r="Z111" i="30"/>
  <c r="AA111" i="30"/>
  <c r="AB111" i="30"/>
  <c r="AC111" i="30"/>
  <c r="AD111" i="30"/>
  <c r="AE111" i="30"/>
  <c r="AF111" i="30"/>
  <c r="AG111" i="30"/>
  <c r="AH111" i="30"/>
  <c r="AI111" i="30"/>
  <c r="D119" i="30"/>
  <c r="D120" i="30"/>
  <c r="D121" i="30"/>
  <c r="D122" i="30"/>
  <c r="D126" i="30"/>
  <c r="D127" i="30"/>
  <c r="D128" i="30"/>
  <c r="D129" i="30"/>
  <c r="D130" i="30"/>
  <c r="D131" i="30"/>
  <c r="D132" i="30"/>
  <c r="D133" i="30"/>
  <c r="D134" i="30"/>
  <c r="D135" i="30"/>
  <c r="C155" i="30"/>
  <c r="C156" i="30"/>
  <c r="C157" i="30"/>
  <c r="C158" i="30"/>
  <c r="C159" i="30"/>
  <c r="C160" i="30"/>
  <c r="C161" i="30"/>
  <c r="C162" i="30"/>
  <c r="C163" i="30"/>
  <c r="C164" i="30"/>
  <c r="C165" i="30"/>
  <c r="C166" i="30"/>
  <c r="C167" i="30"/>
  <c r="C168" i="30"/>
  <c r="C169" i="30"/>
  <c r="C170" i="30"/>
  <c r="C171" i="30"/>
  <c r="C172" i="30"/>
  <c r="C173" i="30"/>
  <c r="C174" i="30"/>
  <c r="C175" i="30"/>
  <c r="C176" i="30"/>
  <c r="C177" i="30"/>
  <c r="H4" i="33"/>
  <c r="I4" i="33"/>
  <c r="J4" i="33"/>
  <c r="D5" i="33"/>
  <c r="H5" i="33"/>
  <c r="I5" i="33"/>
  <c r="J5" i="33"/>
  <c r="D6" i="33"/>
  <c r="H6" i="33"/>
  <c r="I6" i="33"/>
  <c r="J6" i="33"/>
  <c r="D7" i="33"/>
  <c r="H7" i="33"/>
  <c r="I7" i="33"/>
  <c r="J7" i="33"/>
  <c r="D8" i="33"/>
  <c r="H8" i="33"/>
  <c r="I8" i="33"/>
  <c r="J8" i="33"/>
  <c r="H11" i="33"/>
  <c r="H12" i="33"/>
  <c r="H13" i="33"/>
  <c r="D14" i="33"/>
  <c r="H14" i="33"/>
  <c r="H15" i="33"/>
  <c r="D29" i="33"/>
  <c r="D30" i="33"/>
  <c r="D31" i="33"/>
  <c r="D32" i="33"/>
  <c r="D33" i="33"/>
  <c r="D34" i="33"/>
  <c r="D35" i="33"/>
  <c r="D51" i="33"/>
  <c r="E56" i="33"/>
  <c r="F56" i="33"/>
  <c r="G56" i="33"/>
  <c r="E57" i="33"/>
  <c r="G58" i="33"/>
  <c r="E60" i="33"/>
  <c r="F60" i="33"/>
  <c r="G60" i="33"/>
  <c r="H60" i="33"/>
  <c r="I60" i="33"/>
  <c r="J60" i="33"/>
  <c r="K60" i="33"/>
  <c r="L60" i="33"/>
  <c r="M60" i="33"/>
  <c r="N60" i="33"/>
  <c r="O60" i="33"/>
  <c r="P60" i="33"/>
  <c r="Q60" i="33"/>
  <c r="E61" i="33"/>
  <c r="F61" i="33"/>
  <c r="G61" i="33"/>
  <c r="H61" i="33"/>
  <c r="I61" i="33"/>
  <c r="J61" i="33"/>
  <c r="K61" i="33"/>
  <c r="L61" i="33"/>
  <c r="M61" i="33"/>
  <c r="N61" i="33"/>
  <c r="O61" i="33"/>
  <c r="P61" i="33"/>
  <c r="Q61" i="33"/>
  <c r="R61" i="33"/>
  <c r="S61" i="33"/>
  <c r="T61" i="33"/>
  <c r="U61" i="33"/>
  <c r="V61" i="33"/>
  <c r="W61" i="33"/>
  <c r="X61" i="33"/>
  <c r="Y61" i="33"/>
  <c r="Z61" i="33"/>
  <c r="AA61" i="33"/>
  <c r="AB61" i="33"/>
  <c r="AC61" i="33"/>
  <c r="AD61" i="33"/>
  <c r="AE61" i="33"/>
  <c r="AF61" i="33"/>
  <c r="AG61" i="33"/>
  <c r="AH61" i="33"/>
  <c r="AI61" i="33"/>
  <c r="AJ61" i="33"/>
  <c r="AK61" i="33"/>
  <c r="E62" i="33"/>
  <c r="F62" i="33"/>
  <c r="G62" i="33"/>
  <c r="H62" i="33"/>
  <c r="I62" i="33"/>
  <c r="J62" i="33"/>
  <c r="K62" i="33"/>
  <c r="L62" i="33"/>
  <c r="M62" i="33"/>
  <c r="N62" i="33"/>
  <c r="O62" i="33"/>
  <c r="P62" i="33"/>
  <c r="Q62" i="33"/>
  <c r="R62" i="33"/>
  <c r="S62" i="33"/>
  <c r="T62" i="33"/>
  <c r="U62" i="33"/>
  <c r="V62" i="33"/>
  <c r="W62" i="33"/>
  <c r="X62" i="33"/>
  <c r="Y62" i="33"/>
  <c r="Z62" i="33"/>
  <c r="AA62" i="33"/>
  <c r="AB62" i="33"/>
  <c r="AC62" i="33"/>
  <c r="AD62" i="33"/>
  <c r="AE62" i="33"/>
  <c r="AF62" i="33"/>
  <c r="AG62" i="33"/>
  <c r="AH62" i="33"/>
  <c r="AI62" i="33"/>
  <c r="AJ62" i="33"/>
  <c r="AK62" i="33"/>
  <c r="E64" i="33"/>
  <c r="F64" i="33"/>
  <c r="G64" i="33"/>
  <c r="H64" i="33"/>
  <c r="I64" i="33"/>
  <c r="J64" i="33"/>
  <c r="K64" i="33"/>
  <c r="L64" i="33"/>
  <c r="M64" i="33"/>
  <c r="N64" i="33"/>
  <c r="O64" i="33"/>
  <c r="P64" i="33"/>
  <c r="Q64" i="33"/>
  <c r="H66" i="33"/>
  <c r="I66" i="33"/>
  <c r="J66" i="33"/>
  <c r="K66" i="33"/>
  <c r="L66" i="33"/>
  <c r="M66" i="33"/>
  <c r="N66" i="33"/>
  <c r="O66" i="33"/>
  <c r="P66" i="33"/>
  <c r="Q66" i="33"/>
  <c r="R66" i="33"/>
  <c r="S66" i="33"/>
  <c r="T66" i="33"/>
  <c r="U66" i="33"/>
  <c r="V66" i="33"/>
  <c r="W66" i="33"/>
  <c r="X66" i="33"/>
  <c r="Y66" i="33"/>
  <c r="Z66" i="33"/>
  <c r="AA66" i="33"/>
  <c r="AB66" i="33"/>
  <c r="AC66" i="33"/>
  <c r="AD66" i="33"/>
  <c r="AE66" i="33"/>
  <c r="AF66" i="33"/>
  <c r="AG66" i="33"/>
  <c r="AH66" i="33"/>
  <c r="AI66" i="33"/>
  <c r="AJ66" i="33"/>
  <c r="AK66" i="33"/>
  <c r="H67" i="33"/>
  <c r="I67" i="33"/>
  <c r="J67" i="33"/>
  <c r="K67" i="33"/>
  <c r="L67" i="33"/>
  <c r="M67" i="33"/>
  <c r="N67" i="33"/>
  <c r="O67" i="33"/>
  <c r="P67" i="33"/>
  <c r="Q67" i="33"/>
  <c r="R67" i="33"/>
  <c r="S67" i="33"/>
  <c r="T67" i="33"/>
  <c r="U67" i="33"/>
  <c r="V67" i="33"/>
  <c r="W67" i="33"/>
  <c r="X67" i="33"/>
  <c r="Y67" i="33"/>
  <c r="Z67" i="33"/>
  <c r="AA67" i="33"/>
  <c r="AB67" i="33"/>
  <c r="AC67" i="33"/>
  <c r="AD67" i="33"/>
  <c r="AE67" i="33"/>
  <c r="AF67" i="33"/>
  <c r="AG67" i="33"/>
  <c r="AH67" i="33"/>
  <c r="AI67" i="33"/>
  <c r="AJ67" i="33"/>
  <c r="AK67" i="33"/>
  <c r="H68" i="33"/>
  <c r="I68" i="33"/>
  <c r="J68" i="33"/>
  <c r="K68" i="33"/>
  <c r="L68" i="33"/>
  <c r="M68" i="33"/>
  <c r="N68" i="33"/>
  <c r="O68" i="33"/>
  <c r="P68" i="33"/>
  <c r="Q68" i="33"/>
  <c r="R68" i="33"/>
  <c r="S68" i="33"/>
  <c r="T68" i="33"/>
  <c r="U68" i="33"/>
  <c r="V68" i="33"/>
  <c r="W68" i="33"/>
  <c r="X68" i="33"/>
  <c r="Y68" i="33"/>
  <c r="Z68" i="33"/>
  <c r="AA68" i="33"/>
  <c r="AB68" i="33"/>
  <c r="AC68" i="33"/>
  <c r="AD68" i="33"/>
  <c r="AE68" i="33"/>
  <c r="AF68" i="33"/>
  <c r="AG68" i="33"/>
  <c r="AH68" i="33"/>
  <c r="AI68" i="33"/>
  <c r="AJ68" i="33"/>
  <c r="AK68" i="33"/>
  <c r="H69" i="33"/>
  <c r="I69" i="33"/>
  <c r="J69" i="33"/>
  <c r="K69" i="33"/>
  <c r="L69" i="33"/>
  <c r="M69" i="33"/>
  <c r="N69" i="33"/>
  <c r="O69" i="33"/>
  <c r="P69" i="33"/>
  <c r="Q69" i="33"/>
  <c r="R69" i="33"/>
  <c r="S69" i="33"/>
  <c r="T69" i="33"/>
  <c r="U69" i="33"/>
  <c r="V69" i="33"/>
  <c r="W69" i="33"/>
  <c r="X69" i="33"/>
  <c r="Y69" i="33"/>
  <c r="Z69" i="33"/>
  <c r="AA69" i="33"/>
  <c r="AB69" i="33"/>
  <c r="AC69" i="33"/>
  <c r="AD69" i="33"/>
  <c r="AE69" i="33"/>
  <c r="AF69" i="33"/>
  <c r="AG69" i="33"/>
  <c r="AH69" i="33"/>
  <c r="AI69" i="33"/>
  <c r="AJ69" i="33"/>
  <c r="AK69" i="33"/>
  <c r="H70" i="33"/>
  <c r="I70" i="33"/>
  <c r="J70" i="33"/>
  <c r="K70" i="33"/>
  <c r="L70" i="33"/>
  <c r="M70" i="33"/>
  <c r="N70" i="33"/>
  <c r="O70" i="33"/>
  <c r="P70" i="33"/>
  <c r="Q70" i="33"/>
  <c r="R70" i="33"/>
  <c r="S70" i="33"/>
  <c r="T70" i="33"/>
  <c r="U70" i="33"/>
  <c r="V70" i="33"/>
  <c r="W70" i="33"/>
  <c r="X70" i="33"/>
  <c r="Y70" i="33"/>
  <c r="Z70" i="33"/>
  <c r="AA70" i="33"/>
  <c r="AB70" i="33"/>
  <c r="AC70" i="33"/>
  <c r="AD70" i="33"/>
  <c r="AE70" i="33"/>
  <c r="AF70" i="33"/>
  <c r="AG70" i="33"/>
  <c r="AH70" i="33"/>
  <c r="AI70" i="33"/>
  <c r="AJ70" i="33"/>
  <c r="AK70" i="33"/>
  <c r="H71" i="33"/>
  <c r="I71" i="33"/>
  <c r="J71" i="33"/>
  <c r="K71" i="33"/>
  <c r="L71" i="33"/>
  <c r="M71" i="33"/>
  <c r="N71" i="33"/>
  <c r="O71" i="33"/>
  <c r="P71" i="33"/>
  <c r="Q71" i="33"/>
  <c r="R71" i="33"/>
  <c r="S71" i="33"/>
  <c r="T71" i="33"/>
  <c r="U71" i="33"/>
  <c r="V71" i="33"/>
  <c r="W71" i="33"/>
  <c r="X71" i="33"/>
  <c r="Y71" i="33"/>
  <c r="Z71" i="33"/>
  <c r="AA71" i="33"/>
  <c r="AB71" i="33"/>
  <c r="AC71" i="33"/>
  <c r="AD71" i="33"/>
  <c r="AE71" i="33"/>
  <c r="AF71" i="33"/>
  <c r="AG71" i="33"/>
  <c r="AH71" i="33"/>
  <c r="AI71" i="33"/>
  <c r="AJ71" i="33"/>
  <c r="AK71" i="33"/>
  <c r="H72" i="33"/>
  <c r="I72" i="33"/>
  <c r="J72" i="33"/>
  <c r="K72" i="33"/>
  <c r="L72" i="33"/>
  <c r="M72" i="33"/>
  <c r="N72" i="33"/>
  <c r="O72" i="33"/>
  <c r="P72" i="33"/>
  <c r="Q72" i="33"/>
  <c r="R72" i="33"/>
  <c r="S72" i="33"/>
  <c r="T72" i="33"/>
  <c r="U72" i="33"/>
  <c r="V72" i="33"/>
  <c r="W72" i="33"/>
  <c r="X72" i="33"/>
  <c r="Y72" i="33"/>
  <c r="Z72" i="33"/>
  <c r="AA72" i="33"/>
  <c r="AB72" i="33"/>
  <c r="AC72" i="33"/>
  <c r="AD72" i="33"/>
  <c r="AE72" i="33"/>
  <c r="AF72" i="33"/>
  <c r="AG72" i="33"/>
  <c r="AH72" i="33"/>
  <c r="AI72" i="33"/>
  <c r="AJ72" i="33"/>
  <c r="AK72" i="33"/>
  <c r="H75" i="33"/>
  <c r="I75" i="33"/>
  <c r="J75" i="33"/>
  <c r="K75" i="33"/>
  <c r="L75" i="33"/>
  <c r="M75" i="33"/>
  <c r="N75" i="33"/>
  <c r="O75" i="33"/>
  <c r="P75" i="33"/>
  <c r="Q75" i="33"/>
  <c r="R75" i="33"/>
  <c r="S75" i="33"/>
  <c r="T75" i="33"/>
  <c r="U75" i="33"/>
  <c r="V75" i="33"/>
  <c r="W75" i="33"/>
  <c r="X75" i="33"/>
  <c r="Y75" i="33"/>
  <c r="Z75" i="33"/>
  <c r="AA75" i="33"/>
  <c r="AB75" i="33"/>
  <c r="AC75" i="33"/>
  <c r="AD75" i="33"/>
  <c r="AE75" i="33"/>
  <c r="AF75" i="33"/>
  <c r="AG75" i="33"/>
  <c r="AH75" i="33"/>
  <c r="AI75" i="33"/>
  <c r="AJ75" i="33"/>
  <c r="AK75" i="33"/>
  <c r="H78" i="33"/>
  <c r="I78" i="33"/>
  <c r="J78" i="33"/>
  <c r="K78" i="33"/>
  <c r="L78" i="33"/>
  <c r="M78" i="33"/>
  <c r="N78" i="33"/>
  <c r="O78" i="33"/>
  <c r="P78" i="33"/>
  <c r="Q78" i="33"/>
  <c r="R78" i="33"/>
  <c r="S78" i="33"/>
  <c r="T78" i="33"/>
  <c r="U78" i="33"/>
  <c r="V78" i="33"/>
  <c r="W78" i="33"/>
  <c r="X78" i="33"/>
  <c r="Y78" i="33"/>
  <c r="Z78" i="33"/>
  <c r="AA78" i="33"/>
  <c r="AB78" i="33"/>
  <c r="AC78" i="33"/>
  <c r="AD78" i="33"/>
  <c r="AE78" i="33"/>
  <c r="AF78" i="33"/>
  <c r="AG78" i="33"/>
  <c r="AH78" i="33"/>
  <c r="AI78" i="33"/>
  <c r="AJ78" i="33"/>
  <c r="AK78" i="33"/>
  <c r="H80" i="33"/>
  <c r="I80" i="33"/>
  <c r="J80" i="33"/>
  <c r="K80" i="33"/>
  <c r="L80" i="33"/>
  <c r="M80" i="33"/>
  <c r="N80" i="33"/>
  <c r="O80" i="33"/>
  <c r="P80" i="33"/>
  <c r="Q80" i="33"/>
  <c r="R80" i="33"/>
  <c r="S80" i="33"/>
  <c r="T80" i="33"/>
  <c r="U80" i="33"/>
  <c r="V80" i="33"/>
  <c r="W80" i="33"/>
  <c r="X80" i="33"/>
  <c r="Y80" i="33"/>
  <c r="Z80" i="33"/>
  <c r="AA80" i="33"/>
  <c r="AB80" i="33"/>
  <c r="AC80" i="33"/>
  <c r="AD80" i="33"/>
  <c r="AE80" i="33"/>
  <c r="AF80" i="33"/>
  <c r="AG80" i="33"/>
  <c r="AH80" i="33"/>
  <c r="AI80" i="33"/>
  <c r="AJ80" i="33"/>
  <c r="AK80" i="33"/>
  <c r="H84" i="33"/>
  <c r="I84" i="33"/>
  <c r="J84" i="33"/>
  <c r="K84" i="33"/>
  <c r="L84" i="33"/>
  <c r="M84" i="33"/>
  <c r="N84" i="33"/>
  <c r="O84" i="33"/>
  <c r="P84" i="33"/>
  <c r="Q84" i="33"/>
  <c r="R84" i="33"/>
  <c r="S84" i="33"/>
  <c r="T84" i="33"/>
  <c r="U84" i="33"/>
  <c r="V84" i="33"/>
  <c r="W84" i="33"/>
  <c r="X84" i="33"/>
  <c r="Y84" i="33"/>
  <c r="Z84" i="33"/>
  <c r="AA84" i="33"/>
  <c r="AB84" i="33"/>
  <c r="AC84" i="33"/>
  <c r="AD84" i="33"/>
  <c r="AE84" i="33"/>
  <c r="AF84" i="33"/>
  <c r="AG84" i="33"/>
  <c r="AH84" i="33"/>
  <c r="AI84" i="33"/>
  <c r="AJ84" i="33"/>
  <c r="AK84" i="33"/>
  <c r="H86" i="33"/>
  <c r="I86" i="33"/>
  <c r="J86" i="33"/>
  <c r="K86" i="33"/>
  <c r="L86" i="33"/>
  <c r="M86" i="33"/>
  <c r="N86" i="33"/>
  <c r="O86" i="33"/>
  <c r="P86" i="33"/>
  <c r="Q86" i="33"/>
  <c r="R86" i="33"/>
  <c r="S86" i="33"/>
  <c r="T86" i="33"/>
  <c r="U86" i="33"/>
  <c r="V86" i="33"/>
  <c r="W86" i="33"/>
  <c r="X86" i="33"/>
  <c r="Y86" i="33"/>
  <c r="Z86" i="33"/>
  <c r="AA86" i="33"/>
  <c r="AB86" i="33"/>
  <c r="AC86" i="33"/>
  <c r="AD86" i="33"/>
  <c r="AE86" i="33"/>
  <c r="AF86" i="33"/>
  <c r="AG86" i="33"/>
  <c r="AH86" i="33"/>
  <c r="AI86" i="33"/>
  <c r="AJ86" i="33"/>
  <c r="AK86" i="33"/>
  <c r="I87" i="33"/>
  <c r="J87" i="33"/>
  <c r="K87" i="33"/>
  <c r="L87" i="33"/>
  <c r="M87" i="33"/>
  <c r="N87" i="33"/>
  <c r="O87" i="33"/>
  <c r="P87" i="33"/>
  <c r="Q87" i="33"/>
  <c r="R87" i="33"/>
  <c r="S87" i="33"/>
  <c r="T87" i="33"/>
  <c r="U87" i="33"/>
  <c r="V87" i="33"/>
  <c r="W87" i="33"/>
  <c r="X87" i="33"/>
  <c r="Y87" i="33"/>
  <c r="Z87" i="33"/>
  <c r="AA87" i="33"/>
  <c r="AB87" i="33"/>
  <c r="AC87" i="33"/>
  <c r="AD87" i="33"/>
  <c r="AE87" i="33"/>
  <c r="AF87" i="33"/>
  <c r="AG87" i="33"/>
  <c r="AH87" i="33"/>
  <c r="AI87" i="33"/>
  <c r="AJ87" i="33"/>
  <c r="AK87" i="33"/>
  <c r="H88" i="33"/>
  <c r="I88" i="33"/>
  <c r="J88" i="33"/>
  <c r="K88" i="33"/>
  <c r="L88" i="33"/>
  <c r="M88" i="33"/>
  <c r="N88" i="33"/>
  <c r="O88" i="33"/>
  <c r="P88" i="33"/>
  <c r="Q88" i="33"/>
  <c r="R88" i="33"/>
  <c r="S88" i="33"/>
  <c r="T88" i="33"/>
  <c r="U88" i="33"/>
  <c r="V88" i="33"/>
  <c r="W88" i="33"/>
  <c r="X88" i="33"/>
  <c r="Y88" i="33"/>
  <c r="Z88" i="33"/>
  <c r="AA88" i="33"/>
  <c r="AB88" i="33"/>
  <c r="AC88" i="33"/>
  <c r="AD88" i="33"/>
  <c r="AE88" i="33"/>
  <c r="AF88" i="33"/>
  <c r="AG88" i="33"/>
  <c r="AH88" i="33"/>
  <c r="AI88" i="33"/>
  <c r="AJ88" i="33"/>
  <c r="AK88" i="33"/>
  <c r="H89" i="33"/>
  <c r="I89" i="33"/>
  <c r="J89" i="33"/>
  <c r="K89" i="33"/>
  <c r="L89" i="33"/>
  <c r="M89" i="33"/>
  <c r="N89" i="33"/>
  <c r="O89" i="33"/>
  <c r="P89" i="33"/>
  <c r="Q89" i="33"/>
  <c r="R89" i="33"/>
  <c r="S89" i="33"/>
  <c r="T89" i="33"/>
  <c r="U89" i="33"/>
  <c r="V89" i="33"/>
  <c r="W89" i="33"/>
  <c r="X89" i="33"/>
  <c r="Y89" i="33"/>
  <c r="Z89" i="33"/>
  <c r="AA89" i="33"/>
  <c r="AB89" i="33"/>
  <c r="AC89" i="33"/>
  <c r="AD89" i="33"/>
  <c r="AE89" i="33"/>
  <c r="AF89" i="33"/>
  <c r="AG89" i="33"/>
  <c r="AH89" i="33"/>
  <c r="AI89" i="33"/>
  <c r="AJ89" i="33"/>
  <c r="AK89" i="33"/>
  <c r="H91" i="33"/>
  <c r="I91" i="33"/>
  <c r="J91" i="33"/>
  <c r="K91" i="33"/>
  <c r="L91" i="33"/>
  <c r="M91" i="33"/>
  <c r="N91" i="33"/>
  <c r="O91" i="33"/>
  <c r="P91" i="33"/>
  <c r="Q91" i="33"/>
  <c r="R91" i="33"/>
  <c r="S91" i="33"/>
  <c r="T91" i="33"/>
  <c r="U91" i="33"/>
  <c r="V91" i="33"/>
  <c r="W91" i="33"/>
  <c r="X91" i="33"/>
  <c r="Y91" i="33"/>
  <c r="Z91" i="33"/>
  <c r="AA91" i="33"/>
  <c r="AB91" i="33"/>
  <c r="AC91" i="33"/>
  <c r="AD91" i="33"/>
  <c r="AE91" i="33"/>
  <c r="AF91" i="33"/>
  <c r="AG91" i="33"/>
  <c r="AH91" i="33"/>
  <c r="AI91" i="33"/>
  <c r="AJ91" i="33"/>
  <c r="AK91" i="33"/>
  <c r="D93" i="33"/>
  <c r="H93" i="33"/>
  <c r="I93" i="33"/>
  <c r="J93" i="33"/>
  <c r="K93" i="33"/>
  <c r="L93" i="33"/>
  <c r="M93" i="33"/>
  <c r="N93" i="33"/>
  <c r="O93" i="33"/>
  <c r="P93" i="33"/>
  <c r="Q93" i="33"/>
  <c r="R93" i="33"/>
  <c r="S93" i="33"/>
  <c r="T93" i="33"/>
  <c r="U93" i="33"/>
  <c r="V93" i="33"/>
  <c r="W93" i="33"/>
  <c r="X93" i="33"/>
  <c r="Y93" i="33"/>
  <c r="Z93" i="33"/>
  <c r="AA93" i="33"/>
  <c r="AB93" i="33"/>
  <c r="AC93" i="33"/>
  <c r="AD93" i="33"/>
  <c r="AE93" i="33"/>
  <c r="AF93" i="33"/>
  <c r="AG93" i="33"/>
  <c r="AH93" i="33"/>
  <c r="AI93" i="33"/>
  <c r="AJ93" i="33"/>
  <c r="AK93" i="33"/>
  <c r="E94" i="33"/>
  <c r="F94" i="33"/>
  <c r="G94" i="33"/>
  <c r="D96" i="33"/>
  <c r="E96" i="33"/>
  <c r="D97" i="33"/>
  <c r="H97" i="33"/>
  <c r="I97" i="33"/>
  <c r="J97" i="33"/>
  <c r="K97" i="33"/>
  <c r="L97" i="33"/>
  <c r="M97" i="33"/>
  <c r="N97" i="33"/>
  <c r="O97" i="33"/>
  <c r="P97" i="33"/>
  <c r="Q97" i="33"/>
  <c r="R97" i="33"/>
  <c r="S97" i="33"/>
  <c r="T97" i="33"/>
  <c r="U97" i="33"/>
  <c r="V97" i="33"/>
  <c r="W97" i="33"/>
  <c r="X97" i="33"/>
  <c r="Y97" i="33"/>
  <c r="Z97" i="33"/>
  <c r="AA97" i="33"/>
  <c r="AB97" i="33"/>
  <c r="AC97" i="33"/>
  <c r="AD97" i="33"/>
  <c r="AE97" i="33"/>
  <c r="AF97" i="33"/>
  <c r="AG97" i="33"/>
  <c r="AH97" i="33"/>
  <c r="AI97" i="33"/>
  <c r="AJ97" i="33"/>
  <c r="AK97" i="33"/>
  <c r="D98" i="33"/>
  <c r="H98" i="33"/>
  <c r="I98" i="33"/>
  <c r="J98" i="33"/>
  <c r="K98" i="33"/>
  <c r="L98" i="33"/>
  <c r="M98" i="33"/>
  <c r="N98" i="33"/>
  <c r="O98" i="33"/>
  <c r="P98" i="33"/>
  <c r="Q98" i="33"/>
  <c r="R98" i="33"/>
  <c r="S98" i="33"/>
  <c r="T98" i="33"/>
  <c r="U98" i="33"/>
  <c r="V98" i="33"/>
  <c r="W98" i="33"/>
  <c r="X98" i="33"/>
  <c r="Y98" i="33"/>
  <c r="Z98" i="33"/>
  <c r="AA98" i="33"/>
  <c r="AB98" i="33"/>
  <c r="AC98" i="33"/>
  <c r="AD98" i="33"/>
  <c r="AE98" i="33"/>
  <c r="AF98" i="33"/>
  <c r="AG98" i="33"/>
  <c r="AH98" i="33"/>
  <c r="AI98" i="33"/>
  <c r="AJ98" i="33"/>
  <c r="AK98" i="33"/>
  <c r="D99" i="33"/>
  <c r="H99" i="33"/>
  <c r="I99" i="33"/>
  <c r="J99" i="33"/>
  <c r="K99" i="33"/>
  <c r="L99" i="33"/>
  <c r="M99" i="33"/>
  <c r="N99" i="33"/>
  <c r="O99" i="33"/>
  <c r="P99" i="33"/>
  <c r="Q99" i="33"/>
  <c r="R99" i="33"/>
  <c r="S99" i="33"/>
  <c r="T99" i="33"/>
  <c r="U99" i="33"/>
  <c r="V99" i="33"/>
  <c r="W99" i="33"/>
  <c r="X99" i="33"/>
  <c r="Y99" i="33"/>
  <c r="Z99" i="33"/>
  <c r="AA99" i="33"/>
  <c r="AB99" i="33"/>
  <c r="AC99" i="33"/>
  <c r="AD99" i="33"/>
  <c r="AE99" i="33"/>
  <c r="AF99" i="33"/>
  <c r="AG99" i="33"/>
  <c r="AH99" i="33"/>
  <c r="AI99" i="33"/>
  <c r="AJ99" i="33"/>
  <c r="AK99" i="33"/>
  <c r="D100" i="33"/>
  <c r="E100" i="33"/>
  <c r="F100" i="33"/>
  <c r="G100" i="33"/>
  <c r="D101" i="33"/>
  <c r="H101" i="33"/>
  <c r="I101" i="33"/>
  <c r="J101" i="33"/>
  <c r="K101" i="33"/>
  <c r="L101" i="33"/>
  <c r="M101" i="33"/>
  <c r="N101" i="33"/>
  <c r="O101" i="33"/>
  <c r="P101" i="33"/>
  <c r="Q101" i="33"/>
  <c r="R101" i="33"/>
  <c r="S101" i="33"/>
  <c r="T101" i="33"/>
  <c r="U101" i="33"/>
  <c r="V101" i="33"/>
  <c r="W101" i="33"/>
  <c r="X101" i="33"/>
  <c r="Y101" i="33"/>
  <c r="Z101" i="33"/>
  <c r="AA101" i="33"/>
  <c r="AB101" i="33"/>
  <c r="AC101" i="33"/>
  <c r="AD101" i="33"/>
  <c r="AE101" i="33"/>
  <c r="AF101" i="33"/>
  <c r="AG101" i="33"/>
  <c r="AH101" i="33"/>
  <c r="AI101" i="33"/>
  <c r="AJ101" i="33"/>
  <c r="AK101" i="33"/>
  <c r="D103" i="33"/>
  <c r="E103" i="33"/>
  <c r="H103" i="33"/>
  <c r="I103" i="33"/>
  <c r="J103" i="33"/>
  <c r="K103" i="33"/>
  <c r="L103" i="33"/>
  <c r="M103" i="33"/>
  <c r="N103" i="33"/>
  <c r="O103" i="33"/>
  <c r="P103" i="33"/>
  <c r="Q103" i="33"/>
  <c r="R103" i="33"/>
  <c r="S103" i="33"/>
  <c r="T103" i="33"/>
  <c r="U103" i="33"/>
  <c r="V103" i="33"/>
  <c r="W103" i="33"/>
  <c r="X103" i="33"/>
  <c r="Y103" i="33"/>
  <c r="Z103" i="33"/>
  <c r="AA103" i="33"/>
  <c r="AB103" i="33"/>
  <c r="AC103" i="33"/>
  <c r="AD103" i="33"/>
  <c r="AE103" i="33"/>
  <c r="AF103" i="33"/>
  <c r="AG103" i="33"/>
  <c r="AH103" i="33"/>
  <c r="AI103" i="33"/>
  <c r="AJ103" i="33"/>
  <c r="AK103" i="33"/>
  <c r="D104" i="33"/>
  <c r="E104" i="33"/>
  <c r="H104" i="33"/>
  <c r="I104" i="33"/>
  <c r="J104" i="33"/>
  <c r="K104" i="33"/>
  <c r="L104" i="33"/>
  <c r="M104" i="33"/>
  <c r="N104" i="33"/>
  <c r="O104" i="33"/>
  <c r="P104" i="33"/>
  <c r="Q104" i="33"/>
  <c r="R104" i="33"/>
  <c r="S104" i="33"/>
  <c r="T104" i="33"/>
  <c r="U104" i="33"/>
  <c r="V104" i="33"/>
  <c r="W104" i="33"/>
  <c r="X104" i="33"/>
  <c r="Y104" i="33"/>
  <c r="Z104" i="33"/>
  <c r="AA104" i="33"/>
  <c r="AB104" i="33"/>
  <c r="AC104" i="33"/>
  <c r="AD104" i="33"/>
  <c r="AE104" i="33"/>
  <c r="AF104" i="33"/>
  <c r="AG104" i="33"/>
  <c r="AH104" i="33"/>
  <c r="AI104" i="33"/>
  <c r="AJ104" i="33"/>
  <c r="AK104" i="33"/>
  <c r="D106" i="33"/>
  <c r="C112" i="33"/>
  <c r="D112" i="33"/>
  <c r="E112" i="33"/>
  <c r="F113" i="33"/>
  <c r="G113" i="33"/>
  <c r="H113" i="33"/>
  <c r="I113" i="33"/>
  <c r="J113" i="33"/>
  <c r="K113" i="33"/>
  <c r="L113" i="33"/>
  <c r="M113" i="33"/>
  <c r="N113" i="33"/>
  <c r="O113" i="33"/>
  <c r="P113" i="33"/>
  <c r="Q113" i="33"/>
  <c r="R113" i="33"/>
  <c r="S113" i="33"/>
  <c r="T113" i="33"/>
  <c r="U113" i="33"/>
  <c r="V113" i="33"/>
  <c r="W113" i="33"/>
  <c r="X113" i="33"/>
  <c r="Y113" i="33"/>
  <c r="Z113" i="33"/>
  <c r="AA113" i="33"/>
  <c r="AB113" i="33"/>
  <c r="AC113" i="33"/>
  <c r="AD113" i="33"/>
  <c r="AE113" i="33"/>
  <c r="AF113" i="33"/>
  <c r="AG113" i="33"/>
  <c r="AH113" i="33"/>
  <c r="AI113" i="33"/>
  <c r="E114" i="33"/>
  <c r="F114" i="33"/>
  <c r="G114" i="33"/>
  <c r="H114" i="33"/>
  <c r="I114" i="33"/>
  <c r="J114" i="33"/>
  <c r="K114" i="33"/>
  <c r="L114" i="33"/>
  <c r="M114" i="33"/>
  <c r="N114" i="33"/>
  <c r="O114" i="33"/>
  <c r="P114" i="33"/>
  <c r="Q114" i="33"/>
  <c r="R114" i="33"/>
  <c r="S114" i="33"/>
  <c r="T114" i="33"/>
  <c r="U114" i="33"/>
  <c r="V114" i="33"/>
  <c r="W114" i="33"/>
  <c r="X114" i="33"/>
  <c r="Y114" i="33"/>
  <c r="Z114" i="33"/>
  <c r="AA114" i="33"/>
  <c r="AB114" i="33"/>
  <c r="AC114" i="33"/>
  <c r="AD114" i="33"/>
  <c r="AE114" i="33"/>
  <c r="AF114" i="33"/>
  <c r="AG114" i="33"/>
  <c r="AH114" i="33"/>
  <c r="C115" i="33"/>
  <c r="D115" i="33"/>
  <c r="E115" i="33"/>
  <c r="F115" i="33"/>
  <c r="G115" i="33"/>
  <c r="H115" i="33"/>
  <c r="I115" i="33"/>
  <c r="J115" i="33"/>
  <c r="K115" i="33"/>
  <c r="L115" i="33"/>
  <c r="M115" i="33"/>
  <c r="N115" i="33"/>
  <c r="O115" i="33"/>
  <c r="P115" i="33"/>
  <c r="Q115" i="33"/>
  <c r="R115" i="33"/>
  <c r="S115" i="33"/>
  <c r="T115" i="33"/>
  <c r="U115" i="33"/>
  <c r="V115" i="33"/>
  <c r="W115" i="33"/>
  <c r="X115" i="33"/>
  <c r="Y115" i="33"/>
  <c r="Z115" i="33"/>
  <c r="AA115" i="33"/>
  <c r="AB115" i="33"/>
  <c r="AC115" i="33"/>
  <c r="AD115" i="33"/>
  <c r="AE115" i="33"/>
  <c r="AF115" i="33"/>
  <c r="AG115" i="33"/>
  <c r="AH115" i="33"/>
  <c r="AI115" i="33"/>
  <c r="F116" i="33"/>
  <c r="G116" i="33"/>
  <c r="H116" i="33"/>
  <c r="I116" i="33"/>
  <c r="J116" i="33"/>
  <c r="K116" i="33"/>
  <c r="L116" i="33"/>
  <c r="M116" i="33"/>
  <c r="N116" i="33"/>
  <c r="O116" i="33"/>
  <c r="P116" i="33"/>
  <c r="Q116" i="33"/>
  <c r="R116" i="33"/>
  <c r="S116" i="33"/>
  <c r="T116" i="33"/>
  <c r="U116" i="33"/>
  <c r="V116" i="33"/>
  <c r="W116" i="33"/>
  <c r="X116" i="33"/>
  <c r="Y116" i="33"/>
  <c r="Z116" i="33"/>
  <c r="AA116" i="33"/>
  <c r="AB116" i="33"/>
  <c r="AC116" i="33"/>
  <c r="AD116" i="33"/>
  <c r="AE116" i="33"/>
  <c r="AF116" i="33"/>
  <c r="AG116" i="33"/>
  <c r="AH116" i="33"/>
  <c r="AI116" i="33"/>
  <c r="F117" i="33"/>
  <c r="G117" i="33"/>
  <c r="H117" i="33"/>
  <c r="I117" i="33"/>
  <c r="J117" i="33"/>
  <c r="K117" i="33"/>
  <c r="L117" i="33"/>
  <c r="M117" i="33"/>
  <c r="N117" i="33"/>
  <c r="O117" i="33"/>
  <c r="P117" i="33"/>
  <c r="Q117" i="33"/>
  <c r="R117" i="33"/>
  <c r="S117" i="33"/>
  <c r="T117" i="33"/>
  <c r="U117" i="33"/>
  <c r="V117" i="33"/>
  <c r="W117" i="33"/>
  <c r="X117" i="33"/>
  <c r="Y117" i="33"/>
  <c r="Z117" i="33"/>
  <c r="AA117" i="33"/>
  <c r="AB117" i="33"/>
  <c r="AC117" i="33"/>
  <c r="AD117" i="33"/>
  <c r="AE117" i="33"/>
  <c r="AF117" i="33"/>
  <c r="AG117" i="33"/>
  <c r="AH117" i="33"/>
  <c r="AI117" i="33"/>
  <c r="F118" i="33"/>
  <c r="G118" i="33"/>
  <c r="H118" i="33"/>
  <c r="I118" i="33"/>
  <c r="J118" i="33"/>
  <c r="K118" i="33"/>
  <c r="L118" i="33"/>
  <c r="M118" i="33"/>
  <c r="N118" i="33"/>
  <c r="O118" i="33"/>
  <c r="P118" i="33"/>
  <c r="Q118" i="33"/>
  <c r="R118" i="33"/>
  <c r="S118" i="33"/>
  <c r="T118" i="33"/>
  <c r="U118" i="33"/>
  <c r="V118" i="33"/>
  <c r="W118" i="33"/>
  <c r="X118" i="33"/>
  <c r="Y118" i="33"/>
  <c r="Z118" i="33"/>
  <c r="AA118" i="33"/>
  <c r="AB118" i="33"/>
  <c r="AC118" i="33"/>
  <c r="AD118" i="33"/>
  <c r="AE118" i="33"/>
  <c r="AF118" i="33"/>
  <c r="AG118" i="33"/>
  <c r="AH118" i="33"/>
  <c r="AI118" i="33"/>
  <c r="D126" i="33"/>
  <c r="D127" i="33"/>
  <c r="D128" i="33"/>
  <c r="D129" i="33"/>
  <c r="D133" i="33"/>
  <c r="D134" i="33"/>
  <c r="D135" i="33"/>
  <c r="D136" i="33"/>
  <c r="D137" i="33"/>
  <c r="D138" i="33"/>
  <c r="D139" i="33"/>
  <c r="D140" i="33"/>
  <c r="D141" i="33"/>
  <c r="D142" i="33"/>
  <c r="C167" i="33"/>
  <c r="C168" i="33"/>
  <c r="C169" i="33"/>
  <c r="C170" i="33"/>
  <c r="C171" i="33"/>
  <c r="C172" i="33"/>
  <c r="C173" i="33"/>
  <c r="C174" i="33"/>
  <c r="C175" i="33"/>
  <c r="C176" i="33"/>
  <c r="C177" i="33"/>
  <c r="C178" i="33"/>
  <c r="C179" i="33"/>
  <c r="C180" i="33"/>
  <c r="C181" i="33"/>
  <c r="C182" i="33"/>
  <c r="C183" i="33"/>
  <c r="C184" i="33"/>
  <c r="C185" i="33"/>
  <c r="C186" i="33"/>
  <c r="C187" i="33"/>
  <c r="C188" i="33"/>
  <c r="C189" i="33"/>
  <c r="C190" i="33"/>
  <c r="C191" i="33"/>
  <c r="C192" i="33"/>
  <c r="C193" i="33"/>
  <c r="C194" i="33"/>
  <c r="C195" i="33"/>
  <c r="C196" i="33"/>
  <c r="C197" i="33"/>
  <c r="P278" i="33"/>
  <c r="Q278" i="33"/>
  <c r="R278" i="33"/>
  <c r="P279" i="33"/>
  <c r="Q279" i="33"/>
  <c r="R279" i="33"/>
  <c r="P280" i="33"/>
  <c r="Q280" i="33"/>
  <c r="R280" i="33"/>
  <c r="P281" i="33"/>
  <c r="Q281" i="33"/>
  <c r="R281" i="33"/>
  <c r="P282" i="33"/>
  <c r="Q282" i="33"/>
  <c r="R282" i="33"/>
  <c r="P283" i="33"/>
  <c r="Q283" i="33"/>
  <c r="R283" i="33"/>
  <c r="P284" i="33"/>
  <c r="Q284" i="33"/>
  <c r="R284" i="33"/>
  <c r="P285" i="33"/>
  <c r="Q285" i="33"/>
  <c r="R285" i="33"/>
  <c r="P286" i="33"/>
  <c r="Q286" i="33"/>
  <c r="R286" i="33"/>
  <c r="P287" i="33"/>
  <c r="Q287" i="33"/>
  <c r="R287" i="33"/>
  <c r="P288" i="33"/>
  <c r="Q288" i="33"/>
  <c r="R288" i="33"/>
  <c r="P289" i="33"/>
  <c r="Q289" i="33"/>
  <c r="R289" i="33"/>
  <c r="P290" i="33"/>
  <c r="Q290" i="33"/>
  <c r="R290" i="33"/>
  <c r="P291" i="33"/>
  <c r="Q291" i="33"/>
  <c r="R291" i="33"/>
  <c r="P292" i="33"/>
  <c r="Q292" i="33"/>
  <c r="R292" i="33"/>
  <c r="P293" i="33"/>
  <c r="Q293" i="33"/>
  <c r="R293" i="33"/>
  <c r="P294" i="33"/>
  <c r="Q294" i="33"/>
  <c r="R294" i="33"/>
  <c r="P295" i="33"/>
  <c r="Q295" i="33"/>
  <c r="R295" i="33"/>
  <c r="P296" i="33"/>
  <c r="Q296" i="33"/>
  <c r="R296" i="33"/>
  <c r="P297" i="33"/>
  <c r="Q297" i="33"/>
  <c r="R297" i="33"/>
  <c r="P298" i="33"/>
  <c r="Q298" i="33"/>
  <c r="R298" i="33"/>
  <c r="P299" i="33"/>
  <c r="Q299" i="33"/>
  <c r="R299" i="33"/>
  <c r="P300" i="33"/>
  <c r="Q300" i="33"/>
  <c r="R300" i="33"/>
  <c r="P301" i="33"/>
  <c r="Q301" i="33"/>
  <c r="R301" i="33"/>
  <c r="P302" i="33"/>
  <c r="Q302" i="33"/>
  <c r="R302" i="33"/>
  <c r="P303" i="33"/>
  <c r="Q303" i="33"/>
  <c r="R303" i="33"/>
  <c r="P304" i="33"/>
  <c r="Q304" i="33"/>
  <c r="R304" i="33"/>
  <c r="P305" i="33"/>
  <c r="Q305" i="33"/>
  <c r="R305" i="33"/>
  <c r="P306" i="33"/>
  <c r="Q306" i="33"/>
  <c r="R306" i="33"/>
  <c r="P307" i="33"/>
  <c r="Q307" i="33"/>
  <c r="R307" i="33"/>
  <c r="P308" i="33"/>
  <c r="Q308" i="33"/>
  <c r="R308" i="33"/>
  <c r="O309" i="33"/>
  <c r="P309" i="33"/>
  <c r="Q309" i="33"/>
  <c r="R309" i="33"/>
  <c r="S309" i="33"/>
  <c r="O310" i="33"/>
  <c r="P310" i="33"/>
  <c r="Q310" i="33"/>
  <c r="R310" i="33"/>
  <c r="S310" i="33"/>
  <c r="H4" i="31"/>
  <c r="I4" i="31"/>
  <c r="J4" i="31"/>
  <c r="D5" i="31"/>
  <c r="H5" i="31"/>
  <c r="I5" i="31"/>
  <c r="J5" i="31"/>
  <c r="D6" i="31"/>
  <c r="H6" i="31"/>
  <c r="I6" i="31"/>
  <c r="J6" i="31"/>
  <c r="D7" i="31"/>
  <c r="H7" i="31"/>
  <c r="I7" i="31"/>
  <c r="J7" i="31"/>
  <c r="D8" i="31"/>
  <c r="H8" i="31"/>
  <c r="I8" i="31"/>
  <c r="J8" i="31"/>
  <c r="D14" i="31"/>
  <c r="H15" i="31"/>
  <c r="H16" i="31"/>
  <c r="H17" i="31"/>
  <c r="H18" i="31"/>
  <c r="H19" i="31"/>
  <c r="D29" i="31"/>
  <c r="D30" i="31"/>
  <c r="D31" i="31"/>
  <c r="D32" i="31"/>
  <c r="D33" i="31"/>
  <c r="D47" i="31"/>
  <c r="E52" i="31"/>
  <c r="F52" i="31"/>
  <c r="G52" i="31"/>
  <c r="E53" i="31"/>
  <c r="G54" i="31"/>
  <c r="E56" i="31"/>
  <c r="F56" i="31"/>
  <c r="G56" i="31"/>
  <c r="H56" i="31"/>
  <c r="I56" i="31"/>
  <c r="J56" i="31"/>
  <c r="K56" i="31"/>
  <c r="L56" i="31"/>
  <c r="M56" i="31"/>
  <c r="N56" i="31"/>
  <c r="O56" i="31"/>
  <c r="P56" i="31"/>
  <c r="Q56" i="31"/>
  <c r="E57" i="31"/>
  <c r="F57" i="31"/>
  <c r="G57" i="31"/>
  <c r="H57" i="31"/>
  <c r="I57" i="31"/>
  <c r="J57" i="31"/>
  <c r="K57" i="31"/>
  <c r="L57" i="31"/>
  <c r="M57" i="31"/>
  <c r="N57" i="31"/>
  <c r="O57" i="31"/>
  <c r="P57" i="31"/>
  <c r="Q57" i="31"/>
  <c r="R57" i="31"/>
  <c r="S57" i="31"/>
  <c r="T57" i="31"/>
  <c r="U57" i="31"/>
  <c r="V57" i="31"/>
  <c r="W57" i="31"/>
  <c r="X57" i="31"/>
  <c r="Y57" i="31"/>
  <c r="Z57" i="31"/>
  <c r="AA57" i="31"/>
  <c r="AB57" i="31"/>
  <c r="AC57" i="31"/>
  <c r="AD57" i="31"/>
  <c r="AE57" i="31"/>
  <c r="AF57" i="31"/>
  <c r="AG57" i="31"/>
  <c r="AH57" i="31"/>
  <c r="AI57" i="31"/>
  <c r="AJ57" i="31"/>
  <c r="AK57" i="31"/>
  <c r="E58" i="31"/>
  <c r="F58" i="31"/>
  <c r="G58" i="31"/>
  <c r="H58" i="31"/>
  <c r="I58" i="31"/>
  <c r="J58" i="31"/>
  <c r="K58" i="31"/>
  <c r="L58" i="31"/>
  <c r="M58" i="31"/>
  <c r="N58" i="31"/>
  <c r="O58" i="31"/>
  <c r="P58" i="31"/>
  <c r="Q58" i="31"/>
  <c r="R58" i="31"/>
  <c r="S58" i="31"/>
  <c r="T58" i="31"/>
  <c r="U58" i="31"/>
  <c r="V58" i="31"/>
  <c r="W58" i="31"/>
  <c r="X58" i="31"/>
  <c r="Y58" i="31"/>
  <c r="Z58" i="31"/>
  <c r="AA58" i="31"/>
  <c r="AB58" i="31"/>
  <c r="AC58" i="31"/>
  <c r="AD58" i="31"/>
  <c r="AE58" i="31"/>
  <c r="AF58" i="31"/>
  <c r="AG58" i="31"/>
  <c r="AH58" i="31"/>
  <c r="AI58" i="31"/>
  <c r="AJ58" i="31"/>
  <c r="AK58" i="31"/>
  <c r="E60" i="31"/>
  <c r="F60" i="31"/>
  <c r="G60" i="31"/>
  <c r="H60" i="31"/>
  <c r="I60" i="31"/>
  <c r="J60" i="31"/>
  <c r="K60" i="31"/>
  <c r="L60" i="31"/>
  <c r="M60" i="31"/>
  <c r="N60" i="31"/>
  <c r="O60" i="31"/>
  <c r="P60" i="31"/>
  <c r="Q60" i="31"/>
  <c r="H62" i="31"/>
  <c r="I62" i="31"/>
  <c r="J62" i="31"/>
  <c r="K62" i="31"/>
  <c r="L62" i="31"/>
  <c r="M62" i="31"/>
  <c r="N62" i="31"/>
  <c r="O62" i="31"/>
  <c r="P62" i="31"/>
  <c r="Q62" i="31"/>
  <c r="R62" i="31"/>
  <c r="S62" i="31"/>
  <c r="T62" i="31"/>
  <c r="U62" i="31"/>
  <c r="V62" i="31"/>
  <c r="W62" i="31"/>
  <c r="X62" i="31"/>
  <c r="Y62" i="31"/>
  <c r="Z62" i="31"/>
  <c r="AA62" i="31"/>
  <c r="AB62" i="31"/>
  <c r="AC62" i="31"/>
  <c r="AD62" i="31"/>
  <c r="AE62" i="31"/>
  <c r="AF62" i="31"/>
  <c r="AG62" i="31"/>
  <c r="AH62" i="31"/>
  <c r="AI62" i="31"/>
  <c r="AJ62" i="31"/>
  <c r="AK62" i="31"/>
  <c r="H63" i="31"/>
  <c r="I63" i="31"/>
  <c r="J63" i="31"/>
  <c r="K63" i="31"/>
  <c r="L63" i="31"/>
  <c r="M63" i="31"/>
  <c r="N63" i="31"/>
  <c r="O63" i="31"/>
  <c r="P63" i="31"/>
  <c r="Q63" i="31"/>
  <c r="R63" i="31"/>
  <c r="S63" i="31"/>
  <c r="T63" i="31"/>
  <c r="U63" i="31"/>
  <c r="V63" i="31"/>
  <c r="W63" i="31"/>
  <c r="X63" i="31"/>
  <c r="Y63" i="31"/>
  <c r="Z63" i="31"/>
  <c r="AA63" i="31"/>
  <c r="AB63" i="31"/>
  <c r="AC63" i="31"/>
  <c r="AD63" i="31"/>
  <c r="AE63" i="31"/>
  <c r="AF63" i="31"/>
  <c r="AG63" i="31"/>
  <c r="AH63" i="31"/>
  <c r="AI63" i="31"/>
  <c r="AJ63" i="31"/>
  <c r="AK63" i="31"/>
  <c r="H64" i="31"/>
  <c r="I64" i="31"/>
  <c r="J64" i="31"/>
  <c r="K64" i="31"/>
  <c r="L64" i="31"/>
  <c r="M64" i="31"/>
  <c r="N64" i="31"/>
  <c r="O64" i="31"/>
  <c r="P64" i="31"/>
  <c r="Q64" i="31"/>
  <c r="R64" i="31"/>
  <c r="S64" i="31"/>
  <c r="T64" i="31"/>
  <c r="U64" i="31"/>
  <c r="V64" i="31"/>
  <c r="W64" i="31"/>
  <c r="X64" i="31"/>
  <c r="Y64" i="31"/>
  <c r="Z64" i="31"/>
  <c r="AA64" i="31"/>
  <c r="AB64" i="31"/>
  <c r="AC64" i="31"/>
  <c r="AD64" i="31"/>
  <c r="AE64" i="31"/>
  <c r="AF64" i="31"/>
  <c r="AG64" i="31"/>
  <c r="AH64" i="31"/>
  <c r="AI64" i="31"/>
  <c r="AJ64" i="31"/>
  <c r="AK64" i="31"/>
  <c r="H65" i="31"/>
  <c r="I65" i="31"/>
  <c r="J65" i="31"/>
  <c r="K65" i="31"/>
  <c r="L65" i="31"/>
  <c r="M65" i="31"/>
  <c r="N65" i="31"/>
  <c r="O65" i="31"/>
  <c r="P65" i="31"/>
  <c r="Q65" i="31"/>
  <c r="R65" i="31"/>
  <c r="S65" i="31"/>
  <c r="T65" i="31"/>
  <c r="U65" i="31"/>
  <c r="V65" i="31"/>
  <c r="W65" i="31"/>
  <c r="X65" i="31"/>
  <c r="Y65" i="31"/>
  <c r="Z65" i="31"/>
  <c r="AA65" i="31"/>
  <c r="AB65" i="31"/>
  <c r="AC65" i="31"/>
  <c r="AD65" i="31"/>
  <c r="AE65" i="31"/>
  <c r="AF65" i="31"/>
  <c r="AG65" i="31"/>
  <c r="AH65" i="31"/>
  <c r="AI65" i="31"/>
  <c r="AJ65" i="31"/>
  <c r="AK65" i="31"/>
  <c r="H66" i="31"/>
  <c r="I66" i="31"/>
  <c r="J66" i="31"/>
  <c r="K66" i="31"/>
  <c r="L66" i="31"/>
  <c r="M66" i="31"/>
  <c r="N66" i="31"/>
  <c r="O66" i="31"/>
  <c r="P66" i="31"/>
  <c r="Q66" i="31"/>
  <c r="R66" i="31"/>
  <c r="S66" i="31"/>
  <c r="T66" i="31"/>
  <c r="U66" i="31"/>
  <c r="V66" i="31"/>
  <c r="W66" i="31"/>
  <c r="X66" i="31"/>
  <c r="Y66" i="31"/>
  <c r="Z66" i="31"/>
  <c r="AA66" i="31"/>
  <c r="AB66" i="31"/>
  <c r="AC66" i="31"/>
  <c r="AD66" i="31"/>
  <c r="AE66" i="31"/>
  <c r="AF66" i="31"/>
  <c r="AG66" i="31"/>
  <c r="AH66" i="31"/>
  <c r="AI66" i="31"/>
  <c r="AJ66" i="31"/>
  <c r="AK66" i="31"/>
  <c r="H68" i="31"/>
  <c r="I68" i="31"/>
  <c r="J68" i="31"/>
  <c r="K68" i="31"/>
  <c r="L68" i="31"/>
  <c r="M68" i="31"/>
  <c r="N68" i="31"/>
  <c r="O68" i="31"/>
  <c r="P68" i="31"/>
  <c r="Q68" i="31"/>
  <c r="R68" i="31"/>
  <c r="S68" i="31"/>
  <c r="T68" i="31"/>
  <c r="U68" i="31"/>
  <c r="V68" i="31"/>
  <c r="W68" i="31"/>
  <c r="X68" i="31"/>
  <c r="Y68" i="31"/>
  <c r="Z68" i="31"/>
  <c r="AA68" i="31"/>
  <c r="AB68" i="31"/>
  <c r="AC68" i="31"/>
  <c r="AD68" i="31"/>
  <c r="AE68" i="31"/>
  <c r="AF68" i="31"/>
  <c r="AG68" i="31"/>
  <c r="AH68" i="31"/>
  <c r="AI68" i="31"/>
  <c r="AJ68" i="31"/>
  <c r="AK68" i="31"/>
  <c r="H71" i="31"/>
  <c r="I71" i="31"/>
  <c r="J71" i="31"/>
  <c r="K71" i="31"/>
  <c r="L71" i="31"/>
  <c r="M71" i="31"/>
  <c r="N71" i="31"/>
  <c r="O71" i="31"/>
  <c r="P71" i="31"/>
  <c r="Q71" i="31"/>
  <c r="R71" i="31"/>
  <c r="S71" i="31"/>
  <c r="T71" i="31"/>
  <c r="U71" i="31"/>
  <c r="V71" i="31"/>
  <c r="W71" i="31"/>
  <c r="X71" i="31"/>
  <c r="Y71" i="31"/>
  <c r="Z71" i="31"/>
  <c r="AA71" i="31"/>
  <c r="AB71" i="31"/>
  <c r="AC71" i="31"/>
  <c r="AD71" i="31"/>
  <c r="AE71" i="31"/>
  <c r="AF71" i="31"/>
  <c r="AG71" i="31"/>
  <c r="AH71" i="31"/>
  <c r="AI71" i="31"/>
  <c r="AJ71" i="31"/>
  <c r="AK71" i="31"/>
  <c r="H73" i="31"/>
  <c r="I73" i="31"/>
  <c r="J73" i="31"/>
  <c r="K73" i="31"/>
  <c r="L73" i="31"/>
  <c r="M73" i="31"/>
  <c r="N73" i="31"/>
  <c r="O73" i="31"/>
  <c r="P73" i="31"/>
  <c r="Q73" i="31"/>
  <c r="R73" i="31"/>
  <c r="S73" i="31"/>
  <c r="T73" i="31"/>
  <c r="U73" i="31"/>
  <c r="V73" i="31"/>
  <c r="W73" i="31"/>
  <c r="X73" i="31"/>
  <c r="Y73" i="31"/>
  <c r="Z73" i="31"/>
  <c r="AA73" i="31"/>
  <c r="AB73" i="31"/>
  <c r="AC73" i="31"/>
  <c r="AD73" i="31"/>
  <c r="AE73" i="31"/>
  <c r="AF73" i="31"/>
  <c r="AG73" i="31"/>
  <c r="AH73" i="31"/>
  <c r="AI73" i="31"/>
  <c r="AJ73" i="31"/>
  <c r="AK73" i="31"/>
  <c r="H77" i="31"/>
  <c r="I77" i="31"/>
  <c r="J77" i="31"/>
  <c r="K77" i="31"/>
  <c r="L77" i="31"/>
  <c r="M77" i="31"/>
  <c r="N77" i="31"/>
  <c r="O77" i="31"/>
  <c r="P77" i="31"/>
  <c r="Q77" i="31"/>
  <c r="R77" i="31"/>
  <c r="S77" i="31"/>
  <c r="T77" i="31"/>
  <c r="U77" i="31"/>
  <c r="V77" i="31"/>
  <c r="W77" i="31"/>
  <c r="X77" i="31"/>
  <c r="Y77" i="31"/>
  <c r="Z77" i="31"/>
  <c r="AA77" i="31"/>
  <c r="AB77" i="31"/>
  <c r="AC77" i="31"/>
  <c r="AD77" i="31"/>
  <c r="AE77" i="31"/>
  <c r="AF77" i="31"/>
  <c r="AG77" i="31"/>
  <c r="AH77" i="31"/>
  <c r="AI77" i="31"/>
  <c r="AJ77" i="31"/>
  <c r="AK77" i="31"/>
  <c r="H79" i="31"/>
  <c r="I79" i="31"/>
  <c r="J79" i="31"/>
  <c r="K79" i="31"/>
  <c r="L79" i="31"/>
  <c r="M79" i="31"/>
  <c r="N79" i="31"/>
  <c r="O79" i="31"/>
  <c r="P79" i="31"/>
  <c r="Q79" i="31"/>
  <c r="R79" i="31"/>
  <c r="S79" i="31"/>
  <c r="T79" i="31"/>
  <c r="U79" i="31"/>
  <c r="V79" i="31"/>
  <c r="W79" i="31"/>
  <c r="X79" i="31"/>
  <c r="Y79" i="31"/>
  <c r="Z79" i="31"/>
  <c r="AA79" i="31"/>
  <c r="AB79" i="31"/>
  <c r="AC79" i="31"/>
  <c r="AD79" i="31"/>
  <c r="AE79" i="31"/>
  <c r="AF79" i="31"/>
  <c r="AG79" i="31"/>
  <c r="AH79" i="31"/>
  <c r="AI79" i="31"/>
  <c r="AJ79" i="31"/>
  <c r="AK79" i="31"/>
  <c r="I80" i="31"/>
  <c r="J80" i="31"/>
  <c r="K80" i="31"/>
  <c r="L80" i="31"/>
  <c r="M80" i="31"/>
  <c r="N80" i="31"/>
  <c r="O80" i="31"/>
  <c r="P80" i="31"/>
  <c r="Q80" i="31"/>
  <c r="R80" i="31"/>
  <c r="S80" i="31"/>
  <c r="T80" i="31"/>
  <c r="U80" i="31"/>
  <c r="V80" i="31"/>
  <c r="W80" i="31"/>
  <c r="X80" i="31"/>
  <c r="Y80" i="31"/>
  <c r="Z80" i="31"/>
  <c r="AA80" i="31"/>
  <c r="AB80" i="31"/>
  <c r="AC80" i="31"/>
  <c r="AD80" i="31"/>
  <c r="AE80" i="31"/>
  <c r="AF80" i="31"/>
  <c r="AG80" i="31"/>
  <c r="AH80" i="31"/>
  <c r="AI80" i="31"/>
  <c r="AJ80" i="31"/>
  <c r="AK80" i="31"/>
  <c r="H81" i="31"/>
  <c r="I81" i="31"/>
  <c r="J81" i="31"/>
  <c r="K81" i="31"/>
  <c r="L81" i="31"/>
  <c r="M81" i="31"/>
  <c r="N81" i="31"/>
  <c r="O81" i="31"/>
  <c r="P81" i="31"/>
  <c r="Q81" i="31"/>
  <c r="R81" i="31"/>
  <c r="S81" i="31"/>
  <c r="T81" i="31"/>
  <c r="U81" i="31"/>
  <c r="V81" i="31"/>
  <c r="W81" i="31"/>
  <c r="X81" i="31"/>
  <c r="Y81" i="31"/>
  <c r="Z81" i="31"/>
  <c r="AA81" i="31"/>
  <c r="AB81" i="31"/>
  <c r="AC81" i="31"/>
  <c r="AD81" i="31"/>
  <c r="AE81" i="31"/>
  <c r="AF81" i="31"/>
  <c r="AG81" i="31"/>
  <c r="AH81" i="31"/>
  <c r="AI81" i="31"/>
  <c r="AJ81" i="31"/>
  <c r="AK81" i="31"/>
  <c r="H82" i="31"/>
  <c r="I82" i="31"/>
  <c r="J82" i="31"/>
  <c r="K82" i="31"/>
  <c r="L82" i="31"/>
  <c r="M82" i="31"/>
  <c r="N82" i="31"/>
  <c r="O82" i="31"/>
  <c r="P82" i="31"/>
  <c r="Q82" i="31"/>
  <c r="R82" i="31"/>
  <c r="S82" i="31"/>
  <c r="T82" i="31"/>
  <c r="U82" i="31"/>
  <c r="V82" i="31"/>
  <c r="W82" i="31"/>
  <c r="X82" i="31"/>
  <c r="Y82" i="31"/>
  <c r="Z82" i="31"/>
  <c r="AA82" i="31"/>
  <c r="AB82" i="31"/>
  <c r="AC82" i="31"/>
  <c r="AD82" i="31"/>
  <c r="AE82" i="31"/>
  <c r="AF82" i="31"/>
  <c r="AG82" i="31"/>
  <c r="AH82" i="31"/>
  <c r="AI82" i="31"/>
  <c r="AJ82" i="31"/>
  <c r="AK82" i="31"/>
  <c r="H84" i="31"/>
  <c r="I84" i="31"/>
  <c r="J84" i="31"/>
  <c r="K84" i="31"/>
  <c r="L84" i="31"/>
  <c r="M84" i="31"/>
  <c r="N84" i="31"/>
  <c r="O84" i="31"/>
  <c r="P84" i="31"/>
  <c r="Q84" i="31"/>
  <c r="R84" i="31"/>
  <c r="S84" i="31"/>
  <c r="T84" i="31"/>
  <c r="U84" i="31"/>
  <c r="V84" i="31"/>
  <c r="W84" i="31"/>
  <c r="X84" i="31"/>
  <c r="Y84" i="31"/>
  <c r="Z84" i="31"/>
  <c r="AA84" i="31"/>
  <c r="AB84" i="31"/>
  <c r="AC84" i="31"/>
  <c r="AD84" i="31"/>
  <c r="AE84" i="31"/>
  <c r="AF84" i="31"/>
  <c r="AG84" i="31"/>
  <c r="AH84" i="31"/>
  <c r="AI84" i="31"/>
  <c r="AJ84" i="31"/>
  <c r="AK84" i="31"/>
  <c r="D86" i="31"/>
  <c r="H86" i="31"/>
  <c r="I86" i="31"/>
  <c r="J86" i="31"/>
  <c r="K86" i="31"/>
  <c r="L86" i="31"/>
  <c r="M86" i="31"/>
  <c r="N86" i="31"/>
  <c r="O86" i="31"/>
  <c r="P86" i="31"/>
  <c r="Q86" i="31"/>
  <c r="R86" i="31"/>
  <c r="S86" i="31"/>
  <c r="T86" i="31"/>
  <c r="U86" i="31"/>
  <c r="V86" i="31"/>
  <c r="W86" i="31"/>
  <c r="X86" i="31"/>
  <c r="Y86" i="31"/>
  <c r="Z86" i="31"/>
  <c r="AA86" i="31"/>
  <c r="AB86" i="31"/>
  <c r="AC86" i="31"/>
  <c r="AD86" i="31"/>
  <c r="AE86" i="31"/>
  <c r="AF86" i="31"/>
  <c r="AG86" i="31"/>
  <c r="AH86" i="31"/>
  <c r="AI86" i="31"/>
  <c r="AJ86" i="31"/>
  <c r="AK86" i="31"/>
  <c r="E87" i="31"/>
  <c r="F87" i="31"/>
  <c r="G87" i="31"/>
  <c r="D89" i="31"/>
  <c r="E89" i="31"/>
  <c r="D90" i="31"/>
  <c r="H90" i="31"/>
  <c r="I90" i="31"/>
  <c r="J90" i="31"/>
  <c r="K90" i="31"/>
  <c r="L90" i="31"/>
  <c r="M90" i="31"/>
  <c r="N90" i="31"/>
  <c r="O90" i="31"/>
  <c r="P90" i="31"/>
  <c r="Q90" i="31"/>
  <c r="R90" i="31"/>
  <c r="S90" i="31"/>
  <c r="T90" i="31"/>
  <c r="U90" i="31"/>
  <c r="V90" i="31"/>
  <c r="W90" i="31"/>
  <c r="X90" i="31"/>
  <c r="Y90" i="31"/>
  <c r="Z90" i="31"/>
  <c r="AA90" i="31"/>
  <c r="AB90" i="31"/>
  <c r="AC90" i="31"/>
  <c r="AD90" i="31"/>
  <c r="AE90" i="31"/>
  <c r="AF90" i="31"/>
  <c r="AG90" i="31"/>
  <c r="AH90" i="31"/>
  <c r="AI90" i="31"/>
  <c r="AJ90" i="31"/>
  <c r="AK90" i="31"/>
  <c r="D91" i="31"/>
  <c r="H91" i="31"/>
  <c r="I91" i="31"/>
  <c r="J91" i="31"/>
  <c r="K91" i="31"/>
  <c r="L91" i="31"/>
  <c r="M91" i="31"/>
  <c r="N91" i="31"/>
  <c r="O91" i="31"/>
  <c r="P91" i="31"/>
  <c r="Q91" i="31"/>
  <c r="R91" i="31"/>
  <c r="S91" i="31"/>
  <c r="T91" i="31"/>
  <c r="U91" i="31"/>
  <c r="V91" i="31"/>
  <c r="W91" i="31"/>
  <c r="X91" i="31"/>
  <c r="Y91" i="31"/>
  <c r="Z91" i="31"/>
  <c r="AA91" i="31"/>
  <c r="AB91" i="31"/>
  <c r="AC91" i="31"/>
  <c r="AD91" i="31"/>
  <c r="AE91" i="31"/>
  <c r="AF91" i="31"/>
  <c r="AG91" i="31"/>
  <c r="AH91" i="31"/>
  <c r="AI91" i="31"/>
  <c r="AJ91" i="31"/>
  <c r="AK91" i="31"/>
  <c r="D92" i="31"/>
  <c r="H92" i="31"/>
  <c r="I92" i="31"/>
  <c r="J92" i="31"/>
  <c r="K92" i="31"/>
  <c r="L92" i="31"/>
  <c r="M92" i="31"/>
  <c r="N92" i="31"/>
  <c r="O92" i="31"/>
  <c r="P92" i="31"/>
  <c r="Q92" i="31"/>
  <c r="R92" i="31"/>
  <c r="S92" i="31"/>
  <c r="T92" i="31"/>
  <c r="U92" i="31"/>
  <c r="V92" i="31"/>
  <c r="W92" i="31"/>
  <c r="X92" i="31"/>
  <c r="Y92" i="31"/>
  <c r="Z92" i="31"/>
  <c r="AA92" i="31"/>
  <c r="AB92" i="31"/>
  <c r="AC92" i="31"/>
  <c r="AD92" i="31"/>
  <c r="AE92" i="31"/>
  <c r="AF92" i="31"/>
  <c r="AG92" i="31"/>
  <c r="AH92" i="31"/>
  <c r="AI92" i="31"/>
  <c r="AJ92" i="31"/>
  <c r="AK92" i="31"/>
  <c r="D93" i="31"/>
  <c r="E93" i="31"/>
  <c r="F93" i="31"/>
  <c r="G93" i="31"/>
  <c r="D94" i="31"/>
  <c r="H94" i="31"/>
  <c r="I94" i="31"/>
  <c r="J94" i="31"/>
  <c r="K94" i="31"/>
  <c r="L94" i="31"/>
  <c r="M94" i="31"/>
  <c r="N94" i="31"/>
  <c r="O94" i="31"/>
  <c r="P94" i="31"/>
  <c r="Q94" i="31"/>
  <c r="R94" i="31"/>
  <c r="S94" i="31"/>
  <c r="T94" i="31"/>
  <c r="U94" i="31"/>
  <c r="V94" i="31"/>
  <c r="W94" i="31"/>
  <c r="X94" i="31"/>
  <c r="Y94" i="31"/>
  <c r="Z94" i="31"/>
  <c r="AA94" i="31"/>
  <c r="AB94" i="31"/>
  <c r="AC94" i="31"/>
  <c r="AD94" i="31"/>
  <c r="AE94" i="31"/>
  <c r="AF94" i="31"/>
  <c r="AG94" i="31"/>
  <c r="AH94" i="31"/>
  <c r="AI94" i="31"/>
  <c r="AJ94" i="31"/>
  <c r="AK94" i="31"/>
  <c r="D96" i="31"/>
  <c r="E96" i="31"/>
  <c r="H96" i="31"/>
  <c r="I96" i="31"/>
  <c r="J96" i="31"/>
  <c r="K96" i="31"/>
  <c r="L96" i="31"/>
  <c r="M96" i="31"/>
  <c r="N96" i="31"/>
  <c r="O96" i="31"/>
  <c r="P96" i="31"/>
  <c r="Q96" i="31"/>
  <c r="R96" i="31"/>
  <c r="S96" i="31"/>
  <c r="T96" i="31"/>
  <c r="U96" i="31"/>
  <c r="V96" i="31"/>
  <c r="W96" i="31"/>
  <c r="X96" i="31"/>
  <c r="Y96" i="31"/>
  <c r="Z96" i="31"/>
  <c r="AA96" i="31"/>
  <c r="AB96" i="31"/>
  <c r="AC96" i="31"/>
  <c r="AD96" i="31"/>
  <c r="AE96" i="31"/>
  <c r="AF96" i="31"/>
  <c r="AG96" i="31"/>
  <c r="AH96" i="31"/>
  <c r="AI96" i="31"/>
  <c r="AJ96" i="31"/>
  <c r="AK96" i="31"/>
  <c r="D97" i="31"/>
  <c r="E97" i="31"/>
  <c r="H97" i="31"/>
  <c r="I97" i="31"/>
  <c r="J97" i="31"/>
  <c r="K97" i="31"/>
  <c r="L97" i="31"/>
  <c r="M97" i="31"/>
  <c r="N97" i="31"/>
  <c r="O97" i="31"/>
  <c r="P97" i="31"/>
  <c r="Q97" i="31"/>
  <c r="R97" i="31"/>
  <c r="S97" i="31"/>
  <c r="T97" i="31"/>
  <c r="U97" i="31"/>
  <c r="V97" i="31"/>
  <c r="W97" i="31"/>
  <c r="X97" i="31"/>
  <c r="Y97" i="31"/>
  <c r="Z97" i="31"/>
  <c r="AA97" i="31"/>
  <c r="AB97" i="31"/>
  <c r="AC97" i="31"/>
  <c r="AD97" i="31"/>
  <c r="AE97" i="31"/>
  <c r="AF97" i="31"/>
  <c r="AG97" i="31"/>
  <c r="AH97" i="31"/>
  <c r="AI97" i="31"/>
  <c r="AJ97" i="31"/>
  <c r="AK97" i="31"/>
  <c r="D99" i="31"/>
  <c r="C105" i="31"/>
  <c r="D105" i="31"/>
  <c r="E105" i="31"/>
  <c r="F106" i="31"/>
  <c r="G106" i="31"/>
  <c r="H106" i="31"/>
  <c r="I106" i="31"/>
  <c r="J106" i="31"/>
  <c r="K106" i="31"/>
  <c r="L106" i="31"/>
  <c r="M106" i="31"/>
  <c r="N106" i="31"/>
  <c r="O106" i="31"/>
  <c r="P106" i="31"/>
  <c r="Q106" i="31"/>
  <c r="R106" i="31"/>
  <c r="S106" i="31"/>
  <c r="T106" i="31"/>
  <c r="U106" i="31"/>
  <c r="V106" i="31"/>
  <c r="W106" i="31"/>
  <c r="X106" i="31"/>
  <c r="Y106" i="31"/>
  <c r="Z106" i="31"/>
  <c r="AA106" i="31"/>
  <c r="AB106" i="31"/>
  <c r="AC106" i="31"/>
  <c r="AD106" i="31"/>
  <c r="AE106" i="31"/>
  <c r="AF106" i="31"/>
  <c r="AG106" i="31"/>
  <c r="AH106" i="31"/>
  <c r="AI106" i="31"/>
  <c r="E107" i="31"/>
  <c r="F107" i="31"/>
  <c r="G107" i="31"/>
  <c r="H107" i="31"/>
  <c r="I107" i="31"/>
  <c r="J107" i="31"/>
  <c r="K107" i="31"/>
  <c r="L107" i="31"/>
  <c r="M107" i="31"/>
  <c r="N107" i="31"/>
  <c r="O107" i="31"/>
  <c r="P107" i="31"/>
  <c r="Q107" i="31"/>
  <c r="R107" i="31"/>
  <c r="S107" i="31"/>
  <c r="T107" i="31"/>
  <c r="U107" i="31"/>
  <c r="V107" i="31"/>
  <c r="W107" i="31"/>
  <c r="X107" i="31"/>
  <c r="Y107" i="31"/>
  <c r="Z107" i="31"/>
  <c r="AA107" i="31"/>
  <c r="AB107" i="31"/>
  <c r="AC107" i="31"/>
  <c r="AD107" i="31"/>
  <c r="AE107" i="31"/>
  <c r="AF107" i="31"/>
  <c r="AG107" i="31"/>
  <c r="AH107" i="31"/>
  <c r="C108" i="31"/>
  <c r="D108" i="31"/>
  <c r="E108" i="31"/>
  <c r="F108" i="31"/>
  <c r="G108" i="31"/>
  <c r="H108" i="31"/>
  <c r="I108" i="31"/>
  <c r="J108" i="31"/>
  <c r="K108" i="31"/>
  <c r="L108" i="31"/>
  <c r="M108" i="31"/>
  <c r="N108" i="31"/>
  <c r="O108" i="31"/>
  <c r="P108" i="31"/>
  <c r="Q108" i="31"/>
  <c r="R108" i="31"/>
  <c r="S108" i="31"/>
  <c r="T108" i="31"/>
  <c r="U108" i="31"/>
  <c r="V108" i="31"/>
  <c r="W108" i="31"/>
  <c r="X108" i="31"/>
  <c r="Y108" i="31"/>
  <c r="Z108" i="31"/>
  <c r="AA108" i="31"/>
  <c r="AB108" i="31"/>
  <c r="AC108" i="31"/>
  <c r="AD108" i="31"/>
  <c r="AE108" i="31"/>
  <c r="AF108" i="31"/>
  <c r="AG108" i="31"/>
  <c r="AH108" i="31"/>
  <c r="AI108" i="31"/>
  <c r="F109" i="31"/>
  <c r="G109" i="31"/>
  <c r="H109" i="31"/>
  <c r="I109" i="31"/>
  <c r="J109" i="31"/>
  <c r="K109" i="31"/>
  <c r="L109" i="31"/>
  <c r="M109" i="31"/>
  <c r="N109" i="31"/>
  <c r="O109" i="31"/>
  <c r="P109" i="31"/>
  <c r="Q109" i="31"/>
  <c r="R109" i="31"/>
  <c r="S109" i="31"/>
  <c r="T109" i="31"/>
  <c r="U109" i="31"/>
  <c r="V109" i="31"/>
  <c r="W109" i="31"/>
  <c r="X109" i="31"/>
  <c r="Y109" i="31"/>
  <c r="Z109" i="31"/>
  <c r="AA109" i="31"/>
  <c r="AB109" i="31"/>
  <c r="AC109" i="31"/>
  <c r="AD109" i="31"/>
  <c r="AE109" i="31"/>
  <c r="AF109" i="31"/>
  <c r="AG109" i="31"/>
  <c r="AH109" i="31"/>
  <c r="AI109" i="31"/>
  <c r="F110" i="31"/>
  <c r="G110" i="31"/>
  <c r="H110" i="31"/>
  <c r="I110" i="31"/>
  <c r="J110" i="31"/>
  <c r="K110" i="31"/>
  <c r="L110" i="31"/>
  <c r="M110" i="31"/>
  <c r="N110" i="31"/>
  <c r="O110" i="31"/>
  <c r="P110" i="31"/>
  <c r="Q110" i="31"/>
  <c r="R110" i="31"/>
  <c r="S110" i="31"/>
  <c r="T110" i="31"/>
  <c r="U110" i="31"/>
  <c r="V110" i="31"/>
  <c r="W110" i="31"/>
  <c r="X110" i="31"/>
  <c r="Y110" i="31"/>
  <c r="Z110" i="31"/>
  <c r="AA110" i="31"/>
  <c r="AB110" i="31"/>
  <c r="AC110" i="31"/>
  <c r="AD110" i="31"/>
  <c r="AE110" i="31"/>
  <c r="AF110" i="31"/>
  <c r="AG110" i="31"/>
  <c r="AH110" i="31"/>
  <c r="AI110" i="31"/>
  <c r="F111" i="31"/>
  <c r="G111" i="31"/>
  <c r="H111" i="31"/>
  <c r="I111" i="31"/>
  <c r="J111" i="31"/>
  <c r="K111" i="31"/>
  <c r="L111" i="31"/>
  <c r="M111" i="31"/>
  <c r="N111" i="31"/>
  <c r="O111" i="31"/>
  <c r="P111" i="31"/>
  <c r="Q111" i="31"/>
  <c r="R111" i="31"/>
  <c r="S111" i="31"/>
  <c r="T111" i="31"/>
  <c r="U111" i="31"/>
  <c r="V111" i="31"/>
  <c r="W111" i="31"/>
  <c r="X111" i="31"/>
  <c r="Y111" i="31"/>
  <c r="Z111" i="31"/>
  <c r="AA111" i="31"/>
  <c r="AB111" i="31"/>
  <c r="AC111" i="31"/>
  <c r="AD111" i="31"/>
  <c r="AE111" i="31"/>
  <c r="AF111" i="31"/>
  <c r="AG111" i="31"/>
  <c r="AH111" i="31"/>
  <c r="AI111" i="31"/>
  <c r="D119" i="31"/>
  <c r="D120" i="31"/>
  <c r="D121" i="31"/>
  <c r="D122" i="31"/>
  <c r="D126" i="31"/>
  <c r="D127" i="31"/>
  <c r="D128" i="31"/>
  <c r="D129" i="31"/>
  <c r="D130" i="31"/>
  <c r="D131" i="31"/>
  <c r="D132" i="31"/>
  <c r="D133" i="31"/>
  <c r="D134" i="31"/>
  <c r="D135" i="31"/>
  <c r="C158" i="31"/>
  <c r="C159" i="31"/>
  <c r="C160" i="31"/>
  <c r="C161" i="31"/>
  <c r="C162" i="31"/>
  <c r="C163" i="31"/>
  <c r="C164" i="31"/>
  <c r="C165" i="31"/>
  <c r="C166" i="31"/>
  <c r="C167" i="31"/>
  <c r="C168" i="31"/>
  <c r="C169" i="31"/>
  <c r="C170" i="31"/>
  <c r="C171" i="31"/>
  <c r="C172" i="31"/>
  <c r="C173" i="31"/>
  <c r="C174" i="31"/>
  <c r="C175" i="31"/>
  <c r="C176" i="31"/>
  <c r="C177" i="31"/>
  <c r="C178" i="31"/>
  <c r="C179" i="31"/>
  <c r="C180" i="31"/>
  <c r="C181" i="31"/>
  <c r="B11" i="22"/>
  <c r="M11" i="22"/>
  <c r="O11" i="22"/>
  <c r="O12" i="22"/>
  <c r="B57" i="22"/>
  <c r="M57" i="22"/>
  <c r="O57" i="22"/>
  <c r="O58" i="22"/>
  <c r="B67" i="22"/>
  <c r="M67" i="22"/>
  <c r="O67" i="22"/>
  <c r="O68" i="22"/>
  <c r="O71" i="22"/>
  <c r="B74" i="22"/>
  <c r="B77" i="22"/>
  <c r="B78" i="22"/>
  <c r="D5" i="32"/>
  <c r="D6" i="32"/>
  <c r="D7" i="32"/>
  <c r="D8" i="32"/>
  <c r="D14" i="32"/>
  <c r="D31" i="32"/>
  <c r="D33" i="32"/>
  <c r="D47" i="32"/>
  <c r="E52" i="32"/>
  <c r="F52" i="32"/>
  <c r="G52" i="32"/>
  <c r="E53" i="32"/>
  <c r="G54" i="32"/>
  <c r="E56" i="32"/>
  <c r="F56" i="32"/>
  <c r="G56" i="32"/>
  <c r="H56" i="32"/>
  <c r="I56" i="32"/>
  <c r="J56" i="32"/>
  <c r="K56" i="32"/>
  <c r="L56" i="32"/>
  <c r="M56" i="32"/>
  <c r="N56" i="32"/>
  <c r="O56" i="32"/>
  <c r="P56" i="32"/>
  <c r="Q56" i="32"/>
  <c r="E57" i="32"/>
  <c r="F57" i="32"/>
  <c r="G57" i="32"/>
  <c r="H57" i="32"/>
  <c r="I57" i="32"/>
  <c r="J57" i="32"/>
  <c r="K57" i="32"/>
  <c r="L57" i="32"/>
  <c r="M57" i="32"/>
  <c r="N57" i="32"/>
  <c r="O57" i="32"/>
  <c r="P57" i="32"/>
  <c r="Q57" i="32"/>
  <c r="R57" i="32"/>
  <c r="S57" i="32"/>
  <c r="T57" i="32"/>
  <c r="U57" i="32"/>
  <c r="V57" i="32"/>
  <c r="W57" i="32"/>
  <c r="X57" i="32"/>
  <c r="Y57" i="32"/>
  <c r="Z57" i="32"/>
  <c r="AA57" i="32"/>
  <c r="AB57" i="32"/>
  <c r="AC57" i="32"/>
  <c r="AD57" i="32"/>
  <c r="AE57" i="32"/>
  <c r="AF57" i="32"/>
  <c r="AG57" i="32"/>
  <c r="AH57" i="32"/>
  <c r="AI57" i="32"/>
  <c r="AJ57" i="32"/>
  <c r="AK57" i="32"/>
  <c r="E58" i="32"/>
  <c r="F58" i="32"/>
  <c r="G58" i="32"/>
  <c r="H58" i="32"/>
  <c r="I58" i="32"/>
  <c r="J58" i="32"/>
  <c r="K58" i="32"/>
  <c r="L58" i="32"/>
  <c r="M58" i="32"/>
  <c r="N58" i="32"/>
  <c r="O58" i="32"/>
  <c r="P58" i="32"/>
  <c r="Q58" i="32"/>
  <c r="R58" i="32"/>
  <c r="S58" i="32"/>
  <c r="T58" i="32"/>
  <c r="U58" i="32"/>
  <c r="V58" i="32"/>
  <c r="W58" i="32"/>
  <c r="X58" i="32"/>
  <c r="Y58" i="32"/>
  <c r="Z58" i="32"/>
  <c r="AA58" i="32"/>
  <c r="AB58" i="32"/>
  <c r="AC58" i="32"/>
  <c r="AD58" i="32"/>
  <c r="AE58" i="32"/>
  <c r="AF58" i="32"/>
  <c r="AG58" i="32"/>
  <c r="AH58" i="32"/>
  <c r="AI58" i="32"/>
  <c r="AJ58" i="32"/>
  <c r="AK58" i="32"/>
  <c r="E60" i="32"/>
  <c r="F60" i="32"/>
  <c r="G60" i="32"/>
  <c r="H60" i="32"/>
  <c r="I60" i="32"/>
  <c r="J60" i="32"/>
  <c r="K60" i="32"/>
  <c r="L60" i="32"/>
  <c r="M60" i="32"/>
  <c r="N60" i="32"/>
  <c r="O60" i="32"/>
  <c r="P60" i="32"/>
  <c r="Q60" i="32"/>
  <c r="H64" i="32"/>
  <c r="I64" i="32"/>
  <c r="J64" i="32"/>
  <c r="K64" i="32"/>
  <c r="L64" i="32"/>
  <c r="M64" i="32"/>
  <c r="N64" i="32"/>
  <c r="O64" i="32"/>
  <c r="P64" i="32"/>
  <c r="Q64" i="32"/>
  <c r="R64" i="32"/>
  <c r="S64" i="32"/>
  <c r="T64" i="32"/>
  <c r="U64" i="32"/>
  <c r="V64" i="32"/>
  <c r="W64" i="32"/>
  <c r="X64" i="32"/>
  <c r="Y64" i="32"/>
  <c r="Z64" i="32"/>
  <c r="AA64" i="32"/>
  <c r="AB64" i="32"/>
  <c r="AC64" i="32"/>
  <c r="AD64" i="32"/>
  <c r="AE64" i="32"/>
  <c r="AF64" i="32"/>
  <c r="AG64" i="32"/>
  <c r="AH64" i="32"/>
  <c r="AI64" i="32"/>
  <c r="AJ64" i="32"/>
  <c r="AK64" i="32"/>
  <c r="H66" i="32"/>
  <c r="I66" i="32"/>
  <c r="J66" i="32"/>
  <c r="K66" i="32"/>
  <c r="L66" i="32"/>
  <c r="M66" i="32"/>
  <c r="N66" i="32"/>
  <c r="O66" i="32"/>
  <c r="P66" i="32"/>
  <c r="Q66" i="32"/>
  <c r="R66" i="32"/>
  <c r="S66" i="32"/>
  <c r="T66" i="32"/>
  <c r="U66" i="32"/>
  <c r="V66" i="32"/>
  <c r="W66" i="32"/>
  <c r="X66" i="32"/>
  <c r="Y66" i="32"/>
  <c r="Z66" i="32"/>
  <c r="AA66" i="32"/>
  <c r="AB66" i="32"/>
  <c r="AC66" i="32"/>
  <c r="AD66" i="32"/>
  <c r="AE66" i="32"/>
  <c r="AF66" i="32"/>
  <c r="AG66" i="32"/>
  <c r="AH66" i="32"/>
  <c r="AI66" i="32"/>
  <c r="AJ66" i="32"/>
  <c r="AK66" i="32"/>
  <c r="H68" i="32"/>
  <c r="I68" i="32"/>
  <c r="J68" i="32"/>
  <c r="K68" i="32"/>
  <c r="L68" i="32"/>
  <c r="M68" i="32"/>
  <c r="N68" i="32"/>
  <c r="O68" i="32"/>
  <c r="P68" i="32"/>
  <c r="Q68" i="32"/>
  <c r="R68" i="32"/>
  <c r="S68" i="32"/>
  <c r="T68" i="32"/>
  <c r="U68" i="32"/>
  <c r="V68" i="32"/>
  <c r="W68" i="32"/>
  <c r="X68" i="32"/>
  <c r="Y68" i="32"/>
  <c r="Z68" i="32"/>
  <c r="AA68" i="32"/>
  <c r="AB68" i="32"/>
  <c r="AC68" i="32"/>
  <c r="AD68" i="32"/>
  <c r="AE68" i="32"/>
  <c r="AF68" i="32"/>
  <c r="AG68" i="32"/>
  <c r="AH68" i="32"/>
  <c r="AI68" i="32"/>
  <c r="AJ68" i="32"/>
  <c r="AK68" i="32"/>
  <c r="H71" i="32"/>
  <c r="I71" i="32"/>
  <c r="J71" i="32"/>
  <c r="K71" i="32"/>
  <c r="L71" i="32"/>
  <c r="M71" i="32"/>
  <c r="N71" i="32"/>
  <c r="O71" i="32"/>
  <c r="P71" i="32"/>
  <c r="Q71" i="32"/>
  <c r="R71" i="32"/>
  <c r="S71" i="32"/>
  <c r="T71" i="32"/>
  <c r="U71" i="32"/>
  <c r="V71" i="32"/>
  <c r="W71" i="32"/>
  <c r="X71" i="32"/>
  <c r="Y71" i="32"/>
  <c r="Z71" i="32"/>
  <c r="AA71" i="32"/>
  <c r="AB71" i="32"/>
  <c r="AC71" i="32"/>
  <c r="AD71" i="32"/>
  <c r="AE71" i="32"/>
  <c r="AF71" i="32"/>
  <c r="AG71" i="32"/>
  <c r="AH71" i="32"/>
  <c r="AI71" i="32"/>
  <c r="AJ71" i="32"/>
  <c r="AK71" i="32"/>
  <c r="H73" i="32"/>
  <c r="I73" i="32"/>
  <c r="J73" i="32"/>
  <c r="K73" i="32"/>
  <c r="L73" i="32"/>
  <c r="M73" i="32"/>
  <c r="N73" i="32"/>
  <c r="O73" i="32"/>
  <c r="P73" i="32"/>
  <c r="Q73" i="32"/>
  <c r="R73" i="32"/>
  <c r="S73" i="32"/>
  <c r="T73" i="32"/>
  <c r="U73" i="32"/>
  <c r="V73" i="32"/>
  <c r="W73" i="32"/>
  <c r="X73" i="32"/>
  <c r="Y73" i="32"/>
  <c r="Z73" i="32"/>
  <c r="AA73" i="32"/>
  <c r="AB73" i="32"/>
  <c r="AC73" i="32"/>
  <c r="AD73" i="32"/>
  <c r="AE73" i="32"/>
  <c r="AF73" i="32"/>
  <c r="AG73" i="32"/>
  <c r="AH73" i="32"/>
  <c r="AI73" i="32"/>
  <c r="AJ73" i="32"/>
  <c r="AK73" i="32"/>
  <c r="H77" i="32"/>
  <c r="I77" i="32"/>
  <c r="J77" i="32"/>
  <c r="K77" i="32"/>
  <c r="L77" i="32"/>
  <c r="M77" i="32"/>
  <c r="N77" i="32"/>
  <c r="O77" i="32"/>
  <c r="P77" i="32"/>
  <c r="Q77" i="32"/>
  <c r="R77" i="32"/>
  <c r="S77" i="32"/>
  <c r="T77" i="32"/>
  <c r="U77" i="32"/>
  <c r="V77" i="32"/>
  <c r="W77" i="32"/>
  <c r="X77" i="32"/>
  <c r="Y77" i="32"/>
  <c r="Z77" i="32"/>
  <c r="AA77" i="32"/>
  <c r="AB77" i="32"/>
  <c r="AC77" i="32"/>
  <c r="AD77" i="32"/>
  <c r="AE77" i="32"/>
  <c r="AF77" i="32"/>
  <c r="AG77" i="32"/>
  <c r="AH77" i="32"/>
  <c r="AI77" i="32"/>
  <c r="AJ77" i="32"/>
  <c r="AK77" i="32"/>
  <c r="H79" i="32"/>
  <c r="I79" i="32"/>
  <c r="J79" i="32"/>
  <c r="K79" i="32"/>
  <c r="L79" i="32"/>
  <c r="M79" i="32"/>
  <c r="N79" i="32"/>
  <c r="O79" i="32"/>
  <c r="P79" i="32"/>
  <c r="Q79" i="32"/>
  <c r="R79" i="32"/>
  <c r="S79" i="32"/>
  <c r="T79" i="32"/>
  <c r="U79" i="32"/>
  <c r="V79" i="32"/>
  <c r="W79" i="32"/>
  <c r="X79" i="32"/>
  <c r="Y79" i="32"/>
  <c r="Z79" i="32"/>
  <c r="AA79" i="32"/>
  <c r="AB79" i="32"/>
  <c r="AC79" i="32"/>
  <c r="AD79" i="32"/>
  <c r="AE79" i="32"/>
  <c r="AF79" i="32"/>
  <c r="AG79" i="32"/>
  <c r="AH79" i="32"/>
  <c r="AI79" i="32"/>
  <c r="AJ79" i="32"/>
  <c r="AK79" i="32"/>
  <c r="I80" i="32"/>
  <c r="J80" i="32"/>
  <c r="K80" i="32"/>
  <c r="L80" i="32"/>
  <c r="M80" i="32"/>
  <c r="N80" i="32"/>
  <c r="O80" i="32"/>
  <c r="P80" i="32"/>
  <c r="Q80" i="32"/>
  <c r="R80" i="32"/>
  <c r="S80" i="32"/>
  <c r="T80" i="32"/>
  <c r="U80" i="32"/>
  <c r="V80" i="32"/>
  <c r="W80" i="32"/>
  <c r="X80" i="32"/>
  <c r="Y80" i="32"/>
  <c r="Z80" i="32"/>
  <c r="AA80" i="32"/>
  <c r="AB80" i="32"/>
  <c r="AC80" i="32"/>
  <c r="AD80" i="32"/>
  <c r="AE80" i="32"/>
  <c r="AF80" i="32"/>
  <c r="AG80" i="32"/>
  <c r="AH80" i="32"/>
  <c r="AI80" i="32"/>
  <c r="AJ80" i="32"/>
  <c r="AK80" i="32"/>
  <c r="H81" i="32"/>
  <c r="I81" i="32"/>
  <c r="J81" i="32"/>
  <c r="K81" i="32"/>
  <c r="L81" i="32"/>
  <c r="M81" i="32"/>
  <c r="N81" i="32"/>
  <c r="O81" i="32"/>
  <c r="P81" i="32"/>
  <c r="Q81" i="32"/>
  <c r="R81" i="32"/>
  <c r="S81" i="32"/>
  <c r="T81" i="32"/>
  <c r="U81" i="32"/>
  <c r="V81" i="32"/>
  <c r="W81" i="32"/>
  <c r="X81" i="32"/>
  <c r="Y81" i="32"/>
  <c r="Z81" i="32"/>
  <c r="AA81" i="32"/>
  <c r="AB81" i="32"/>
  <c r="AC81" i="32"/>
  <c r="AD81" i="32"/>
  <c r="AE81" i="32"/>
  <c r="AF81" i="32"/>
  <c r="AG81" i="32"/>
  <c r="AH81" i="32"/>
  <c r="AI81" i="32"/>
  <c r="AJ81" i="32"/>
  <c r="AK81" i="32"/>
  <c r="H82" i="32"/>
  <c r="I82" i="32"/>
  <c r="J82" i="32"/>
  <c r="K82" i="32"/>
  <c r="L82" i="32"/>
  <c r="M82" i="32"/>
  <c r="N82" i="32"/>
  <c r="O82" i="32"/>
  <c r="P82" i="32"/>
  <c r="Q82" i="32"/>
  <c r="R82" i="32"/>
  <c r="S82" i="32"/>
  <c r="T82" i="32"/>
  <c r="U82" i="32"/>
  <c r="V82" i="32"/>
  <c r="W82" i="32"/>
  <c r="X82" i="32"/>
  <c r="Y82" i="32"/>
  <c r="Z82" i="32"/>
  <c r="AA82" i="32"/>
  <c r="AB82" i="32"/>
  <c r="AC82" i="32"/>
  <c r="AD82" i="32"/>
  <c r="AE82" i="32"/>
  <c r="AF82" i="32"/>
  <c r="AG82" i="32"/>
  <c r="AH82" i="32"/>
  <c r="AI82" i="32"/>
  <c r="AJ82" i="32"/>
  <c r="AK82" i="32"/>
  <c r="H84" i="32"/>
  <c r="I84" i="32"/>
  <c r="J84" i="32"/>
  <c r="K84" i="32"/>
  <c r="L84" i="32"/>
  <c r="M84" i="32"/>
  <c r="N84" i="32"/>
  <c r="O84" i="32"/>
  <c r="P84" i="32"/>
  <c r="Q84" i="32"/>
  <c r="R84" i="32"/>
  <c r="S84" i="32"/>
  <c r="T84" i="32"/>
  <c r="U84" i="32"/>
  <c r="V84" i="32"/>
  <c r="W84" i="32"/>
  <c r="X84" i="32"/>
  <c r="Y84" i="32"/>
  <c r="Z84" i="32"/>
  <c r="AA84" i="32"/>
  <c r="AB84" i="32"/>
  <c r="AC84" i="32"/>
  <c r="AD84" i="32"/>
  <c r="AE84" i="32"/>
  <c r="AF84" i="32"/>
  <c r="AG84" i="32"/>
  <c r="AH84" i="32"/>
  <c r="AI84" i="32"/>
  <c r="AJ84" i="32"/>
  <c r="AK84" i="32"/>
  <c r="D86" i="32"/>
  <c r="H86" i="32"/>
  <c r="I86" i="32"/>
  <c r="J86" i="32"/>
  <c r="K86" i="32"/>
  <c r="L86" i="32"/>
  <c r="M86" i="32"/>
  <c r="N86" i="32"/>
  <c r="O86" i="32"/>
  <c r="P86" i="32"/>
  <c r="Q86" i="32"/>
  <c r="R86" i="32"/>
  <c r="S86" i="32"/>
  <c r="T86" i="32"/>
  <c r="U86" i="32"/>
  <c r="V86" i="32"/>
  <c r="W86" i="32"/>
  <c r="X86" i="32"/>
  <c r="Y86" i="32"/>
  <c r="Z86" i="32"/>
  <c r="AA86" i="32"/>
  <c r="AB86" i="32"/>
  <c r="AC86" i="32"/>
  <c r="AD86" i="32"/>
  <c r="AE86" i="32"/>
  <c r="AF86" i="32"/>
  <c r="AG86" i="32"/>
  <c r="AH86" i="32"/>
  <c r="AI86" i="32"/>
  <c r="AJ86" i="32"/>
  <c r="AK86" i="32"/>
  <c r="E87" i="32"/>
  <c r="F87" i="32"/>
  <c r="G87" i="32"/>
  <c r="D89" i="32"/>
  <c r="E89" i="32"/>
  <c r="D90" i="32"/>
  <c r="H90" i="32"/>
  <c r="I90" i="32"/>
  <c r="J90" i="32"/>
  <c r="K90" i="32"/>
  <c r="L90" i="32"/>
  <c r="M90" i="32"/>
  <c r="N90" i="32"/>
  <c r="O90" i="32"/>
  <c r="P90" i="32"/>
  <c r="Q90" i="32"/>
  <c r="R90" i="32"/>
  <c r="S90" i="32"/>
  <c r="T90" i="32"/>
  <c r="U90" i="32"/>
  <c r="V90" i="32"/>
  <c r="W90" i="32"/>
  <c r="X90" i="32"/>
  <c r="Y90" i="32"/>
  <c r="Z90" i="32"/>
  <c r="AA90" i="32"/>
  <c r="AB90" i="32"/>
  <c r="AC90" i="32"/>
  <c r="AD90" i="32"/>
  <c r="AE90" i="32"/>
  <c r="AF90" i="32"/>
  <c r="AG90" i="32"/>
  <c r="AH90" i="32"/>
  <c r="AI90" i="32"/>
  <c r="AJ90" i="32"/>
  <c r="AK90" i="32"/>
  <c r="D91" i="32"/>
  <c r="H91" i="32"/>
  <c r="I91" i="32"/>
  <c r="J91" i="32"/>
  <c r="K91" i="32"/>
  <c r="L91" i="32"/>
  <c r="M91" i="32"/>
  <c r="N91" i="32"/>
  <c r="O91" i="32"/>
  <c r="P91" i="32"/>
  <c r="Q91" i="32"/>
  <c r="R91" i="32"/>
  <c r="S91" i="32"/>
  <c r="T91" i="32"/>
  <c r="U91" i="32"/>
  <c r="V91" i="32"/>
  <c r="W91" i="32"/>
  <c r="X91" i="32"/>
  <c r="Y91" i="32"/>
  <c r="Z91" i="32"/>
  <c r="AA91" i="32"/>
  <c r="AB91" i="32"/>
  <c r="AC91" i="32"/>
  <c r="AD91" i="32"/>
  <c r="AE91" i="32"/>
  <c r="AF91" i="32"/>
  <c r="AG91" i="32"/>
  <c r="AH91" i="32"/>
  <c r="AI91" i="32"/>
  <c r="AJ91" i="32"/>
  <c r="AK91" i="32"/>
  <c r="D92" i="32"/>
  <c r="H92" i="32"/>
  <c r="I92" i="32"/>
  <c r="J92" i="32"/>
  <c r="K92" i="32"/>
  <c r="L92" i="32"/>
  <c r="M92" i="32"/>
  <c r="N92" i="32"/>
  <c r="O92" i="32"/>
  <c r="P92" i="32"/>
  <c r="Q92" i="32"/>
  <c r="R92" i="32"/>
  <c r="S92" i="32"/>
  <c r="T92" i="32"/>
  <c r="U92" i="32"/>
  <c r="V92" i="32"/>
  <c r="W92" i="32"/>
  <c r="X92" i="32"/>
  <c r="Y92" i="32"/>
  <c r="Z92" i="32"/>
  <c r="AA92" i="32"/>
  <c r="AB92" i="32"/>
  <c r="AC92" i="32"/>
  <c r="AD92" i="32"/>
  <c r="AE92" i="32"/>
  <c r="AF92" i="32"/>
  <c r="AG92" i="32"/>
  <c r="AH92" i="32"/>
  <c r="AI92" i="32"/>
  <c r="AJ92" i="32"/>
  <c r="AK92" i="32"/>
  <c r="D93" i="32"/>
  <c r="E93" i="32"/>
  <c r="F93" i="32"/>
  <c r="G93" i="32"/>
  <c r="D94" i="32"/>
  <c r="H94" i="32"/>
  <c r="I94" i="32"/>
  <c r="J94" i="32"/>
  <c r="K94" i="32"/>
  <c r="L94" i="32"/>
  <c r="M94" i="32"/>
  <c r="N94" i="32"/>
  <c r="O94" i="32"/>
  <c r="P94" i="32"/>
  <c r="Q94" i="32"/>
  <c r="R94" i="32"/>
  <c r="S94" i="32"/>
  <c r="T94" i="32"/>
  <c r="U94" i="32"/>
  <c r="V94" i="32"/>
  <c r="W94" i="32"/>
  <c r="X94" i="32"/>
  <c r="Y94" i="32"/>
  <c r="Z94" i="32"/>
  <c r="AA94" i="32"/>
  <c r="AB94" i="32"/>
  <c r="AC94" i="32"/>
  <c r="AD94" i="32"/>
  <c r="AE94" i="32"/>
  <c r="AF94" i="32"/>
  <c r="AG94" i="32"/>
  <c r="AH94" i="32"/>
  <c r="AI94" i="32"/>
  <c r="AJ94" i="32"/>
  <c r="AK94" i="32"/>
  <c r="E96" i="32"/>
  <c r="D97" i="32"/>
  <c r="E97" i="32"/>
  <c r="H97" i="32"/>
  <c r="I97" i="32"/>
  <c r="J97" i="32"/>
  <c r="K97" i="32"/>
  <c r="L97" i="32"/>
  <c r="M97" i="32"/>
  <c r="N97" i="32"/>
  <c r="O97" i="32"/>
  <c r="P97" i="32"/>
  <c r="Q97" i="32"/>
  <c r="R97" i="32"/>
  <c r="S97" i="32"/>
  <c r="T97" i="32"/>
  <c r="U97" i="32"/>
  <c r="V97" i="32"/>
  <c r="W97" i="32"/>
  <c r="X97" i="32"/>
  <c r="Y97" i="32"/>
  <c r="Z97" i="32"/>
  <c r="AA97" i="32"/>
  <c r="AB97" i="32"/>
  <c r="AC97" i="32"/>
  <c r="AD97" i="32"/>
  <c r="AE97" i="32"/>
  <c r="AF97" i="32"/>
  <c r="AG97" i="32"/>
  <c r="AH97" i="32"/>
  <c r="AI97" i="32"/>
  <c r="AJ97" i="32"/>
  <c r="AK97" i="32"/>
  <c r="D99" i="32"/>
  <c r="C105" i="32"/>
  <c r="D105" i="32"/>
  <c r="E105" i="32"/>
  <c r="F106" i="32"/>
  <c r="G106" i="32"/>
  <c r="H106" i="32"/>
  <c r="I106" i="32"/>
  <c r="J106" i="32"/>
  <c r="K106" i="32"/>
  <c r="L106" i="32"/>
  <c r="M106" i="32"/>
  <c r="N106" i="32"/>
  <c r="O106" i="32"/>
  <c r="P106" i="32"/>
  <c r="Q106" i="32"/>
  <c r="R106" i="32"/>
  <c r="S106" i="32"/>
  <c r="T106" i="32"/>
  <c r="U106" i="32"/>
  <c r="V106" i="32"/>
  <c r="W106" i="32"/>
  <c r="X106" i="32"/>
  <c r="Y106" i="32"/>
  <c r="Z106" i="32"/>
  <c r="AA106" i="32"/>
  <c r="AB106" i="32"/>
  <c r="AC106" i="32"/>
  <c r="AD106" i="32"/>
  <c r="AE106" i="32"/>
  <c r="AF106" i="32"/>
  <c r="AG106" i="32"/>
  <c r="AH106" i="32"/>
  <c r="AI106" i="32"/>
  <c r="E107" i="32"/>
  <c r="F107" i="32"/>
  <c r="G107" i="32"/>
  <c r="H107" i="32"/>
  <c r="I107" i="32"/>
  <c r="J107" i="32"/>
  <c r="K107" i="32"/>
  <c r="L107" i="32"/>
  <c r="M107" i="32"/>
  <c r="N107" i="32"/>
  <c r="O107" i="32"/>
  <c r="P107" i="32"/>
  <c r="Q107" i="32"/>
  <c r="R107" i="32"/>
  <c r="S107" i="32"/>
  <c r="T107" i="32"/>
  <c r="U107" i="32"/>
  <c r="V107" i="32"/>
  <c r="W107" i="32"/>
  <c r="X107" i="32"/>
  <c r="Y107" i="32"/>
  <c r="Z107" i="32"/>
  <c r="AA107" i="32"/>
  <c r="AB107" i="32"/>
  <c r="AC107" i="32"/>
  <c r="AD107" i="32"/>
  <c r="AE107" i="32"/>
  <c r="AF107" i="32"/>
  <c r="AG107" i="32"/>
  <c r="AH107" i="32"/>
  <c r="C108" i="32"/>
  <c r="D108" i="32"/>
  <c r="E108" i="32"/>
  <c r="F108" i="32"/>
  <c r="G108" i="32"/>
  <c r="H108" i="32"/>
  <c r="I108" i="32"/>
  <c r="J108" i="32"/>
  <c r="K108" i="32"/>
  <c r="L108" i="32"/>
  <c r="M108" i="32"/>
  <c r="N108" i="32"/>
  <c r="O108" i="32"/>
  <c r="P108" i="32"/>
  <c r="Q108" i="32"/>
  <c r="R108" i="32"/>
  <c r="S108" i="32"/>
  <c r="T108" i="32"/>
  <c r="U108" i="32"/>
  <c r="V108" i="32"/>
  <c r="W108" i="32"/>
  <c r="X108" i="32"/>
  <c r="Y108" i="32"/>
  <c r="Z108" i="32"/>
  <c r="AA108" i="32"/>
  <c r="AB108" i="32"/>
  <c r="AC108" i="32"/>
  <c r="AD108" i="32"/>
  <c r="AE108" i="32"/>
  <c r="AF108" i="32"/>
  <c r="AG108" i="32"/>
  <c r="AH108" i="32"/>
  <c r="AI108" i="32"/>
  <c r="F109" i="32"/>
  <c r="G109" i="32"/>
  <c r="H109" i="32"/>
  <c r="I109" i="32"/>
  <c r="J109" i="32"/>
  <c r="K109" i="32"/>
  <c r="L109" i="32"/>
  <c r="M109" i="32"/>
  <c r="N109" i="32"/>
  <c r="O109" i="32"/>
  <c r="P109" i="32"/>
  <c r="Q109" i="32"/>
  <c r="R109" i="32"/>
  <c r="S109" i="32"/>
  <c r="T109" i="32"/>
  <c r="U109" i="32"/>
  <c r="V109" i="32"/>
  <c r="W109" i="32"/>
  <c r="X109" i="32"/>
  <c r="Y109" i="32"/>
  <c r="Z109" i="32"/>
  <c r="AA109" i="32"/>
  <c r="AB109" i="32"/>
  <c r="AC109" i="32"/>
  <c r="AD109" i="32"/>
  <c r="AE109" i="32"/>
  <c r="AF109" i="32"/>
  <c r="AG109" i="32"/>
  <c r="AH109" i="32"/>
  <c r="AI109" i="32"/>
  <c r="F110" i="32"/>
  <c r="G110" i="32"/>
  <c r="H110" i="32"/>
  <c r="I110" i="32"/>
  <c r="J110" i="32"/>
  <c r="K110" i="32"/>
  <c r="L110" i="32"/>
  <c r="M110" i="32"/>
  <c r="N110" i="32"/>
  <c r="O110" i="32"/>
  <c r="P110" i="32"/>
  <c r="Q110" i="32"/>
  <c r="R110" i="32"/>
  <c r="S110" i="32"/>
  <c r="T110" i="32"/>
  <c r="U110" i="32"/>
  <c r="V110" i="32"/>
  <c r="W110" i="32"/>
  <c r="X110" i="32"/>
  <c r="Y110" i="32"/>
  <c r="Z110" i="32"/>
  <c r="AA110" i="32"/>
  <c r="AB110" i="32"/>
  <c r="AC110" i="32"/>
  <c r="AD110" i="32"/>
  <c r="AE110" i="32"/>
  <c r="AF110" i="32"/>
  <c r="AG110" i="32"/>
  <c r="AH110" i="32"/>
  <c r="AI110" i="32"/>
  <c r="F111" i="32"/>
  <c r="G111" i="32"/>
  <c r="H111" i="32"/>
  <c r="I111" i="32"/>
  <c r="J111" i="32"/>
  <c r="K111" i="32"/>
  <c r="L111" i="32"/>
  <c r="M111" i="32"/>
  <c r="N111" i="32"/>
  <c r="O111" i="32"/>
  <c r="P111" i="32"/>
  <c r="Q111" i="32"/>
  <c r="R111" i="32"/>
  <c r="S111" i="32"/>
  <c r="T111" i="32"/>
  <c r="U111" i="32"/>
  <c r="V111" i="32"/>
  <c r="W111" i="32"/>
  <c r="X111" i="32"/>
  <c r="Y111" i="32"/>
  <c r="Z111" i="32"/>
  <c r="AA111" i="32"/>
  <c r="AB111" i="32"/>
  <c r="AC111" i="32"/>
  <c r="AD111" i="32"/>
  <c r="AE111" i="32"/>
  <c r="AF111" i="32"/>
  <c r="AG111" i="32"/>
  <c r="AH111" i="32"/>
  <c r="AI111" i="32"/>
  <c r="D119" i="32"/>
  <c r="D120" i="32"/>
  <c r="D121" i="32"/>
  <c r="D122" i="32"/>
  <c r="D126" i="32"/>
  <c r="D127" i="32"/>
  <c r="D128" i="32"/>
  <c r="D129" i="32"/>
  <c r="D130" i="32"/>
  <c r="D131" i="32"/>
  <c r="D132" i="32"/>
  <c r="D133" i="32"/>
  <c r="D134" i="32"/>
  <c r="D135" i="32"/>
  <c r="C140" i="32"/>
  <c r="C141" i="32"/>
  <c r="C142" i="32"/>
  <c r="C143" i="32"/>
  <c r="C144" i="32"/>
  <c r="C145" i="32"/>
  <c r="C146" i="32"/>
  <c r="C147" i="32"/>
  <c r="C148" i="32"/>
  <c r="C149" i="32"/>
  <c r="C150" i="32"/>
  <c r="C151" i="32"/>
  <c r="C15" i="21"/>
  <c r="C17" i="21"/>
  <c r="H18" i="21"/>
  <c r="I18" i="21"/>
  <c r="C19" i="21"/>
  <c r="H19" i="21"/>
  <c r="I19" i="21"/>
  <c r="H20" i="21"/>
  <c r="I20" i="21"/>
  <c r="H21" i="21"/>
  <c r="I21" i="21"/>
  <c r="C27" i="21"/>
  <c r="E27" i="21"/>
  <c r="C28" i="21"/>
  <c r="E28" i="21"/>
  <c r="H28" i="21"/>
  <c r="C29" i="21"/>
  <c r="E29" i="21"/>
  <c r="C30" i="21"/>
  <c r="E30" i="21"/>
  <c r="C31" i="21"/>
  <c r="E31" i="21"/>
  <c r="C32" i="21"/>
  <c r="C33" i="21"/>
  <c r="C34" i="21"/>
  <c r="C35" i="21"/>
  <c r="D35" i="21"/>
  <c r="C75" i="21"/>
  <c r="C76" i="21"/>
  <c r="C77" i="21"/>
  <c r="C78" i="21"/>
  <c r="C79" i="21"/>
  <c r="C102" i="21"/>
  <c r="C103" i="21"/>
  <c r="C104" i="21"/>
  <c r="C105" i="21"/>
  <c r="C107" i="21"/>
  <c r="D107" i="21"/>
  <c r="C108" i="21"/>
  <c r="D108" i="21"/>
  <c r="C109" i="21"/>
  <c r="D109" i="21"/>
  <c r="B112" i="21"/>
  <c r="B113" i="21"/>
  <c r="B114" i="21"/>
  <c r="B66" i="25"/>
  <c r="I66" i="25"/>
  <c r="B68" i="25"/>
  <c r="I68" i="25"/>
  <c r="I69" i="25"/>
  <c r="B79" i="25"/>
  <c r="I79" i="25"/>
  <c r="B80" i="25"/>
  <c r="I80" i="25"/>
  <c r="I81" i="25"/>
  <c r="B99" i="25"/>
  <c r="I99" i="25"/>
  <c r="I100" i="25"/>
  <c r="B114" i="25"/>
  <c r="I114" i="25"/>
  <c r="B115" i="25"/>
  <c r="I115" i="25"/>
  <c r="I116" i="25"/>
  <c r="I119" i="25"/>
  <c r="B126" i="25"/>
  <c r="B127" i="25"/>
  <c r="B130" i="25"/>
  <c r="B131" i="25"/>
  <c r="D12" i="5"/>
  <c r="O12" i="5"/>
  <c r="B15" i="5"/>
  <c r="M15" i="5"/>
  <c r="O15" i="5"/>
  <c r="O17" i="5"/>
  <c r="B62" i="5"/>
  <c r="M62" i="5"/>
  <c r="O62" i="5"/>
  <c r="B63" i="5"/>
  <c r="M63" i="5"/>
  <c r="O63" i="5"/>
  <c r="B64" i="5"/>
  <c r="M64" i="5"/>
  <c r="O64" i="5"/>
  <c r="B65" i="5"/>
  <c r="M65" i="5"/>
  <c r="O65" i="5"/>
  <c r="B66" i="5"/>
  <c r="M66" i="5"/>
  <c r="O66" i="5"/>
  <c r="B67" i="5"/>
  <c r="M67" i="5"/>
  <c r="O67" i="5"/>
  <c r="B68" i="5"/>
  <c r="M68" i="5"/>
  <c r="O68" i="5"/>
  <c r="B69" i="5"/>
  <c r="M69" i="5"/>
  <c r="O69" i="5"/>
  <c r="B70" i="5"/>
  <c r="M70" i="5"/>
  <c r="O70" i="5"/>
  <c r="B71" i="5"/>
  <c r="M71" i="5"/>
  <c r="O71" i="5"/>
  <c r="B72" i="5"/>
  <c r="M72" i="5"/>
  <c r="O72" i="5"/>
  <c r="B73" i="5"/>
  <c r="M73" i="5"/>
  <c r="O73" i="5"/>
  <c r="B76" i="5"/>
  <c r="M76" i="5"/>
  <c r="O76" i="5"/>
  <c r="B77" i="5"/>
  <c r="M77" i="5"/>
  <c r="O77" i="5"/>
  <c r="B78" i="5"/>
  <c r="M78" i="5"/>
  <c r="O78" i="5"/>
  <c r="B79" i="5"/>
  <c r="M79" i="5"/>
  <c r="O79" i="5"/>
  <c r="O81" i="5"/>
  <c r="B91" i="5"/>
  <c r="M91" i="5"/>
  <c r="O91" i="5"/>
  <c r="B92" i="5"/>
  <c r="M92" i="5"/>
  <c r="O92" i="5"/>
  <c r="B93" i="5"/>
  <c r="M93" i="5"/>
  <c r="O93" i="5"/>
  <c r="B94" i="5"/>
  <c r="M94" i="5"/>
  <c r="O94" i="5"/>
  <c r="B95" i="5"/>
  <c r="M95" i="5"/>
  <c r="O95" i="5"/>
  <c r="B96" i="5"/>
  <c r="M96" i="5"/>
  <c r="O96" i="5"/>
  <c r="B97" i="5"/>
  <c r="M97" i="5"/>
  <c r="O97" i="5"/>
  <c r="B98" i="5"/>
  <c r="M98" i="5"/>
  <c r="O98" i="5"/>
  <c r="B99" i="5"/>
  <c r="M99" i="5"/>
  <c r="O99" i="5"/>
  <c r="B100" i="5"/>
  <c r="M100" i="5"/>
  <c r="O100" i="5"/>
  <c r="B101" i="5"/>
  <c r="M101" i="5"/>
  <c r="O101" i="5"/>
  <c r="B102" i="5"/>
  <c r="M102" i="5"/>
  <c r="O102" i="5"/>
  <c r="B103" i="5"/>
  <c r="M103" i="5"/>
  <c r="O103" i="5"/>
  <c r="B104" i="5"/>
  <c r="M104" i="5"/>
  <c r="O104" i="5"/>
  <c r="B105" i="5"/>
  <c r="M105" i="5"/>
  <c r="O105" i="5"/>
  <c r="B106" i="5"/>
  <c r="M106" i="5"/>
  <c r="O106" i="5"/>
  <c r="B107" i="5"/>
  <c r="M107" i="5"/>
  <c r="O107" i="5"/>
  <c r="B108" i="5"/>
  <c r="M108" i="5"/>
  <c r="O108" i="5"/>
  <c r="B109" i="5"/>
  <c r="M109" i="5"/>
  <c r="O109" i="5"/>
  <c r="O111" i="5"/>
  <c r="B195" i="5"/>
  <c r="M195" i="5"/>
  <c r="O195" i="5"/>
  <c r="B196" i="5"/>
  <c r="M196" i="5"/>
  <c r="O196" i="5"/>
  <c r="O197" i="5"/>
  <c r="B206" i="5"/>
  <c r="M206" i="5"/>
  <c r="O206" i="5"/>
  <c r="B207" i="5"/>
  <c r="M207" i="5"/>
  <c r="O207" i="5"/>
  <c r="B208" i="5"/>
  <c r="M208" i="5"/>
  <c r="O208" i="5"/>
  <c r="B209" i="5"/>
  <c r="M209" i="5"/>
  <c r="O209" i="5"/>
  <c r="B210" i="5"/>
  <c r="M210" i="5"/>
  <c r="O210" i="5"/>
  <c r="B211" i="5"/>
  <c r="M211" i="5"/>
  <c r="O211" i="5"/>
  <c r="B212" i="5"/>
  <c r="M212" i="5"/>
  <c r="O212" i="5"/>
  <c r="B213" i="5"/>
  <c r="M213" i="5"/>
  <c r="O213" i="5"/>
  <c r="B214" i="5"/>
  <c r="M214" i="5"/>
  <c r="O214" i="5"/>
  <c r="B215" i="5"/>
  <c r="M215" i="5"/>
  <c r="O215" i="5"/>
  <c r="B216" i="5"/>
  <c r="M216" i="5"/>
  <c r="O216" i="5"/>
  <c r="B217" i="5"/>
  <c r="M217" i="5"/>
  <c r="O217" i="5"/>
  <c r="B218" i="5"/>
  <c r="M218" i="5"/>
  <c r="O218" i="5"/>
  <c r="B219" i="5"/>
  <c r="M219" i="5"/>
  <c r="O219" i="5"/>
  <c r="B220" i="5"/>
  <c r="M220" i="5"/>
  <c r="O220" i="5"/>
  <c r="B221" i="5"/>
  <c r="M221" i="5"/>
  <c r="O221" i="5"/>
  <c r="O223" i="5"/>
  <c r="B232" i="5"/>
  <c r="M232" i="5"/>
  <c r="O232" i="5"/>
  <c r="B233" i="5"/>
  <c r="M233" i="5"/>
  <c r="O233" i="5"/>
  <c r="B237" i="5"/>
  <c r="M237" i="5"/>
  <c r="O237" i="5"/>
  <c r="B238" i="5"/>
  <c r="M238" i="5"/>
  <c r="O238" i="5"/>
  <c r="B239" i="5"/>
  <c r="M239" i="5"/>
  <c r="O239" i="5"/>
  <c r="B240" i="5"/>
  <c r="M240" i="5"/>
  <c r="O240" i="5"/>
  <c r="B241" i="5"/>
  <c r="M241" i="5"/>
  <c r="O241" i="5"/>
  <c r="O242" i="5"/>
  <c r="B251" i="5"/>
  <c r="M251" i="5"/>
  <c r="O251" i="5"/>
  <c r="B252" i="5"/>
  <c r="M252" i="5"/>
  <c r="O252" i="5"/>
  <c r="B253" i="5"/>
  <c r="M253" i="5"/>
  <c r="O253" i="5"/>
  <c r="B254" i="5"/>
  <c r="M254" i="5"/>
  <c r="O254" i="5"/>
  <c r="O255" i="5"/>
  <c r="B270" i="5"/>
  <c r="M270" i="5"/>
  <c r="O270" i="5"/>
  <c r="B271" i="5"/>
  <c r="M271" i="5"/>
  <c r="O271" i="5"/>
  <c r="B272" i="5"/>
  <c r="M272" i="5"/>
  <c r="O272" i="5"/>
  <c r="B273" i="5"/>
  <c r="M273" i="5"/>
  <c r="O273" i="5"/>
  <c r="B274" i="5"/>
  <c r="M274" i="5"/>
  <c r="O274" i="5"/>
  <c r="B275" i="5"/>
  <c r="M275" i="5"/>
  <c r="O275" i="5"/>
  <c r="B276" i="5"/>
  <c r="M276" i="5"/>
  <c r="O276" i="5"/>
  <c r="B277" i="5"/>
  <c r="M277" i="5"/>
  <c r="O277" i="5"/>
  <c r="B278" i="5"/>
  <c r="M278" i="5"/>
  <c r="O278" i="5"/>
  <c r="O280" i="5"/>
  <c r="B288" i="5"/>
  <c r="M288" i="5"/>
  <c r="O288" i="5"/>
  <c r="B289" i="5"/>
  <c r="M289" i="5"/>
  <c r="O289" i="5"/>
  <c r="B290" i="5"/>
  <c r="M290" i="5"/>
  <c r="O290" i="5"/>
  <c r="B291" i="5"/>
  <c r="M291" i="5"/>
  <c r="O291" i="5"/>
  <c r="B292" i="5"/>
  <c r="M292" i="5"/>
  <c r="O292" i="5"/>
  <c r="B293" i="5"/>
  <c r="M293" i="5"/>
  <c r="O293" i="5"/>
  <c r="B294" i="5"/>
  <c r="M294" i="5"/>
  <c r="O294" i="5"/>
  <c r="B295" i="5"/>
  <c r="M295" i="5"/>
  <c r="O295" i="5"/>
  <c r="B296" i="5"/>
  <c r="M296" i="5"/>
  <c r="O296" i="5"/>
  <c r="B297" i="5"/>
  <c r="M297" i="5"/>
  <c r="O297" i="5"/>
  <c r="O299" i="5"/>
  <c r="B308" i="5"/>
  <c r="M308" i="5"/>
  <c r="O308" i="5"/>
  <c r="B309" i="5"/>
  <c r="M309" i="5"/>
  <c r="O309" i="5"/>
  <c r="B310" i="5"/>
  <c r="M310" i="5"/>
  <c r="O310" i="5"/>
  <c r="B311" i="5"/>
  <c r="M311" i="5"/>
  <c r="O311" i="5"/>
  <c r="B312" i="5"/>
  <c r="M312" i="5"/>
  <c r="O312" i="5"/>
  <c r="B313" i="5"/>
  <c r="M313" i="5"/>
  <c r="O313" i="5"/>
  <c r="O315" i="5"/>
  <c r="B324" i="5"/>
  <c r="M324" i="5"/>
  <c r="O324" i="5"/>
  <c r="B325" i="5"/>
  <c r="M325" i="5"/>
  <c r="O325" i="5"/>
  <c r="B326" i="5"/>
  <c r="M326" i="5"/>
  <c r="O326" i="5"/>
  <c r="B327" i="5"/>
  <c r="M327" i="5"/>
  <c r="O327" i="5"/>
  <c r="B328" i="5"/>
  <c r="M328" i="5"/>
  <c r="O328" i="5"/>
  <c r="B329" i="5"/>
  <c r="M329" i="5"/>
  <c r="O329" i="5"/>
  <c r="B330" i="5"/>
  <c r="M330" i="5"/>
  <c r="O330" i="5"/>
  <c r="B331" i="5"/>
  <c r="M331" i="5"/>
  <c r="O331" i="5"/>
  <c r="O333" i="5"/>
  <c r="B342" i="5"/>
  <c r="M342" i="5"/>
  <c r="O342" i="5"/>
  <c r="B343" i="5"/>
  <c r="M343" i="5"/>
  <c r="O343" i="5"/>
  <c r="B344" i="5"/>
  <c r="M344" i="5"/>
  <c r="O344" i="5"/>
  <c r="O347" i="5"/>
  <c r="B360" i="5"/>
  <c r="M360" i="5"/>
  <c r="O360" i="5"/>
  <c r="B361" i="5"/>
  <c r="M361" i="5"/>
  <c r="O361" i="5"/>
  <c r="B362" i="5"/>
  <c r="M362" i="5"/>
  <c r="O362" i="5"/>
  <c r="B363" i="5"/>
  <c r="M363" i="5"/>
  <c r="O363" i="5"/>
  <c r="B364" i="5"/>
  <c r="M364" i="5"/>
  <c r="O364" i="5"/>
  <c r="B365" i="5"/>
  <c r="M365" i="5"/>
  <c r="O365" i="5"/>
  <c r="B366" i="5"/>
  <c r="M366" i="5"/>
  <c r="O366" i="5"/>
  <c r="B367" i="5"/>
  <c r="M367" i="5"/>
  <c r="O367" i="5"/>
  <c r="B368" i="5"/>
  <c r="M368" i="5"/>
  <c r="O368" i="5"/>
  <c r="B369" i="5"/>
  <c r="M369" i="5"/>
  <c r="O369" i="5"/>
  <c r="B370" i="5"/>
  <c r="M370" i="5"/>
  <c r="O370" i="5"/>
  <c r="B371" i="5"/>
  <c r="M371" i="5"/>
  <c r="O371" i="5"/>
  <c r="B372" i="5"/>
  <c r="M372" i="5"/>
  <c r="O372" i="5"/>
  <c r="B373" i="5"/>
  <c r="M373" i="5"/>
  <c r="O373" i="5"/>
  <c r="B374" i="5"/>
  <c r="M374" i="5"/>
  <c r="O374" i="5"/>
  <c r="B375" i="5"/>
  <c r="M375" i="5"/>
  <c r="O375" i="5"/>
  <c r="B376" i="5"/>
  <c r="M376" i="5"/>
  <c r="O376" i="5"/>
  <c r="B377" i="5"/>
  <c r="M377" i="5"/>
  <c r="O377" i="5"/>
  <c r="B378" i="5"/>
  <c r="M378" i="5"/>
  <c r="O378" i="5"/>
  <c r="B379" i="5"/>
  <c r="M379" i="5"/>
  <c r="O379" i="5"/>
  <c r="B380" i="5"/>
  <c r="M380" i="5"/>
  <c r="O380" i="5"/>
  <c r="O382" i="5"/>
  <c r="B390" i="5"/>
  <c r="M390" i="5"/>
  <c r="O390" i="5"/>
  <c r="B391" i="5"/>
  <c r="M391" i="5"/>
  <c r="O391" i="5"/>
  <c r="B392" i="5"/>
  <c r="M392" i="5"/>
  <c r="O392" i="5"/>
  <c r="B393" i="5"/>
  <c r="M393" i="5"/>
  <c r="O393" i="5"/>
  <c r="B394" i="5"/>
  <c r="M394" i="5"/>
  <c r="O394" i="5"/>
  <c r="B395" i="5"/>
  <c r="M395" i="5"/>
  <c r="O395" i="5"/>
  <c r="B396" i="5"/>
  <c r="M396" i="5"/>
  <c r="O396" i="5"/>
  <c r="B397" i="5"/>
  <c r="M397" i="5"/>
  <c r="O397" i="5"/>
  <c r="B398" i="5"/>
  <c r="M398" i="5"/>
  <c r="O398" i="5"/>
  <c r="O400" i="5"/>
  <c r="B408" i="5"/>
  <c r="M408" i="5"/>
  <c r="O408" i="5"/>
  <c r="B409" i="5"/>
  <c r="M409" i="5"/>
  <c r="O409" i="5"/>
  <c r="B410" i="5"/>
  <c r="M410" i="5"/>
  <c r="O410" i="5"/>
  <c r="B411" i="5"/>
  <c r="M411" i="5"/>
  <c r="O411" i="5"/>
  <c r="B412" i="5"/>
  <c r="M412" i="5"/>
  <c r="O412" i="5"/>
  <c r="B413" i="5"/>
  <c r="M413" i="5"/>
  <c r="O413" i="5"/>
  <c r="B414" i="5"/>
  <c r="M414" i="5"/>
  <c r="O414" i="5"/>
  <c r="B415" i="5"/>
  <c r="M415" i="5"/>
  <c r="O415" i="5"/>
  <c r="B416" i="5"/>
  <c r="M416" i="5"/>
  <c r="O416" i="5"/>
  <c r="O418" i="5"/>
  <c r="B426" i="5"/>
  <c r="M426" i="5"/>
  <c r="O426" i="5"/>
  <c r="B427" i="5"/>
  <c r="M427" i="5"/>
  <c r="O427" i="5"/>
  <c r="B428" i="5"/>
  <c r="M428" i="5"/>
  <c r="O428" i="5"/>
  <c r="B429" i="5"/>
  <c r="M429" i="5"/>
  <c r="O429" i="5"/>
  <c r="B430" i="5"/>
  <c r="M430" i="5"/>
  <c r="O430" i="5"/>
  <c r="B431" i="5"/>
  <c r="M431" i="5"/>
  <c r="O431" i="5"/>
  <c r="B432" i="5"/>
  <c r="M432" i="5"/>
  <c r="O432" i="5"/>
  <c r="B433" i="5"/>
  <c r="M433" i="5"/>
  <c r="O433" i="5"/>
  <c r="B434" i="5"/>
  <c r="M434" i="5"/>
  <c r="O434" i="5"/>
  <c r="B435" i="5"/>
  <c r="M435" i="5"/>
  <c r="O435" i="5"/>
  <c r="O437" i="5"/>
  <c r="B446" i="5"/>
  <c r="M446" i="5"/>
  <c r="O446" i="5"/>
  <c r="B447" i="5"/>
  <c r="M447" i="5"/>
  <c r="O447" i="5"/>
  <c r="B448" i="5"/>
  <c r="M448" i="5"/>
  <c r="O448" i="5"/>
  <c r="B449" i="5"/>
  <c r="M449" i="5"/>
  <c r="O449" i="5"/>
  <c r="B450" i="5"/>
  <c r="M450" i="5"/>
  <c r="O450" i="5"/>
  <c r="B452" i="5"/>
  <c r="M452" i="5"/>
  <c r="O452" i="5"/>
  <c r="O455" i="5"/>
  <c r="B465" i="5"/>
  <c r="M465" i="5"/>
  <c r="O465" i="5"/>
  <c r="B466" i="5"/>
  <c r="M466" i="5"/>
  <c r="O466" i="5"/>
  <c r="B467" i="5"/>
  <c r="M467" i="5"/>
  <c r="O467" i="5"/>
  <c r="B468" i="5"/>
  <c r="M468" i="5"/>
  <c r="O468" i="5"/>
  <c r="B469" i="5"/>
  <c r="M469" i="5"/>
  <c r="O469" i="5"/>
  <c r="B470" i="5"/>
  <c r="M470" i="5"/>
  <c r="O470" i="5"/>
  <c r="B471" i="5"/>
  <c r="M471" i="5"/>
  <c r="O471" i="5"/>
  <c r="B472" i="5"/>
  <c r="M472" i="5"/>
  <c r="O472" i="5"/>
  <c r="B473" i="5"/>
  <c r="M473" i="5"/>
  <c r="O473" i="5"/>
  <c r="B474" i="5"/>
  <c r="M474" i="5"/>
  <c r="O474" i="5"/>
  <c r="B475" i="5"/>
  <c r="M475" i="5"/>
  <c r="O475" i="5"/>
  <c r="B476" i="5"/>
  <c r="M476" i="5"/>
  <c r="O476" i="5"/>
  <c r="B477" i="5"/>
  <c r="M477" i="5"/>
  <c r="O477" i="5"/>
  <c r="O479" i="5"/>
  <c r="O521" i="5"/>
  <c r="O524" i="5"/>
  <c r="B545" i="5"/>
  <c r="C545" i="5"/>
  <c r="B546" i="5"/>
  <c r="C546" i="5"/>
  <c r="B547" i="5"/>
  <c r="C547" i="5"/>
  <c r="C548" i="5"/>
  <c r="C549" i="5"/>
  <c r="C550" i="5"/>
  <c r="C551" i="5"/>
  <c r="B552" i="5"/>
  <c r="C552" i="5"/>
  <c r="B553" i="5"/>
  <c r="C553" i="5"/>
  <c r="B554" i="5"/>
  <c r="C554" i="5"/>
  <c r="B555" i="5"/>
  <c r="C555" i="5"/>
  <c r="B556" i="5"/>
  <c r="C556" i="5"/>
  <c r="B557" i="5"/>
  <c r="C557" i="5"/>
  <c r="B558" i="5"/>
  <c r="C558" i="5"/>
  <c r="B560" i="5"/>
  <c r="B578" i="5"/>
  <c r="C578" i="5"/>
  <c r="B579" i="5"/>
  <c r="C579" i="5"/>
  <c r="B580" i="5"/>
  <c r="C580" i="5"/>
  <c r="C581" i="5"/>
  <c r="C582" i="5"/>
  <c r="C583" i="5"/>
  <c r="C584" i="5"/>
  <c r="B585" i="5"/>
  <c r="C585" i="5"/>
  <c r="B586" i="5"/>
  <c r="C586" i="5"/>
  <c r="B587" i="5"/>
  <c r="C587" i="5"/>
  <c r="B588" i="5"/>
  <c r="C588" i="5"/>
  <c r="B589" i="5"/>
  <c r="C589" i="5"/>
  <c r="B590" i="5"/>
  <c r="C590" i="5"/>
  <c r="B591" i="5"/>
  <c r="C591" i="5"/>
  <c r="B592" i="5"/>
  <c r="C592" i="5"/>
  <c r="B594" i="5"/>
  <c r="B617" i="5"/>
  <c r="C617" i="5"/>
  <c r="B618" i="5"/>
  <c r="C618" i="5"/>
  <c r="B619" i="5"/>
  <c r="C619" i="5"/>
  <c r="C620" i="5"/>
  <c r="C621" i="5"/>
  <c r="C622" i="5"/>
  <c r="C623" i="5"/>
  <c r="B624" i="5"/>
  <c r="C624" i="5"/>
  <c r="B625" i="5"/>
  <c r="C625" i="5"/>
  <c r="B626" i="5"/>
  <c r="C626" i="5"/>
  <c r="B627" i="5"/>
  <c r="C627" i="5"/>
  <c r="B628" i="5"/>
  <c r="C628" i="5"/>
  <c r="B629" i="5"/>
  <c r="C629" i="5"/>
  <c r="B630" i="5"/>
  <c r="C630" i="5"/>
  <c r="B631" i="5"/>
  <c r="C631" i="5"/>
  <c r="B632" i="5"/>
  <c r="C632" i="5"/>
  <c r="B633" i="5"/>
  <c r="C633" i="5"/>
  <c r="B634" i="5"/>
  <c r="C634" i="5"/>
  <c r="B635" i="5"/>
  <c r="C635" i="5"/>
  <c r="B636" i="5"/>
  <c r="C636" i="5"/>
  <c r="B638" i="5"/>
  <c r="C7" i="26"/>
  <c r="E7" i="26"/>
  <c r="G7" i="26"/>
  <c r="I7" i="26"/>
  <c r="C9" i="26"/>
  <c r="E9" i="26"/>
  <c r="G9" i="26"/>
  <c r="C10" i="26"/>
  <c r="E10" i="26"/>
  <c r="G10" i="26"/>
  <c r="C11" i="26"/>
  <c r="E11" i="26"/>
  <c r="G11" i="26"/>
  <c r="C12" i="26"/>
  <c r="E12" i="26"/>
  <c r="G12" i="26"/>
  <c r="I12" i="26"/>
  <c r="I13" i="26"/>
  <c r="I15" i="26"/>
  <c r="C17" i="26"/>
  <c r="E17" i="26"/>
  <c r="G17" i="26"/>
  <c r="C18" i="26"/>
  <c r="E18" i="26"/>
  <c r="G18" i="26"/>
  <c r="C19" i="26"/>
  <c r="E19" i="26"/>
  <c r="G19" i="26"/>
  <c r="C20" i="26"/>
  <c r="E20" i="26"/>
  <c r="G20" i="26"/>
  <c r="I20" i="26"/>
  <c r="I21" i="26"/>
  <c r="E28" i="26"/>
  <c r="G28" i="26"/>
  <c r="I28" i="26"/>
  <c r="E29" i="26"/>
  <c r="G29" i="26"/>
  <c r="I29" i="26"/>
  <c r="C31" i="26"/>
  <c r="E31" i="26"/>
  <c r="G31" i="26"/>
  <c r="I31" i="26"/>
  <c r="C32" i="26"/>
  <c r="E32" i="26"/>
  <c r="G32" i="26"/>
  <c r="N32" i="26"/>
  <c r="K33" i="26"/>
  <c r="N33" i="26"/>
  <c r="C34" i="26"/>
  <c r="E34" i="26"/>
  <c r="G34" i="26"/>
  <c r="I34" i="26"/>
  <c r="N34" i="26"/>
  <c r="C35" i="26"/>
  <c r="E35" i="26"/>
  <c r="G35" i="26"/>
  <c r="C36" i="26"/>
  <c r="E36" i="26"/>
  <c r="G36" i="26"/>
  <c r="C37" i="26"/>
  <c r="E37" i="26"/>
  <c r="G37" i="26"/>
  <c r="C38" i="26"/>
  <c r="E38" i="26"/>
  <c r="G38" i="26"/>
  <c r="C39" i="26"/>
  <c r="E39" i="26"/>
  <c r="G39" i="26"/>
  <c r="C40" i="26"/>
  <c r="E40" i="26"/>
  <c r="G40" i="26"/>
  <c r="C41" i="26"/>
  <c r="E41" i="26"/>
  <c r="G41" i="26"/>
  <c r="C42" i="26"/>
  <c r="E42" i="26"/>
  <c r="G42" i="26"/>
  <c r="I66" i="26"/>
  <c r="I68" i="26"/>
  <c r="I69" i="26"/>
  <c r="I70" i="26"/>
  <c r="I72" i="26"/>
  <c r="C73" i="26"/>
  <c r="E73" i="26"/>
  <c r="G73" i="26"/>
  <c r="I73" i="26"/>
  <c r="C74" i="26"/>
  <c r="E74" i="26"/>
  <c r="G74" i="26"/>
  <c r="C75" i="26"/>
  <c r="E75" i="26"/>
  <c r="G75" i="26"/>
  <c r="C76" i="26"/>
  <c r="E76" i="26"/>
  <c r="G76" i="26"/>
  <c r="C77" i="26"/>
  <c r="E77" i="26"/>
  <c r="G77" i="26"/>
  <c r="C78" i="26"/>
  <c r="E78" i="26"/>
  <c r="G78" i="26"/>
  <c r="C79" i="26"/>
  <c r="E79" i="26"/>
  <c r="G79" i="26"/>
  <c r="C80" i="26"/>
  <c r="E80" i="26"/>
  <c r="G80" i="26"/>
  <c r="C81" i="26"/>
  <c r="E81" i="26"/>
  <c r="G81" i="26"/>
  <c r="I88" i="26"/>
  <c r="I89" i="26"/>
  <c r="I90" i="26"/>
  <c r="I91" i="26"/>
  <c r="C94" i="26"/>
  <c r="E94" i="26"/>
  <c r="G94" i="26"/>
  <c r="I94" i="26"/>
  <c r="C95" i="26"/>
  <c r="E95" i="26"/>
  <c r="G95" i="26"/>
  <c r="C96" i="26"/>
  <c r="E96" i="26"/>
  <c r="G96" i="26"/>
  <c r="C98" i="26"/>
  <c r="E98" i="26"/>
  <c r="G98" i="26"/>
  <c r="C100" i="26"/>
  <c r="E100" i="26"/>
  <c r="G100" i="26"/>
  <c r="C101" i="26"/>
  <c r="E101" i="26"/>
  <c r="G101" i="26"/>
  <c r="I102" i="26"/>
  <c r="I103" i="26"/>
  <c r="I104" i="26"/>
  <c r="I109" i="26"/>
  <c r="C111" i="26"/>
  <c r="E111" i="26"/>
  <c r="G111" i="26"/>
  <c r="I111" i="26"/>
  <c r="C112" i="26"/>
  <c r="E112" i="26"/>
  <c r="G112" i="26"/>
  <c r="I112" i="26"/>
  <c r="C113" i="26"/>
  <c r="E113" i="26"/>
  <c r="G113" i="26"/>
  <c r="C115" i="26"/>
  <c r="E115" i="26"/>
  <c r="G115" i="26"/>
  <c r="C117" i="26"/>
  <c r="E117" i="26"/>
  <c r="G117" i="26"/>
  <c r="C118" i="26"/>
  <c r="E118" i="26"/>
  <c r="G118" i="26"/>
  <c r="I123" i="26"/>
  <c r="C124" i="26"/>
  <c r="E124" i="26"/>
  <c r="G124" i="26"/>
  <c r="I124" i="26"/>
  <c r="C125" i="26"/>
  <c r="E125" i="26"/>
  <c r="G125" i="26"/>
  <c r="I125" i="26"/>
  <c r="C127" i="26"/>
  <c r="E127" i="26"/>
  <c r="G127" i="26"/>
  <c r="I127" i="26"/>
  <c r="C128" i="26"/>
  <c r="E128" i="26"/>
  <c r="G128" i="26"/>
  <c r="C129" i="26"/>
  <c r="E129" i="26"/>
  <c r="G129" i="26"/>
  <c r="C131" i="26"/>
  <c r="E131" i="26"/>
  <c r="G131" i="26"/>
  <c r="C133" i="26"/>
  <c r="E133" i="26"/>
  <c r="G133" i="26"/>
  <c r="C134" i="26"/>
  <c r="E134" i="26"/>
  <c r="G134" i="26"/>
  <c r="I135" i="26"/>
  <c r="I136" i="26"/>
  <c r="I141" i="26"/>
  <c r="C143" i="26"/>
  <c r="E143" i="26"/>
  <c r="G143" i="26"/>
  <c r="I143" i="26"/>
  <c r="C144" i="26"/>
  <c r="E144" i="26"/>
  <c r="G144" i="26"/>
  <c r="I144" i="26"/>
  <c r="C145" i="26"/>
  <c r="E145" i="26"/>
  <c r="G145" i="26"/>
  <c r="C146" i="26"/>
  <c r="E146" i="26"/>
  <c r="G146" i="26"/>
  <c r="C147" i="26"/>
  <c r="E147" i="26"/>
  <c r="G147" i="26"/>
  <c r="C148" i="26"/>
  <c r="E148" i="26"/>
  <c r="G148" i="26"/>
  <c r="C149" i="26"/>
  <c r="E149" i="26"/>
  <c r="G149" i="26"/>
  <c r="C150" i="26"/>
  <c r="E150" i="26"/>
  <c r="G150" i="26"/>
  <c r="C151" i="26"/>
  <c r="E151" i="26"/>
  <c r="G151" i="26"/>
  <c r="C152" i="26"/>
  <c r="E152" i="26"/>
  <c r="G152" i="26"/>
  <c r="C153" i="26"/>
  <c r="E153" i="26"/>
  <c r="G153" i="26"/>
  <c r="C154" i="26"/>
  <c r="E154" i="26"/>
  <c r="G154" i="26"/>
  <c r="C155" i="26"/>
  <c r="E155" i="26"/>
  <c r="G155" i="26"/>
  <c r="C156" i="26"/>
  <c r="E156" i="26"/>
  <c r="G156" i="26"/>
  <c r="C157" i="26"/>
  <c r="E157" i="26"/>
  <c r="G157" i="26"/>
  <c r="C158" i="26"/>
  <c r="E158" i="26"/>
  <c r="G158" i="26"/>
  <c r="C159" i="26"/>
  <c r="E159" i="26"/>
  <c r="G159" i="26"/>
  <c r="C160" i="26"/>
  <c r="E160" i="26"/>
  <c r="G160" i="26"/>
  <c r="C161" i="26"/>
  <c r="E161" i="26"/>
  <c r="G161" i="26"/>
  <c r="I165" i="26"/>
  <c r="I166" i="26"/>
  <c r="I167" i="26"/>
  <c r="I168" i="26"/>
  <c r="I179" i="26"/>
  <c r="I180" i="26"/>
  <c r="I185" i="26"/>
  <c r="C189" i="26"/>
  <c r="E189" i="26"/>
  <c r="G189" i="26"/>
  <c r="I189" i="26"/>
  <c r="C190" i="26"/>
  <c r="E190" i="26"/>
  <c r="C191" i="26"/>
  <c r="E191" i="26"/>
  <c r="C192" i="26"/>
  <c r="E192" i="26"/>
  <c r="C193" i="26"/>
  <c r="E193" i="26"/>
  <c r="C194" i="26"/>
  <c r="E194" i="26"/>
  <c r="C195" i="26"/>
  <c r="E195" i="26"/>
  <c r="C196" i="26"/>
  <c r="E196" i="26"/>
  <c r="C198" i="26"/>
  <c r="E198" i="26"/>
  <c r="G198" i="26"/>
  <c r="I198" i="26"/>
  <c r="C199" i="26"/>
  <c r="E199" i="26"/>
  <c r="C200" i="26"/>
  <c r="E200" i="26"/>
  <c r="C201" i="26"/>
  <c r="E201" i="26"/>
  <c r="C202" i="26"/>
  <c r="E202" i="26"/>
  <c r="C203" i="26"/>
  <c r="E203" i="26"/>
  <c r="C204" i="26"/>
  <c r="E204" i="26"/>
  <c r="I204" i="26"/>
  <c r="C205" i="26"/>
  <c r="E205" i="26"/>
  <c r="C207" i="26"/>
  <c r="E207" i="26"/>
  <c r="C208" i="26"/>
  <c r="E208" i="26"/>
  <c r="C209" i="26"/>
  <c r="E209" i="26"/>
  <c r="C210" i="26"/>
  <c r="E210" i="26"/>
  <c r="C211" i="26"/>
  <c r="E211" i="26"/>
  <c r="C212" i="26"/>
  <c r="E212" i="26"/>
  <c r="I217" i="26"/>
  <c r="C219" i="26"/>
  <c r="E219" i="26"/>
  <c r="G219" i="26"/>
  <c r="I219" i="26"/>
  <c r="C220" i="26"/>
  <c r="E220" i="26"/>
  <c r="C221" i="26"/>
  <c r="E221" i="26"/>
  <c r="C222" i="26"/>
  <c r="E222" i="26"/>
  <c r="I222" i="26"/>
  <c r="C223" i="26"/>
  <c r="E223" i="26"/>
  <c r="C224" i="26"/>
  <c r="E224" i="26"/>
  <c r="C225" i="26"/>
  <c r="E225" i="26"/>
  <c r="C226" i="26"/>
  <c r="E226" i="26"/>
  <c r="I232" i="26"/>
  <c r="C234" i="26"/>
  <c r="E234" i="26"/>
  <c r="G234" i="26"/>
  <c r="I234" i="26"/>
  <c r="C235" i="26"/>
  <c r="E235" i="26"/>
  <c r="C236" i="26"/>
  <c r="E236" i="26"/>
  <c r="I236" i="26"/>
  <c r="C237" i="26"/>
  <c r="E237" i="26"/>
  <c r="C238" i="26"/>
  <c r="E238" i="26"/>
  <c r="C239" i="26"/>
  <c r="E239" i="26"/>
  <c r="C240" i="26"/>
  <c r="E240" i="26"/>
  <c r="C241" i="26"/>
  <c r="E241" i="26"/>
  <c r="C243" i="26"/>
  <c r="E243" i="26"/>
  <c r="C244" i="26"/>
  <c r="E244" i="26"/>
  <c r="C245" i="26"/>
  <c r="E245" i="26"/>
  <c r="C246" i="26"/>
  <c r="E246" i="26"/>
  <c r="C247" i="26"/>
  <c r="E247" i="26"/>
  <c r="C248" i="26"/>
  <c r="E248" i="26"/>
  <c r="G255" i="26"/>
  <c r="I255" i="26"/>
  <c r="G256" i="26"/>
  <c r="I256" i="26"/>
  <c r="C258" i="26"/>
  <c r="E258" i="26"/>
  <c r="G258" i="26"/>
  <c r="I258" i="26"/>
  <c r="C259" i="26"/>
  <c r="E259" i="26"/>
  <c r="C260" i="26"/>
  <c r="E260" i="26"/>
  <c r="I260" i="26"/>
  <c r="C261" i="26"/>
  <c r="E261" i="26"/>
  <c r="C262" i="26"/>
  <c r="E262" i="26"/>
  <c r="C263" i="26"/>
  <c r="E263" i="26"/>
  <c r="C264" i="26"/>
  <c r="E264" i="26"/>
  <c r="C265" i="26"/>
  <c r="E265" i="26"/>
  <c r="C266" i="26"/>
  <c r="E266" i="26"/>
  <c r="C267" i="26"/>
  <c r="E267" i="26"/>
  <c r="C268" i="26"/>
  <c r="E268" i="26"/>
  <c r="C269" i="26"/>
  <c r="E269" i="26"/>
  <c r="C270" i="26"/>
  <c r="E270" i="26"/>
  <c r="C271" i="26"/>
  <c r="E271" i="26"/>
  <c r="C272" i="26"/>
  <c r="E272" i="26"/>
  <c r="C273" i="26"/>
  <c r="E273" i="26"/>
  <c r="C274" i="26"/>
  <c r="E274" i="26"/>
  <c r="C275" i="26"/>
  <c r="E275" i="26"/>
  <c r="C276" i="26"/>
  <c r="E276" i="26"/>
  <c r="C277" i="26"/>
  <c r="E277" i="26"/>
  <c r="C278" i="26"/>
  <c r="E278" i="26"/>
  <c r="C279" i="26"/>
  <c r="E279" i="26"/>
  <c r="C280" i="26"/>
  <c r="E280" i="26"/>
  <c r="C281" i="26"/>
  <c r="E281" i="26"/>
  <c r="C282" i="26"/>
  <c r="E282" i="26"/>
  <c r="C283" i="26"/>
  <c r="E283" i="26"/>
  <c r="C284" i="26"/>
  <c r="E284" i="26"/>
  <c r="C285" i="26"/>
  <c r="E285" i="26"/>
  <c r="C286" i="26"/>
  <c r="E286" i="26"/>
  <c r="C287" i="26"/>
  <c r="E287" i="26"/>
  <c r="C288" i="26"/>
  <c r="E288" i="26"/>
  <c r="C289" i="26"/>
  <c r="E289" i="26"/>
  <c r="I294" i="26"/>
  <c r="G295" i="26"/>
  <c r="I295" i="26"/>
  <c r="I296" i="26"/>
  <c r="B311" i="26"/>
  <c r="C311" i="26"/>
  <c r="D311" i="26"/>
  <c r="E311" i="26"/>
  <c r="F311" i="26"/>
  <c r="G311" i="26"/>
  <c r="H311" i="26"/>
  <c r="K311" i="26"/>
  <c r="L311" i="26"/>
  <c r="M311" i="26"/>
  <c r="N311" i="26"/>
  <c r="P311" i="26"/>
  <c r="Q311" i="26"/>
  <c r="R311" i="26"/>
  <c r="S311" i="26"/>
  <c r="T311" i="26"/>
  <c r="U311" i="26"/>
  <c r="V311" i="26"/>
  <c r="W311" i="26"/>
  <c r="X311" i="26"/>
  <c r="Y311" i="26"/>
  <c r="Z311" i="26"/>
  <c r="AA311" i="26"/>
  <c r="AB311" i="26"/>
  <c r="AC311" i="26"/>
  <c r="AD311" i="26"/>
  <c r="AE311" i="26"/>
  <c r="AF311" i="26"/>
  <c r="AG311" i="26"/>
  <c r="AH311" i="26"/>
  <c r="AI311" i="26"/>
  <c r="AJ311" i="26"/>
  <c r="G324" i="26"/>
  <c r="H361" i="26"/>
  <c r="F386" i="26"/>
  <c r="F388" i="26"/>
  <c r="F389" i="26"/>
  <c r="F390" i="26"/>
  <c r="F391" i="26"/>
  <c r="F392" i="26"/>
  <c r="F393" i="26"/>
  <c r="F394" i="26"/>
  <c r="F395" i="26"/>
  <c r="F396" i="26"/>
  <c r="F397" i="26"/>
  <c r="F398" i="26"/>
  <c r="B38" i="15"/>
  <c r="B39" i="15"/>
  <c r="B40" i="15"/>
  <c r="B41" i="15"/>
  <c r="B48" i="15"/>
  <c r="B50" i="15"/>
  <c r="B51" i="15"/>
  <c r="B73" i="15"/>
  <c r="B74" i="15"/>
  <c r="B77" i="15"/>
  <c r="B78" i="15"/>
  <c r="B79" i="15"/>
  <c r="B80" i="15"/>
  <c r="B84" i="15"/>
  <c r="B85" i="15"/>
  <c r="B87" i="15"/>
  <c r="B88" i="15"/>
  <c r="B89" i="15"/>
  <c r="B90" i="15"/>
  <c r="B92" i="15"/>
  <c r="B93" i="15"/>
  <c r="B94" i="15"/>
  <c r="B96" i="15"/>
  <c r="B97" i="15"/>
  <c r="B99" i="15"/>
  <c r="B102" i="15"/>
  <c r="B103" i="15"/>
  <c r="B104" i="15"/>
  <c r="B105" i="15"/>
  <c r="B109" i="15"/>
  <c r="B115" i="15"/>
  <c r="D115" i="15"/>
  <c r="B116" i="15"/>
  <c r="B117" i="15"/>
  <c r="B118" i="15"/>
  <c r="B119" i="15"/>
  <c r="B121" i="15"/>
  <c r="B124" i="15"/>
  <c r="D124" i="15"/>
  <c r="B125" i="15"/>
  <c r="B126" i="15"/>
  <c r="B127" i="15"/>
  <c r="B128" i="15"/>
  <c r="B130" i="15"/>
  <c r="B133" i="15"/>
  <c r="D133" i="15"/>
  <c r="B134" i="15"/>
  <c r="B135" i="15"/>
  <c r="B136" i="15"/>
  <c r="B137" i="15"/>
  <c r="B139" i="15"/>
  <c r="B142" i="15"/>
  <c r="D142" i="15"/>
  <c r="B143" i="15"/>
  <c r="B144" i="15"/>
  <c r="B145" i="15"/>
  <c r="B146" i="15"/>
  <c r="B148" i="15"/>
  <c r="B152" i="15"/>
  <c r="B153" i="15"/>
  <c r="B156" i="15"/>
  <c r="B157" i="15"/>
  <c r="B160" i="15"/>
  <c r="B161" i="15"/>
  <c r="B162" i="15"/>
  <c r="B163" i="15"/>
  <c r="B164" i="15"/>
  <c r="B171" i="15"/>
  <c r="B172" i="15"/>
  <c r="B175" i="15"/>
  <c r="D175" i="15"/>
  <c r="B176" i="15"/>
  <c r="B177" i="15"/>
  <c r="B178" i="15"/>
  <c r="B179" i="15"/>
  <c r="B181" i="15"/>
  <c r="D183" i="15"/>
  <c r="B184" i="15"/>
  <c r="B185" i="15"/>
  <c r="B188" i="15"/>
  <c r="D188" i="15"/>
  <c r="B189" i="15"/>
  <c r="B190" i="15"/>
  <c r="B191" i="15"/>
  <c r="B192" i="15"/>
  <c r="B194" i="15"/>
  <c r="D196" i="15"/>
  <c r="B197" i="15"/>
  <c r="B198" i="15"/>
  <c r="B201" i="15"/>
  <c r="B202" i="15"/>
  <c r="B203" i="15"/>
  <c r="B204" i="15"/>
  <c r="B205" i="15"/>
  <c r="B206" i="15"/>
  <c r="B210" i="15"/>
  <c r="B213" i="15"/>
  <c r="B214" i="15"/>
  <c r="B215" i="15"/>
  <c r="B216" i="15"/>
  <c r="B219" i="15"/>
  <c r="B220" i="15"/>
  <c r="B221" i="15"/>
  <c r="B222" i="15"/>
  <c r="B381" i="15"/>
  <c r="B384" i="15"/>
  <c r="B385" i="15"/>
  <c r="B388" i="15"/>
  <c r="B389" i="15"/>
  <c r="B390" i="15"/>
  <c r="B391" i="15"/>
  <c r="B394" i="15"/>
  <c r="B395" i="15"/>
  <c r="B398" i="15"/>
  <c r="B399" i="15"/>
  <c r="B400" i="15"/>
  <c r="B401" i="15"/>
  <c r="B404" i="15"/>
  <c r="B405" i="15"/>
  <c r="B406" i="15"/>
  <c r="B407" i="15"/>
  <c r="B416" i="15"/>
  <c r="D416" i="15"/>
  <c r="B417" i="15"/>
  <c r="D417" i="15"/>
  <c r="B418" i="15"/>
  <c r="B419" i="15"/>
  <c r="B420" i="15"/>
  <c r="B421" i="15"/>
  <c r="B422" i="15"/>
  <c r="B423" i="15"/>
  <c r="B424" i="15"/>
  <c r="B425" i="15"/>
  <c r="B428" i="15"/>
  <c r="D428" i="15"/>
  <c r="D433" i="15"/>
  <c r="B434" i="15"/>
  <c r="B435" i="15"/>
  <c r="B439" i="15"/>
  <c r="D439" i="15"/>
  <c r="B440" i="15"/>
  <c r="D440" i="15"/>
  <c r="B441" i="15"/>
  <c r="B442" i="15"/>
  <c r="B446" i="15"/>
  <c r="B448" i="15"/>
  <c r="B449" i="15"/>
  <c r="B450" i="15"/>
  <c r="B452" i="15"/>
  <c r="B453" i="15"/>
  <c r="B465" i="15"/>
  <c r="B466" i="15"/>
  <c r="B467" i="15"/>
  <c r="D467" i="15"/>
  <c r="B468" i="15"/>
  <c r="D468" i="15"/>
  <c r="B472" i="15"/>
  <c r="B473" i="15"/>
  <c r="B475" i="15"/>
  <c r="B476" i="15"/>
  <c r="B477" i="15"/>
  <c r="B478" i="15"/>
  <c r="B480" i="15"/>
  <c r="B481" i="15"/>
  <c r="B482" i="15"/>
  <c r="B484" i="15"/>
  <c r="B485" i="15"/>
  <c r="B487" i="15"/>
  <c r="D487" i="15"/>
  <c r="D490" i="15"/>
  <c r="B503" i="15"/>
  <c r="D503" i="15"/>
  <c r="B504" i="15"/>
  <c r="B505" i="15"/>
  <c r="B506" i="15"/>
  <c r="B507" i="15"/>
  <c r="B509" i="15"/>
  <c r="B512" i="15"/>
  <c r="D512" i="15"/>
  <c r="B513" i="15"/>
  <c r="B514" i="15"/>
  <c r="B515" i="15"/>
  <c r="B516" i="15"/>
  <c r="B518" i="15"/>
  <c r="B521" i="15"/>
  <c r="D521" i="15"/>
  <c r="B522" i="15"/>
  <c r="B523" i="15"/>
  <c r="B524" i="15"/>
  <c r="B525" i="15"/>
  <c r="B527" i="15"/>
  <c r="B530" i="15"/>
  <c r="D530" i="15"/>
  <c r="B531" i="15"/>
  <c r="B532" i="15"/>
  <c r="B533" i="15"/>
  <c r="B534" i="15"/>
  <c r="B536" i="15"/>
  <c r="B541" i="15"/>
  <c r="B542" i="15"/>
  <c r="B543" i="15"/>
  <c r="B544" i="15"/>
  <c r="B545" i="15"/>
  <c r="B546" i="15"/>
  <c r="B547" i="15"/>
  <c r="B549" i="15"/>
  <c r="B550" i="15"/>
  <c r="B557" i="15"/>
  <c r="D557" i="15"/>
  <c r="B558" i="15"/>
  <c r="D558" i="15"/>
  <c r="B559" i="15"/>
  <c r="B560" i="15"/>
  <c r="B561" i="15"/>
  <c r="B562" i="15"/>
  <c r="B563" i="15"/>
  <c r="B564" i="15"/>
  <c r="B565" i="15"/>
  <c r="B566" i="15"/>
  <c r="D569" i="15"/>
  <c r="B570" i="15"/>
  <c r="B571" i="15"/>
  <c r="B575" i="15"/>
  <c r="B576" i="15"/>
  <c r="B577" i="15"/>
  <c r="B579" i="15"/>
  <c r="B580" i="15"/>
  <c r="B583" i="15"/>
  <c r="B584" i="15"/>
  <c r="B585" i="15"/>
  <c r="B594" i="15"/>
  <c r="B595" i="15"/>
  <c r="B596" i="15"/>
  <c r="B598" i="15"/>
  <c r="B599" i="15"/>
  <c r="B600" i="15"/>
  <c r="B604" i="15"/>
  <c r="B605" i="15"/>
  <c r="B607" i="15"/>
  <c r="B608" i="15"/>
  <c r="B610" i="15"/>
  <c r="B611" i="15"/>
  <c r="B612" i="15"/>
  <c r="B615" i="15"/>
  <c r="B616" i="15"/>
  <c r="B624" i="15"/>
  <c r="B625" i="15"/>
  <c r="B626" i="15"/>
  <c r="B627" i="15"/>
  <c r="B628" i="15"/>
  <c r="B631" i="15"/>
  <c r="D631" i="15"/>
  <c r="B632" i="15"/>
  <c r="D632" i="15"/>
  <c r="B633" i="15"/>
  <c r="B634" i="15"/>
  <c r="B635" i="15"/>
  <c r="B636" i="15"/>
  <c r="B637" i="15"/>
  <c r="B638" i="15"/>
  <c r="B639" i="15"/>
  <c r="B640" i="15"/>
  <c r="B641" i="15"/>
  <c r="B644" i="15"/>
  <c r="B645" i="15"/>
  <c r="B648" i="15"/>
  <c r="B649" i="15"/>
  <c r="B651" i="15"/>
  <c r="B652" i="15"/>
  <c r="B657" i="15"/>
  <c r="B665" i="15"/>
  <c r="B667" i="15"/>
  <c r="B668" i="15"/>
  <c r="B672" i="15"/>
  <c r="B673" i="15"/>
  <c r="B681" i="15"/>
  <c r="D681" i="15"/>
  <c r="B683" i="15"/>
  <c r="B684" i="15"/>
  <c r="D684" i="15"/>
  <c r="B685" i="15"/>
  <c r="B686" i="15"/>
  <c r="D686" i="15"/>
  <c r="B710" i="15"/>
  <c r="D710" i="15"/>
  <c r="B711" i="15"/>
  <c r="D711" i="15"/>
  <c r="B712" i="15"/>
  <c r="B713" i="15"/>
  <c r="B714" i="15"/>
  <c r="B715" i="15"/>
  <c r="B716" i="15"/>
  <c r="B717" i="15"/>
  <c r="B718" i="15"/>
  <c r="B719" i="15"/>
  <c r="B722" i="15"/>
  <c r="D722" i="15"/>
  <c r="D727" i="15"/>
  <c r="B728" i="15"/>
  <c r="B729" i="15"/>
  <c r="B739" i="15"/>
  <c r="D739" i="15"/>
  <c r="B740" i="15"/>
  <c r="D740" i="15"/>
  <c r="B741" i="15"/>
  <c r="B742" i="15"/>
  <c r="B743" i="15"/>
  <c r="B744" i="15"/>
  <c r="B745" i="15"/>
  <c r="B746" i="15"/>
  <c r="B747" i="15"/>
  <c r="B748" i="15"/>
  <c r="B751" i="15"/>
  <c r="B752" i="15"/>
  <c r="B754" i="15"/>
  <c r="B755" i="15"/>
  <c r="B767" i="15"/>
  <c r="D767" i="15"/>
  <c r="B768" i="15"/>
  <c r="B769" i="15"/>
  <c r="D769" i="15"/>
  <c r="B770" i="15"/>
  <c r="B771" i="15"/>
  <c r="D771" i="15"/>
  <c r="B786" i="15"/>
  <c r="B787" i="15"/>
  <c r="B788" i="15"/>
  <c r="B789" i="15"/>
  <c r="B790" i="15"/>
  <c r="B793" i="15"/>
  <c r="D793" i="15"/>
  <c r="B794" i="15"/>
  <c r="D794" i="15"/>
  <c r="B795" i="15"/>
  <c r="B796" i="15"/>
  <c r="B797" i="15"/>
  <c r="B798" i="15"/>
  <c r="B799" i="15"/>
  <c r="B800" i="15"/>
  <c r="B801" i="15"/>
  <c r="B802" i="15"/>
  <c r="B803" i="15"/>
  <c r="B806" i="15"/>
  <c r="B807" i="15"/>
  <c r="B810" i="15"/>
  <c r="B811" i="15"/>
  <c r="A819" i="15"/>
  <c r="A820" i="15"/>
  <c r="A821" i="15"/>
  <c r="N102" i="13"/>
  <c r="O102" i="13"/>
  <c r="P102" i="13"/>
  <c r="Q102" i="13"/>
  <c r="B109" i="13"/>
  <c r="B110" i="13"/>
  <c r="B111" i="13"/>
  <c r="B112" i="13"/>
  <c r="B113" i="13"/>
  <c r="B114" i="13"/>
  <c r="B115" i="13"/>
  <c r="G125" i="13"/>
  <c r="G126" i="13"/>
  <c r="C142" i="13"/>
  <c r="C143" i="13"/>
  <c r="C147" i="13"/>
  <c r="C149" i="13"/>
  <c r="C150" i="13"/>
  <c r="C152" i="13"/>
  <c r="C159" i="13"/>
  <c r="C160" i="13"/>
  <c r="C166" i="13"/>
  <c r="E166" i="13"/>
  <c r="C168" i="13"/>
  <c r="C169" i="13"/>
  <c r="I173" i="13"/>
  <c r="J173" i="13"/>
  <c r="I174" i="13"/>
  <c r="J174" i="13"/>
  <c r="I175" i="13"/>
  <c r="J175" i="13"/>
  <c r="I176" i="13"/>
  <c r="J176" i="13"/>
  <c r="C178" i="13"/>
  <c r="E178" i="13"/>
  <c r="C179" i="13"/>
  <c r="E179" i="13"/>
  <c r="I179" i="13"/>
  <c r="J179" i="13"/>
  <c r="C180" i="13"/>
  <c r="E180" i="13"/>
  <c r="C181" i="13"/>
  <c r="E181" i="13"/>
  <c r="I181" i="13"/>
  <c r="C182" i="13"/>
  <c r="E182" i="13"/>
  <c r="I182" i="13"/>
  <c r="C230" i="13"/>
  <c r="C234" i="13"/>
  <c r="G249" i="13"/>
  <c r="G251" i="13"/>
  <c r="I251" i="13"/>
  <c r="G252" i="13"/>
  <c r="I252" i="13"/>
  <c r="G253" i="13"/>
  <c r="I253" i="13"/>
  <c r="G254" i="13"/>
  <c r="I254" i="13"/>
  <c r="G255" i="13"/>
  <c r="I255" i="13"/>
  <c r="G256" i="13"/>
  <c r="I256" i="13"/>
  <c r="G257" i="13"/>
  <c r="I257" i="13"/>
  <c r="G258" i="13"/>
  <c r="I258" i="13"/>
  <c r="G259" i="13"/>
  <c r="I259" i="13"/>
  <c r="L259" i="13"/>
  <c r="I260" i="13"/>
  <c r="L260" i="13"/>
  <c r="G261" i="13"/>
  <c r="I261" i="13"/>
  <c r="L261" i="13"/>
  <c r="L262" i="13"/>
  <c r="G263" i="13"/>
  <c r="I263" i="13"/>
  <c r="L263" i="13"/>
  <c r="G264" i="13"/>
  <c r="I264" i="13"/>
  <c r="L264" i="13"/>
  <c r="G265" i="13"/>
  <c r="I265" i="13"/>
  <c r="L265" i="13"/>
  <c r="G266" i="13"/>
  <c r="I266" i="13"/>
  <c r="L266" i="13"/>
  <c r="G267" i="13"/>
  <c r="I267" i="13"/>
  <c r="L267" i="13"/>
  <c r="G268" i="13"/>
  <c r="I268" i="13"/>
  <c r="L268" i="13"/>
  <c r="G269" i="13"/>
  <c r="I269" i="13"/>
  <c r="L269" i="13"/>
  <c r="G270" i="13"/>
  <c r="I270" i="13"/>
  <c r="L270" i="13"/>
  <c r="G271" i="13"/>
  <c r="I271" i="13"/>
  <c r="L271" i="13"/>
  <c r="L272" i="13"/>
  <c r="L277" i="13"/>
  <c r="L278" i="13"/>
  <c r="L279" i="13"/>
  <c r="G283" i="13"/>
  <c r="I283" i="13"/>
  <c r="G284" i="13"/>
  <c r="I284" i="13"/>
  <c r="G285" i="13"/>
  <c r="I285" i="13"/>
  <c r="G286" i="13"/>
  <c r="I286" i="13"/>
  <c r="G287" i="13"/>
  <c r="I287" i="13"/>
  <c r="G288" i="13"/>
  <c r="I288" i="13"/>
  <c r="G289" i="13"/>
  <c r="I289" i="13"/>
  <c r="G290" i="13"/>
  <c r="I290" i="13"/>
  <c r="G291" i="13"/>
  <c r="I291" i="13"/>
  <c r="G292" i="13"/>
  <c r="I292" i="13"/>
  <c r="G293" i="13"/>
  <c r="I293" i="13"/>
  <c r="G294" i="13"/>
  <c r="I294" i="13"/>
  <c r="G295" i="13"/>
  <c r="I295" i="13"/>
  <c r="G296" i="13"/>
  <c r="I296" i="13"/>
  <c r="G297" i="13"/>
  <c r="I297" i="13"/>
  <c r="G298" i="13"/>
  <c r="I298" i="13"/>
  <c r="G299" i="13"/>
  <c r="I299" i="13"/>
  <c r="G300" i="13"/>
  <c r="I300" i="13"/>
  <c r="C307" i="13"/>
  <c r="C308" i="13"/>
  <c r="C309" i="13"/>
  <c r="C310" i="13"/>
  <c r="C311" i="13"/>
  <c r="C312" i="13"/>
  <c r="C313" i="13"/>
  <c r="C314" i="13"/>
  <c r="C315" i="13"/>
  <c r="G321" i="13"/>
  <c r="G322" i="13"/>
  <c r="G328" i="13"/>
  <c r="I328" i="13"/>
  <c r="G329" i="13"/>
  <c r="I329" i="13"/>
  <c r="G330" i="13"/>
  <c r="I330" i="13"/>
  <c r="G331" i="13"/>
  <c r="I331" i="13"/>
  <c r="G337" i="13"/>
  <c r="G342" i="13"/>
  <c r="I342" i="13"/>
  <c r="G343" i="13"/>
  <c r="I343" i="13"/>
  <c r="G344" i="13"/>
  <c r="I344" i="13"/>
  <c r="G349" i="13"/>
  <c r="G350" i="13"/>
  <c r="G354" i="13"/>
  <c r="I354" i="13"/>
  <c r="G355" i="13"/>
  <c r="I355" i="13"/>
  <c r="G361" i="13"/>
  <c r="G362" i="13"/>
  <c r="G363" i="13"/>
  <c r="I363" i="13"/>
  <c r="G364" i="13"/>
  <c r="I364" i="13"/>
  <c r="G365" i="13"/>
  <c r="I365" i="13"/>
  <c r="C371" i="13"/>
  <c r="C372" i="13"/>
  <c r="E372" i="13"/>
  <c r="C373" i="13"/>
  <c r="E373" i="13"/>
  <c r="C377" i="13"/>
  <c r="C378" i="13"/>
  <c r="E378" i="13"/>
  <c r="C379" i="13"/>
  <c r="C387" i="13"/>
  <c r="C388" i="13"/>
  <c r="E388" i="13"/>
  <c r="C389" i="13"/>
  <c r="E389" i="13"/>
  <c r="C399" i="13"/>
  <c r="C400" i="13"/>
  <c r="C402" i="13"/>
  <c r="C404" i="13"/>
  <c r="C405" i="13"/>
  <c r="C411" i="13"/>
  <c r="C413" i="13"/>
  <c r="C414" i="13"/>
  <c r="E414" i="13"/>
  <c r="C419" i="13"/>
  <c r="E419" i="13"/>
  <c r="C420" i="13"/>
  <c r="E420" i="13"/>
  <c r="C421" i="13"/>
  <c r="E421" i="13"/>
  <c r="C422" i="13"/>
  <c r="E422" i="13"/>
  <c r="C423" i="13"/>
  <c r="E423" i="13"/>
  <c r="C424" i="13"/>
  <c r="E424" i="13"/>
  <c r="C427" i="13"/>
  <c r="E427" i="13"/>
  <c r="C428" i="13"/>
  <c r="E428" i="13"/>
  <c r="C431" i="13"/>
  <c r="E431" i="13"/>
  <c r="C432" i="13"/>
  <c r="E432" i="13"/>
  <c r="C433" i="13"/>
  <c r="E433" i="13"/>
  <c r="C434" i="13"/>
  <c r="E434" i="13"/>
  <c r="C437" i="13"/>
  <c r="E437" i="13"/>
  <c r="C438" i="13"/>
  <c r="E438" i="13"/>
  <c r="C439" i="13"/>
  <c r="E439" i="13"/>
  <c r="C440" i="13"/>
  <c r="E440" i="13"/>
  <c r="C441" i="13"/>
  <c r="E441" i="13"/>
  <c r="C442" i="13"/>
  <c r="E442" i="13"/>
  <c r="C443" i="13"/>
  <c r="E443" i="13"/>
  <c r="C452" i="13"/>
  <c r="E452" i="13"/>
  <c r="G452" i="13"/>
  <c r="I452" i="13"/>
  <c r="K452" i="13"/>
  <c r="C453" i="13"/>
  <c r="E453" i="13"/>
  <c r="G453" i="13"/>
  <c r="I453" i="13"/>
  <c r="K453" i="13"/>
  <c r="C454" i="13"/>
  <c r="E454" i="13"/>
  <c r="G454" i="13"/>
  <c r="I454" i="13"/>
  <c r="K454" i="13"/>
  <c r="C455" i="13"/>
  <c r="E455" i="13"/>
  <c r="G455" i="13"/>
  <c r="I455" i="13"/>
  <c r="K455" i="13"/>
  <c r="C456" i="13"/>
  <c r="E456" i="13"/>
  <c r="G456" i="13"/>
  <c r="I456" i="13"/>
  <c r="K456" i="13"/>
  <c r="C457" i="13"/>
  <c r="E457" i="13"/>
  <c r="G457" i="13"/>
  <c r="I457" i="13"/>
  <c r="K457" i="13"/>
  <c r="C458" i="13"/>
  <c r="E458" i="13"/>
  <c r="G458" i="13"/>
  <c r="I458" i="13"/>
  <c r="K458" i="13"/>
  <c r="C459" i="13"/>
  <c r="E459" i="13"/>
  <c r="G459" i="13"/>
  <c r="I459" i="13"/>
  <c r="K459" i="13"/>
  <c r="C460" i="13"/>
  <c r="E460" i="13"/>
  <c r="G460" i="13"/>
  <c r="I460" i="13"/>
  <c r="K460" i="13"/>
  <c r="C461" i="13"/>
  <c r="E461" i="13"/>
  <c r="G461" i="13"/>
  <c r="I461" i="13"/>
  <c r="K461" i="13"/>
  <c r="C462" i="13"/>
  <c r="E462" i="13"/>
  <c r="G462" i="13"/>
  <c r="I462" i="13"/>
  <c r="K462" i="13"/>
  <c r="C463" i="13"/>
  <c r="E463" i="13"/>
  <c r="G463" i="13"/>
  <c r="I463" i="13"/>
  <c r="K463" i="13"/>
  <c r="C464" i="13"/>
  <c r="E464" i="13"/>
  <c r="G464" i="13"/>
  <c r="I464" i="13"/>
  <c r="K464" i="13"/>
  <c r="C465" i="13"/>
  <c r="E465" i="13"/>
  <c r="G465" i="13"/>
  <c r="I465" i="13"/>
  <c r="K465" i="13"/>
  <c r="C466" i="13"/>
  <c r="E466" i="13"/>
  <c r="G466" i="13"/>
  <c r="I466" i="13"/>
  <c r="K466" i="13"/>
  <c r="C467" i="13"/>
  <c r="E467" i="13"/>
  <c r="G467" i="13"/>
  <c r="I467" i="13"/>
  <c r="K467" i="13"/>
  <c r="C471" i="13"/>
  <c r="E471" i="13"/>
  <c r="G471" i="13"/>
  <c r="I471" i="13"/>
  <c r="K471" i="13"/>
  <c r="C472" i="13"/>
  <c r="E472" i="13"/>
  <c r="G472" i="13"/>
  <c r="I472" i="13"/>
  <c r="K472" i="13"/>
  <c r="C473" i="13"/>
  <c r="E473" i="13"/>
  <c r="G473" i="13"/>
  <c r="I473" i="13"/>
  <c r="K473" i="13"/>
  <c r="C474" i="13"/>
  <c r="E474" i="13"/>
  <c r="G474" i="13"/>
  <c r="I474" i="13"/>
  <c r="K474" i="13"/>
  <c r="C477" i="13"/>
  <c r="E477" i="13"/>
  <c r="G477" i="13"/>
  <c r="I477" i="13"/>
  <c r="K477" i="13"/>
  <c r="C478" i="13"/>
  <c r="E478" i="13"/>
  <c r="G478" i="13"/>
  <c r="I478" i="13"/>
  <c r="K478" i="13"/>
  <c r="C479" i="13"/>
  <c r="E479" i="13"/>
  <c r="G479" i="13"/>
  <c r="I479" i="13"/>
  <c r="K479" i="13"/>
  <c r="C481" i="13"/>
  <c r="E481" i="13"/>
  <c r="G481" i="13"/>
  <c r="I481" i="13"/>
  <c r="K481" i="13"/>
  <c r="C482" i="13"/>
  <c r="E482" i="13"/>
  <c r="G482" i="13"/>
  <c r="I482" i="13"/>
  <c r="K482" i="13"/>
  <c r="E488" i="13"/>
  <c r="E489" i="13"/>
  <c r="G489" i="13"/>
  <c r="O489" i="13"/>
  <c r="Q489" i="13"/>
  <c r="C490" i="13"/>
  <c r="E490" i="13"/>
  <c r="G490" i="13"/>
  <c r="I490" i="13"/>
  <c r="K490" i="13"/>
  <c r="M490" i="13"/>
  <c r="O490" i="13"/>
  <c r="Q490" i="13"/>
  <c r="C491" i="13"/>
  <c r="E491" i="13"/>
  <c r="G491" i="13"/>
  <c r="I491" i="13"/>
  <c r="K491" i="13"/>
  <c r="M491" i="13"/>
  <c r="O491" i="13"/>
  <c r="Q491" i="13"/>
  <c r="C492" i="13"/>
  <c r="E492" i="13"/>
  <c r="G492" i="13"/>
  <c r="I492" i="13"/>
  <c r="K492" i="13"/>
  <c r="M492" i="13"/>
  <c r="O492" i="13"/>
  <c r="Q492" i="13"/>
  <c r="C493" i="13"/>
  <c r="E493" i="13"/>
  <c r="G493" i="13"/>
  <c r="I493" i="13"/>
  <c r="K493" i="13"/>
  <c r="M493" i="13"/>
  <c r="O493" i="13"/>
  <c r="Q493" i="13"/>
  <c r="C494" i="13"/>
  <c r="E494" i="13"/>
  <c r="G494" i="13"/>
  <c r="I494" i="13"/>
  <c r="K494" i="13"/>
  <c r="M494" i="13"/>
  <c r="O494" i="13"/>
  <c r="Q494" i="13"/>
  <c r="C495" i="13"/>
  <c r="E495" i="13"/>
  <c r="G495" i="13"/>
  <c r="I495" i="13"/>
  <c r="K495" i="13"/>
  <c r="M495" i="13"/>
  <c r="O495" i="13"/>
  <c r="Q495" i="13"/>
  <c r="C496" i="13"/>
  <c r="E496" i="13"/>
  <c r="G496" i="13"/>
  <c r="I496" i="13"/>
  <c r="K496" i="13"/>
  <c r="M496" i="13"/>
  <c r="O496" i="13"/>
  <c r="Q496" i="13"/>
  <c r="C497" i="13"/>
  <c r="E497" i="13"/>
  <c r="G497" i="13"/>
  <c r="I497" i="13"/>
  <c r="K497" i="13"/>
  <c r="M497" i="13"/>
  <c r="O497" i="13"/>
  <c r="Q497" i="13"/>
  <c r="C498" i="13"/>
  <c r="E498" i="13"/>
  <c r="G498" i="13"/>
  <c r="I498" i="13"/>
  <c r="K498" i="13"/>
  <c r="M498" i="13"/>
  <c r="O498" i="13"/>
  <c r="Q498" i="13"/>
  <c r="C499" i="13"/>
  <c r="E499" i="13"/>
  <c r="G499" i="13"/>
  <c r="I499" i="13"/>
  <c r="K499" i="13"/>
  <c r="M499" i="13"/>
  <c r="O499" i="13"/>
  <c r="Q499" i="13"/>
  <c r="C500" i="13"/>
  <c r="E500" i="13"/>
  <c r="G500" i="13"/>
  <c r="I500" i="13"/>
  <c r="K500" i="13"/>
  <c r="M500" i="13"/>
  <c r="O500" i="13"/>
  <c r="Q500" i="13"/>
  <c r="C501" i="13"/>
  <c r="E501" i="13"/>
  <c r="G501" i="13"/>
  <c r="I501" i="13"/>
  <c r="K501" i="13"/>
  <c r="M501" i="13"/>
  <c r="O501" i="13"/>
  <c r="Q501" i="13"/>
  <c r="C502" i="13"/>
  <c r="E502" i="13"/>
  <c r="G502" i="13"/>
  <c r="I502" i="13"/>
  <c r="K502" i="13"/>
  <c r="M502" i="13"/>
  <c r="O502" i="13"/>
  <c r="Q502" i="13"/>
  <c r="C503" i="13"/>
  <c r="E503" i="13"/>
  <c r="G503" i="13"/>
  <c r="I503" i="13"/>
  <c r="K503" i="13"/>
  <c r="M503" i="13"/>
  <c r="O503" i="13"/>
  <c r="Q503" i="13"/>
  <c r="C504" i="13"/>
  <c r="E504" i="13"/>
  <c r="G504" i="13"/>
  <c r="I504" i="13"/>
  <c r="K504" i="13"/>
  <c r="M504" i="13"/>
  <c r="O504" i="13"/>
  <c r="Q504" i="13"/>
  <c r="C505" i="13"/>
  <c r="E505" i="13"/>
  <c r="G505" i="13"/>
  <c r="I505" i="13"/>
  <c r="K505" i="13"/>
  <c r="M505" i="13"/>
  <c r="O505" i="13"/>
  <c r="Q505" i="13"/>
  <c r="C512" i="13"/>
  <c r="E512" i="13"/>
  <c r="E513" i="13"/>
  <c r="G513" i="13"/>
  <c r="C514" i="13"/>
  <c r="E514" i="13"/>
  <c r="G514" i="13"/>
  <c r="I514" i="13"/>
  <c r="C515" i="13"/>
  <c r="E515" i="13"/>
  <c r="G515" i="13"/>
  <c r="I515" i="13"/>
  <c r="C516" i="13"/>
  <c r="E516" i="13"/>
  <c r="G516" i="13"/>
  <c r="I516" i="13"/>
  <c r="C517" i="13"/>
  <c r="E517" i="13"/>
  <c r="G517" i="13"/>
  <c r="I517" i="13"/>
  <c r="C518" i="13"/>
  <c r="E518" i="13"/>
  <c r="G518" i="13"/>
  <c r="I518" i="13"/>
  <c r="C519" i="13"/>
  <c r="E519" i="13"/>
  <c r="G519" i="13"/>
  <c r="I519" i="13"/>
  <c r="C520" i="13"/>
  <c r="E520" i="13"/>
  <c r="G520" i="13"/>
  <c r="I520" i="13"/>
  <c r="C521" i="13"/>
  <c r="E521" i="13"/>
  <c r="G521" i="13"/>
  <c r="I521" i="13"/>
  <c r="C522" i="13"/>
  <c r="E522" i="13"/>
  <c r="G522" i="13"/>
  <c r="I522" i="13"/>
  <c r="C523" i="13"/>
  <c r="E523" i="13"/>
  <c r="G523" i="13"/>
  <c r="I523" i="13"/>
  <c r="C524" i="13"/>
  <c r="E524" i="13"/>
  <c r="G524" i="13"/>
  <c r="I524" i="13"/>
  <c r="C525" i="13"/>
  <c r="E525" i="13"/>
  <c r="G525" i="13"/>
  <c r="I525" i="13"/>
  <c r="C526" i="13"/>
  <c r="E526" i="13"/>
  <c r="G526" i="13"/>
  <c r="I526" i="13"/>
  <c r="C527" i="13"/>
  <c r="E527" i="13"/>
  <c r="G527" i="13"/>
  <c r="I527" i="13"/>
  <c r="C528" i="13"/>
  <c r="E528" i="13"/>
  <c r="G528" i="13"/>
  <c r="I528" i="13"/>
  <c r="C529" i="13"/>
  <c r="E529" i="13"/>
  <c r="G529" i="13"/>
  <c r="I529" i="13"/>
  <c r="C539" i="13"/>
  <c r="C540" i="13"/>
  <c r="C541" i="13"/>
  <c r="C543" i="13"/>
  <c r="E543" i="13"/>
  <c r="C549" i="13"/>
  <c r="C550" i="13"/>
  <c r="C552" i="13"/>
  <c r="E553" i="13"/>
  <c r="G553" i="13"/>
  <c r="I553" i="13"/>
  <c r="E554" i="13"/>
  <c r="G554" i="13"/>
  <c r="I554" i="13"/>
  <c r="E555" i="13"/>
  <c r="G555" i="13"/>
  <c r="I555" i="13"/>
  <c r="E556" i="13"/>
  <c r="G556" i="13"/>
  <c r="I556" i="13"/>
  <c r="E557" i="13"/>
  <c r="G557" i="13"/>
  <c r="I557" i="13"/>
  <c r="E558" i="13"/>
  <c r="G558" i="13"/>
  <c r="I558" i="13"/>
  <c r="C564" i="13"/>
  <c r="E564" i="13"/>
  <c r="G564" i="13"/>
  <c r="I564" i="13"/>
  <c r="C565" i="13"/>
  <c r="E565" i="13"/>
  <c r="G565" i="13"/>
  <c r="I565" i="13"/>
  <c r="C566" i="13"/>
  <c r="E566" i="13"/>
  <c r="G566" i="13"/>
  <c r="I566" i="13"/>
  <c r="C567" i="13"/>
  <c r="E567" i="13"/>
  <c r="G567" i="13"/>
  <c r="I567" i="13"/>
  <c r="C568" i="13"/>
  <c r="E568" i="13"/>
  <c r="G568" i="13"/>
  <c r="I568" i="13"/>
  <c r="C569" i="13"/>
  <c r="E569" i="13"/>
  <c r="G569" i="13"/>
  <c r="I569" i="13"/>
  <c r="C570" i="13"/>
  <c r="E570" i="13"/>
  <c r="G570" i="13"/>
  <c r="I570" i="13"/>
  <c r="C571" i="13"/>
  <c r="E571" i="13"/>
  <c r="G571" i="13"/>
  <c r="I571" i="13"/>
  <c r="C572" i="13"/>
  <c r="E572" i="13"/>
  <c r="G572" i="13"/>
  <c r="I572" i="13"/>
  <c r="C573" i="13"/>
  <c r="E573" i="13"/>
  <c r="G573" i="13"/>
  <c r="I573" i="13"/>
  <c r="C574" i="13"/>
  <c r="E574" i="13"/>
  <c r="G574" i="13"/>
  <c r="I574" i="13"/>
  <c r="C575" i="13"/>
  <c r="E575" i="13"/>
  <c r="G575" i="13"/>
  <c r="I575" i="13"/>
  <c r="C576" i="13"/>
  <c r="E576" i="13"/>
  <c r="G576" i="13"/>
  <c r="I576" i="13"/>
  <c r="G584" i="13"/>
  <c r="G585" i="13"/>
  <c r="G586" i="13"/>
  <c r="G587" i="13"/>
  <c r="G588" i="13"/>
  <c r="G589" i="13"/>
  <c r="G590" i="13"/>
  <c r="G591" i="13"/>
  <c r="G592" i="13"/>
  <c r="E593" i="13"/>
  <c r="E594" i="13"/>
  <c r="E595" i="13"/>
  <c r="C596" i="13"/>
  <c r="B603" i="13"/>
  <c r="C603" i="13"/>
  <c r="G603" i="13"/>
  <c r="H603" i="13"/>
  <c r="B604" i="13"/>
  <c r="C604" i="13"/>
  <c r="G604" i="13"/>
  <c r="H604" i="13"/>
  <c r="B605" i="13"/>
  <c r="C605" i="13"/>
  <c r="G605" i="13"/>
  <c r="H605" i="13"/>
  <c r="B606" i="13"/>
  <c r="C606" i="13"/>
  <c r="G606" i="13"/>
  <c r="H606" i="13"/>
  <c r="B607" i="13"/>
  <c r="C607" i="13"/>
  <c r="G607" i="13"/>
  <c r="H607" i="13"/>
  <c r="B608" i="13"/>
  <c r="C608" i="13"/>
  <c r="G608" i="13"/>
  <c r="H608" i="13"/>
  <c r="B609" i="13"/>
  <c r="C609" i="13"/>
  <c r="G609" i="13"/>
  <c r="H609" i="13"/>
  <c r="B610" i="13"/>
  <c r="C610" i="13"/>
  <c r="G610" i="13"/>
  <c r="H610" i="13"/>
  <c r="B611" i="13"/>
  <c r="G611" i="13"/>
  <c r="H611" i="13"/>
  <c r="B612" i="13"/>
  <c r="C612" i="13"/>
  <c r="G612" i="13"/>
  <c r="H612" i="13"/>
  <c r="B613" i="13"/>
  <c r="C613" i="13"/>
  <c r="G613" i="13"/>
  <c r="H613" i="13"/>
  <c r="B614" i="13"/>
  <c r="C614" i="13"/>
  <c r="G614" i="13"/>
  <c r="H614" i="13"/>
  <c r="D623" i="13"/>
  <c r="D624" i="13"/>
  <c r="D625" i="13"/>
  <c r="D626" i="13"/>
  <c r="D627" i="13"/>
  <c r="D628" i="13"/>
  <c r="D629" i="13"/>
  <c r="D630" i="13"/>
  <c r="D631" i="13"/>
  <c r="C632" i="13"/>
  <c r="C633" i="13"/>
  <c r="C634" i="13"/>
  <c r="B635" i="13"/>
  <c r="C637" i="13"/>
  <c r="D637" i="13"/>
  <c r="B657" i="13"/>
  <c r="B658" i="13"/>
  <c r="C658" i="13"/>
  <c r="D658" i="13"/>
  <c r="E658" i="13"/>
  <c r="F658" i="13"/>
  <c r="B659" i="13"/>
  <c r="D659" i="13"/>
  <c r="E659" i="13"/>
  <c r="F659" i="13"/>
  <c r="V661" i="13"/>
  <c r="B662" i="13"/>
  <c r="V662" i="13"/>
  <c r="W662" i="13"/>
  <c r="X662" i="13"/>
  <c r="Y662" i="13"/>
  <c r="Z662" i="13"/>
  <c r="B663" i="13"/>
  <c r="C663" i="13"/>
  <c r="D663" i="13"/>
  <c r="E663" i="13"/>
  <c r="F663" i="13"/>
  <c r="V663" i="13"/>
  <c r="X663" i="13"/>
  <c r="Y663" i="13"/>
  <c r="Z663" i="13"/>
  <c r="B664" i="13"/>
  <c r="D664" i="13"/>
  <c r="E664" i="13"/>
  <c r="F664" i="13"/>
  <c r="V666" i="13"/>
  <c r="B667" i="13"/>
  <c r="V667" i="13"/>
  <c r="W667" i="13"/>
  <c r="X667" i="13"/>
  <c r="Y667" i="13"/>
  <c r="Z667" i="13"/>
  <c r="B668" i="13"/>
  <c r="C668" i="13"/>
  <c r="D668" i="13"/>
  <c r="E668" i="13"/>
  <c r="F668" i="13"/>
  <c r="V668" i="13"/>
  <c r="X668" i="13"/>
  <c r="Y668" i="13"/>
  <c r="Z668" i="13"/>
  <c r="B669" i="13"/>
  <c r="D669" i="13"/>
  <c r="E669" i="13"/>
  <c r="F669" i="13"/>
  <c r="V671" i="13"/>
  <c r="B672" i="13"/>
  <c r="V672" i="13"/>
  <c r="W672" i="13"/>
  <c r="X672" i="13"/>
  <c r="Y672" i="13"/>
  <c r="Z672" i="13"/>
  <c r="B673" i="13"/>
  <c r="C673" i="13"/>
  <c r="D673" i="13"/>
  <c r="E673" i="13"/>
  <c r="F673" i="13"/>
  <c r="V673" i="13"/>
  <c r="X673" i="13"/>
  <c r="Y673" i="13"/>
  <c r="Z673" i="13"/>
  <c r="B674" i="13"/>
  <c r="D674" i="13"/>
  <c r="E674" i="13"/>
  <c r="F674" i="13"/>
  <c r="V676" i="13"/>
  <c r="C677" i="13"/>
  <c r="E677" i="13"/>
  <c r="G677" i="13"/>
  <c r="V677" i="13"/>
  <c r="W677" i="13"/>
  <c r="X677" i="13"/>
  <c r="Y677" i="13"/>
  <c r="Z677" i="13"/>
  <c r="C678" i="13"/>
  <c r="E678" i="13"/>
  <c r="V678" i="13"/>
  <c r="X678" i="13"/>
  <c r="Y678" i="13"/>
  <c r="Z678" i="13"/>
  <c r="F680" i="13"/>
  <c r="C681" i="13"/>
  <c r="E681" i="13"/>
  <c r="C682" i="13"/>
  <c r="E682" i="13"/>
  <c r="C683" i="13"/>
  <c r="E683" i="13"/>
  <c r="C685" i="13"/>
  <c r="E685" i="13"/>
  <c r="C687" i="13"/>
  <c r="E687" i="13"/>
  <c r="C688" i="13"/>
  <c r="E688" i="13"/>
  <c r="H688" i="13"/>
  <c r="J688" i="13"/>
  <c r="C689" i="13"/>
  <c r="E689" i="13"/>
  <c r="H689" i="13"/>
  <c r="J689" i="13"/>
  <c r="C690" i="13"/>
  <c r="E690" i="13"/>
  <c r="H690" i="13"/>
  <c r="J690" i="13"/>
  <c r="C691" i="13"/>
  <c r="E691" i="13"/>
  <c r="H691" i="13"/>
  <c r="E692" i="13"/>
  <c r="H692" i="13"/>
  <c r="J692" i="13"/>
  <c r="C693" i="13"/>
  <c r="E693" i="13"/>
  <c r="H693" i="13"/>
  <c r="E694" i="13"/>
  <c r="H694" i="13"/>
  <c r="J694" i="13"/>
  <c r="C695" i="13"/>
  <c r="E695" i="13"/>
  <c r="H695" i="13"/>
  <c r="J695" i="13"/>
  <c r="C696" i="13"/>
  <c r="E696" i="13"/>
  <c r="H696" i="13"/>
  <c r="J696" i="13"/>
  <c r="C697" i="13"/>
  <c r="E697" i="13"/>
  <c r="H697" i="13"/>
  <c r="J697" i="13"/>
  <c r="C698" i="13"/>
  <c r="E698" i="13"/>
  <c r="H698" i="13"/>
  <c r="J698" i="13"/>
  <c r="C699" i="13"/>
  <c r="E699" i="13"/>
  <c r="H699" i="13"/>
  <c r="J699" i="13"/>
  <c r="E700" i="13"/>
  <c r="H700" i="13"/>
  <c r="J700" i="13"/>
  <c r="C701" i="13"/>
  <c r="E701" i="13"/>
  <c r="H701" i="13"/>
  <c r="J701" i="13"/>
  <c r="E702" i="13"/>
  <c r="C703" i="13"/>
  <c r="E703" i="13"/>
  <c r="C704" i="13"/>
  <c r="E704" i="13"/>
  <c r="C708" i="13"/>
  <c r="C709" i="13"/>
  <c r="C710" i="13"/>
  <c r="C712" i="13"/>
  <c r="C714" i="13"/>
  <c r="C715" i="13"/>
  <c r="C716" i="13"/>
  <c r="C717" i="13"/>
  <c r="C718" i="13"/>
  <c r="C719" i="13"/>
  <c r="C728" i="13"/>
  <c r="C729" i="13"/>
  <c r="E729" i="13"/>
  <c r="F729" i="13"/>
  <c r="I729" i="13"/>
  <c r="C730" i="13"/>
  <c r="C808" i="13"/>
  <c r="C809" i="13"/>
  <c r="C810" i="13"/>
  <c r="C812" i="13"/>
  <c r="C814" i="13"/>
  <c r="C815" i="13"/>
  <c r="C817" i="13"/>
  <c r="C818" i="13"/>
  <c r="C819" i="13"/>
  <c r="C827" i="13"/>
  <c r="D827" i="13"/>
  <c r="E827" i="13"/>
  <c r="F827" i="13"/>
  <c r="G827" i="13"/>
  <c r="H827" i="13"/>
  <c r="C828" i="13"/>
  <c r="D828" i="13"/>
  <c r="E828" i="13"/>
  <c r="F828" i="13"/>
  <c r="G828" i="13"/>
  <c r="H828" i="13"/>
  <c r="C829" i="13"/>
  <c r="D829" i="13"/>
  <c r="E829" i="13"/>
  <c r="F829" i="13"/>
  <c r="G829" i="13"/>
  <c r="H829" i="13"/>
  <c r="C831" i="13"/>
  <c r="D831" i="13"/>
  <c r="E831" i="13"/>
  <c r="F831" i="13"/>
  <c r="G831" i="13"/>
  <c r="H831" i="13"/>
  <c r="C833" i="13"/>
  <c r="D833" i="13"/>
  <c r="E833" i="13"/>
  <c r="F833" i="13"/>
  <c r="G833" i="13"/>
  <c r="H833" i="13"/>
  <c r="C834" i="13"/>
  <c r="D834" i="13"/>
  <c r="E834" i="13"/>
  <c r="F834" i="13"/>
  <c r="G834" i="13"/>
  <c r="H834" i="13"/>
  <c r="C836" i="13"/>
  <c r="D836" i="13"/>
  <c r="E836" i="13"/>
  <c r="F836" i="13"/>
  <c r="G836" i="13"/>
  <c r="H836" i="13"/>
  <c r="C837" i="13"/>
  <c r="D837" i="13"/>
  <c r="E837" i="13"/>
  <c r="F837" i="13"/>
  <c r="G837" i="13"/>
  <c r="H837" i="13"/>
  <c r="C838" i="13"/>
  <c r="D838" i="13"/>
  <c r="E838" i="13"/>
  <c r="F838" i="13"/>
  <c r="G838" i="13"/>
  <c r="H838" i="13"/>
  <c r="C857" i="13"/>
  <c r="D857" i="13"/>
  <c r="E857" i="13"/>
  <c r="F857" i="13"/>
  <c r="G857" i="13"/>
  <c r="H857" i="13"/>
  <c r="J857" i="13"/>
  <c r="K857" i="13"/>
  <c r="L857" i="13"/>
  <c r="M857" i="13"/>
  <c r="N857" i="13"/>
  <c r="O857" i="13"/>
  <c r="C858" i="13"/>
  <c r="D858" i="13"/>
  <c r="E858" i="13"/>
  <c r="F858" i="13"/>
  <c r="G858" i="13"/>
  <c r="H858" i="13"/>
  <c r="J858" i="13"/>
  <c r="K858" i="13"/>
  <c r="L858" i="13"/>
  <c r="M858" i="13"/>
  <c r="N858" i="13"/>
  <c r="O858" i="13"/>
  <c r="C859" i="13"/>
  <c r="D859" i="13"/>
  <c r="E859" i="13"/>
  <c r="F859" i="13"/>
  <c r="G859" i="13"/>
  <c r="H859" i="13"/>
  <c r="J859" i="13"/>
  <c r="K859" i="13"/>
  <c r="L859" i="13"/>
  <c r="M859" i="13"/>
  <c r="N859" i="13"/>
  <c r="O859" i="13"/>
  <c r="C860" i="13"/>
  <c r="D860" i="13"/>
  <c r="E860" i="13"/>
  <c r="F860" i="13"/>
  <c r="G860" i="13"/>
  <c r="H860" i="13"/>
  <c r="J860" i="13"/>
  <c r="K860" i="13"/>
  <c r="L860" i="13"/>
  <c r="M860" i="13"/>
  <c r="N860" i="13"/>
  <c r="O860" i="13"/>
  <c r="C861" i="13"/>
  <c r="D861" i="13"/>
  <c r="E861" i="13"/>
  <c r="F861" i="13"/>
  <c r="G861" i="13"/>
  <c r="H861" i="13"/>
  <c r="J861" i="13"/>
  <c r="K861" i="13"/>
  <c r="L861" i="13"/>
  <c r="M861" i="13"/>
  <c r="N861" i="13"/>
  <c r="O861" i="13"/>
  <c r="C862" i="13"/>
  <c r="D862" i="13"/>
  <c r="E862" i="13"/>
  <c r="F862" i="13"/>
  <c r="G862" i="13"/>
  <c r="H862" i="13"/>
  <c r="J862" i="13"/>
  <c r="K862" i="13"/>
  <c r="L862" i="13"/>
  <c r="M862" i="13"/>
  <c r="N862" i="13"/>
  <c r="O862" i="13"/>
  <c r="C865" i="13"/>
  <c r="D865" i="13"/>
  <c r="E865" i="13"/>
  <c r="F865" i="13"/>
  <c r="G865" i="13"/>
  <c r="H865" i="13"/>
  <c r="J865" i="13"/>
  <c r="K865" i="13"/>
  <c r="L865" i="13"/>
  <c r="M865" i="13"/>
  <c r="N865" i="13"/>
  <c r="O865" i="13"/>
  <c r="C866" i="13"/>
  <c r="D866" i="13"/>
  <c r="E866" i="13"/>
  <c r="F866" i="13"/>
  <c r="G866" i="13"/>
  <c r="H866" i="13"/>
  <c r="J866" i="13"/>
  <c r="K866" i="13"/>
  <c r="L866" i="13"/>
  <c r="M866" i="13"/>
  <c r="N866" i="13"/>
  <c r="O866" i="13"/>
  <c r="C869" i="13"/>
  <c r="D869" i="13"/>
  <c r="E869" i="13"/>
  <c r="F869" i="13"/>
  <c r="G869" i="13"/>
  <c r="H869" i="13"/>
  <c r="J869" i="13"/>
  <c r="K869" i="13"/>
  <c r="L869" i="13"/>
  <c r="M869" i="13"/>
  <c r="N869" i="13"/>
  <c r="O869" i="13"/>
  <c r="C870" i="13"/>
  <c r="D870" i="13"/>
  <c r="E870" i="13"/>
  <c r="F870" i="13"/>
  <c r="G870" i="13"/>
  <c r="H870" i="13"/>
  <c r="J870" i="13"/>
  <c r="K870" i="13"/>
  <c r="L870" i="13"/>
  <c r="M870" i="13"/>
  <c r="N870" i="13"/>
  <c r="O870" i="13"/>
  <c r="C871" i="13"/>
  <c r="D871" i="13"/>
  <c r="E871" i="13"/>
  <c r="F871" i="13"/>
  <c r="G871" i="13"/>
  <c r="H871" i="13"/>
  <c r="J871" i="13"/>
  <c r="K871" i="13"/>
  <c r="L871" i="13"/>
  <c r="M871" i="13"/>
  <c r="N871" i="13"/>
  <c r="O871" i="13"/>
  <c r="C872" i="13"/>
  <c r="D872" i="13"/>
  <c r="E872" i="13"/>
  <c r="F872" i="13"/>
  <c r="G872" i="13"/>
  <c r="H872" i="13"/>
  <c r="J872" i="13"/>
  <c r="K872" i="13"/>
  <c r="L872" i="13"/>
  <c r="M872" i="13"/>
  <c r="N872" i="13"/>
  <c r="O872" i="13"/>
  <c r="C875" i="13"/>
  <c r="D875" i="13"/>
  <c r="E875" i="13"/>
  <c r="F875" i="13"/>
  <c r="G875" i="13"/>
  <c r="H875" i="13"/>
  <c r="J875" i="13"/>
  <c r="K875" i="13"/>
  <c r="L875" i="13"/>
  <c r="M875" i="13"/>
  <c r="N875" i="13"/>
  <c r="O875" i="13"/>
  <c r="C876" i="13"/>
  <c r="D876" i="13"/>
  <c r="E876" i="13"/>
  <c r="F876" i="13"/>
  <c r="G876" i="13"/>
  <c r="H876" i="13"/>
  <c r="J876" i="13"/>
  <c r="K876" i="13"/>
  <c r="L876" i="13"/>
  <c r="M876" i="13"/>
  <c r="N876" i="13"/>
  <c r="O876" i="13"/>
  <c r="C877" i="13"/>
  <c r="D877" i="13"/>
  <c r="E877" i="13"/>
  <c r="F877" i="13"/>
  <c r="G877" i="13"/>
  <c r="H877" i="13"/>
  <c r="J877" i="13"/>
  <c r="K877" i="13"/>
  <c r="L877" i="13"/>
  <c r="M877" i="13"/>
  <c r="N877" i="13"/>
  <c r="O877" i="13"/>
  <c r="C878" i="13"/>
  <c r="D878" i="13"/>
  <c r="E878" i="13"/>
  <c r="F878" i="13"/>
  <c r="G878" i="13"/>
  <c r="H878" i="13"/>
  <c r="J878" i="13"/>
  <c r="K878" i="13"/>
  <c r="L878" i="13"/>
  <c r="M878" i="13"/>
  <c r="N878" i="13"/>
  <c r="O878" i="13"/>
  <c r="C879" i="13"/>
  <c r="D879" i="13"/>
  <c r="E879" i="13"/>
  <c r="F879" i="13"/>
  <c r="G879" i="13"/>
  <c r="H879" i="13"/>
  <c r="J879" i="13"/>
  <c r="K879" i="13"/>
  <c r="L879" i="13"/>
  <c r="M879" i="13"/>
  <c r="N879" i="13"/>
  <c r="O879" i="13"/>
  <c r="C880" i="13"/>
  <c r="D880" i="13"/>
  <c r="E880" i="13"/>
  <c r="F880" i="13"/>
  <c r="G880" i="13"/>
  <c r="H880" i="13"/>
  <c r="J880" i="13"/>
  <c r="K880" i="13"/>
  <c r="L880" i="13"/>
  <c r="M880" i="13"/>
  <c r="N880" i="13"/>
  <c r="O880" i="13"/>
  <c r="C881" i="13"/>
  <c r="D881" i="13"/>
  <c r="E881" i="13"/>
  <c r="F881" i="13"/>
  <c r="G881" i="13"/>
  <c r="H881" i="13"/>
  <c r="J881" i="13"/>
  <c r="K881" i="13"/>
  <c r="L881" i="13"/>
  <c r="M881" i="13"/>
  <c r="N881" i="13"/>
  <c r="O881" i="13"/>
  <c r="C882" i="13"/>
  <c r="D882" i="13"/>
  <c r="E882" i="13"/>
  <c r="F882" i="13"/>
  <c r="G882" i="13"/>
  <c r="H882" i="13"/>
  <c r="J882" i="13"/>
  <c r="K882" i="13"/>
  <c r="L882" i="13"/>
  <c r="M882" i="13"/>
  <c r="N882" i="13"/>
  <c r="O882" i="13"/>
  <c r="C883" i="13"/>
  <c r="D883" i="13"/>
  <c r="E883" i="13"/>
  <c r="F883" i="13"/>
  <c r="G883" i="13"/>
  <c r="H883" i="13"/>
  <c r="J883" i="13"/>
  <c r="K883" i="13"/>
  <c r="L883" i="13"/>
  <c r="M883" i="13"/>
  <c r="N883" i="13"/>
  <c r="O883" i="13"/>
  <c r="C887" i="13"/>
  <c r="E887" i="13"/>
  <c r="C888" i="13"/>
  <c r="E888" i="13"/>
  <c r="C889" i="13"/>
  <c r="E889" i="13"/>
  <c r="I889" i="13"/>
  <c r="J889" i="13"/>
  <c r="C890" i="13"/>
  <c r="E890" i="13"/>
  <c r="I890" i="13"/>
  <c r="J890" i="13"/>
  <c r="C891" i="13"/>
  <c r="E891" i="13"/>
  <c r="I891" i="13"/>
  <c r="J891" i="13"/>
  <c r="C892" i="13"/>
  <c r="E892" i="13"/>
  <c r="I892" i="13"/>
  <c r="J892" i="13"/>
  <c r="C893" i="13"/>
  <c r="E893" i="13"/>
  <c r="I893" i="13"/>
  <c r="J893" i="13"/>
  <c r="E894" i="13"/>
  <c r="I894" i="13"/>
  <c r="J894" i="13"/>
  <c r="E895" i="13"/>
  <c r="I895" i="13"/>
  <c r="J895" i="13"/>
  <c r="C896" i="13"/>
  <c r="E896" i="13"/>
  <c r="I896" i="13"/>
  <c r="J896" i="13"/>
  <c r="C897" i="13"/>
  <c r="E897" i="13"/>
  <c r="I897" i="13"/>
  <c r="E898" i="13"/>
  <c r="I898" i="13"/>
  <c r="E899" i="13"/>
  <c r="I899" i="13"/>
  <c r="C900" i="13"/>
  <c r="E900" i="13"/>
  <c r="I900" i="13"/>
  <c r="C901" i="13"/>
  <c r="E901" i="13"/>
  <c r="I901" i="13"/>
  <c r="J901" i="13"/>
  <c r="C902" i="13"/>
  <c r="E902" i="13"/>
  <c r="I902" i="13"/>
  <c r="J902" i="13"/>
  <c r="C903" i="13"/>
  <c r="E903" i="13"/>
  <c r="E904" i="13"/>
  <c r="E905" i="13"/>
  <c r="C906" i="13"/>
  <c r="E906" i="13"/>
  <c r="C907" i="13"/>
  <c r="E907" i="13"/>
  <c r="C908" i="13"/>
  <c r="E908" i="13"/>
  <c r="C909" i="13"/>
  <c r="E909" i="13"/>
  <c r="C910" i="13"/>
  <c r="E910" i="13"/>
  <c r="C911" i="13"/>
  <c r="E911" i="13"/>
  <c r="C912" i="13"/>
  <c r="E912" i="13"/>
  <c r="C913" i="13"/>
  <c r="E913" i="13"/>
  <c r="C914" i="13"/>
  <c r="E914" i="13"/>
  <c r="A917" i="13"/>
  <c r="C967" i="13"/>
  <c r="E967" i="13"/>
  <c r="F967" i="13"/>
  <c r="G967" i="13"/>
  <c r="C968" i="13"/>
  <c r="D968" i="13"/>
  <c r="E968" i="13"/>
  <c r="G968" i="13"/>
  <c r="H968" i="13"/>
  <c r="I968" i="13"/>
  <c r="C969" i="13"/>
  <c r="D969" i="13"/>
  <c r="E969" i="13"/>
  <c r="G969" i="13"/>
  <c r="H969" i="13"/>
  <c r="I969" i="13"/>
  <c r="C970" i="13"/>
  <c r="D970" i="13"/>
  <c r="E970" i="13"/>
  <c r="G970" i="13"/>
  <c r="H970" i="13"/>
  <c r="I970" i="13"/>
  <c r="C971" i="13"/>
  <c r="D971" i="13"/>
  <c r="E971" i="13"/>
  <c r="G971" i="13"/>
  <c r="H971" i="13"/>
  <c r="I971" i="13"/>
  <c r="C972" i="13"/>
  <c r="D972" i="13"/>
  <c r="E972" i="13"/>
  <c r="G972" i="13"/>
  <c r="H972" i="13"/>
  <c r="I972" i="13"/>
  <c r="C973" i="13"/>
  <c r="D973" i="13"/>
  <c r="E973" i="13"/>
  <c r="G973" i="13"/>
  <c r="H973" i="13"/>
  <c r="I973" i="13"/>
  <c r="C974" i="13"/>
  <c r="D974" i="13"/>
  <c r="E974" i="13"/>
  <c r="G974" i="13"/>
  <c r="H974" i="13"/>
  <c r="I974" i="13"/>
  <c r="C977" i="13"/>
  <c r="D977" i="13"/>
  <c r="E977" i="13"/>
  <c r="G977" i="13"/>
  <c r="H977" i="13"/>
  <c r="I977" i="13"/>
  <c r="C978" i="13"/>
  <c r="D978" i="13"/>
  <c r="E978" i="13"/>
  <c r="G978" i="13"/>
  <c r="H978" i="13"/>
  <c r="I978" i="13"/>
  <c r="C981" i="13"/>
  <c r="D981" i="13"/>
  <c r="E981" i="13"/>
  <c r="G981" i="13"/>
  <c r="H981" i="13"/>
  <c r="I981" i="13"/>
  <c r="C982" i="13"/>
  <c r="D982" i="13"/>
  <c r="E982" i="13"/>
  <c r="G982" i="13"/>
  <c r="H982" i="13"/>
  <c r="I982" i="13"/>
  <c r="C983" i="13"/>
  <c r="D983" i="13"/>
  <c r="E983" i="13"/>
  <c r="G983" i="13"/>
  <c r="H983" i="13"/>
  <c r="I983" i="13"/>
  <c r="C984" i="13"/>
  <c r="D984" i="13"/>
  <c r="E984" i="13"/>
  <c r="G984" i="13"/>
  <c r="H984" i="13"/>
  <c r="I984" i="13"/>
  <c r="C987" i="13"/>
  <c r="D987" i="13"/>
  <c r="E987" i="13"/>
  <c r="H987" i="13"/>
  <c r="C988" i="13"/>
  <c r="D988" i="13"/>
  <c r="E988" i="13"/>
  <c r="H988" i="13"/>
  <c r="C989" i="13"/>
  <c r="D989" i="13"/>
  <c r="E989" i="13"/>
  <c r="C990" i="13"/>
  <c r="D990" i="13"/>
  <c r="E990" i="13"/>
  <c r="C991" i="13"/>
  <c r="D991" i="13"/>
  <c r="E991" i="13"/>
  <c r="C992" i="13"/>
  <c r="D992" i="13"/>
  <c r="E992" i="13"/>
  <c r="C993" i="13"/>
  <c r="D993" i="13"/>
  <c r="E993" i="13"/>
  <c r="C994" i="13"/>
  <c r="D994" i="13"/>
  <c r="E994" i="13"/>
  <c r="C995" i="13"/>
  <c r="D995" i="13"/>
  <c r="E995" i="13"/>
  <c r="C1000" i="13"/>
  <c r="E1000" i="13"/>
  <c r="G1000" i="13"/>
  <c r="C1001" i="13"/>
  <c r="E1001" i="13"/>
  <c r="G1001" i="13"/>
  <c r="C1002" i="13"/>
  <c r="E1002" i="13"/>
  <c r="G1002" i="13"/>
  <c r="C1003" i="13"/>
  <c r="E1003" i="13"/>
  <c r="G1003" i="13"/>
  <c r="G1004" i="13"/>
  <c r="C1005" i="13"/>
  <c r="E1005" i="13"/>
  <c r="G1005" i="13"/>
  <c r="G1006" i="13"/>
  <c r="C1007" i="13"/>
  <c r="E1007" i="13"/>
  <c r="G1007" i="13"/>
  <c r="C1008" i="13"/>
  <c r="E1008" i="13"/>
  <c r="G1008" i="13"/>
  <c r="B1016" i="13"/>
  <c r="C1016" i="13"/>
  <c r="D1016" i="13"/>
  <c r="E1016" i="13"/>
  <c r="F1016" i="13"/>
  <c r="G1016" i="13"/>
  <c r="H1016" i="13"/>
  <c r="I1016" i="13"/>
  <c r="B1017" i="13"/>
  <c r="C1017" i="13"/>
  <c r="D1017" i="13"/>
  <c r="E1017" i="13"/>
  <c r="F1017" i="13"/>
  <c r="G1017" i="13"/>
  <c r="H1017" i="13"/>
  <c r="I1017" i="13"/>
  <c r="B1018" i="13"/>
  <c r="C1018" i="13"/>
  <c r="D1018" i="13"/>
  <c r="E1018" i="13"/>
  <c r="F1018" i="13"/>
  <c r="G1018" i="13"/>
  <c r="H1018" i="13"/>
  <c r="I1018" i="13"/>
  <c r="B1019" i="13"/>
  <c r="C1019" i="13"/>
  <c r="D1019" i="13"/>
  <c r="E1019" i="13"/>
  <c r="F1019" i="13"/>
  <c r="G1019" i="13"/>
  <c r="H1019" i="13"/>
  <c r="I1019" i="13"/>
  <c r="B1020" i="13"/>
  <c r="C1020" i="13"/>
  <c r="D1020" i="13"/>
  <c r="E1020" i="13"/>
  <c r="F1020" i="13"/>
  <c r="G1020" i="13"/>
  <c r="H1020" i="13"/>
  <c r="I1020" i="13"/>
  <c r="B1021" i="13"/>
  <c r="C1021" i="13"/>
  <c r="D1021" i="13"/>
  <c r="E1021" i="13"/>
  <c r="F1021" i="13"/>
  <c r="G1021" i="13"/>
  <c r="H1021" i="13"/>
  <c r="I1021" i="13"/>
  <c r="B1022" i="13"/>
  <c r="C1022" i="13"/>
  <c r="D1022" i="13"/>
  <c r="E1022" i="13"/>
  <c r="F1022" i="13"/>
  <c r="G1022" i="13"/>
  <c r="H1022" i="13"/>
  <c r="I1022" i="13"/>
  <c r="B1023" i="13"/>
  <c r="C1023" i="13"/>
  <c r="D1023" i="13"/>
  <c r="E1023" i="13"/>
  <c r="F1023" i="13"/>
  <c r="G1023" i="13"/>
  <c r="H1023" i="13"/>
  <c r="I1023" i="13"/>
  <c r="B1029" i="13"/>
  <c r="C1029" i="13"/>
  <c r="H1029" i="13"/>
  <c r="I1029" i="13"/>
  <c r="N1029" i="13"/>
  <c r="O1029" i="13"/>
  <c r="T1029" i="13"/>
  <c r="U1029" i="13"/>
  <c r="Z1029" i="13"/>
  <c r="AA1029" i="13"/>
  <c r="AF1029" i="13"/>
  <c r="AG1029" i="13"/>
  <c r="AL1029" i="13"/>
  <c r="AM1029" i="13"/>
  <c r="B1030" i="13"/>
  <c r="C1030" i="13"/>
  <c r="D1030" i="13"/>
  <c r="E1030" i="13"/>
  <c r="F1030" i="13"/>
  <c r="H1030" i="13"/>
  <c r="I1030" i="13"/>
  <c r="J1030" i="13"/>
  <c r="K1030" i="13"/>
  <c r="L1030" i="13"/>
  <c r="N1030" i="13"/>
  <c r="O1030" i="13"/>
  <c r="P1030" i="13"/>
  <c r="Q1030" i="13"/>
  <c r="R1030" i="13"/>
  <c r="T1030" i="13"/>
  <c r="U1030" i="13"/>
  <c r="V1030" i="13"/>
  <c r="W1030" i="13"/>
  <c r="X1030" i="13"/>
  <c r="Z1030" i="13"/>
  <c r="AA1030" i="13"/>
  <c r="AB1030" i="13"/>
  <c r="AC1030" i="13"/>
  <c r="AD1030" i="13"/>
  <c r="AF1030" i="13"/>
  <c r="AG1030" i="13"/>
  <c r="AH1030" i="13"/>
  <c r="AI1030" i="13"/>
  <c r="AJ1030" i="13"/>
  <c r="AL1030" i="13"/>
  <c r="AM1030" i="13"/>
  <c r="AN1030" i="13"/>
  <c r="AO1030" i="13"/>
  <c r="AP1030" i="13"/>
  <c r="B1031" i="13"/>
  <c r="C1031" i="13"/>
  <c r="D1031" i="13"/>
  <c r="E1031" i="13"/>
  <c r="F1031" i="13"/>
  <c r="H1031" i="13"/>
  <c r="I1031" i="13"/>
  <c r="J1031" i="13"/>
  <c r="K1031" i="13"/>
  <c r="L1031" i="13"/>
  <c r="N1031" i="13"/>
  <c r="O1031" i="13"/>
  <c r="P1031" i="13"/>
  <c r="Q1031" i="13"/>
  <c r="R1031" i="13"/>
  <c r="T1031" i="13"/>
  <c r="U1031" i="13"/>
  <c r="V1031" i="13"/>
  <c r="W1031" i="13"/>
  <c r="X1031" i="13"/>
  <c r="Z1031" i="13"/>
  <c r="AA1031" i="13"/>
  <c r="AB1031" i="13"/>
  <c r="AC1031" i="13"/>
  <c r="AD1031" i="13"/>
  <c r="AF1031" i="13"/>
  <c r="AG1031" i="13"/>
  <c r="AH1031" i="13"/>
  <c r="AI1031" i="13"/>
  <c r="AJ1031" i="13"/>
  <c r="AL1031" i="13"/>
  <c r="AM1031" i="13"/>
  <c r="AN1031" i="13"/>
  <c r="AO1031" i="13"/>
  <c r="AP1031" i="13"/>
  <c r="B1034" i="13"/>
  <c r="C1034" i="13"/>
  <c r="H1034" i="13"/>
  <c r="I1034" i="13"/>
  <c r="N1034" i="13"/>
  <c r="O1034" i="13"/>
  <c r="T1034" i="13"/>
  <c r="U1034" i="13"/>
  <c r="Z1034" i="13"/>
  <c r="AA1034" i="13"/>
  <c r="AF1034" i="13"/>
  <c r="AG1034" i="13"/>
  <c r="AL1034" i="13"/>
  <c r="AM1034" i="13"/>
  <c r="B1035" i="13"/>
  <c r="C1035" i="13"/>
  <c r="D1035" i="13"/>
  <c r="E1035" i="13"/>
  <c r="F1035" i="13"/>
  <c r="H1035" i="13"/>
  <c r="I1035" i="13"/>
  <c r="J1035" i="13"/>
  <c r="K1035" i="13"/>
  <c r="L1035" i="13"/>
  <c r="N1035" i="13"/>
  <c r="O1035" i="13"/>
  <c r="P1035" i="13"/>
  <c r="Q1035" i="13"/>
  <c r="R1035" i="13"/>
  <c r="T1035" i="13"/>
  <c r="U1035" i="13"/>
  <c r="V1035" i="13"/>
  <c r="W1035" i="13"/>
  <c r="X1035" i="13"/>
  <c r="Z1035" i="13"/>
  <c r="AA1035" i="13"/>
  <c r="AB1035" i="13"/>
  <c r="AC1035" i="13"/>
  <c r="AD1035" i="13"/>
  <c r="AF1035" i="13"/>
  <c r="AG1035" i="13"/>
  <c r="AH1035" i="13"/>
  <c r="AI1035" i="13"/>
  <c r="AJ1035" i="13"/>
  <c r="AL1035" i="13"/>
  <c r="AM1035" i="13"/>
  <c r="AN1035" i="13"/>
  <c r="AO1035" i="13"/>
  <c r="AP1035" i="13"/>
  <c r="B1036" i="13"/>
  <c r="C1036" i="13"/>
  <c r="D1036" i="13"/>
  <c r="E1036" i="13"/>
  <c r="F1036" i="13"/>
  <c r="H1036" i="13"/>
  <c r="I1036" i="13"/>
  <c r="J1036" i="13"/>
  <c r="K1036" i="13"/>
  <c r="L1036" i="13"/>
  <c r="N1036" i="13"/>
  <c r="O1036" i="13"/>
  <c r="P1036" i="13"/>
  <c r="Q1036" i="13"/>
  <c r="R1036" i="13"/>
  <c r="T1036" i="13"/>
  <c r="U1036" i="13"/>
  <c r="V1036" i="13"/>
  <c r="W1036" i="13"/>
  <c r="X1036" i="13"/>
  <c r="Z1036" i="13"/>
  <c r="AA1036" i="13"/>
  <c r="AB1036" i="13"/>
  <c r="AC1036" i="13"/>
  <c r="AD1036" i="13"/>
  <c r="AF1036" i="13"/>
  <c r="AG1036" i="13"/>
  <c r="AH1036" i="13"/>
  <c r="AI1036" i="13"/>
  <c r="AJ1036" i="13"/>
  <c r="AL1036" i="13"/>
  <c r="AM1036" i="13"/>
  <c r="AN1036" i="13"/>
  <c r="AO1036" i="13"/>
  <c r="AP1036" i="13"/>
  <c r="AL1037" i="13"/>
  <c r="B1039" i="13"/>
  <c r="C1039" i="13"/>
  <c r="H1039" i="13"/>
  <c r="I1039" i="13"/>
  <c r="N1039" i="13"/>
  <c r="O1039" i="13"/>
  <c r="T1039" i="13"/>
  <c r="U1039" i="13"/>
  <c r="Z1039" i="13"/>
  <c r="AA1039" i="13"/>
  <c r="AF1039" i="13"/>
  <c r="AG1039" i="13"/>
  <c r="B1040" i="13"/>
  <c r="C1040" i="13"/>
  <c r="D1040" i="13"/>
  <c r="E1040" i="13"/>
  <c r="F1040" i="13"/>
  <c r="H1040" i="13"/>
  <c r="I1040" i="13"/>
  <c r="J1040" i="13"/>
  <c r="K1040" i="13"/>
  <c r="L1040" i="13"/>
  <c r="N1040" i="13"/>
  <c r="O1040" i="13"/>
  <c r="P1040" i="13"/>
  <c r="Q1040" i="13"/>
  <c r="R1040" i="13"/>
  <c r="T1040" i="13"/>
  <c r="U1040" i="13"/>
  <c r="V1040" i="13"/>
  <c r="W1040" i="13"/>
  <c r="X1040" i="13"/>
  <c r="Z1040" i="13"/>
  <c r="AA1040" i="13"/>
  <c r="AB1040" i="13"/>
  <c r="AC1040" i="13"/>
  <c r="AD1040" i="13"/>
  <c r="AF1040" i="13"/>
  <c r="AG1040" i="13"/>
  <c r="AH1040" i="13"/>
  <c r="AI1040" i="13"/>
  <c r="AJ1040" i="13"/>
  <c r="AL1040" i="13"/>
  <c r="AM1040" i="13"/>
  <c r="B1041" i="13"/>
  <c r="C1041" i="13"/>
  <c r="D1041" i="13"/>
  <c r="E1041" i="13"/>
  <c r="F1041" i="13"/>
  <c r="H1041" i="13"/>
  <c r="I1041" i="13"/>
  <c r="J1041" i="13"/>
  <c r="K1041" i="13"/>
  <c r="L1041" i="13"/>
  <c r="N1041" i="13"/>
  <c r="O1041" i="13"/>
  <c r="P1041" i="13"/>
  <c r="Q1041" i="13"/>
  <c r="R1041" i="13"/>
  <c r="T1041" i="13"/>
  <c r="U1041" i="13"/>
  <c r="V1041" i="13"/>
  <c r="W1041" i="13"/>
  <c r="X1041" i="13"/>
  <c r="Z1041" i="13"/>
  <c r="AA1041" i="13"/>
  <c r="AB1041" i="13"/>
  <c r="AC1041" i="13"/>
  <c r="AD1041" i="13"/>
  <c r="AF1041" i="13"/>
  <c r="AG1041" i="13"/>
  <c r="AH1041" i="13"/>
  <c r="AI1041" i="13"/>
  <c r="AJ1041" i="13"/>
  <c r="AL1041" i="13"/>
  <c r="AM1041" i="13"/>
  <c r="AN1041" i="13"/>
  <c r="AO1041" i="13"/>
  <c r="AP1041" i="13"/>
  <c r="AF1042" i="13"/>
  <c r="AL1042" i="13"/>
  <c r="AM1042" i="13"/>
  <c r="AN1042" i="13"/>
  <c r="AO1042" i="13"/>
  <c r="AP1042" i="13"/>
  <c r="AL1043" i="13"/>
  <c r="B1044" i="13"/>
  <c r="C1044" i="13"/>
  <c r="H1044" i="13"/>
  <c r="I1044" i="13"/>
  <c r="N1044" i="13"/>
  <c r="O1044" i="13"/>
  <c r="T1044" i="13"/>
  <c r="U1044" i="13"/>
  <c r="Z1044" i="13"/>
  <c r="AA1044" i="13"/>
  <c r="B1045" i="13"/>
  <c r="C1045" i="13"/>
  <c r="D1045" i="13"/>
  <c r="E1045" i="13"/>
  <c r="F1045" i="13"/>
  <c r="H1045" i="13"/>
  <c r="I1045" i="13"/>
  <c r="J1045" i="13"/>
  <c r="K1045" i="13"/>
  <c r="L1045" i="13"/>
  <c r="N1045" i="13"/>
  <c r="O1045" i="13"/>
  <c r="P1045" i="13"/>
  <c r="Q1045" i="13"/>
  <c r="R1045" i="13"/>
  <c r="T1045" i="13"/>
  <c r="U1045" i="13"/>
  <c r="V1045" i="13"/>
  <c r="W1045" i="13"/>
  <c r="X1045" i="13"/>
  <c r="Z1045" i="13"/>
  <c r="AA1045" i="13"/>
  <c r="AB1045" i="13"/>
  <c r="AC1045" i="13"/>
  <c r="AD1045" i="13"/>
  <c r="B1046" i="13"/>
  <c r="C1046" i="13"/>
  <c r="D1046" i="13"/>
  <c r="E1046" i="13"/>
  <c r="F1046" i="13"/>
  <c r="H1046" i="13"/>
  <c r="I1046" i="13"/>
  <c r="J1046" i="13"/>
  <c r="K1046" i="13"/>
  <c r="L1046" i="13"/>
  <c r="N1046" i="13"/>
  <c r="O1046" i="13"/>
  <c r="P1046" i="13"/>
  <c r="Q1046" i="13"/>
  <c r="R1046" i="13"/>
  <c r="T1046" i="13"/>
  <c r="U1046" i="13"/>
  <c r="V1046" i="13"/>
  <c r="W1046" i="13"/>
  <c r="X1046" i="13"/>
  <c r="Z1046" i="13"/>
  <c r="AA1046" i="13"/>
  <c r="AB1046" i="13"/>
  <c r="AC1046" i="13"/>
  <c r="AD1046" i="13"/>
  <c r="Z1047" i="13"/>
  <c r="B1049" i="13"/>
  <c r="C1049" i="13"/>
  <c r="H1049" i="13"/>
  <c r="I1049" i="13"/>
  <c r="N1049" i="13"/>
  <c r="O1049" i="13"/>
  <c r="T1049" i="13"/>
  <c r="U1049" i="13"/>
  <c r="B1050" i="13"/>
  <c r="C1050" i="13"/>
  <c r="D1050" i="13"/>
  <c r="E1050" i="13"/>
  <c r="F1050" i="13"/>
  <c r="H1050" i="13"/>
  <c r="I1050" i="13"/>
  <c r="J1050" i="13"/>
  <c r="K1050" i="13"/>
  <c r="L1050" i="13"/>
  <c r="N1050" i="13"/>
  <c r="O1050" i="13"/>
  <c r="P1050" i="13"/>
  <c r="Q1050" i="13"/>
  <c r="R1050" i="13"/>
  <c r="T1050" i="13"/>
  <c r="U1050" i="13"/>
  <c r="V1050" i="13"/>
  <c r="W1050" i="13"/>
  <c r="X1050" i="13"/>
  <c r="B1051" i="13"/>
  <c r="C1051" i="13"/>
  <c r="D1051" i="13"/>
  <c r="E1051" i="13"/>
  <c r="F1051" i="13"/>
  <c r="H1051" i="13"/>
  <c r="I1051" i="13"/>
  <c r="J1051" i="13"/>
  <c r="K1051" i="13"/>
  <c r="L1051" i="13"/>
  <c r="N1051" i="13"/>
  <c r="O1051" i="13"/>
  <c r="P1051" i="13"/>
  <c r="Q1051" i="13"/>
  <c r="R1051" i="13"/>
  <c r="T1051" i="13"/>
  <c r="U1051" i="13"/>
  <c r="V1051" i="13"/>
  <c r="W1051" i="13"/>
  <c r="X1051" i="13"/>
  <c r="B1054" i="13"/>
  <c r="C1054" i="13"/>
  <c r="H1054" i="13"/>
  <c r="I1054" i="13"/>
  <c r="N1054" i="13"/>
  <c r="O1054" i="13"/>
  <c r="B1055" i="13"/>
  <c r="C1055" i="13"/>
  <c r="D1055" i="13"/>
  <c r="E1055" i="13"/>
  <c r="F1055" i="13"/>
  <c r="H1055" i="13"/>
  <c r="I1055" i="13"/>
  <c r="J1055" i="13"/>
  <c r="K1055" i="13"/>
  <c r="L1055" i="13"/>
  <c r="N1055" i="13"/>
  <c r="O1055" i="13"/>
  <c r="P1055" i="13"/>
  <c r="Q1055" i="13"/>
  <c r="R1055" i="13"/>
  <c r="B1056" i="13"/>
  <c r="C1056" i="13"/>
  <c r="D1056" i="13"/>
  <c r="E1056" i="13"/>
  <c r="F1056" i="13"/>
  <c r="H1056" i="13"/>
  <c r="I1056" i="13"/>
  <c r="J1056" i="13"/>
  <c r="K1056" i="13"/>
  <c r="L1056" i="13"/>
  <c r="N1056" i="13"/>
  <c r="O1056" i="13"/>
  <c r="P1056" i="13"/>
  <c r="Q1056" i="13"/>
  <c r="R1056" i="13"/>
  <c r="N1057" i="13"/>
  <c r="B1059" i="13"/>
  <c r="C1059" i="13"/>
  <c r="H1059" i="13"/>
  <c r="I1059" i="13"/>
  <c r="B1060" i="13"/>
  <c r="C1060" i="13"/>
  <c r="D1060" i="13"/>
  <c r="E1060" i="13"/>
  <c r="F1060" i="13"/>
  <c r="H1060" i="13"/>
  <c r="I1060" i="13"/>
  <c r="J1060" i="13"/>
  <c r="K1060" i="13"/>
  <c r="L1060" i="13"/>
  <c r="B1061" i="13"/>
  <c r="C1061" i="13"/>
  <c r="D1061" i="13"/>
  <c r="E1061" i="13"/>
  <c r="F1061" i="13"/>
  <c r="H1061" i="13"/>
  <c r="I1061" i="13"/>
  <c r="J1061" i="13"/>
  <c r="K1061" i="13"/>
  <c r="L1061" i="13"/>
  <c r="H1062" i="13"/>
  <c r="B1064" i="13"/>
  <c r="C1064" i="13"/>
  <c r="B1065" i="13"/>
  <c r="C1065" i="13"/>
  <c r="D1065" i="13"/>
  <c r="E1065" i="13"/>
  <c r="F1065" i="13"/>
  <c r="B1066" i="13"/>
  <c r="C1066" i="13"/>
  <c r="D1066" i="13"/>
  <c r="E1066" i="13"/>
  <c r="F1066" i="13"/>
  <c r="B1067" i="13"/>
  <c r="E1071" i="13"/>
  <c r="C1072" i="13"/>
  <c r="E1072" i="13"/>
  <c r="C1073" i="13"/>
  <c r="E1073" i="13"/>
  <c r="C1074" i="13"/>
  <c r="E1074" i="13"/>
  <c r="C1075" i="13"/>
  <c r="E1075" i="13"/>
  <c r="C1076" i="13"/>
  <c r="E1076" i="13"/>
  <c r="C1077" i="13"/>
  <c r="E1077" i="13"/>
  <c r="C1078" i="13"/>
  <c r="E1078" i="13"/>
  <c r="C1079" i="13"/>
  <c r="E1079" i="13"/>
  <c r="C1080" i="13"/>
  <c r="E1080" i="13"/>
  <c r="C1081" i="13"/>
  <c r="E1081" i="13"/>
  <c r="C1082" i="13"/>
  <c r="E1082" i="13"/>
  <c r="C1083" i="13"/>
  <c r="E1083" i="13"/>
  <c r="C1084" i="13"/>
  <c r="E1084" i="13"/>
  <c r="C1085" i="13"/>
  <c r="E1085" i="13"/>
  <c r="C1086" i="13"/>
  <c r="E1086" i="13"/>
  <c r="C1087" i="13"/>
  <c r="E1087" i="13"/>
  <c r="C1088" i="13"/>
  <c r="E1088" i="13"/>
  <c r="C1089" i="13"/>
  <c r="E1089" i="13"/>
  <c r="C1090" i="13"/>
  <c r="E1090" i="13"/>
  <c r="C1091" i="13"/>
  <c r="E1091" i="13"/>
  <c r="C1100" i="13"/>
  <c r="E1100" i="13"/>
  <c r="B1105" i="13"/>
  <c r="C1105" i="13"/>
  <c r="E1105" i="13"/>
  <c r="F1105" i="13"/>
  <c r="B1106" i="13"/>
  <c r="C1106" i="13"/>
  <c r="E1106" i="13"/>
  <c r="F1106" i="13"/>
  <c r="B1107" i="13"/>
  <c r="C1107" i="13"/>
  <c r="E1107" i="13"/>
  <c r="F1107" i="13"/>
  <c r="B1108" i="13"/>
  <c r="C1108" i="13"/>
  <c r="E1108" i="13"/>
  <c r="F1108" i="13"/>
  <c r="B1109" i="13"/>
  <c r="C1109" i="13"/>
  <c r="E1109" i="13"/>
  <c r="F1109" i="13"/>
  <c r="B1110" i="13"/>
  <c r="C1110" i="13"/>
  <c r="E1110" i="13"/>
  <c r="F1110" i="13"/>
  <c r="B1111" i="13"/>
  <c r="C1111" i="13"/>
  <c r="E1111" i="13"/>
  <c r="F1111" i="13"/>
  <c r="B1112" i="13"/>
  <c r="C1112" i="13"/>
  <c r="E1112" i="13"/>
  <c r="F1112" i="13"/>
  <c r="B1113" i="13"/>
  <c r="C1113" i="13"/>
  <c r="E1113" i="13"/>
  <c r="F1113" i="13"/>
  <c r="B1114" i="13"/>
  <c r="C1114" i="13"/>
  <c r="E1114" i="13"/>
  <c r="F1114" i="13"/>
  <c r="B1115" i="13"/>
  <c r="C1115" i="13"/>
  <c r="E1115" i="13"/>
  <c r="F1115" i="13"/>
  <c r="B1116" i="13"/>
  <c r="C1116" i="13"/>
  <c r="E1116" i="13"/>
  <c r="F1116" i="13"/>
  <c r="B1117" i="13"/>
  <c r="C1117" i="13"/>
  <c r="E1117" i="13"/>
  <c r="F1117" i="13"/>
  <c r="B1118" i="13"/>
  <c r="C1118" i="13"/>
  <c r="E1118" i="13"/>
  <c r="F1118" i="13"/>
  <c r="B1119" i="13"/>
  <c r="C1119" i="13"/>
  <c r="E1119" i="13"/>
  <c r="F1119" i="13"/>
  <c r="B1120" i="13"/>
  <c r="C1120" i="13"/>
  <c r="E1120" i="13"/>
  <c r="F1120" i="13"/>
  <c r="B1121" i="13"/>
  <c r="C1121" i="13"/>
  <c r="E1121" i="13"/>
  <c r="F1121" i="13"/>
  <c r="B1122" i="13"/>
  <c r="C1122" i="13"/>
  <c r="E1122" i="13"/>
  <c r="F1122" i="13"/>
  <c r="C1127" i="13"/>
  <c r="E1127" i="13"/>
  <c r="C1128" i="13"/>
  <c r="E1128" i="13"/>
  <c r="C1129" i="13"/>
  <c r="E1129" i="13"/>
  <c r="C1130" i="13"/>
  <c r="E1130" i="13"/>
  <c r="C1131" i="13"/>
  <c r="E1131" i="13"/>
  <c r="C1132" i="13"/>
  <c r="E1132" i="13"/>
  <c r="C1133" i="13"/>
  <c r="E1133" i="13"/>
  <c r="C1134" i="13"/>
  <c r="E1134" i="13"/>
  <c r="C1135" i="13"/>
  <c r="E1135" i="13"/>
  <c r="C1136" i="13"/>
  <c r="E1136" i="13"/>
  <c r="C1137" i="13"/>
  <c r="E1137" i="13"/>
  <c r="C1138" i="13"/>
  <c r="E1138" i="13"/>
  <c r="C1139" i="13"/>
  <c r="E1139" i="13"/>
  <c r="C1140" i="13"/>
  <c r="E1140" i="13"/>
  <c r="C1141" i="13"/>
  <c r="E1141" i="13"/>
  <c r="C1142" i="13"/>
  <c r="E1142" i="13"/>
  <c r="C1143" i="13"/>
  <c r="E1143" i="13"/>
  <c r="C1144" i="13"/>
  <c r="E1144" i="13"/>
  <c r="C1145" i="13"/>
  <c r="E1145" i="13"/>
  <c r="C1150" i="13"/>
  <c r="E1150" i="13"/>
  <c r="C1151" i="13"/>
  <c r="E1151" i="13"/>
  <c r="C1156" i="13"/>
  <c r="E1156" i="13"/>
  <c r="H1156" i="13"/>
  <c r="L1156" i="13"/>
  <c r="C1157" i="13"/>
  <c r="E1157" i="13"/>
  <c r="H1157" i="13"/>
  <c r="L1157" i="13"/>
  <c r="C1158" i="13"/>
  <c r="E1158" i="13"/>
  <c r="H1158" i="13"/>
  <c r="L1158" i="13"/>
  <c r="C1159" i="13"/>
  <c r="E1159" i="13"/>
  <c r="H1159" i="13"/>
  <c r="L1159" i="13"/>
  <c r="C1160" i="13"/>
  <c r="E1160" i="13"/>
  <c r="H1160" i="13"/>
  <c r="L1160" i="13"/>
  <c r="C1161" i="13"/>
  <c r="E1161" i="13"/>
  <c r="H1161" i="13"/>
  <c r="L1161" i="13"/>
  <c r="C1162" i="13"/>
  <c r="E1162" i="13"/>
  <c r="H1162" i="13"/>
  <c r="J1162" i="13"/>
  <c r="L1162" i="13"/>
  <c r="C1163" i="13"/>
  <c r="E1163" i="13"/>
  <c r="J1163" i="13"/>
  <c r="L1163" i="13"/>
  <c r="C1164" i="13"/>
  <c r="E1164" i="13"/>
  <c r="J1164" i="13"/>
  <c r="L1164" i="13"/>
  <c r="C1165" i="13"/>
  <c r="E1165" i="13"/>
  <c r="J1165" i="13"/>
  <c r="L1165" i="13"/>
  <c r="C1166" i="13"/>
  <c r="E1166" i="13"/>
  <c r="J1166" i="13"/>
  <c r="L1166" i="13"/>
  <c r="C1167" i="13"/>
  <c r="E1167" i="13"/>
  <c r="J1167" i="13"/>
  <c r="L1167" i="13"/>
  <c r="C1168" i="13"/>
  <c r="E1168" i="13"/>
  <c r="J1168" i="13"/>
  <c r="L1168" i="13"/>
  <c r="C1169" i="13"/>
  <c r="E1169" i="13"/>
  <c r="J1169" i="13"/>
  <c r="L1169" i="13"/>
  <c r="C1170" i="13"/>
  <c r="E1170" i="13"/>
  <c r="J1170" i="13"/>
  <c r="L1170" i="13"/>
  <c r="C1171" i="13"/>
  <c r="E1171" i="13"/>
  <c r="J1171" i="13"/>
  <c r="L1171" i="13"/>
  <c r="C1172" i="13"/>
  <c r="E1172" i="13"/>
  <c r="J1172" i="13"/>
  <c r="L1172" i="13"/>
  <c r="C1173" i="13"/>
  <c r="E1173" i="13"/>
  <c r="J1173" i="13"/>
  <c r="L1173" i="13"/>
  <c r="C1174" i="13"/>
  <c r="C1175" i="13"/>
  <c r="C1176" i="13"/>
  <c r="C1177" i="13"/>
  <c r="C1201" i="13"/>
  <c r="E1201" i="13"/>
  <c r="C1202" i="13"/>
  <c r="E1202" i="13"/>
  <c r="C1203" i="13"/>
  <c r="E1203" i="13"/>
  <c r="C1204" i="13"/>
  <c r="C1211" i="13"/>
  <c r="E1211" i="13"/>
  <c r="H1211" i="13"/>
  <c r="J1211" i="13"/>
  <c r="K1211" i="13"/>
  <c r="C1212" i="13"/>
  <c r="E1212" i="13"/>
  <c r="H1212" i="13"/>
  <c r="J1212" i="13"/>
  <c r="K1212" i="13"/>
  <c r="C1213" i="13"/>
  <c r="E1213" i="13"/>
  <c r="H1213" i="13"/>
  <c r="J1213" i="13"/>
  <c r="K1213" i="13"/>
  <c r="H1214" i="13"/>
  <c r="C1215" i="13"/>
  <c r="E1215" i="13"/>
  <c r="H1215" i="13"/>
  <c r="J1215" i="13"/>
  <c r="K1215" i="13"/>
  <c r="H1216" i="13"/>
  <c r="C1217" i="13"/>
  <c r="E1217" i="13"/>
  <c r="H1217" i="13"/>
  <c r="J1217" i="13"/>
  <c r="K1217" i="13"/>
  <c r="C1218" i="13"/>
  <c r="E1218" i="13"/>
  <c r="H1218" i="13"/>
  <c r="J1218" i="13"/>
  <c r="K1218" i="13"/>
  <c r="C1219" i="13"/>
  <c r="E1219" i="13"/>
  <c r="H1219" i="13"/>
  <c r="J1219" i="13"/>
  <c r="K1219" i="13"/>
  <c r="H1220" i="13"/>
  <c r="J1220" i="13"/>
  <c r="K1220" i="13"/>
  <c r="C1221" i="13"/>
  <c r="E1221" i="13"/>
  <c r="H1221" i="13"/>
  <c r="J1221" i="13"/>
  <c r="K1221" i="13"/>
  <c r="C1222" i="13"/>
  <c r="E1222" i="13"/>
  <c r="K1222" i="13"/>
  <c r="C1223" i="13"/>
  <c r="E1223" i="13"/>
  <c r="K1223" i="13"/>
  <c r="K1224" i="13"/>
  <c r="C1225" i="13"/>
  <c r="E1225" i="13"/>
  <c r="K1226" i="13"/>
  <c r="C1227" i="13"/>
  <c r="E1227" i="13"/>
  <c r="C1228" i="13"/>
  <c r="E1228" i="13"/>
  <c r="K1228" i="13"/>
  <c r="C1229" i="13"/>
  <c r="E1229" i="13"/>
  <c r="H1229" i="13"/>
  <c r="J1229" i="13"/>
  <c r="K1229" i="13"/>
  <c r="C1230" i="13"/>
  <c r="E1230" i="13"/>
  <c r="H1230" i="13"/>
  <c r="J1230" i="13"/>
  <c r="K1230" i="13"/>
  <c r="C1231" i="13"/>
  <c r="E1231" i="13"/>
  <c r="H1231" i="13"/>
  <c r="J1231" i="13"/>
  <c r="K1231" i="13"/>
  <c r="K1232" i="13"/>
  <c r="C1233" i="13"/>
  <c r="E1233" i="13"/>
  <c r="K1233" i="13"/>
  <c r="C1235" i="13"/>
  <c r="E1235" i="13"/>
  <c r="C1236" i="13"/>
  <c r="E1236" i="13"/>
  <c r="C1237" i="13"/>
  <c r="E1237" i="13"/>
  <c r="C1238" i="13"/>
  <c r="E1238" i="13"/>
  <c r="C1313" i="13"/>
  <c r="C1314" i="13"/>
  <c r="C1315" i="13"/>
  <c r="C1317" i="13"/>
  <c r="C1319" i="13"/>
  <c r="C1320" i="13"/>
  <c r="C1322" i="13"/>
  <c r="C1323" i="13"/>
  <c r="C1324" i="13"/>
  <c r="C1332" i="13"/>
  <c r="D1332" i="13"/>
  <c r="E1332" i="13"/>
  <c r="F1332" i="13"/>
  <c r="G1332" i="13"/>
  <c r="H1332" i="13"/>
  <c r="C1333" i="13"/>
  <c r="D1333" i="13"/>
  <c r="E1333" i="13"/>
  <c r="F1333" i="13"/>
  <c r="G1333" i="13"/>
  <c r="H1333" i="13"/>
  <c r="C1334" i="13"/>
  <c r="D1334" i="13"/>
  <c r="E1334" i="13"/>
  <c r="F1334" i="13"/>
  <c r="G1334" i="13"/>
  <c r="H1334" i="13"/>
  <c r="C1336" i="13"/>
  <c r="D1336" i="13"/>
  <c r="E1336" i="13"/>
  <c r="F1336" i="13"/>
  <c r="G1336" i="13"/>
  <c r="H1336" i="13"/>
  <c r="C1338" i="13"/>
  <c r="D1338" i="13"/>
  <c r="E1338" i="13"/>
  <c r="F1338" i="13"/>
  <c r="G1338" i="13"/>
  <c r="H1338" i="13"/>
  <c r="C1339" i="13"/>
  <c r="D1339" i="13"/>
  <c r="E1339" i="13"/>
  <c r="F1339" i="13"/>
  <c r="G1339" i="13"/>
  <c r="H1339" i="13"/>
  <c r="C1341" i="13"/>
  <c r="D1341" i="13"/>
  <c r="E1341" i="13"/>
  <c r="F1341" i="13"/>
  <c r="G1341" i="13"/>
  <c r="H1341" i="13"/>
  <c r="C1342" i="13"/>
  <c r="D1342" i="13"/>
  <c r="E1342" i="13"/>
  <c r="F1342" i="13"/>
  <c r="G1342" i="13"/>
  <c r="H1342" i="13"/>
  <c r="C1343" i="13"/>
  <c r="D1343" i="13"/>
  <c r="E1343" i="13"/>
  <c r="F1343" i="13"/>
  <c r="G1343" i="13"/>
  <c r="H1343" i="13"/>
  <c r="C1362" i="13"/>
  <c r="D1362" i="13"/>
  <c r="E1362" i="13"/>
  <c r="F1362" i="13"/>
  <c r="G1362" i="13"/>
  <c r="H1362" i="13"/>
  <c r="J1362" i="13"/>
  <c r="K1362" i="13"/>
  <c r="L1362" i="13"/>
  <c r="M1362" i="13"/>
  <c r="N1362" i="13"/>
  <c r="O1362" i="13"/>
  <c r="C1363" i="13"/>
  <c r="D1363" i="13"/>
  <c r="E1363" i="13"/>
  <c r="F1363" i="13"/>
  <c r="G1363" i="13"/>
  <c r="H1363" i="13"/>
  <c r="J1363" i="13"/>
  <c r="K1363" i="13"/>
  <c r="L1363" i="13"/>
  <c r="M1363" i="13"/>
  <c r="N1363" i="13"/>
  <c r="O1363" i="13"/>
  <c r="C1364" i="13"/>
  <c r="D1364" i="13"/>
  <c r="E1364" i="13"/>
  <c r="F1364" i="13"/>
  <c r="G1364" i="13"/>
  <c r="H1364" i="13"/>
  <c r="J1364" i="13"/>
  <c r="K1364" i="13"/>
  <c r="L1364" i="13"/>
  <c r="M1364" i="13"/>
  <c r="N1364" i="13"/>
  <c r="O1364" i="13"/>
  <c r="C1365" i="13"/>
  <c r="D1365" i="13"/>
  <c r="E1365" i="13"/>
  <c r="F1365" i="13"/>
  <c r="G1365" i="13"/>
  <c r="H1365" i="13"/>
  <c r="J1365" i="13"/>
  <c r="K1365" i="13"/>
  <c r="L1365" i="13"/>
  <c r="M1365" i="13"/>
  <c r="N1365" i="13"/>
  <c r="O1365" i="13"/>
  <c r="C1366" i="13"/>
  <c r="D1366" i="13"/>
  <c r="E1366" i="13"/>
  <c r="F1366" i="13"/>
  <c r="G1366" i="13"/>
  <c r="H1366" i="13"/>
  <c r="J1366" i="13"/>
  <c r="K1366" i="13"/>
  <c r="L1366" i="13"/>
  <c r="M1366" i="13"/>
  <c r="N1366" i="13"/>
  <c r="O1366" i="13"/>
  <c r="C1367" i="13"/>
  <c r="D1367" i="13"/>
  <c r="E1367" i="13"/>
  <c r="F1367" i="13"/>
  <c r="G1367" i="13"/>
  <c r="H1367" i="13"/>
  <c r="J1367" i="13"/>
  <c r="K1367" i="13"/>
  <c r="L1367" i="13"/>
  <c r="M1367" i="13"/>
  <c r="N1367" i="13"/>
  <c r="O1367" i="13"/>
  <c r="C1370" i="13"/>
  <c r="D1370" i="13"/>
  <c r="E1370" i="13"/>
  <c r="F1370" i="13"/>
  <c r="G1370" i="13"/>
  <c r="H1370" i="13"/>
  <c r="J1370" i="13"/>
  <c r="K1370" i="13"/>
  <c r="L1370" i="13"/>
  <c r="M1370" i="13"/>
  <c r="N1370" i="13"/>
  <c r="O1370" i="13"/>
  <c r="C1371" i="13"/>
  <c r="D1371" i="13"/>
  <c r="E1371" i="13"/>
  <c r="F1371" i="13"/>
  <c r="G1371" i="13"/>
  <c r="H1371" i="13"/>
  <c r="J1371" i="13"/>
  <c r="K1371" i="13"/>
  <c r="L1371" i="13"/>
  <c r="M1371" i="13"/>
  <c r="N1371" i="13"/>
  <c r="O1371" i="13"/>
  <c r="C1374" i="13"/>
  <c r="D1374" i="13"/>
  <c r="E1374" i="13"/>
  <c r="F1374" i="13"/>
  <c r="G1374" i="13"/>
  <c r="H1374" i="13"/>
  <c r="J1374" i="13"/>
  <c r="K1374" i="13"/>
  <c r="L1374" i="13"/>
  <c r="M1374" i="13"/>
  <c r="N1374" i="13"/>
  <c r="O1374" i="13"/>
  <c r="C1375" i="13"/>
  <c r="D1375" i="13"/>
  <c r="E1375" i="13"/>
  <c r="F1375" i="13"/>
  <c r="G1375" i="13"/>
  <c r="H1375" i="13"/>
  <c r="J1375" i="13"/>
  <c r="K1375" i="13"/>
  <c r="L1375" i="13"/>
  <c r="M1375" i="13"/>
  <c r="N1375" i="13"/>
  <c r="O1375" i="13"/>
  <c r="C1376" i="13"/>
  <c r="D1376" i="13"/>
  <c r="E1376" i="13"/>
  <c r="F1376" i="13"/>
  <c r="G1376" i="13"/>
  <c r="H1376" i="13"/>
  <c r="J1376" i="13"/>
  <c r="K1376" i="13"/>
  <c r="L1376" i="13"/>
  <c r="M1376" i="13"/>
  <c r="N1376" i="13"/>
  <c r="O1376" i="13"/>
  <c r="C1377" i="13"/>
  <c r="D1377" i="13"/>
  <c r="E1377" i="13"/>
  <c r="F1377" i="13"/>
  <c r="G1377" i="13"/>
  <c r="H1377" i="13"/>
  <c r="J1377" i="13"/>
  <c r="K1377" i="13"/>
  <c r="L1377" i="13"/>
  <c r="M1377" i="13"/>
  <c r="N1377" i="13"/>
  <c r="O1377" i="13"/>
  <c r="C1380" i="13"/>
  <c r="D1380" i="13"/>
  <c r="E1380" i="13"/>
  <c r="F1380" i="13"/>
  <c r="G1380" i="13"/>
  <c r="H1380" i="13"/>
  <c r="J1380" i="13"/>
  <c r="K1380" i="13"/>
  <c r="L1380" i="13"/>
  <c r="M1380" i="13"/>
  <c r="N1380" i="13"/>
  <c r="O1380" i="13"/>
  <c r="C1381" i="13"/>
  <c r="D1381" i="13"/>
  <c r="E1381" i="13"/>
  <c r="F1381" i="13"/>
  <c r="G1381" i="13"/>
  <c r="H1381" i="13"/>
  <c r="J1381" i="13"/>
  <c r="K1381" i="13"/>
  <c r="L1381" i="13"/>
  <c r="M1381" i="13"/>
  <c r="N1381" i="13"/>
  <c r="O1381" i="13"/>
  <c r="C1382" i="13"/>
  <c r="D1382" i="13"/>
  <c r="E1382" i="13"/>
  <c r="F1382" i="13"/>
  <c r="G1382" i="13"/>
  <c r="H1382" i="13"/>
  <c r="J1382" i="13"/>
  <c r="K1382" i="13"/>
  <c r="L1382" i="13"/>
  <c r="M1382" i="13"/>
  <c r="N1382" i="13"/>
  <c r="O1382" i="13"/>
  <c r="C1383" i="13"/>
  <c r="D1383" i="13"/>
  <c r="E1383" i="13"/>
  <c r="F1383" i="13"/>
  <c r="G1383" i="13"/>
  <c r="H1383" i="13"/>
  <c r="J1383" i="13"/>
  <c r="K1383" i="13"/>
  <c r="L1383" i="13"/>
  <c r="M1383" i="13"/>
  <c r="N1383" i="13"/>
  <c r="O1383" i="13"/>
  <c r="C1384" i="13"/>
  <c r="D1384" i="13"/>
  <c r="E1384" i="13"/>
  <c r="F1384" i="13"/>
  <c r="G1384" i="13"/>
  <c r="H1384" i="13"/>
  <c r="J1384" i="13"/>
  <c r="K1384" i="13"/>
  <c r="L1384" i="13"/>
  <c r="M1384" i="13"/>
  <c r="N1384" i="13"/>
  <c r="O1384" i="13"/>
  <c r="C1385" i="13"/>
  <c r="D1385" i="13"/>
  <c r="E1385" i="13"/>
  <c r="F1385" i="13"/>
  <c r="G1385" i="13"/>
  <c r="H1385" i="13"/>
  <c r="J1385" i="13"/>
  <c r="K1385" i="13"/>
  <c r="L1385" i="13"/>
  <c r="M1385" i="13"/>
  <c r="N1385" i="13"/>
  <c r="O1385" i="13"/>
  <c r="C1386" i="13"/>
  <c r="D1386" i="13"/>
  <c r="E1386" i="13"/>
  <c r="F1386" i="13"/>
  <c r="G1386" i="13"/>
  <c r="H1386" i="13"/>
  <c r="J1386" i="13"/>
  <c r="K1386" i="13"/>
  <c r="L1386" i="13"/>
  <c r="M1386" i="13"/>
  <c r="N1386" i="13"/>
  <c r="O1386" i="13"/>
  <c r="C1387" i="13"/>
  <c r="D1387" i="13"/>
  <c r="E1387" i="13"/>
  <c r="F1387" i="13"/>
  <c r="G1387" i="13"/>
  <c r="H1387" i="13"/>
  <c r="J1387" i="13"/>
  <c r="K1387" i="13"/>
  <c r="L1387" i="13"/>
  <c r="M1387" i="13"/>
  <c r="N1387" i="13"/>
  <c r="O1387" i="13"/>
  <c r="C1388" i="13"/>
  <c r="D1388" i="13"/>
  <c r="E1388" i="13"/>
  <c r="F1388" i="13"/>
  <c r="G1388" i="13"/>
  <c r="H1388" i="13"/>
  <c r="J1388" i="13"/>
  <c r="K1388" i="13"/>
  <c r="L1388" i="13"/>
  <c r="M1388" i="13"/>
  <c r="N1388" i="13"/>
  <c r="O1388" i="13"/>
  <c r="C1392" i="13"/>
  <c r="E1392" i="13"/>
  <c r="C1393" i="13"/>
  <c r="E1393" i="13"/>
  <c r="C1394" i="13"/>
  <c r="E1394" i="13"/>
  <c r="I1394" i="13"/>
  <c r="J1394" i="13"/>
  <c r="K1394" i="13"/>
  <c r="L1394" i="13"/>
  <c r="C1395" i="13"/>
  <c r="E1395" i="13"/>
  <c r="I1395" i="13"/>
  <c r="J1395" i="13"/>
  <c r="K1395" i="13"/>
  <c r="L1395" i="13"/>
  <c r="C1396" i="13"/>
  <c r="E1396" i="13"/>
  <c r="I1396" i="13"/>
  <c r="J1396" i="13"/>
  <c r="K1396" i="13"/>
  <c r="L1396" i="13"/>
  <c r="C1397" i="13"/>
  <c r="E1397" i="13"/>
  <c r="I1397" i="13"/>
  <c r="J1397" i="13"/>
  <c r="K1397" i="13"/>
  <c r="L1397" i="13"/>
  <c r="C1398" i="13"/>
  <c r="E1398" i="13"/>
  <c r="I1398" i="13"/>
  <c r="J1398" i="13"/>
  <c r="K1398" i="13"/>
  <c r="L1398" i="13"/>
  <c r="C1399" i="13"/>
  <c r="E1399" i="13"/>
  <c r="I1399" i="13"/>
  <c r="J1399" i="13"/>
  <c r="K1399" i="13"/>
  <c r="L1399" i="13"/>
  <c r="C1400" i="13"/>
  <c r="E1400" i="13"/>
  <c r="I1400" i="13"/>
  <c r="J1400" i="13"/>
  <c r="K1400" i="13"/>
  <c r="L1400" i="13"/>
  <c r="C1401" i="13"/>
  <c r="E1401" i="13"/>
  <c r="I1401" i="13"/>
  <c r="J1401" i="13"/>
  <c r="K1401" i="13"/>
  <c r="L1401" i="13"/>
  <c r="C1402" i="13"/>
  <c r="E1402" i="13"/>
  <c r="I1402" i="13"/>
  <c r="J1402" i="13"/>
  <c r="L1402" i="13"/>
  <c r="C1403" i="13"/>
  <c r="E1403" i="13"/>
  <c r="I1403" i="13"/>
  <c r="J1403" i="13"/>
  <c r="L1403" i="13"/>
  <c r="C1404" i="13"/>
  <c r="E1404" i="13"/>
  <c r="I1404" i="13"/>
  <c r="J1404" i="13"/>
  <c r="L1404" i="13"/>
  <c r="C1405" i="13"/>
  <c r="E1405" i="13"/>
  <c r="J1405" i="13"/>
  <c r="L1405" i="13"/>
  <c r="C1406" i="13"/>
  <c r="E1406" i="13"/>
  <c r="J1406" i="13"/>
  <c r="L1406" i="13"/>
  <c r="C1407" i="13"/>
  <c r="E1407" i="13"/>
  <c r="J1407" i="13"/>
  <c r="L1407" i="13"/>
  <c r="C1408" i="13"/>
  <c r="E1408" i="13"/>
  <c r="J1408" i="13"/>
  <c r="L1408" i="13"/>
  <c r="C1409" i="13"/>
  <c r="E1409" i="13"/>
  <c r="J1409" i="13"/>
  <c r="L1409" i="13"/>
  <c r="C1410" i="13"/>
  <c r="E1410" i="13"/>
  <c r="J1410" i="13"/>
  <c r="L1410" i="13"/>
  <c r="C1411" i="13"/>
  <c r="E1411" i="13"/>
  <c r="J1411" i="13"/>
  <c r="L1411" i="13"/>
  <c r="C1412" i="13"/>
  <c r="E1412" i="13"/>
  <c r="I1412" i="13"/>
  <c r="J1412" i="13"/>
  <c r="K1412" i="13"/>
  <c r="L1412" i="13"/>
  <c r="C1413" i="13"/>
  <c r="E1413" i="13"/>
  <c r="I1413" i="13"/>
  <c r="J1413" i="13"/>
  <c r="K1413" i="13"/>
  <c r="L1413" i="13"/>
  <c r="C1414" i="13"/>
  <c r="E1414" i="13"/>
  <c r="J1414" i="13"/>
  <c r="L1414" i="13"/>
  <c r="C1415" i="13"/>
  <c r="E1415" i="13"/>
  <c r="I1415" i="13"/>
  <c r="J1415" i="13"/>
  <c r="K1415" i="13"/>
  <c r="L1415" i="13"/>
  <c r="C1416" i="13"/>
  <c r="E1416" i="13"/>
  <c r="I1416" i="13"/>
  <c r="J1416" i="13"/>
  <c r="K1416" i="13"/>
  <c r="L1416" i="13"/>
  <c r="C1417" i="13"/>
  <c r="E1417" i="13"/>
  <c r="C1418" i="13"/>
  <c r="E1418" i="13"/>
  <c r="C1419" i="13"/>
  <c r="E1419" i="13"/>
  <c r="C1423" i="13"/>
  <c r="E1423" i="13"/>
  <c r="C1424" i="13"/>
  <c r="E1424" i="13"/>
  <c r="C1425" i="13"/>
  <c r="E1425" i="13"/>
  <c r="C1426" i="13"/>
  <c r="E1426" i="13"/>
  <c r="C1427" i="13"/>
  <c r="E1427" i="13"/>
  <c r="C1428" i="13"/>
  <c r="E1428" i="13"/>
  <c r="C1429" i="13"/>
  <c r="E1429" i="13"/>
  <c r="C1430" i="13"/>
  <c r="E1430" i="13"/>
  <c r="C1431" i="13"/>
  <c r="E1431" i="13"/>
  <c r="C1432" i="13"/>
  <c r="E1432" i="13"/>
  <c r="C1433" i="13"/>
  <c r="E1433" i="13"/>
  <c r="C1434" i="13"/>
  <c r="E1434" i="13"/>
  <c r="C1435" i="13"/>
  <c r="E1435" i="13"/>
  <c r="C1436" i="13"/>
  <c r="E1436" i="13"/>
  <c r="C1437" i="13"/>
  <c r="E1437" i="13"/>
  <c r="C1438" i="13"/>
  <c r="E1438" i="13"/>
  <c r="C1439" i="13"/>
  <c r="E1439" i="13"/>
  <c r="C1440" i="13"/>
  <c r="E1440" i="13"/>
  <c r="C1441" i="13"/>
  <c r="E1441" i="13"/>
  <c r="C1442" i="13"/>
  <c r="E1442" i="13"/>
  <c r="C1443" i="13"/>
  <c r="E1443" i="13"/>
  <c r="C1444" i="13"/>
  <c r="E1444" i="13"/>
  <c r="C1445" i="13"/>
  <c r="E1445" i="13"/>
  <c r="C1446" i="13"/>
  <c r="E1446" i="13"/>
  <c r="C1447" i="13"/>
  <c r="E1447" i="13"/>
  <c r="C1448" i="13"/>
  <c r="E1448" i="13"/>
  <c r="C1449" i="13"/>
  <c r="E1449" i="13"/>
  <c r="C1450" i="13"/>
  <c r="E1450" i="13"/>
  <c r="C1451" i="13"/>
  <c r="E1451" i="13"/>
  <c r="C1452" i="13"/>
  <c r="E1452" i="13"/>
  <c r="C1453" i="13"/>
  <c r="E1453" i="13"/>
  <c r="C1454" i="13"/>
  <c r="E1454" i="13"/>
  <c r="C1455" i="13"/>
  <c r="E1455" i="13"/>
  <c r="C1456" i="13"/>
  <c r="E1456" i="13"/>
  <c r="C1457" i="13"/>
  <c r="E1457" i="13"/>
  <c r="A1460" i="13"/>
  <c r="C1510" i="13"/>
  <c r="E1510" i="13"/>
  <c r="F1510" i="13"/>
  <c r="G1510" i="13"/>
  <c r="C1511" i="13"/>
  <c r="D1511" i="13"/>
  <c r="E1511" i="13"/>
  <c r="G1511" i="13"/>
  <c r="H1511" i="13"/>
  <c r="I1511" i="13"/>
  <c r="C1512" i="13"/>
  <c r="D1512" i="13"/>
  <c r="E1512" i="13"/>
  <c r="G1512" i="13"/>
  <c r="H1512" i="13"/>
  <c r="I1512" i="13"/>
  <c r="C1513" i="13"/>
  <c r="D1513" i="13"/>
  <c r="E1513" i="13"/>
  <c r="G1513" i="13"/>
  <c r="H1513" i="13"/>
  <c r="I1513" i="13"/>
  <c r="C1514" i="13"/>
  <c r="D1514" i="13"/>
  <c r="E1514" i="13"/>
  <c r="G1514" i="13"/>
  <c r="H1514" i="13"/>
  <c r="I1514" i="13"/>
  <c r="C1515" i="13"/>
  <c r="D1515" i="13"/>
  <c r="E1515" i="13"/>
  <c r="G1515" i="13"/>
  <c r="H1515" i="13"/>
  <c r="I1515" i="13"/>
  <c r="C1516" i="13"/>
  <c r="D1516" i="13"/>
  <c r="E1516" i="13"/>
  <c r="G1516" i="13"/>
  <c r="H1516" i="13"/>
  <c r="I1516" i="13"/>
  <c r="C1517" i="13"/>
  <c r="D1517" i="13"/>
  <c r="E1517" i="13"/>
  <c r="G1517" i="13"/>
  <c r="H1517" i="13"/>
  <c r="I1517" i="13"/>
  <c r="C1518" i="13"/>
  <c r="D1518" i="13"/>
  <c r="E1518" i="13"/>
  <c r="G1518" i="13"/>
  <c r="H1518" i="13"/>
  <c r="I1518" i="13"/>
  <c r="C1519" i="13"/>
  <c r="D1519" i="13"/>
  <c r="E1519" i="13"/>
  <c r="G1519" i="13"/>
  <c r="H1519" i="13"/>
  <c r="I1519" i="13"/>
  <c r="C1520" i="13"/>
  <c r="D1520" i="13"/>
  <c r="E1520" i="13"/>
  <c r="G1520" i="13"/>
  <c r="H1520" i="13"/>
  <c r="I1520" i="13"/>
  <c r="C1521" i="13"/>
  <c r="D1521" i="13"/>
  <c r="E1521" i="13"/>
  <c r="G1521" i="13"/>
  <c r="H1521" i="13"/>
  <c r="I1521" i="13"/>
  <c r="C1522" i="13"/>
  <c r="D1522" i="13"/>
  <c r="E1522" i="13"/>
  <c r="G1522" i="13"/>
  <c r="H1522" i="13"/>
  <c r="I1522" i="13"/>
  <c r="C1523" i="13"/>
  <c r="D1523" i="13"/>
  <c r="E1523" i="13"/>
  <c r="G1523" i="13"/>
  <c r="H1523" i="13"/>
  <c r="I1523" i="13"/>
  <c r="C1524" i="13"/>
  <c r="D1524" i="13"/>
  <c r="E1524" i="13"/>
  <c r="G1524" i="13"/>
  <c r="H1524" i="13"/>
  <c r="I1524" i="13"/>
  <c r="C1525" i="13"/>
  <c r="D1525" i="13"/>
  <c r="E1525" i="13"/>
  <c r="G1525" i="13"/>
  <c r="H1525" i="13"/>
  <c r="I1525" i="13"/>
  <c r="C1526" i="13"/>
  <c r="D1526" i="13"/>
  <c r="E1526" i="13"/>
  <c r="G1526" i="13"/>
  <c r="H1526" i="13"/>
  <c r="I1526" i="13"/>
  <c r="C1527" i="13"/>
  <c r="D1527" i="13"/>
  <c r="E1527" i="13"/>
  <c r="G1527" i="13"/>
  <c r="H1527" i="13"/>
  <c r="I1527" i="13"/>
  <c r="C1528" i="13"/>
  <c r="D1528" i="13"/>
  <c r="E1528" i="13"/>
  <c r="C1529" i="13"/>
  <c r="D1529" i="13"/>
  <c r="E1529" i="13"/>
  <c r="C1530" i="13"/>
  <c r="D1530" i="13"/>
  <c r="E1530" i="13"/>
  <c r="H1530" i="13"/>
  <c r="C1531" i="13"/>
  <c r="D1531" i="13"/>
  <c r="E1531" i="13"/>
  <c r="H1531" i="13"/>
  <c r="C1532" i="13"/>
  <c r="D1532" i="13"/>
  <c r="E1532" i="13"/>
  <c r="C1533" i="13"/>
  <c r="D1533" i="13"/>
  <c r="E1533" i="13"/>
  <c r="C1534" i="13"/>
  <c r="D1534" i="13"/>
  <c r="E1534" i="13"/>
  <c r="C1535" i="13"/>
  <c r="D1535" i="13"/>
  <c r="E1535" i="13"/>
  <c r="C1536" i="13"/>
  <c r="D1536" i="13"/>
  <c r="E1536" i="13"/>
  <c r="C1537" i="13"/>
  <c r="D1537" i="13"/>
  <c r="E1537" i="13"/>
  <c r="C1538" i="13"/>
  <c r="D1538" i="13"/>
  <c r="E1538" i="13"/>
  <c r="C1577" i="13"/>
  <c r="E1577" i="13"/>
  <c r="C1578" i="13"/>
  <c r="E1578" i="13"/>
  <c r="C1579" i="13"/>
  <c r="E1579" i="13"/>
  <c r="C1580" i="13"/>
  <c r="E1580" i="13"/>
  <c r="C1581" i="13"/>
  <c r="E1581" i="13"/>
  <c r="C1582" i="13"/>
  <c r="E1582" i="13"/>
  <c r="C1583" i="13"/>
  <c r="E1583" i="13"/>
  <c r="C1584" i="13"/>
  <c r="E1584" i="13"/>
  <c r="C1585" i="13"/>
  <c r="E1585" i="13"/>
  <c r="C1586" i="13"/>
  <c r="E1586" i="13"/>
  <c r="G1586" i="13"/>
  <c r="C1587" i="13"/>
  <c r="E1587" i="13"/>
  <c r="C1588" i="13"/>
  <c r="E1588" i="13"/>
  <c r="C1589" i="13"/>
  <c r="E1589" i="13"/>
  <c r="C1590" i="13"/>
  <c r="E1590" i="13"/>
  <c r="C1591" i="13"/>
  <c r="E1591" i="13"/>
  <c r="C1592" i="13"/>
  <c r="E1592" i="13"/>
  <c r="C1593" i="13"/>
  <c r="E1593" i="13"/>
  <c r="C1594" i="13"/>
  <c r="E1594" i="13"/>
  <c r="C1595" i="13"/>
  <c r="E1595" i="13"/>
  <c r="C1596" i="13"/>
  <c r="E1596" i="13"/>
  <c r="C1597" i="13"/>
  <c r="E1597" i="13"/>
  <c r="C1598" i="13"/>
  <c r="E1598" i="13"/>
  <c r="C1599" i="13"/>
  <c r="E1599" i="13"/>
  <c r="G1599" i="13"/>
  <c r="C1600" i="13"/>
  <c r="E1600" i="13"/>
  <c r="C1601" i="13"/>
  <c r="E1601" i="13"/>
  <c r="C1602" i="13"/>
  <c r="E1602" i="13"/>
  <c r="C1603" i="13"/>
  <c r="E1603" i="13"/>
  <c r="C1604" i="13"/>
  <c r="E1604" i="13"/>
  <c r="C1605" i="13"/>
  <c r="E1605" i="13"/>
  <c r="C1606" i="13"/>
  <c r="E1606" i="13"/>
  <c r="C1607" i="13"/>
  <c r="E1607" i="13"/>
  <c r="G1607" i="13"/>
  <c r="C1608" i="13"/>
  <c r="E1608" i="13"/>
  <c r="C1609" i="13"/>
  <c r="E1609" i="13"/>
  <c r="C1610" i="13"/>
  <c r="E1610" i="13"/>
  <c r="C1611" i="13"/>
  <c r="E1611" i="13"/>
  <c r="M1632" i="13"/>
  <c r="O1632" i="13"/>
  <c r="M1633" i="13"/>
  <c r="O1633" i="13"/>
  <c r="M1634" i="13"/>
  <c r="O1634" i="13"/>
  <c r="M1635" i="13"/>
  <c r="O1635" i="13"/>
  <c r="M1636" i="13"/>
  <c r="O1636" i="13"/>
  <c r="M1637" i="13"/>
  <c r="O1637" i="13"/>
  <c r="M1638" i="13"/>
  <c r="O1638" i="13"/>
  <c r="M1639" i="13"/>
  <c r="O1639" i="13"/>
  <c r="M1640" i="13"/>
  <c r="O1640" i="13"/>
  <c r="M1641" i="13"/>
  <c r="O1641" i="13"/>
  <c r="M1642" i="13"/>
  <c r="O1642" i="13"/>
  <c r="M1643" i="13"/>
  <c r="O1643" i="13"/>
  <c r="M1644" i="13"/>
  <c r="O1644" i="13"/>
  <c r="M1645" i="13"/>
  <c r="O1645" i="13"/>
  <c r="M1646" i="13"/>
  <c r="O1646" i="13"/>
  <c r="M1647" i="13"/>
  <c r="O1647" i="13"/>
  <c r="M1648" i="13"/>
  <c r="O1648" i="13"/>
  <c r="M1649" i="13"/>
  <c r="O1649" i="13"/>
  <c r="M1650" i="13"/>
  <c r="O1650" i="13"/>
  <c r="M1651" i="13"/>
  <c r="O1651" i="13"/>
  <c r="M1652" i="13"/>
  <c r="O1652" i="13"/>
  <c r="M1653" i="13"/>
  <c r="O1653" i="13"/>
  <c r="M1654" i="13"/>
  <c r="O1654" i="13"/>
  <c r="M1655" i="13"/>
  <c r="O1655" i="13"/>
  <c r="M1656" i="13"/>
  <c r="O1656" i="13"/>
  <c r="M1657" i="13"/>
  <c r="O1657" i="13"/>
  <c r="M1658" i="13"/>
  <c r="O1658" i="13"/>
  <c r="M1659" i="13"/>
  <c r="O1659" i="13"/>
  <c r="M1660" i="13"/>
  <c r="O1660" i="13"/>
  <c r="M1661" i="13"/>
  <c r="O1661" i="13"/>
  <c r="M1662" i="13"/>
  <c r="O1662" i="13"/>
  <c r="M1663" i="13"/>
  <c r="O1663" i="13"/>
  <c r="M1664" i="13"/>
  <c r="O1664" i="13"/>
  <c r="M1665" i="13"/>
  <c r="O1665" i="13"/>
  <c r="M1666" i="13"/>
  <c r="O1666" i="13"/>
  <c r="C1672" i="13"/>
  <c r="E1672" i="13"/>
  <c r="G1672" i="13"/>
  <c r="I1672" i="13"/>
  <c r="K1672" i="13"/>
  <c r="M1672" i="13"/>
  <c r="O1672" i="13"/>
  <c r="Q1672" i="13"/>
  <c r="C1673" i="13"/>
  <c r="E1673" i="13"/>
  <c r="G1673" i="13"/>
  <c r="I1673" i="13"/>
  <c r="K1673" i="13"/>
  <c r="M1673" i="13"/>
  <c r="O1673" i="13"/>
  <c r="Q1673" i="13"/>
  <c r="C1674" i="13"/>
  <c r="E1674" i="13"/>
  <c r="G1674" i="13"/>
  <c r="I1674" i="13"/>
  <c r="K1674" i="13"/>
  <c r="M1674" i="13"/>
  <c r="O1674" i="13"/>
  <c r="Q1674" i="13"/>
  <c r="C1675" i="13"/>
  <c r="E1675" i="13"/>
  <c r="G1675" i="13"/>
  <c r="I1675" i="13"/>
  <c r="K1675" i="13"/>
  <c r="M1675" i="13"/>
  <c r="O1675" i="13"/>
  <c r="Q1675" i="13"/>
  <c r="C1676" i="13"/>
  <c r="E1676" i="13"/>
  <c r="G1676" i="13"/>
  <c r="I1676" i="13"/>
  <c r="K1676" i="13"/>
  <c r="M1676" i="13"/>
  <c r="O1676" i="13"/>
  <c r="Q1676" i="13"/>
  <c r="C1677" i="13"/>
  <c r="E1677" i="13"/>
  <c r="G1677" i="13"/>
  <c r="I1677" i="13"/>
  <c r="K1677" i="13"/>
  <c r="M1677" i="13"/>
  <c r="O1677" i="13"/>
  <c r="Q1677" i="13"/>
  <c r="C1678" i="13"/>
  <c r="E1678" i="13"/>
  <c r="G1678" i="13"/>
  <c r="I1678" i="13"/>
  <c r="K1678" i="13"/>
  <c r="M1678" i="13"/>
  <c r="O1678" i="13"/>
  <c r="Q1678" i="13"/>
  <c r="C1679" i="13"/>
  <c r="E1679" i="13"/>
  <c r="G1679" i="13"/>
  <c r="I1679" i="13"/>
  <c r="K1679" i="13"/>
  <c r="M1679" i="13"/>
  <c r="O1679" i="13"/>
  <c r="Q1679" i="13"/>
  <c r="C1680" i="13"/>
  <c r="E1680" i="13"/>
  <c r="G1680" i="13"/>
  <c r="I1680" i="13"/>
  <c r="K1680" i="13"/>
  <c r="M1680" i="13"/>
  <c r="O1680" i="13"/>
  <c r="Q1680" i="13"/>
  <c r="C1681" i="13"/>
  <c r="E1681" i="13"/>
  <c r="G1681" i="13"/>
  <c r="I1681" i="13"/>
  <c r="K1681" i="13"/>
  <c r="M1681" i="13"/>
  <c r="O1681" i="13"/>
  <c r="Q1681" i="13"/>
  <c r="C1682" i="13"/>
  <c r="E1682" i="13"/>
  <c r="G1682" i="13"/>
  <c r="I1682" i="13"/>
  <c r="K1682" i="13"/>
  <c r="M1682" i="13"/>
  <c r="O1682" i="13"/>
  <c r="Q1682" i="13"/>
  <c r="C1683" i="13"/>
  <c r="E1683" i="13"/>
  <c r="G1683" i="13"/>
  <c r="I1683" i="13"/>
  <c r="K1683" i="13"/>
  <c r="M1683" i="13"/>
  <c r="O1683" i="13"/>
  <c r="Q1683" i="13"/>
  <c r="C1684" i="13"/>
  <c r="E1684" i="13"/>
  <c r="G1684" i="13"/>
  <c r="I1684" i="13"/>
  <c r="K1684" i="13"/>
  <c r="M1684" i="13"/>
  <c r="O1684" i="13"/>
  <c r="Q1684" i="13"/>
  <c r="C1685" i="13"/>
  <c r="E1685" i="13"/>
  <c r="G1685" i="13"/>
  <c r="I1685" i="13"/>
  <c r="K1685" i="13"/>
  <c r="M1685" i="13"/>
  <c r="O1685" i="13"/>
  <c r="Q1685" i="13"/>
  <c r="C1686" i="13"/>
  <c r="E1686" i="13"/>
  <c r="G1686" i="13"/>
  <c r="I1686" i="13"/>
  <c r="K1686" i="13"/>
  <c r="M1686" i="13"/>
  <c r="O1686" i="13"/>
  <c r="Q1686" i="13"/>
  <c r="C1687" i="13"/>
  <c r="E1687" i="13"/>
  <c r="G1687" i="13"/>
  <c r="I1687" i="13"/>
  <c r="K1687" i="13"/>
  <c r="M1687" i="13"/>
  <c r="O1687" i="13"/>
  <c r="Q1687" i="13"/>
  <c r="C1688" i="13"/>
  <c r="E1688" i="13"/>
  <c r="G1688" i="13"/>
  <c r="I1688" i="13"/>
  <c r="K1688" i="13"/>
  <c r="M1688" i="13"/>
  <c r="O1688" i="13"/>
  <c r="Q1688" i="13"/>
  <c r="C1689" i="13"/>
  <c r="E1689" i="13"/>
  <c r="G1689" i="13"/>
  <c r="I1689" i="13"/>
  <c r="K1689" i="13"/>
  <c r="M1689" i="13"/>
  <c r="O1689" i="13"/>
  <c r="Q1689" i="13"/>
  <c r="C1690" i="13"/>
  <c r="E1690" i="13"/>
  <c r="G1690" i="13"/>
  <c r="I1690" i="13"/>
  <c r="K1690" i="13"/>
  <c r="M1690" i="13"/>
  <c r="O1690" i="13"/>
  <c r="Q1690" i="13"/>
  <c r="C1691" i="13"/>
  <c r="E1691" i="13"/>
  <c r="G1691" i="13"/>
  <c r="I1691" i="13"/>
  <c r="K1691" i="13"/>
  <c r="M1691" i="13"/>
  <c r="O1691" i="13"/>
  <c r="Q1691" i="13"/>
  <c r="C1692" i="13"/>
  <c r="E1692" i="13"/>
  <c r="G1692" i="13"/>
  <c r="I1692" i="13"/>
  <c r="K1692" i="13"/>
  <c r="M1692" i="13"/>
  <c r="O1692" i="13"/>
  <c r="Q1692" i="13"/>
  <c r="C1693" i="13"/>
  <c r="E1693" i="13"/>
  <c r="G1693" i="13"/>
  <c r="I1693" i="13"/>
  <c r="K1693" i="13"/>
  <c r="M1693" i="13"/>
  <c r="O1693" i="13"/>
  <c r="Q1693" i="13"/>
  <c r="C1694" i="13"/>
  <c r="E1694" i="13"/>
  <c r="G1694" i="13"/>
  <c r="I1694" i="13"/>
  <c r="K1694" i="13"/>
  <c r="M1694" i="13"/>
  <c r="O1694" i="13"/>
  <c r="Q1694" i="13"/>
  <c r="C1695" i="13"/>
  <c r="E1695" i="13"/>
  <c r="G1695" i="13"/>
  <c r="I1695" i="13"/>
  <c r="K1695" i="13"/>
  <c r="M1695" i="13"/>
  <c r="O1695" i="13"/>
  <c r="Q1695" i="13"/>
  <c r="C1696" i="13"/>
  <c r="E1696" i="13"/>
  <c r="G1696" i="13"/>
  <c r="I1696" i="13"/>
  <c r="K1696" i="13"/>
  <c r="M1696" i="13"/>
  <c r="O1696" i="13"/>
  <c r="Q1696" i="13"/>
  <c r="C1697" i="13"/>
  <c r="E1697" i="13"/>
  <c r="G1697" i="13"/>
  <c r="I1697" i="13"/>
  <c r="K1697" i="13"/>
  <c r="M1697" i="13"/>
  <c r="O1697" i="13"/>
  <c r="Q1697" i="13"/>
  <c r="C1698" i="13"/>
  <c r="E1698" i="13"/>
  <c r="G1698" i="13"/>
  <c r="I1698" i="13"/>
  <c r="K1698" i="13"/>
  <c r="M1698" i="13"/>
  <c r="O1698" i="13"/>
  <c r="Q1698" i="13"/>
  <c r="C1699" i="13"/>
  <c r="E1699" i="13"/>
  <c r="G1699" i="13"/>
  <c r="I1699" i="13"/>
  <c r="K1699" i="13"/>
  <c r="M1699" i="13"/>
  <c r="O1699" i="13"/>
  <c r="Q1699" i="13"/>
  <c r="C1700" i="13"/>
  <c r="E1700" i="13"/>
  <c r="G1700" i="13"/>
  <c r="I1700" i="13"/>
  <c r="K1700" i="13"/>
  <c r="M1700" i="13"/>
  <c r="O1700" i="13"/>
  <c r="Q1700" i="13"/>
  <c r="C1701" i="13"/>
  <c r="E1701" i="13"/>
  <c r="G1701" i="13"/>
  <c r="I1701" i="13"/>
  <c r="K1701" i="13"/>
  <c r="M1701" i="13"/>
  <c r="O1701" i="13"/>
  <c r="Q1701" i="13"/>
  <c r="C1702" i="13"/>
  <c r="E1702" i="13"/>
  <c r="G1702" i="13"/>
  <c r="I1702" i="13"/>
  <c r="K1702" i="13"/>
  <c r="M1702" i="13"/>
  <c r="O1702" i="13"/>
  <c r="Q1702" i="13"/>
  <c r="C1703" i="13"/>
  <c r="E1703" i="13"/>
  <c r="G1703" i="13"/>
  <c r="I1703" i="13"/>
  <c r="K1703" i="13"/>
  <c r="M1703" i="13"/>
  <c r="O1703" i="13"/>
  <c r="Q1703" i="13"/>
  <c r="C1704" i="13"/>
  <c r="E1704" i="13"/>
  <c r="G1704" i="13"/>
  <c r="I1704" i="13"/>
  <c r="K1704" i="13"/>
  <c r="M1704" i="13"/>
  <c r="O1704" i="13"/>
  <c r="Q1704" i="13"/>
  <c r="C1705" i="13"/>
  <c r="E1705" i="13"/>
  <c r="G1705" i="13"/>
  <c r="I1705" i="13"/>
  <c r="K1705" i="13"/>
  <c r="M1705" i="13"/>
  <c r="O1705" i="13"/>
  <c r="Q1705" i="13"/>
  <c r="C1706" i="13"/>
  <c r="E1706" i="13"/>
  <c r="G1706" i="13"/>
  <c r="I1706" i="13"/>
  <c r="K1706" i="13"/>
  <c r="M1706" i="13"/>
  <c r="O1706" i="13"/>
  <c r="Q1706" i="13"/>
  <c r="C1707" i="13"/>
  <c r="E1707" i="13"/>
  <c r="G1707" i="13"/>
  <c r="I1707" i="13"/>
  <c r="K1707" i="13"/>
  <c r="M1707" i="13"/>
  <c r="O1707" i="13"/>
  <c r="Q1707" i="13"/>
  <c r="C1708" i="13"/>
  <c r="E1708" i="13"/>
  <c r="G1708" i="13"/>
  <c r="I1708" i="13"/>
  <c r="K1708" i="13"/>
  <c r="M1708" i="13"/>
  <c r="O1708" i="13"/>
  <c r="Q1708" i="13"/>
  <c r="C1709" i="13"/>
  <c r="E1709" i="13"/>
  <c r="G1709" i="13"/>
  <c r="I1709" i="13"/>
  <c r="K1709" i="13"/>
  <c r="M1709" i="13"/>
  <c r="O1709" i="13"/>
  <c r="Q1709" i="13"/>
  <c r="C1710" i="13"/>
  <c r="E1710" i="13"/>
  <c r="G1710" i="13"/>
  <c r="I1710" i="13"/>
  <c r="K1710" i="13"/>
  <c r="M1710" i="13"/>
  <c r="O1710" i="13"/>
  <c r="Q1710" i="13"/>
  <c r="C1711" i="13"/>
  <c r="E1711" i="13"/>
  <c r="G1711" i="13"/>
  <c r="I1711" i="13"/>
  <c r="K1711" i="13"/>
  <c r="M1711" i="13"/>
  <c r="O1711" i="13"/>
  <c r="Q1711" i="13"/>
  <c r="C1716" i="13"/>
  <c r="E1716" i="13"/>
  <c r="G1716" i="13"/>
  <c r="I1716" i="13"/>
  <c r="C1717" i="13"/>
  <c r="E1717" i="13"/>
  <c r="G1717" i="13"/>
  <c r="I1717" i="13"/>
  <c r="C1718" i="13"/>
  <c r="E1718" i="13"/>
  <c r="G1718" i="13"/>
  <c r="I1718" i="13"/>
  <c r="C1719" i="13"/>
  <c r="E1719" i="13"/>
  <c r="G1719" i="13"/>
  <c r="I1719" i="13"/>
  <c r="C1720" i="13"/>
  <c r="E1720" i="13"/>
  <c r="G1720" i="13"/>
  <c r="I1720" i="13"/>
  <c r="C1721" i="13"/>
  <c r="E1721" i="13"/>
  <c r="G1721" i="13"/>
  <c r="I1721" i="13"/>
  <c r="C1722" i="13"/>
  <c r="E1722" i="13"/>
  <c r="G1722" i="13"/>
  <c r="I1722" i="13"/>
  <c r="C1723" i="13"/>
  <c r="E1723" i="13"/>
  <c r="G1723" i="13"/>
  <c r="I1723" i="13"/>
  <c r="C1724" i="13"/>
  <c r="E1724" i="13"/>
  <c r="G1724" i="13"/>
  <c r="I1724" i="13"/>
  <c r="C1725" i="13"/>
  <c r="E1725" i="13"/>
  <c r="G1725" i="13"/>
  <c r="I1725" i="13"/>
  <c r="C1726" i="13"/>
  <c r="E1726" i="13"/>
  <c r="G1726" i="13"/>
  <c r="I1726" i="13"/>
  <c r="C1727" i="13"/>
  <c r="E1727" i="13"/>
  <c r="G1727" i="13"/>
  <c r="I1727" i="13"/>
  <c r="C1728" i="13"/>
  <c r="E1728" i="13"/>
  <c r="G1728" i="13"/>
  <c r="I1728" i="13"/>
  <c r="C1729" i="13"/>
  <c r="E1729" i="13"/>
  <c r="G1729" i="13"/>
  <c r="I1729" i="13"/>
  <c r="C1730" i="13"/>
  <c r="E1730" i="13"/>
  <c r="G1730" i="13"/>
  <c r="I1730" i="13"/>
  <c r="C1731" i="13"/>
  <c r="E1731" i="13"/>
  <c r="G1731" i="13"/>
  <c r="I1731" i="13"/>
  <c r="C1732" i="13"/>
  <c r="E1732" i="13"/>
  <c r="G1732" i="13"/>
  <c r="I1732" i="13"/>
  <c r="C1733" i="13"/>
  <c r="E1733" i="13"/>
  <c r="G1733" i="13"/>
  <c r="I1733" i="13"/>
  <c r="C1734" i="13"/>
  <c r="E1734" i="13"/>
  <c r="G1734" i="13"/>
  <c r="I1734" i="13"/>
  <c r="C1735" i="13"/>
  <c r="E1735" i="13"/>
  <c r="G1735" i="13"/>
  <c r="I1735" i="13"/>
  <c r="C1736" i="13"/>
  <c r="E1736" i="13"/>
  <c r="G1736" i="13"/>
  <c r="I1736" i="13"/>
  <c r="C1737" i="13"/>
  <c r="E1737" i="13"/>
  <c r="G1737" i="13"/>
  <c r="I1737" i="13"/>
  <c r="C1738" i="13"/>
  <c r="E1738" i="13"/>
  <c r="G1738" i="13"/>
  <c r="I1738" i="13"/>
  <c r="C1739" i="13"/>
  <c r="E1739" i="13"/>
  <c r="G1739" i="13"/>
  <c r="I1739" i="13"/>
  <c r="C1740" i="13"/>
  <c r="E1740" i="13"/>
  <c r="G1740" i="13"/>
  <c r="I1740" i="13"/>
  <c r="C1741" i="13"/>
  <c r="E1741" i="13"/>
  <c r="G1741" i="13"/>
  <c r="I1741" i="13"/>
  <c r="C1742" i="13"/>
  <c r="E1742" i="13"/>
  <c r="G1742" i="13"/>
  <c r="I1742" i="13"/>
  <c r="C1743" i="13"/>
  <c r="E1743" i="13"/>
  <c r="G1743" i="13"/>
  <c r="I1743" i="13"/>
  <c r="C1744" i="13"/>
  <c r="E1744" i="13"/>
  <c r="G1744" i="13"/>
  <c r="I1744" i="13"/>
  <c r="C1745" i="13"/>
  <c r="E1745" i="13"/>
  <c r="G1745" i="13"/>
  <c r="I1745" i="13"/>
  <c r="C1746" i="13"/>
  <c r="E1746" i="13"/>
  <c r="G1746" i="13"/>
  <c r="I1746" i="13"/>
  <c r="C1747" i="13"/>
  <c r="E1747" i="13"/>
  <c r="G1747" i="13"/>
  <c r="I1747" i="13"/>
  <c r="C1748" i="13"/>
  <c r="E1748" i="13"/>
  <c r="G1748" i="13"/>
  <c r="I1748" i="13"/>
  <c r="C1749" i="13"/>
  <c r="E1749" i="13"/>
  <c r="G1749" i="13"/>
  <c r="I1749" i="13"/>
  <c r="C1750" i="13"/>
  <c r="E1750" i="13"/>
  <c r="G1750" i="13"/>
  <c r="I1750" i="13"/>
  <c r="C1751" i="13"/>
  <c r="E1751" i="13"/>
  <c r="G1751" i="13"/>
  <c r="I1751" i="13"/>
  <c r="C1752" i="13"/>
  <c r="E1752" i="13"/>
  <c r="G1752" i="13"/>
  <c r="I1752" i="13"/>
  <c r="C1753" i="13"/>
  <c r="E1753" i="13"/>
  <c r="G1753" i="13"/>
  <c r="I1753" i="13"/>
  <c r="C1754" i="13"/>
  <c r="E1754" i="13"/>
  <c r="G1754" i="13"/>
  <c r="I1754" i="13"/>
  <c r="C1755" i="13"/>
  <c r="E1755" i="13"/>
  <c r="G1755" i="13"/>
  <c r="I1755" i="13"/>
  <c r="C1761" i="13"/>
  <c r="E1761" i="13"/>
  <c r="G1761" i="13"/>
  <c r="C1762" i="13"/>
  <c r="E1762" i="13"/>
  <c r="G1762" i="13"/>
  <c r="C1763" i="13"/>
  <c r="E1763" i="13"/>
  <c r="G1763" i="13"/>
  <c r="C1764" i="13"/>
  <c r="E1764" i="13"/>
  <c r="G1764" i="13"/>
  <c r="C1765" i="13"/>
  <c r="E1765" i="13"/>
  <c r="G1765" i="13"/>
  <c r="C1766" i="13"/>
  <c r="E1766" i="13"/>
  <c r="G1766" i="13"/>
  <c r="C1767" i="13"/>
  <c r="E1767" i="13"/>
  <c r="G1767" i="13"/>
  <c r="C1768" i="13"/>
  <c r="E1768" i="13"/>
  <c r="G1768" i="13"/>
  <c r="C1769" i="13"/>
  <c r="E1769" i="13"/>
  <c r="G1769" i="13"/>
  <c r="C1770" i="13"/>
  <c r="E1770" i="13"/>
  <c r="G1770" i="13"/>
  <c r="I1770" i="13"/>
  <c r="J1770" i="13"/>
  <c r="C1771" i="13"/>
  <c r="E1771" i="13"/>
  <c r="G1771" i="13"/>
  <c r="C1772" i="13"/>
  <c r="E1772" i="13"/>
  <c r="G1772" i="13"/>
  <c r="I1772" i="13"/>
  <c r="C1773" i="13"/>
  <c r="E1773" i="13"/>
  <c r="G1773" i="13"/>
  <c r="C1774" i="13"/>
  <c r="E1774" i="13"/>
  <c r="G1774" i="13"/>
  <c r="C1775" i="13"/>
  <c r="E1775" i="13"/>
  <c r="G1775" i="13"/>
  <c r="I1775" i="13"/>
  <c r="C1776" i="13"/>
  <c r="E1776" i="13"/>
  <c r="G1776" i="13"/>
  <c r="C1777" i="13"/>
  <c r="E1777" i="13"/>
  <c r="G1777" i="13"/>
  <c r="C1793" i="13"/>
  <c r="B1798" i="13"/>
  <c r="C1798" i="13"/>
  <c r="D1798" i="13"/>
  <c r="E1798" i="13"/>
  <c r="F1798" i="13"/>
  <c r="G1798" i="13"/>
  <c r="H1798" i="13"/>
  <c r="I1798" i="13"/>
  <c r="B1799" i="13"/>
  <c r="C1799" i="13"/>
  <c r="D1799" i="13"/>
  <c r="E1799" i="13"/>
  <c r="F1799" i="13"/>
  <c r="G1799" i="13"/>
  <c r="H1799" i="13"/>
  <c r="I1799" i="13"/>
  <c r="B1800" i="13"/>
  <c r="C1800" i="13"/>
  <c r="D1800" i="13"/>
  <c r="E1800" i="13"/>
  <c r="F1800" i="13"/>
  <c r="G1800" i="13"/>
  <c r="H1800" i="13"/>
  <c r="I1800" i="13"/>
  <c r="B1801" i="13"/>
  <c r="C1801" i="13"/>
  <c r="D1801" i="13"/>
  <c r="E1801" i="13"/>
  <c r="F1801" i="13"/>
  <c r="G1801" i="13"/>
  <c r="H1801" i="13"/>
  <c r="I1801" i="13"/>
  <c r="B1802" i="13"/>
  <c r="C1802" i="13"/>
  <c r="D1802" i="13"/>
  <c r="E1802" i="13"/>
  <c r="F1802" i="13"/>
  <c r="G1802" i="13"/>
  <c r="H1802" i="13"/>
  <c r="I1802" i="13"/>
  <c r="B1803" i="13"/>
  <c r="C1803" i="13"/>
  <c r="D1803" i="13"/>
  <c r="E1803" i="13"/>
  <c r="F1803" i="13"/>
  <c r="G1803" i="13"/>
  <c r="H1803" i="13"/>
  <c r="I1803" i="13"/>
  <c r="B1804" i="13"/>
  <c r="C1804" i="13"/>
  <c r="D1804" i="13"/>
  <c r="E1804" i="13"/>
  <c r="F1804" i="13"/>
  <c r="G1804" i="13"/>
  <c r="H1804" i="13"/>
  <c r="I1804" i="13"/>
  <c r="B1810" i="13"/>
  <c r="C1810" i="13"/>
  <c r="G1810" i="13"/>
  <c r="H1810" i="13"/>
  <c r="L1810" i="13"/>
  <c r="M1810" i="13"/>
  <c r="Q1810" i="13"/>
  <c r="R1810" i="13"/>
  <c r="V1810" i="13"/>
  <c r="W1810" i="13"/>
  <c r="AA1810" i="13"/>
  <c r="AB1810" i="13"/>
  <c r="AF1810" i="13"/>
  <c r="AG1810" i="13"/>
  <c r="AK1810" i="13"/>
  <c r="AL1810" i="13"/>
  <c r="B1811" i="13"/>
  <c r="C1811" i="13"/>
  <c r="D1811" i="13"/>
  <c r="E1811" i="13"/>
  <c r="G1811" i="13"/>
  <c r="H1811" i="13"/>
  <c r="I1811" i="13"/>
  <c r="J1811" i="13"/>
  <c r="L1811" i="13"/>
  <c r="M1811" i="13"/>
  <c r="N1811" i="13"/>
  <c r="O1811" i="13"/>
  <c r="Q1811" i="13"/>
  <c r="R1811" i="13"/>
  <c r="S1811" i="13"/>
  <c r="T1811" i="13"/>
  <c r="V1811" i="13"/>
  <c r="W1811" i="13"/>
  <c r="X1811" i="13"/>
  <c r="Y1811" i="13"/>
  <c r="AA1811" i="13"/>
  <c r="AB1811" i="13"/>
  <c r="AC1811" i="13"/>
  <c r="AD1811" i="13"/>
  <c r="AF1811" i="13"/>
  <c r="AG1811" i="13"/>
  <c r="AH1811" i="13"/>
  <c r="AI1811" i="13"/>
  <c r="AK1811" i="13"/>
  <c r="AL1811" i="13"/>
  <c r="AM1811" i="13"/>
  <c r="AN1811" i="13"/>
  <c r="B1812" i="13"/>
  <c r="C1812" i="13"/>
  <c r="D1812" i="13"/>
  <c r="E1812" i="13"/>
  <c r="G1812" i="13"/>
  <c r="H1812" i="13"/>
  <c r="I1812" i="13"/>
  <c r="J1812" i="13"/>
  <c r="L1812" i="13"/>
  <c r="M1812" i="13"/>
  <c r="N1812" i="13"/>
  <c r="O1812" i="13"/>
  <c r="Q1812" i="13"/>
  <c r="R1812" i="13"/>
  <c r="S1812" i="13"/>
  <c r="T1812" i="13"/>
  <c r="V1812" i="13"/>
  <c r="W1812" i="13"/>
  <c r="X1812" i="13"/>
  <c r="Y1812" i="13"/>
  <c r="AA1812" i="13"/>
  <c r="AB1812" i="13"/>
  <c r="AC1812" i="13"/>
  <c r="AD1812" i="13"/>
  <c r="AF1812" i="13"/>
  <c r="AG1812" i="13"/>
  <c r="AH1812" i="13"/>
  <c r="AI1812" i="13"/>
  <c r="AK1812" i="13"/>
  <c r="AL1812" i="13"/>
  <c r="AM1812" i="13"/>
  <c r="AN1812" i="13"/>
  <c r="B1815" i="13"/>
  <c r="C1815" i="13"/>
  <c r="G1815" i="13"/>
  <c r="H1815" i="13"/>
  <c r="L1815" i="13"/>
  <c r="M1815" i="13"/>
  <c r="Q1815" i="13"/>
  <c r="R1815" i="13"/>
  <c r="V1815" i="13"/>
  <c r="W1815" i="13"/>
  <c r="AA1815" i="13"/>
  <c r="AB1815" i="13"/>
  <c r="AF1815" i="13"/>
  <c r="AG1815" i="13"/>
  <c r="AK1815" i="13"/>
  <c r="AL1815" i="13"/>
  <c r="B1816" i="13"/>
  <c r="C1816" i="13"/>
  <c r="D1816" i="13"/>
  <c r="E1816" i="13"/>
  <c r="G1816" i="13"/>
  <c r="H1816" i="13"/>
  <c r="I1816" i="13"/>
  <c r="J1816" i="13"/>
  <c r="L1816" i="13"/>
  <c r="M1816" i="13"/>
  <c r="N1816" i="13"/>
  <c r="O1816" i="13"/>
  <c r="Q1816" i="13"/>
  <c r="R1816" i="13"/>
  <c r="S1816" i="13"/>
  <c r="T1816" i="13"/>
  <c r="V1816" i="13"/>
  <c r="W1816" i="13"/>
  <c r="X1816" i="13"/>
  <c r="Y1816" i="13"/>
  <c r="AA1816" i="13"/>
  <c r="AB1816" i="13"/>
  <c r="AC1816" i="13"/>
  <c r="AD1816" i="13"/>
  <c r="AF1816" i="13"/>
  <c r="AG1816" i="13"/>
  <c r="AH1816" i="13"/>
  <c r="AI1816" i="13"/>
  <c r="AK1816" i="13"/>
  <c r="AL1816" i="13"/>
  <c r="AM1816" i="13"/>
  <c r="AN1816" i="13"/>
  <c r="B1817" i="13"/>
  <c r="C1817" i="13"/>
  <c r="D1817" i="13"/>
  <c r="E1817" i="13"/>
  <c r="G1817" i="13"/>
  <c r="H1817" i="13"/>
  <c r="I1817" i="13"/>
  <c r="J1817" i="13"/>
  <c r="L1817" i="13"/>
  <c r="M1817" i="13"/>
  <c r="N1817" i="13"/>
  <c r="O1817" i="13"/>
  <c r="Q1817" i="13"/>
  <c r="R1817" i="13"/>
  <c r="S1817" i="13"/>
  <c r="T1817" i="13"/>
  <c r="V1817" i="13"/>
  <c r="W1817" i="13"/>
  <c r="X1817" i="13"/>
  <c r="Y1817" i="13"/>
  <c r="AA1817" i="13"/>
  <c r="AB1817" i="13"/>
  <c r="AC1817" i="13"/>
  <c r="AD1817" i="13"/>
  <c r="AF1817" i="13"/>
  <c r="AG1817" i="13"/>
  <c r="AH1817" i="13"/>
  <c r="AI1817" i="13"/>
  <c r="AK1817" i="13"/>
  <c r="AL1817" i="13"/>
  <c r="AM1817" i="13"/>
  <c r="AN1817" i="13"/>
  <c r="B1820" i="13"/>
  <c r="C1820" i="13"/>
  <c r="G1820" i="13"/>
  <c r="H1820" i="13"/>
  <c r="L1820" i="13"/>
  <c r="M1820" i="13"/>
  <c r="Q1820" i="13"/>
  <c r="R1820" i="13"/>
  <c r="V1820" i="13"/>
  <c r="W1820" i="13"/>
  <c r="AA1820" i="13"/>
  <c r="AB1820" i="13"/>
  <c r="AF1820" i="13"/>
  <c r="AG1820" i="13"/>
  <c r="AK1820" i="13"/>
  <c r="AL1820" i="13"/>
  <c r="B1821" i="13"/>
  <c r="C1821" i="13"/>
  <c r="D1821" i="13"/>
  <c r="E1821" i="13"/>
  <c r="G1821" i="13"/>
  <c r="H1821" i="13"/>
  <c r="I1821" i="13"/>
  <c r="J1821" i="13"/>
  <c r="L1821" i="13"/>
  <c r="M1821" i="13"/>
  <c r="N1821" i="13"/>
  <c r="O1821" i="13"/>
  <c r="Q1821" i="13"/>
  <c r="R1821" i="13"/>
  <c r="S1821" i="13"/>
  <c r="T1821" i="13"/>
  <c r="V1821" i="13"/>
  <c r="W1821" i="13"/>
  <c r="X1821" i="13"/>
  <c r="Y1821" i="13"/>
  <c r="AA1821" i="13"/>
  <c r="AB1821" i="13"/>
  <c r="AC1821" i="13"/>
  <c r="AD1821" i="13"/>
  <c r="AF1821" i="13"/>
  <c r="AG1821" i="13"/>
  <c r="AH1821" i="13"/>
  <c r="AI1821" i="13"/>
  <c r="AK1821" i="13"/>
  <c r="AL1821" i="13"/>
  <c r="AM1821" i="13"/>
  <c r="AN1821" i="13"/>
  <c r="B1822" i="13"/>
  <c r="C1822" i="13"/>
  <c r="D1822" i="13"/>
  <c r="E1822" i="13"/>
  <c r="G1822" i="13"/>
  <c r="H1822" i="13"/>
  <c r="I1822" i="13"/>
  <c r="J1822" i="13"/>
  <c r="L1822" i="13"/>
  <c r="M1822" i="13"/>
  <c r="N1822" i="13"/>
  <c r="O1822" i="13"/>
  <c r="Q1822" i="13"/>
  <c r="R1822" i="13"/>
  <c r="S1822" i="13"/>
  <c r="T1822" i="13"/>
  <c r="V1822" i="13"/>
  <c r="W1822" i="13"/>
  <c r="X1822" i="13"/>
  <c r="Y1822" i="13"/>
  <c r="AA1822" i="13"/>
  <c r="AB1822" i="13"/>
  <c r="AC1822" i="13"/>
  <c r="AD1822" i="13"/>
  <c r="AF1822" i="13"/>
  <c r="AG1822" i="13"/>
  <c r="AH1822" i="13"/>
  <c r="AI1822" i="13"/>
  <c r="AK1822" i="13"/>
  <c r="AL1822" i="13"/>
  <c r="AM1822" i="13"/>
  <c r="AN1822" i="13"/>
  <c r="B1825" i="13"/>
  <c r="C1825" i="13"/>
  <c r="G1825" i="13"/>
  <c r="H1825" i="13"/>
  <c r="L1825" i="13"/>
  <c r="M1825" i="13"/>
  <c r="Q1825" i="13"/>
  <c r="R1825" i="13"/>
  <c r="V1825" i="13"/>
  <c r="W1825" i="13"/>
  <c r="AA1825" i="13"/>
  <c r="AB1825" i="13"/>
  <c r="AF1825" i="13"/>
  <c r="AG1825" i="13"/>
  <c r="AK1825" i="13"/>
  <c r="AL1825" i="13"/>
  <c r="B1826" i="13"/>
  <c r="C1826" i="13"/>
  <c r="D1826" i="13"/>
  <c r="E1826" i="13"/>
  <c r="G1826" i="13"/>
  <c r="H1826" i="13"/>
  <c r="I1826" i="13"/>
  <c r="J1826" i="13"/>
  <c r="L1826" i="13"/>
  <c r="M1826" i="13"/>
  <c r="N1826" i="13"/>
  <c r="O1826" i="13"/>
  <c r="Q1826" i="13"/>
  <c r="R1826" i="13"/>
  <c r="S1826" i="13"/>
  <c r="T1826" i="13"/>
  <c r="V1826" i="13"/>
  <c r="W1826" i="13"/>
  <c r="X1826" i="13"/>
  <c r="Y1826" i="13"/>
  <c r="AA1826" i="13"/>
  <c r="AB1826" i="13"/>
  <c r="AC1826" i="13"/>
  <c r="AD1826" i="13"/>
  <c r="AF1826" i="13"/>
  <c r="AG1826" i="13"/>
  <c r="AH1826" i="13"/>
  <c r="AI1826" i="13"/>
  <c r="AK1826" i="13"/>
  <c r="AL1826" i="13"/>
  <c r="AM1826" i="13"/>
  <c r="AN1826" i="13"/>
  <c r="B1827" i="13"/>
  <c r="C1827" i="13"/>
  <c r="D1827" i="13"/>
  <c r="E1827" i="13"/>
  <c r="G1827" i="13"/>
  <c r="H1827" i="13"/>
  <c r="I1827" i="13"/>
  <c r="J1827" i="13"/>
  <c r="L1827" i="13"/>
  <c r="M1827" i="13"/>
  <c r="N1827" i="13"/>
  <c r="O1827" i="13"/>
  <c r="Q1827" i="13"/>
  <c r="R1827" i="13"/>
  <c r="S1827" i="13"/>
  <c r="T1827" i="13"/>
  <c r="V1827" i="13"/>
  <c r="W1827" i="13"/>
  <c r="X1827" i="13"/>
  <c r="Y1827" i="13"/>
  <c r="AA1827" i="13"/>
  <c r="AB1827" i="13"/>
  <c r="AC1827" i="13"/>
  <c r="AD1827" i="13"/>
  <c r="AF1827" i="13"/>
  <c r="AG1827" i="13"/>
  <c r="AH1827" i="13"/>
  <c r="AI1827" i="13"/>
  <c r="AK1827" i="13"/>
  <c r="AL1827" i="13"/>
  <c r="AM1827" i="13"/>
  <c r="AN1827" i="13"/>
  <c r="B1830" i="13"/>
  <c r="C1830" i="13"/>
  <c r="G1830" i="13"/>
  <c r="H1830" i="13"/>
  <c r="L1830" i="13"/>
  <c r="M1830" i="13"/>
  <c r="Q1830" i="13"/>
  <c r="R1830" i="13"/>
  <c r="V1830" i="13"/>
  <c r="W1830" i="13"/>
  <c r="AA1830" i="13"/>
  <c r="AB1830" i="13"/>
  <c r="AF1830" i="13"/>
  <c r="AG1830" i="13"/>
  <c r="AK1830" i="13"/>
  <c r="AL1830" i="13"/>
  <c r="B1831" i="13"/>
  <c r="C1831" i="13"/>
  <c r="D1831" i="13"/>
  <c r="E1831" i="13"/>
  <c r="G1831" i="13"/>
  <c r="H1831" i="13"/>
  <c r="I1831" i="13"/>
  <c r="J1831" i="13"/>
  <c r="L1831" i="13"/>
  <c r="M1831" i="13"/>
  <c r="N1831" i="13"/>
  <c r="O1831" i="13"/>
  <c r="Q1831" i="13"/>
  <c r="R1831" i="13"/>
  <c r="S1831" i="13"/>
  <c r="T1831" i="13"/>
  <c r="V1831" i="13"/>
  <c r="W1831" i="13"/>
  <c r="X1831" i="13"/>
  <c r="Y1831" i="13"/>
  <c r="AA1831" i="13"/>
  <c r="AB1831" i="13"/>
  <c r="AC1831" i="13"/>
  <c r="AD1831" i="13"/>
  <c r="AF1831" i="13"/>
  <c r="AG1831" i="13"/>
  <c r="AH1831" i="13"/>
  <c r="AI1831" i="13"/>
  <c r="AK1831" i="13"/>
  <c r="AL1831" i="13"/>
  <c r="AM1831" i="13"/>
  <c r="AN1831" i="13"/>
  <c r="B1832" i="13"/>
  <c r="C1832" i="13"/>
  <c r="D1832" i="13"/>
  <c r="E1832" i="13"/>
  <c r="G1832" i="13"/>
  <c r="H1832" i="13"/>
  <c r="I1832" i="13"/>
  <c r="J1832" i="13"/>
  <c r="L1832" i="13"/>
  <c r="M1832" i="13"/>
  <c r="N1832" i="13"/>
  <c r="O1832" i="13"/>
  <c r="Q1832" i="13"/>
  <c r="R1832" i="13"/>
  <c r="S1832" i="13"/>
  <c r="T1832" i="13"/>
  <c r="V1832" i="13"/>
  <c r="W1832" i="13"/>
  <c r="X1832" i="13"/>
  <c r="Y1832" i="13"/>
  <c r="AA1832" i="13"/>
  <c r="AB1832" i="13"/>
  <c r="AC1832" i="13"/>
  <c r="AD1832" i="13"/>
  <c r="AF1832" i="13"/>
  <c r="AG1832" i="13"/>
  <c r="AH1832" i="13"/>
  <c r="AI1832" i="13"/>
  <c r="AK1832" i="13"/>
  <c r="AL1832" i="13"/>
  <c r="AM1832" i="13"/>
  <c r="AN1832" i="13"/>
  <c r="B1835" i="13"/>
  <c r="C1835" i="13"/>
  <c r="G1835" i="13"/>
  <c r="H1835" i="13"/>
  <c r="L1835" i="13"/>
  <c r="M1835" i="13"/>
  <c r="Q1835" i="13"/>
  <c r="R1835" i="13"/>
  <c r="V1835" i="13"/>
  <c r="W1835" i="13"/>
  <c r="AA1835" i="13"/>
  <c r="AB1835" i="13"/>
  <c r="AF1835" i="13"/>
  <c r="AG1835" i="13"/>
  <c r="AK1835" i="13"/>
  <c r="AL1835" i="13"/>
  <c r="B1836" i="13"/>
  <c r="C1836" i="13"/>
  <c r="D1836" i="13"/>
  <c r="E1836" i="13"/>
  <c r="G1836" i="13"/>
  <c r="H1836" i="13"/>
  <c r="I1836" i="13"/>
  <c r="J1836" i="13"/>
  <c r="L1836" i="13"/>
  <c r="M1836" i="13"/>
  <c r="N1836" i="13"/>
  <c r="O1836" i="13"/>
  <c r="Q1836" i="13"/>
  <c r="R1836" i="13"/>
  <c r="S1836" i="13"/>
  <c r="T1836" i="13"/>
  <c r="V1836" i="13"/>
  <c r="W1836" i="13"/>
  <c r="X1836" i="13"/>
  <c r="Y1836" i="13"/>
  <c r="AA1836" i="13"/>
  <c r="AB1836" i="13"/>
  <c r="AC1836" i="13"/>
  <c r="AD1836" i="13"/>
  <c r="AF1836" i="13"/>
  <c r="AG1836" i="13"/>
  <c r="AH1836" i="13"/>
  <c r="AI1836" i="13"/>
  <c r="AK1836" i="13"/>
  <c r="AL1836" i="13"/>
  <c r="AM1836" i="13"/>
  <c r="AN1836" i="13"/>
  <c r="B1837" i="13"/>
  <c r="C1837" i="13"/>
  <c r="D1837" i="13"/>
  <c r="E1837" i="13"/>
  <c r="G1837" i="13"/>
  <c r="H1837" i="13"/>
  <c r="I1837" i="13"/>
  <c r="J1837" i="13"/>
  <c r="L1837" i="13"/>
  <c r="M1837" i="13"/>
  <c r="N1837" i="13"/>
  <c r="O1837" i="13"/>
  <c r="Q1837" i="13"/>
  <c r="R1837" i="13"/>
  <c r="S1837" i="13"/>
  <c r="T1837" i="13"/>
  <c r="V1837" i="13"/>
  <c r="W1837" i="13"/>
  <c r="X1837" i="13"/>
  <c r="Y1837" i="13"/>
  <c r="AA1837" i="13"/>
  <c r="AB1837" i="13"/>
  <c r="AC1837" i="13"/>
  <c r="AD1837" i="13"/>
  <c r="AF1837" i="13"/>
  <c r="AG1837" i="13"/>
  <c r="AH1837" i="13"/>
  <c r="AI1837" i="13"/>
  <c r="AK1837" i="13"/>
  <c r="AL1837" i="13"/>
  <c r="AM1837" i="13"/>
  <c r="AN1837" i="13"/>
  <c r="B1840" i="13"/>
  <c r="C1840" i="13"/>
  <c r="G1840" i="13"/>
  <c r="H1840" i="13"/>
  <c r="L1840" i="13"/>
  <c r="M1840" i="13"/>
  <c r="Q1840" i="13"/>
  <c r="R1840" i="13"/>
  <c r="V1840" i="13"/>
  <c r="W1840" i="13"/>
  <c r="AA1840" i="13"/>
  <c r="AB1840" i="13"/>
  <c r="AF1840" i="13"/>
  <c r="AG1840" i="13"/>
  <c r="AK1840" i="13"/>
  <c r="AL1840" i="13"/>
  <c r="B1841" i="13"/>
  <c r="C1841" i="13"/>
  <c r="D1841" i="13"/>
  <c r="E1841" i="13"/>
  <c r="G1841" i="13"/>
  <c r="H1841" i="13"/>
  <c r="I1841" i="13"/>
  <c r="J1841" i="13"/>
  <c r="L1841" i="13"/>
  <c r="M1841" i="13"/>
  <c r="N1841" i="13"/>
  <c r="O1841" i="13"/>
  <c r="Q1841" i="13"/>
  <c r="R1841" i="13"/>
  <c r="S1841" i="13"/>
  <c r="T1841" i="13"/>
  <c r="V1841" i="13"/>
  <c r="W1841" i="13"/>
  <c r="X1841" i="13"/>
  <c r="Y1841" i="13"/>
  <c r="AA1841" i="13"/>
  <c r="AB1841" i="13"/>
  <c r="AC1841" i="13"/>
  <c r="AD1841" i="13"/>
  <c r="AF1841" i="13"/>
  <c r="AG1841" i="13"/>
  <c r="AH1841" i="13"/>
  <c r="AI1841" i="13"/>
  <c r="AK1841" i="13"/>
  <c r="AL1841" i="13"/>
  <c r="AM1841" i="13"/>
  <c r="AN1841" i="13"/>
  <c r="B1842" i="13"/>
  <c r="C1842" i="13"/>
  <c r="D1842" i="13"/>
  <c r="E1842" i="13"/>
  <c r="G1842" i="13"/>
  <c r="H1842" i="13"/>
  <c r="I1842" i="13"/>
  <c r="J1842" i="13"/>
  <c r="L1842" i="13"/>
  <c r="M1842" i="13"/>
  <c r="N1842" i="13"/>
  <c r="O1842" i="13"/>
  <c r="Q1842" i="13"/>
  <c r="R1842" i="13"/>
  <c r="S1842" i="13"/>
  <c r="T1842" i="13"/>
  <c r="V1842" i="13"/>
  <c r="W1842" i="13"/>
  <c r="X1842" i="13"/>
  <c r="Y1842" i="13"/>
  <c r="AA1842" i="13"/>
  <c r="AB1842" i="13"/>
  <c r="AC1842" i="13"/>
  <c r="AD1842" i="13"/>
  <c r="AF1842" i="13"/>
  <c r="AG1842" i="13"/>
  <c r="AH1842" i="13"/>
  <c r="AI1842" i="13"/>
  <c r="AK1842" i="13"/>
  <c r="AL1842" i="13"/>
  <c r="AM1842" i="13"/>
  <c r="AN1842" i="13"/>
  <c r="C1847" i="13"/>
  <c r="E1847" i="13"/>
  <c r="C1848" i="13"/>
  <c r="E1848" i="13"/>
  <c r="C1849" i="13"/>
  <c r="E1849" i="13"/>
  <c r="C1850" i="13"/>
  <c r="E1850" i="13"/>
  <c r="C1851" i="13"/>
  <c r="E1851" i="13"/>
  <c r="C1852" i="13"/>
  <c r="E1852" i="13"/>
  <c r="C1853" i="13"/>
  <c r="E1853" i="13"/>
  <c r="C1854" i="13"/>
  <c r="E1854" i="13"/>
  <c r="C1855" i="13"/>
  <c r="E1855" i="13"/>
  <c r="C1856" i="13"/>
  <c r="E1856" i="13"/>
  <c r="C1857" i="13"/>
  <c r="E1857" i="13"/>
  <c r="C1858" i="13"/>
  <c r="E1858" i="13"/>
  <c r="C1859" i="13"/>
  <c r="E1859" i="13"/>
  <c r="C1860" i="13"/>
  <c r="E1860" i="13"/>
  <c r="C1861" i="13"/>
  <c r="E1861" i="13"/>
  <c r="C1862" i="13"/>
  <c r="E1862" i="13"/>
  <c r="C1863" i="13"/>
  <c r="E1863" i="13"/>
  <c r="C1864" i="13"/>
  <c r="E1864" i="13"/>
  <c r="C1865" i="13"/>
  <c r="E1865" i="13"/>
  <c r="C1866" i="13"/>
  <c r="E1866" i="13"/>
  <c r="C1867" i="13"/>
  <c r="E1867" i="13"/>
  <c r="C1868" i="13"/>
  <c r="E1868" i="13"/>
  <c r="C1869" i="13"/>
  <c r="E1869" i="13"/>
  <c r="C1870" i="13"/>
  <c r="E1870" i="13"/>
  <c r="C1871" i="13"/>
  <c r="E1871" i="13"/>
  <c r="C1872" i="13"/>
  <c r="E1872" i="13"/>
  <c r="C1873" i="13"/>
  <c r="E1873" i="13"/>
  <c r="C1874" i="13"/>
  <c r="E1874" i="13"/>
  <c r="C1875" i="13"/>
  <c r="E1875" i="13"/>
  <c r="C1876" i="13"/>
  <c r="E1876" i="13"/>
  <c r="C1877" i="13"/>
  <c r="E1877" i="13"/>
  <c r="C1878" i="13"/>
  <c r="E1878" i="13"/>
  <c r="E1879" i="13"/>
  <c r="C1880" i="13"/>
  <c r="E1880" i="13"/>
  <c r="C1892" i="13"/>
  <c r="G1892" i="13"/>
  <c r="C1893" i="13"/>
  <c r="E1893" i="13"/>
  <c r="G1893" i="13"/>
  <c r="C1894" i="13"/>
  <c r="E1894" i="13"/>
  <c r="G1894" i="13"/>
  <c r="C1895" i="13"/>
  <c r="E1895" i="13"/>
  <c r="G1895" i="13"/>
  <c r="C1896" i="13"/>
  <c r="E1896" i="13"/>
  <c r="G1896" i="13"/>
  <c r="C1897" i="13"/>
  <c r="E1897" i="13"/>
  <c r="G1897" i="13"/>
  <c r="C1898" i="13"/>
  <c r="E1898" i="13"/>
  <c r="G1898" i="13"/>
  <c r="C1899" i="13"/>
  <c r="E1899" i="13"/>
  <c r="G1899" i="13"/>
  <c r="C1900" i="13"/>
  <c r="E1900" i="13"/>
  <c r="G1900" i="13"/>
  <c r="C1901" i="13"/>
  <c r="E1901" i="13"/>
  <c r="G1901" i="13"/>
  <c r="C1902" i="13"/>
  <c r="E1902" i="13"/>
  <c r="G1902" i="13"/>
  <c r="C1903" i="13"/>
  <c r="E1903" i="13"/>
  <c r="G1903" i="13"/>
  <c r="C1904" i="13"/>
  <c r="E1904" i="13"/>
  <c r="G1904" i="13"/>
  <c r="C1905" i="13"/>
  <c r="E1905" i="13"/>
  <c r="G1905" i="13"/>
  <c r="C1906" i="13"/>
  <c r="E1906" i="13"/>
  <c r="G1906" i="13"/>
  <c r="C1907" i="13"/>
  <c r="E1907" i="13"/>
  <c r="G1907" i="13"/>
  <c r="C1908" i="13"/>
  <c r="E1908" i="13"/>
  <c r="G1908" i="13"/>
  <c r="C1909" i="13"/>
  <c r="E1909" i="13"/>
  <c r="G1909" i="13"/>
  <c r="C1910" i="13"/>
  <c r="E1910" i="13"/>
  <c r="G1910" i="13"/>
  <c r="C1911" i="13"/>
  <c r="E1911" i="13"/>
  <c r="G1911" i="13"/>
  <c r="C1912" i="13"/>
  <c r="E1912" i="13"/>
  <c r="G1912" i="13"/>
  <c r="C1913" i="13"/>
  <c r="E1913" i="13"/>
  <c r="G1913" i="13"/>
  <c r="C1914" i="13"/>
  <c r="E1914" i="13"/>
  <c r="G1914" i="13"/>
  <c r="C1915" i="13"/>
  <c r="E1915" i="13"/>
  <c r="G1915" i="13"/>
  <c r="C1916" i="13"/>
  <c r="E1916" i="13"/>
  <c r="G1916" i="13"/>
  <c r="C1917" i="13"/>
  <c r="E1917" i="13"/>
  <c r="G1917" i="13"/>
  <c r="C1918" i="13"/>
  <c r="E1918" i="13"/>
  <c r="G1918" i="13"/>
  <c r="C1919" i="13"/>
  <c r="E1919" i="13"/>
  <c r="G1919" i="13"/>
  <c r="C1920" i="13"/>
  <c r="E1920" i="13"/>
  <c r="G1920" i="13"/>
  <c r="C1921" i="13"/>
  <c r="E1921" i="13"/>
  <c r="G1921" i="13"/>
  <c r="C1922" i="13"/>
  <c r="E1922" i="13"/>
  <c r="G1922" i="13"/>
  <c r="C1923" i="13"/>
  <c r="E1923" i="13"/>
  <c r="G1923" i="13"/>
  <c r="C1924" i="13"/>
  <c r="E1924" i="13"/>
  <c r="G1924" i="13"/>
  <c r="C1925" i="13"/>
  <c r="E1925" i="13"/>
  <c r="G1925" i="13"/>
  <c r="C1926" i="13"/>
  <c r="E1926" i="13"/>
  <c r="G1926" i="13"/>
  <c r="C1927" i="13"/>
  <c r="E1927" i="13"/>
  <c r="G1927" i="13"/>
  <c r="C1928" i="13"/>
  <c r="E1928" i="13"/>
  <c r="G1928" i="13"/>
  <c r="C1929" i="13"/>
  <c r="E1929" i="13"/>
  <c r="G1929" i="13"/>
  <c r="C1930" i="13"/>
  <c r="E1930" i="13"/>
  <c r="G1930" i="13"/>
  <c r="C1931" i="13"/>
  <c r="E1931" i="13"/>
  <c r="G1931" i="13"/>
  <c r="C1932" i="13"/>
  <c r="E1932" i="13"/>
  <c r="G1932" i="13"/>
  <c r="C1933" i="13"/>
  <c r="E1933" i="13"/>
  <c r="G1933" i="13"/>
  <c r="C1934" i="13"/>
  <c r="E1934" i="13"/>
  <c r="G1934" i="13"/>
  <c r="C1935" i="13"/>
  <c r="E1935" i="13"/>
  <c r="G1935" i="13"/>
  <c r="C1936" i="13"/>
  <c r="E1936" i="13"/>
  <c r="G1936" i="13"/>
  <c r="C1937" i="13"/>
  <c r="E1937" i="13"/>
  <c r="G1937" i="13"/>
  <c r="C1938" i="13"/>
  <c r="E1938" i="13"/>
  <c r="G1938" i="13"/>
  <c r="C1939" i="13"/>
  <c r="E1939" i="13"/>
  <c r="G1939" i="13"/>
  <c r="C1940" i="13"/>
  <c r="E1940" i="13"/>
  <c r="G1940" i="13"/>
  <c r="C1941" i="13"/>
  <c r="E1941" i="13"/>
  <c r="G1941" i="13"/>
  <c r="C1942" i="13"/>
  <c r="E1942" i="13"/>
  <c r="G1942" i="13"/>
  <c r="C1943" i="13"/>
  <c r="E1943" i="13"/>
  <c r="G1943" i="13"/>
  <c r="C1944" i="13"/>
  <c r="E1944" i="13"/>
  <c r="G1944" i="13"/>
  <c r="C1945" i="13"/>
  <c r="E1945" i="13"/>
  <c r="G1945" i="13"/>
  <c r="C1946" i="13"/>
  <c r="E1946" i="13"/>
  <c r="G1946" i="13"/>
  <c r="C1947" i="13"/>
  <c r="E1947" i="13"/>
  <c r="G1947" i="13"/>
  <c r="C1948" i="13"/>
  <c r="E1948" i="13"/>
  <c r="G1948" i="13"/>
  <c r="B1952" i="13"/>
  <c r="B1953" i="13"/>
  <c r="B1954" i="13"/>
  <c r="B1955" i="13"/>
  <c r="B1956" i="13"/>
  <c r="B1957" i="13"/>
  <c r="B1958" i="13"/>
  <c r="B1959" i="13"/>
  <c r="B1960" i="13"/>
  <c r="B1961" i="13"/>
  <c r="B1962" i="13"/>
  <c r="B1963" i="13"/>
  <c r="B1964" i="13"/>
  <c r="B1965" i="13"/>
  <c r="B1966" i="13"/>
  <c r="B1967" i="13"/>
  <c r="B1968" i="13"/>
  <c r="B1969" i="13"/>
  <c r="B1970" i="13"/>
  <c r="B1971" i="13"/>
  <c r="B1972" i="13"/>
  <c r="B1973" i="13"/>
  <c r="B1974" i="13"/>
  <c r="B1975" i="13"/>
  <c r="B1976" i="13"/>
  <c r="B1977" i="13"/>
  <c r="B1978" i="13"/>
  <c r="B1979" i="13"/>
  <c r="B1980" i="13"/>
  <c r="B1981" i="13"/>
  <c r="B1982" i="13"/>
  <c r="B1983" i="13"/>
  <c r="B1984" i="13"/>
  <c r="B1985" i="13"/>
  <c r="B1986" i="13"/>
  <c r="B1987" i="13"/>
  <c r="B1988" i="13"/>
  <c r="B1989" i="13"/>
  <c r="B1990" i="13"/>
  <c r="B1991" i="13"/>
  <c r="B1992" i="13"/>
  <c r="B1993" i="13"/>
  <c r="B1994" i="13"/>
  <c r="B1995" i="13"/>
  <c r="B1996" i="13"/>
  <c r="B1997" i="13"/>
  <c r="B1998" i="13"/>
  <c r="B1999" i="13"/>
  <c r="B2000" i="13"/>
  <c r="B2001" i="13"/>
  <c r="B2002" i="13"/>
  <c r="B2003" i="13"/>
  <c r="B2004" i="13"/>
  <c r="B2005" i="13"/>
  <c r="B2006" i="13"/>
  <c r="B2007" i="13"/>
  <c r="B2009" i="13"/>
  <c r="B5" i="28"/>
  <c r="B8" i="28"/>
  <c r="B35" i="28"/>
  <c r="B36" i="28"/>
  <c r="B37" i="28"/>
  <c r="B38" i="28"/>
  <c r="B39" i="28"/>
  <c r="B40" i="28"/>
  <c r="B41" i="28"/>
  <c r="B42" i="28"/>
  <c r="B43" i="28"/>
  <c r="B44" i="28"/>
  <c r="B45" i="28"/>
  <c r="B46" i="28"/>
  <c r="B49" i="28"/>
  <c r="B50" i="28"/>
  <c r="B51" i="28"/>
  <c r="B52" i="28"/>
  <c r="C53" i="28"/>
  <c r="C54" i="28"/>
  <c r="C55" i="28"/>
  <c r="C56" i="28"/>
  <c r="C58" i="28"/>
  <c r="B66" i="28"/>
  <c r="B67" i="28"/>
  <c r="B68" i="28"/>
  <c r="B69" i="28"/>
  <c r="B70" i="28"/>
  <c r="B71" i="28"/>
  <c r="B72" i="28"/>
  <c r="B73" i="28"/>
  <c r="B74" i="28"/>
  <c r="B75" i="28"/>
  <c r="B76" i="28"/>
  <c r="B77" i="28"/>
  <c r="B78" i="28"/>
  <c r="B79" i="28"/>
  <c r="B80" i="28"/>
  <c r="B81" i="28"/>
  <c r="B82" i="28"/>
  <c r="B83" i="28"/>
  <c r="B84" i="28"/>
  <c r="C85" i="28"/>
  <c r="C86" i="28"/>
  <c r="C87" i="28"/>
  <c r="C88" i="28"/>
  <c r="C89" i="28"/>
  <c r="C90" i="28"/>
  <c r="C91" i="28"/>
  <c r="C92" i="28"/>
  <c r="C93" i="28"/>
  <c r="C94" i="28"/>
  <c r="C124" i="28"/>
  <c r="C125" i="28"/>
  <c r="C126" i="28"/>
  <c r="C127" i="28"/>
  <c r="C128" i="28"/>
  <c r="C129" i="28"/>
  <c r="C130" i="28"/>
  <c r="C131" i="28"/>
  <c r="C132" i="28"/>
  <c r="C133" i="28"/>
  <c r="C134" i="28"/>
  <c r="C135" i="28"/>
  <c r="C136" i="28"/>
  <c r="C137" i="28"/>
  <c r="C138" i="28"/>
  <c r="C139" i="28"/>
  <c r="C140" i="28"/>
  <c r="C141" i="28"/>
  <c r="D149" i="28"/>
  <c r="D151" i="28"/>
  <c r="E152" i="28"/>
  <c r="E153" i="28"/>
  <c r="E154" i="28"/>
  <c r="E155" i="28"/>
  <c r="E156" i="28"/>
  <c r="E157" i="28"/>
  <c r="B199" i="28"/>
  <c r="B200" i="28"/>
  <c r="B204" i="28"/>
  <c r="B205" i="28"/>
  <c r="B206" i="28"/>
  <c r="B207" i="28"/>
  <c r="B208" i="28"/>
  <c r="B209" i="28"/>
  <c r="B210" i="28"/>
  <c r="B211" i="28"/>
  <c r="B212" i="28"/>
  <c r="C213" i="28"/>
  <c r="C214" i="28"/>
  <c r="C215" i="28"/>
  <c r="C216" i="28"/>
  <c r="C217" i="28"/>
  <c r="C218" i="28"/>
  <c r="C219" i="28"/>
  <c r="C220" i="28"/>
  <c r="B229" i="28"/>
  <c r="B230" i="28"/>
  <c r="B231" i="28"/>
  <c r="B232" i="28"/>
  <c r="B233" i="28"/>
  <c r="B234" i="28"/>
  <c r="B235" i="28"/>
  <c r="B236" i="28"/>
  <c r="B237" i="28"/>
  <c r="B238" i="28"/>
  <c r="B239" i="28"/>
  <c r="B240" i="28"/>
  <c r="B241" i="28"/>
  <c r="B242" i="28"/>
  <c r="B243" i="28"/>
  <c r="B244" i="28"/>
  <c r="B245" i="28"/>
  <c r="B246" i="28"/>
  <c r="B247" i="28"/>
  <c r="C248" i="28"/>
  <c r="C249" i="28"/>
  <c r="C250" i="28"/>
  <c r="C251" i="28"/>
  <c r="C252" i="28"/>
  <c r="C253" i="28"/>
  <c r="C254" i="28"/>
  <c r="C255" i="28"/>
  <c r="C256" i="28"/>
  <c r="C257" i="28"/>
  <c r="C258" i="28"/>
  <c r="C259" i="28"/>
  <c r="C260" i="28"/>
  <c r="C261" i="28"/>
  <c r="B269" i="28"/>
  <c r="B270" i="28"/>
  <c r="B271" i="28"/>
  <c r="B272" i="28"/>
  <c r="B273" i="28"/>
  <c r="B274" i="28"/>
  <c r="B276" i="28"/>
  <c r="B277" i="28"/>
  <c r="B278" i="28"/>
  <c r="B279" i="28"/>
  <c r="B280" i="28"/>
  <c r="B281" i="28"/>
  <c r="B282" i="28"/>
  <c r="B283" i="28"/>
  <c r="B285" i="28"/>
  <c r="B286" i="28"/>
  <c r="B287" i="28"/>
  <c r="C290" i="28"/>
  <c r="C291" i="28"/>
  <c r="C292" i="28"/>
  <c r="C293" i="28"/>
  <c r="C295" i="28"/>
  <c r="C296" i="28"/>
  <c r="C297" i="28"/>
  <c r="C298" i="28"/>
  <c r="C299" i="28"/>
  <c r="C300" i="28"/>
  <c r="C302" i="28"/>
  <c r="C303" i="28"/>
  <c r="C304" i="28"/>
  <c r="C305" i="28"/>
  <c r="C306" i="28"/>
  <c r="C307" i="28"/>
  <c r="B315" i="28"/>
  <c r="B316" i="28"/>
  <c r="B317" i="28"/>
  <c r="B318" i="28"/>
  <c r="B319" i="28"/>
  <c r="B320" i="28"/>
  <c r="B321" i="28"/>
  <c r="B322" i="28"/>
  <c r="B323" i="28"/>
  <c r="B324" i="28"/>
  <c r="B325" i="28"/>
  <c r="B326" i="28"/>
  <c r="B327" i="28"/>
  <c r="B328" i="28"/>
  <c r="B329" i="28"/>
  <c r="B330" i="28"/>
  <c r="B331" i="28"/>
  <c r="B332" i="28"/>
  <c r="B333" i="28"/>
  <c r="B334" i="28"/>
  <c r="B335" i="28"/>
  <c r="C336" i="28"/>
  <c r="C337" i="28"/>
  <c r="C338" i="28"/>
  <c r="C339" i="28"/>
  <c r="C340" i="28"/>
  <c r="C341" i="28"/>
  <c r="C342" i="28"/>
  <c r="C343" i="28"/>
  <c r="C344" i="28"/>
  <c r="C345" i="28"/>
  <c r="C346" i="28"/>
  <c r="C347" i="28"/>
  <c r="C348" i="28"/>
  <c r="C349" i="28"/>
  <c r="C350" i="28"/>
  <c r="C351" i="28"/>
  <c r="C352" i="28"/>
  <c r="C353" i="28"/>
  <c r="C354" i="28"/>
  <c r="C355" i="28"/>
  <c r="C356" i="28"/>
  <c r="C357" i="28"/>
  <c r="C358" i="28"/>
  <c r="C360" i="28"/>
  <c r="C361" i="28"/>
  <c r="B368" i="28"/>
  <c r="B369" i="28"/>
  <c r="B370" i="28"/>
  <c r="B371" i="28"/>
  <c r="B372" i="28"/>
  <c r="B373" i="28"/>
  <c r="B374" i="28"/>
  <c r="B375" i="28"/>
  <c r="B376" i="28"/>
  <c r="B377" i="28"/>
  <c r="B378" i="28"/>
  <c r="B379" i="28"/>
  <c r="B380" i="28"/>
  <c r="B381" i="28"/>
  <c r="B382" i="28"/>
  <c r="B383" i="28"/>
  <c r="B384" i="28"/>
  <c r="B385" i="28"/>
  <c r="B386" i="28"/>
  <c r="B387" i="28"/>
  <c r="B388" i="28"/>
  <c r="B389" i="28"/>
  <c r="B390" i="28"/>
  <c r="B391" i="28"/>
  <c r="B392" i="28"/>
  <c r="B393" i="28"/>
  <c r="B394" i="28"/>
  <c r="B395" i="28"/>
  <c r="C396" i="28"/>
  <c r="C397" i="28"/>
  <c r="C398" i="28"/>
  <c r="C399" i="28"/>
  <c r="C400" i="28"/>
  <c r="C401" i="28"/>
  <c r="C402" i="28"/>
  <c r="C403" i="28"/>
  <c r="C404" i="28"/>
  <c r="C405" i="28"/>
  <c r="C406" i="28"/>
  <c r="C407" i="28"/>
  <c r="C408" i="28"/>
  <c r="C409" i="28"/>
  <c r="C410" i="28"/>
  <c r="C411" i="28"/>
  <c r="C412" i="28"/>
  <c r="C413" i="28"/>
  <c r="C414" i="28"/>
  <c r="C415" i="28"/>
  <c r="C416" i="28"/>
  <c r="B424" i="28"/>
  <c r="B425" i="28"/>
  <c r="B426" i="28"/>
  <c r="B427" i="28"/>
  <c r="B428" i="28"/>
  <c r="B430" i="28"/>
  <c r="B432" i="28"/>
  <c r="B433" i="28"/>
  <c r="B434" i="28"/>
  <c r="B435" i="28"/>
  <c r="B436" i="28"/>
  <c r="B437" i="28"/>
  <c r="B438" i="28"/>
  <c r="B439" i="28"/>
  <c r="B440" i="28"/>
  <c r="B441" i="28"/>
  <c r="B442" i="28"/>
  <c r="B443" i="28"/>
  <c r="B444" i="28"/>
  <c r="C445" i="28"/>
  <c r="C446" i="28"/>
  <c r="C447" i="28"/>
  <c r="C448" i="28"/>
  <c r="C450" i="28"/>
  <c r="C451" i="28"/>
  <c r="C452" i="28"/>
  <c r="C453" i="28"/>
  <c r="C454" i="28"/>
  <c r="C455" i="28"/>
  <c r="C456" i="28"/>
  <c r="B18" i="53"/>
  <c r="D18" i="53"/>
  <c r="F18" i="53"/>
  <c r="B19" i="53"/>
  <c r="D19" i="53"/>
  <c r="F19" i="53"/>
  <c r="B20" i="53"/>
  <c r="D20" i="53"/>
  <c r="F20" i="53"/>
  <c r="D21" i="53"/>
  <c r="B22" i="53"/>
  <c r="B24" i="53"/>
  <c r="B25" i="53"/>
  <c r="B26" i="53"/>
  <c r="B27" i="53"/>
  <c r="B28" i="53"/>
  <c r="B29" i="53"/>
  <c r="B30" i="53"/>
  <c r="B31" i="53"/>
  <c r="B32" i="53"/>
  <c r="B33" i="53"/>
  <c r="B77" i="53"/>
  <c r="B79" i="53"/>
  <c r="B80" i="53"/>
  <c r="B81" i="53"/>
  <c r="B82" i="53"/>
  <c r="B83" i="53"/>
  <c r="B84" i="53"/>
  <c r="B85" i="53"/>
  <c r="B86" i="53"/>
  <c r="B87" i="53"/>
  <c r="B88" i="53"/>
  <c r="B174" i="53"/>
  <c r="B175" i="53"/>
  <c r="B176" i="53"/>
  <c r="B179" i="53"/>
  <c r="B180" i="53"/>
  <c r="B181" i="53"/>
  <c r="B182" i="53"/>
  <c r="B183" i="53"/>
  <c r="B184" i="53"/>
  <c r="B185" i="53"/>
  <c r="B186" i="53"/>
  <c r="B187" i="53"/>
  <c r="B188" i="53"/>
  <c r="B210" i="53"/>
  <c r="D210" i="53"/>
  <c r="E210" i="53"/>
  <c r="F210" i="53"/>
  <c r="G210" i="53"/>
  <c r="H210" i="53"/>
  <c r="I210" i="53"/>
  <c r="J210" i="53"/>
  <c r="K210" i="53"/>
  <c r="L210" i="53"/>
  <c r="M210" i="53"/>
  <c r="N210" i="53"/>
  <c r="O210" i="53"/>
  <c r="Q210" i="53"/>
  <c r="B211" i="53"/>
  <c r="D211" i="53"/>
  <c r="E211" i="53"/>
  <c r="F211" i="53"/>
  <c r="G211" i="53"/>
  <c r="H211" i="53"/>
  <c r="I211" i="53"/>
  <c r="J211" i="53"/>
  <c r="K211" i="53"/>
  <c r="L211" i="53"/>
  <c r="M211" i="53"/>
  <c r="N211" i="53"/>
  <c r="O211" i="53"/>
  <c r="Q211" i="53"/>
  <c r="B212" i="53"/>
  <c r="D212" i="53"/>
  <c r="E212" i="53"/>
  <c r="F212" i="53"/>
  <c r="G212" i="53"/>
  <c r="H212" i="53"/>
  <c r="I212" i="53"/>
  <c r="J212" i="53"/>
  <c r="K212" i="53"/>
  <c r="L212" i="53"/>
  <c r="M212" i="53"/>
  <c r="N212" i="53"/>
  <c r="O212" i="53"/>
  <c r="Q212" i="53"/>
  <c r="B213" i="53"/>
  <c r="D213" i="53"/>
  <c r="E213" i="53"/>
  <c r="F213" i="53"/>
  <c r="G213" i="53"/>
  <c r="H213" i="53"/>
  <c r="I213" i="53"/>
  <c r="J213" i="53"/>
  <c r="K213" i="53"/>
  <c r="L213" i="53"/>
  <c r="M213" i="53"/>
  <c r="N213" i="53"/>
  <c r="O213" i="53"/>
  <c r="Q213" i="53"/>
  <c r="B214" i="53"/>
  <c r="D214" i="53"/>
  <c r="E214" i="53"/>
  <c r="F214" i="53"/>
  <c r="G214" i="53"/>
  <c r="H214" i="53"/>
  <c r="I214" i="53"/>
  <c r="J214" i="53"/>
  <c r="K214" i="53"/>
  <c r="L214" i="53"/>
  <c r="M214" i="53"/>
  <c r="N214" i="53"/>
  <c r="O214" i="53"/>
  <c r="Q214" i="53"/>
  <c r="B216" i="53"/>
  <c r="D216" i="53"/>
  <c r="E216" i="53"/>
  <c r="F216" i="53"/>
  <c r="G216" i="53"/>
  <c r="H216" i="53"/>
  <c r="I216" i="53"/>
  <c r="J216" i="53"/>
  <c r="K216" i="53"/>
  <c r="L216" i="53"/>
  <c r="M216" i="53"/>
  <c r="N216" i="53"/>
  <c r="O216" i="53"/>
  <c r="Q216" i="53"/>
  <c r="B217" i="53"/>
  <c r="D217" i="53"/>
  <c r="E217" i="53"/>
  <c r="F217" i="53"/>
  <c r="G217" i="53"/>
  <c r="H217" i="53"/>
  <c r="I217" i="53"/>
  <c r="J217" i="53"/>
  <c r="K217" i="53"/>
  <c r="L217" i="53"/>
  <c r="M217" i="53"/>
  <c r="N217" i="53"/>
  <c r="O217" i="53"/>
  <c r="Q217" i="53"/>
  <c r="B218" i="53"/>
  <c r="D218" i="53"/>
  <c r="E218" i="53"/>
  <c r="F218" i="53"/>
  <c r="G218" i="53"/>
  <c r="H218" i="53"/>
  <c r="I218" i="53"/>
  <c r="J218" i="53"/>
  <c r="K218" i="53"/>
  <c r="L218" i="53"/>
  <c r="M218" i="53"/>
  <c r="N218" i="53"/>
  <c r="O218" i="53"/>
  <c r="Q218" i="53"/>
  <c r="B219" i="53"/>
  <c r="D219" i="53"/>
  <c r="E219" i="53"/>
  <c r="F219" i="53"/>
  <c r="G219" i="53"/>
  <c r="H219" i="53"/>
  <c r="I219" i="53"/>
  <c r="J219" i="53"/>
  <c r="K219" i="53"/>
  <c r="L219" i="53"/>
  <c r="M219" i="53"/>
  <c r="N219" i="53"/>
  <c r="O219" i="53"/>
  <c r="Q219" i="53"/>
  <c r="B354" i="53"/>
  <c r="D354" i="53"/>
  <c r="F354" i="53"/>
  <c r="B355" i="53"/>
  <c r="D355" i="53"/>
  <c r="F355" i="53"/>
  <c r="B356" i="53"/>
  <c r="D356" i="53"/>
  <c r="F356" i="53"/>
  <c r="H356" i="53"/>
  <c r="B357" i="53"/>
  <c r="D357" i="53"/>
  <c r="F357" i="53"/>
  <c r="D359" i="53"/>
  <c r="B362" i="53"/>
  <c r="B363" i="53"/>
  <c r="B364" i="53"/>
  <c r="B365" i="53"/>
  <c r="B366" i="53"/>
  <c r="B367" i="53"/>
  <c r="B368" i="53"/>
  <c r="B369" i="53"/>
  <c r="B370" i="53"/>
  <c r="B371" i="53"/>
  <c r="B426" i="53"/>
  <c r="H426" i="53"/>
  <c r="I426" i="53"/>
  <c r="J426" i="53"/>
  <c r="B427" i="53"/>
  <c r="H427" i="53"/>
  <c r="I427" i="53"/>
  <c r="J427" i="53"/>
  <c r="B428" i="53"/>
  <c r="H428" i="53"/>
  <c r="I428" i="53"/>
  <c r="J428" i="53"/>
  <c r="B429" i="53"/>
  <c r="H429" i="53"/>
  <c r="I429" i="53"/>
  <c r="J429" i="53"/>
  <c r="B430" i="53"/>
  <c r="H430" i="53"/>
  <c r="I430" i="53"/>
  <c r="J430" i="53"/>
  <c r="B431" i="53"/>
  <c r="H431" i="53"/>
  <c r="I431" i="53"/>
  <c r="J431" i="53"/>
  <c r="B432" i="53"/>
  <c r="H432" i="53"/>
  <c r="I432" i="53"/>
  <c r="J432" i="53"/>
  <c r="B433" i="53"/>
  <c r="H433" i="53"/>
  <c r="I433" i="53"/>
  <c r="J433" i="53"/>
  <c r="B434" i="53"/>
  <c r="H434" i="53"/>
  <c r="I434" i="53"/>
  <c r="J434" i="53"/>
  <c r="B435" i="53"/>
  <c r="H435" i="53"/>
  <c r="I435" i="53"/>
  <c r="J435" i="53"/>
  <c r="C439" i="53"/>
  <c r="D439" i="53"/>
  <c r="E439" i="53"/>
  <c r="F439" i="53"/>
  <c r="G439" i="53"/>
  <c r="C440" i="53"/>
  <c r="D440" i="53"/>
  <c r="E440" i="53"/>
  <c r="F440" i="53"/>
  <c r="G440" i="53"/>
  <c r="C441" i="53"/>
  <c r="D441" i="53"/>
  <c r="E441" i="53"/>
  <c r="F441" i="53"/>
  <c r="G441" i="53"/>
  <c r="C442" i="53"/>
  <c r="D442" i="53"/>
  <c r="E442" i="53"/>
  <c r="F442" i="53"/>
  <c r="G442" i="53"/>
  <c r="C443" i="53"/>
  <c r="D443" i="53"/>
  <c r="E443" i="53"/>
  <c r="F443" i="53"/>
  <c r="G443" i="53"/>
  <c r="C444" i="53"/>
  <c r="D444" i="53"/>
  <c r="E444" i="53"/>
  <c r="F444" i="53"/>
  <c r="G444" i="53"/>
  <c r="C445" i="53"/>
  <c r="D445" i="53"/>
  <c r="E445" i="53"/>
  <c r="F445" i="53"/>
  <c r="G445" i="53"/>
  <c r="C446" i="53"/>
  <c r="D446" i="53"/>
  <c r="E446" i="53"/>
  <c r="F446" i="53"/>
  <c r="G446" i="53"/>
  <c r="C447" i="53"/>
  <c r="D447" i="53"/>
  <c r="E447" i="53"/>
  <c r="F447" i="53"/>
  <c r="G447" i="53"/>
  <c r="C448" i="53"/>
  <c r="D448" i="53"/>
  <c r="E448" i="53"/>
  <c r="F448" i="53"/>
  <c r="G448" i="53"/>
  <c r="B459" i="53"/>
  <c r="D459" i="53"/>
  <c r="E459" i="53"/>
  <c r="F459" i="53"/>
  <c r="G459" i="53"/>
  <c r="H459" i="53"/>
  <c r="I459" i="53"/>
  <c r="J459" i="53"/>
  <c r="K459" i="53"/>
  <c r="L459" i="53"/>
  <c r="M459" i="53"/>
  <c r="N459" i="53"/>
  <c r="O459" i="53"/>
  <c r="P459" i="53"/>
  <c r="Q459" i="53"/>
  <c r="B460" i="53"/>
  <c r="D460" i="53"/>
  <c r="E460" i="53"/>
  <c r="F460" i="53"/>
  <c r="G460" i="53"/>
  <c r="H460" i="53"/>
  <c r="I460" i="53"/>
  <c r="J460" i="53"/>
  <c r="K460" i="53"/>
  <c r="L460" i="53"/>
  <c r="M460" i="53"/>
  <c r="N460" i="53"/>
  <c r="O460" i="53"/>
  <c r="P460" i="53"/>
  <c r="Q460" i="53"/>
  <c r="B461" i="53"/>
  <c r="D461" i="53"/>
  <c r="E461" i="53"/>
  <c r="F461" i="53"/>
  <c r="G461" i="53"/>
  <c r="H461" i="53"/>
  <c r="I461" i="53"/>
  <c r="J461" i="53"/>
  <c r="K461" i="53"/>
  <c r="L461" i="53"/>
  <c r="M461" i="53"/>
  <c r="N461" i="53"/>
  <c r="O461" i="53"/>
  <c r="P461" i="53"/>
  <c r="Q461" i="53"/>
  <c r="B462" i="53"/>
  <c r="D462" i="53"/>
  <c r="E462" i="53"/>
  <c r="F462" i="53"/>
  <c r="G462" i="53"/>
  <c r="H462" i="53"/>
  <c r="I462" i="53"/>
  <c r="J462" i="53"/>
  <c r="K462" i="53"/>
  <c r="L462" i="53"/>
  <c r="M462" i="53"/>
  <c r="N462" i="53"/>
  <c r="O462" i="53"/>
  <c r="P462" i="53"/>
  <c r="Q462" i="53"/>
  <c r="B463" i="53"/>
  <c r="D463" i="53"/>
  <c r="E463" i="53"/>
  <c r="F463" i="53"/>
  <c r="G463" i="53"/>
  <c r="H463" i="53"/>
  <c r="I463" i="53"/>
  <c r="J463" i="53"/>
  <c r="K463" i="53"/>
  <c r="L463" i="53"/>
  <c r="M463" i="53"/>
  <c r="N463" i="53"/>
  <c r="O463" i="53"/>
  <c r="P463" i="53"/>
  <c r="Q463" i="53"/>
  <c r="B465" i="53"/>
  <c r="D465" i="53"/>
  <c r="E465" i="53"/>
  <c r="F465" i="53"/>
  <c r="G465" i="53"/>
  <c r="H465" i="53"/>
  <c r="I465" i="53"/>
  <c r="J465" i="53"/>
  <c r="K465" i="53"/>
  <c r="L465" i="53"/>
  <c r="M465" i="53"/>
  <c r="N465" i="53"/>
  <c r="O465" i="53"/>
  <c r="P465" i="53"/>
  <c r="Q465" i="53"/>
  <c r="B466" i="53"/>
  <c r="D466" i="53"/>
  <c r="E466" i="53"/>
  <c r="F466" i="53"/>
  <c r="G466" i="53"/>
  <c r="H466" i="53"/>
  <c r="I466" i="53"/>
  <c r="J466" i="53"/>
  <c r="K466" i="53"/>
  <c r="L466" i="53"/>
  <c r="M466" i="53"/>
  <c r="N466" i="53"/>
  <c r="O466" i="53"/>
  <c r="P466" i="53"/>
  <c r="Q466" i="53"/>
  <c r="B467" i="53"/>
  <c r="D467" i="53"/>
  <c r="E467" i="53"/>
  <c r="F467" i="53"/>
  <c r="G467" i="53"/>
  <c r="H467" i="53"/>
  <c r="I467" i="53"/>
  <c r="J467" i="53"/>
  <c r="K467" i="53"/>
  <c r="L467" i="53"/>
  <c r="M467" i="53"/>
  <c r="N467" i="53"/>
  <c r="O467" i="53"/>
  <c r="P467" i="53"/>
  <c r="Q467" i="53"/>
  <c r="B468" i="53"/>
  <c r="D468" i="53"/>
  <c r="E468" i="53"/>
  <c r="F468" i="53"/>
  <c r="G468" i="53"/>
  <c r="H468" i="53"/>
  <c r="I468" i="53"/>
  <c r="J468" i="53"/>
  <c r="K468" i="53"/>
  <c r="L468" i="53"/>
  <c r="M468" i="53"/>
  <c r="N468" i="53"/>
  <c r="O468" i="53"/>
  <c r="P468" i="53"/>
  <c r="Q468" i="53"/>
  <c r="B616" i="53"/>
  <c r="D616" i="53"/>
  <c r="F616" i="53"/>
  <c r="B617" i="53"/>
  <c r="D617" i="53"/>
  <c r="F617" i="53"/>
  <c r="B618" i="53"/>
  <c r="D618" i="53"/>
  <c r="F618" i="53"/>
  <c r="B619" i="53"/>
  <c r="D619" i="53"/>
  <c r="F619" i="53"/>
  <c r="B620" i="53"/>
  <c r="D620" i="53"/>
  <c r="F620" i="53"/>
  <c r="B621" i="53"/>
  <c r="D621" i="53"/>
  <c r="F621" i="53"/>
  <c r="D623" i="53"/>
  <c r="B626" i="53"/>
  <c r="B627" i="53"/>
  <c r="B628" i="53"/>
  <c r="B629" i="53"/>
  <c r="B630" i="53"/>
  <c r="B631" i="53"/>
  <c r="B632" i="53"/>
  <c r="B633" i="53"/>
  <c r="B634" i="53"/>
  <c r="B635" i="53"/>
  <c r="D692" i="53"/>
  <c r="B695" i="53"/>
  <c r="I695" i="53"/>
  <c r="J695" i="53"/>
  <c r="K695" i="53"/>
  <c r="B696" i="53"/>
  <c r="I696" i="53"/>
  <c r="J696" i="53"/>
  <c r="K696" i="53"/>
  <c r="B697" i="53"/>
  <c r="I697" i="53"/>
  <c r="J697" i="53"/>
  <c r="K697" i="53"/>
  <c r="B698" i="53"/>
  <c r="I698" i="53"/>
  <c r="J698" i="53"/>
  <c r="K698" i="53"/>
  <c r="B699" i="53"/>
  <c r="I699" i="53"/>
  <c r="J699" i="53"/>
  <c r="K699" i="53"/>
  <c r="B700" i="53"/>
  <c r="I700" i="53"/>
  <c r="J700" i="53"/>
  <c r="K700" i="53"/>
  <c r="B701" i="53"/>
  <c r="I701" i="53"/>
  <c r="J701" i="53"/>
  <c r="K701" i="53"/>
  <c r="B702" i="53"/>
  <c r="I702" i="53"/>
  <c r="J702" i="53"/>
  <c r="K702" i="53"/>
  <c r="B703" i="53"/>
  <c r="I703" i="53"/>
  <c r="J703" i="53"/>
  <c r="K703" i="53"/>
  <c r="B704" i="53"/>
  <c r="I704" i="53"/>
  <c r="J704" i="53"/>
  <c r="K704" i="53"/>
  <c r="B4" i="42"/>
  <c r="B5" i="42"/>
  <c r="B6" i="42"/>
  <c r="B7" i="42"/>
  <c r="B8" i="42"/>
  <c r="B9" i="42"/>
  <c r="B10" i="42"/>
  <c r="B11" i="42"/>
  <c r="B12" i="42"/>
  <c r="B13" i="42"/>
  <c r="B14" i="42"/>
  <c r="B15" i="42"/>
  <c r="B16" i="42"/>
  <c r="B17" i="42"/>
  <c r="B18" i="42"/>
  <c r="B19" i="42"/>
  <c r="B20" i="42"/>
  <c r="B21" i="42"/>
  <c r="B22" i="42"/>
  <c r="D22" i="42"/>
  <c r="B23" i="42"/>
  <c r="B24" i="42"/>
  <c r="G31" i="42"/>
  <c r="H31" i="42"/>
  <c r="I31" i="42"/>
  <c r="J31" i="42"/>
  <c r="K31" i="42"/>
  <c r="L31" i="42"/>
  <c r="M31" i="42"/>
  <c r="N31" i="42"/>
  <c r="O31" i="42"/>
  <c r="P31" i="42"/>
  <c r="Q31" i="42"/>
  <c r="R31" i="42"/>
  <c r="S31" i="42"/>
  <c r="T31" i="42"/>
  <c r="U31" i="42"/>
  <c r="V31" i="42"/>
  <c r="W31" i="42"/>
  <c r="X31" i="42"/>
  <c r="Y31" i="42"/>
  <c r="Z31" i="42"/>
  <c r="AA31" i="42"/>
  <c r="AB31" i="42"/>
  <c r="AC31" i="42"/>
  <c r="AD31" i="42"/>
  <c r="AE31" i="42"/>
  <c r="AF31" i="42"/>
  <c r="AG31" i="42"/>
  <c r="AH31" i="42"/>
  <c r="AI31" i="42"/>
  <c r="AJ31" i="42"/>
  <c r="G32" i="42"/>
  <c r="H32" i="42"/>
  <c r="I32" i="42"/>
  <c r="J32" i="42"/>
  <c r="K32" i="42"/>
  <c r="L32" i="42"/>
  <c r="M32" i="42"/>
  <c r="N32" i="42"/>
  <c r="O32" i="42"/>
  <c r="P32" i="42"/>
  <c r="Q32" i="42"/>
  <c r="R32" i="42"/>
  <c r="S32" i="42"/>
  <c r="T32" i="42"/>
  <c r="U32" i="42"/>
  <c r="V32" i="42"/>
  <c r="W32" i="42"/>
  <c r="X32" i="42"/>
  <c r="Y32" i="42"/>
  <c r="Z32" i="42"/>
  <c r="AA32" i="42"/>
  <c r="AB32" i="42"/>
  <c r="AC32" i="42"/>
  <c r="AD32" i="42"/>
  <c r="AE32" i="42"/>
  <c r="AF32" i="42"/>
  <c r="AG32" i="42"/>
  <c r="AH32" i="42"/>
  <c r="AI32" i="42"/>
  <c r="AJ32" i="42"/>
  <c r="B33" i="42"/>
  <c r="G36" i="42"/>
  <c r="H36" i="42"/>
  <c r="I36" i="42"/>
  <c r="J36" i="42"/>
  <c r="K36" i="42"/>
  <c r="L36" i="42"/>
  <c r="M36" i="42"/>
  <c r="N36" i="42"/>
  <c r="O36" i="42"/>
  <c r="P36" i="42"/>
  <c r="Q36" i="42"/>
  <c r="R36" i="42"/>
  <c r="S36" i="42"/>
  <c r="T36" i="42"/>
  <c r="U36" i="42"/>
  <c r="V36" i="42"/>
  <c r="W36" i="42"/>
  <c r="X36" i="42"/>
  <c r="Y36" i="42"/>
  <c r="Z36" i="42"/>
  <c r="AA36" i="42"/>
  <c r="AB36" i="42"/>
  <c r="AC36" i="42"/>
  <c r="AD36" i="42"/>
  <c r="AE36" i="42"/>
  <c r="AF36" i="42"/>
  <c r="AG36" i="42"/>
  <c r="AH36" i="42"/>
  <c r="AI36" i="42"/>
  <c r="AJ36" i="42"/>
  <c r="G37" i="42"/>
  <c r="H37" i="42"/>
  <c r="I37" i="42"/>
  <c r="J37" i="42"/>
  <c r="K37" i="42"/>
  <c r="L37" i="42"/>
  <c r="M37" i="42"/>
  <c r="N37" i="42"/>
  <c r="O37" i="42"/>
  <c r="P37" i="42"/>
  <c r="Q37" i="42"/>
  <c r="R37" i="42"/>
  <c r="S37" i="42"/>
  <c r="T37" i="42"/>
  <c r="U37" i="42"/>
  <c r="V37" i="42"/>
  <c r="W37" i="42"/>
  <c r="X37" i="42"/>
  <c r="Y37" i="42"/>
  <c r="Z37" i="42"/>
  <c r="AA37" i="42"/>
  <c r="AB37" i="42"/>
  <c r="AC37" i="42"/>
  <c r="AD37" i="42"/>
  <c r="AE37" i="42"/>
  <c r="AF37" i="42"/>
  <c r="AG37" i="42"/>
  <c r="AH37" i="42"/>
  <c r="AI37" i="42"/>
  <c r="AJ37" i="42"/>
  <c r="B38" i="42"/>
  <c r="D40" i="42"/>
  <c r="E40" i="42"/>
  <c r="F40" i="42"/>
  <c r="D41" i="42"/>
  <c r="F42" i="42"/>
  <c r="G43" i="42"/>
  <c r="H43" i="42"/>
  <c r="I43" i="42"/>
  <c r="J43" i="42"/>
  <c r="K43" i="42"/>
  <c r="L43" i="42"/>
  <c r="M43" i="42"/>
  <c r="N43" i="42"/>
  <c r="O43" i="42"/>
  <c r="P43" i="42"/>
  <c r="Q43" i="42"/>
  <c r="R43" i="42"/>
  <c r="S43" i="42"/>
  <c r="T43" i="42"/>
  <c r="U43" i="42"/>
  <c r="V43" i="42"/>
  <c r="W43" i="42"/>
  <c r="X43" i="42"/>
  <c r="Y43" i="42"/>
  <c r="Z43" i="42"/>
  <c r="AA43" i="42"/>
  <c r="AB43" i="42"/>
  <c r="AC43" i="42"/>
  <c r="AD43" i="42"/>
  <c r="AE43" i="42"/>
  <c r="AF43" i="42"/>
  <c r="AG43" i="42"/>
  <c r="AH43" i="42"/>
  <c r="AI43" i="42"/>
  <c r="AJ43" i="42"/>
  <c r="G44" i="42"/>
  <c r="H44" i="42"/>
  <c r="I44" i="42"/>
  <c r="J44" i="42"/>
  <c r="K44" i="42"/>
  <c r="L44" i="42"/>
  <c r="M44" i="42"/>
  <c r="N44" i="42"/>
  <c r="O44" i="42"/>
  <c r="P44" i="42"/>
  <c r="Q44" i="42"/>
  <c r="R44" i="42"/>
  <c r="S44" i="42"/>
  <c r="T44" i="42"/>
  <c r="U44" i="42"/>
  <c r="V44" i="42"/>
  <c r="W44" i="42"/>
  <c r="X44" i="42"/>
  <c r="Y44" i="42"/>
  <c r="Z44" i="42"/>
  <c r="AA44" i="42"/>
  <c r="AB44" i="42"/>
  <c r="AC44" i="42"/>
  <c r="AD44" i="42"/>
  <c r="AE44" i="42"/>
  <c r="AF44" i="42"/>
  <c r="AG44" i="42"/>
  <c r="AH44" i="42"/>
  <c r="AI44" i="42"/>
  <c r="AJ44" i="42"/>
  <c r="B45" i="42"/>
  <c r="G47" i="42"/>
  <c r="H47" i="42"/>
  <c r="I47" i="42"/>
  <c r="J47" i="42"/>
  <c r="K47" i="42"/>
  <c r="L47" i="42"/>
  <c r="M47" i="42"/>
  <c r="N47" i="42"/>
  <c r="O47" i="42"/>
  <c r="P47" i="42"/>
  <c r="Q47" i="42"/>
  <c r="R47" i="42"/>
  <c r="S47" i="42"/>
  <c r="T47" i="42"/>
  <c r="U47" i="42"/>
  <c r="V47" i="42"/>
  <c r="W47" i="42"/>
  <c r="X47" i="42"/>
  <c r="Y47" i="42"/>
  <c r="Z47" i="42"/>
  <c r="AA47" i="42"/>
  <c r="AB47" i="42"/>
  <c r="AC47" i="42"/>
  <c r="AD47" i="42"/>
  <c r="AE47" i="42"/>
  <c r="AF47" i="42"/>
  <c r="AG47" i="42"/>
  <c r="AH47" i="42"/>
  <c r="AI47" i="42"/>
  <c r="AJ47" i="42"/>
  <c r="G48" i="42"/>
  <c r="H48" i="42"/>
  <c r="I48" i="42"/>
  <c r="J48" i="42"/>
  <c r="K48" i="42"/>
  <c r="L48" i="42"/>
  <c r="M48" i="42"/>
  <c r="N48" i="42"/>
  <c r="O48" i="42"/>
  <c r="P48" i="42"/>
  <c r="Q48" i="42"/>
  <c r="R48" i="42"/>
  <c r="S48" i="42"/>
  <c r="T48" i="42"/>
  <c r="U48" i="42"/>
  <c r="V48" i="42"/>
  <c r="W48" i="42"/>
  <c r="X48" i="42"/>
  <c r="Y48" i="42"/>
  <c r="Z48" i="42"/>
  <c r="AA48" i="42"/>
  <c r="AB48" i="42"/>
  <c r="AC48" i="42"/>
  <c r="AD48" i="42"/>
  <c r="AE48" i="42"/>
  <c r="AF48" i="42"/>
  <c r="AG48" i="42"/>
  <c r="AH48" i="42"/>
  <c r="AI48" i="42"/>
  <c r="AJ48" i="42"/>
  <c r="G49" i="42"/>
  <c r="H49" i="42"/>
  <c r="I49" i="42"/>
  <c r="J49" i="42"/>
  <c r="K49" i="42"/>
  <c r="L49" i="42"/>
  <c r="M49" i="42"/>
  <c r="N49" i="42"/>
  <c r="O49" i="42"/>
  <c r="P49" i="42"/>
  <c r="Q49" i="42"/>
  <c r="R49" i="42"/>
  <c r="S49" i="42"/>
  <c r="T49" i="42"/>
  <c r="U49" i="42"/>
  <c r="V49" i="42"/>
  <c r="W49" i="42"/>
  <c r="X49" i="42"/>
  <c r="Y49" i="42"/>
  <c r="Z49" i="42"/>
  <c r="AA49" i="42"/>
  <c r="AB49" i="42"/>
  <c r="AC49" i="42"/>
  <c r="AD49" i="42"/>
  <c r="AE49" i="42"/>
  <c r="AF49" i="42"/>
  <c r="AG49" i="42"/>
  <c r="AH49" i="42"/>
  <c r="AI49" i="42"/>
  <c r="AJ49" i="42"/>
  <c r="G50" i="42"/>
  <c r="H50" i="42"/>
  <c r="I50" i="42"/>
  <c r="J50" i="42"/>
  <c r="K50" i="42"/>
  <c r="L50" i="42"/>
  <c r="M50" i="42"/>
  <c r="N50" i="42"/>
  <c r="O50" i="42"/>
  <c r="P50" i="42"/>
  <c r="Q50" i="42"/>
  <c r="R50" i="42"/>
  <c r="S50" i="42"/>
  <c r="T50" i="42"/>
  <c r="U50" i="42"/>
  <c r="V50" i="42"/>
  <c r="W50" i="42"/>
  <c r="X50" i="42"/>
  <c r="Y50" i="42"/>
  <c r="Z50" i="42"/>
  <c r="AA50" i="42"/>
  <c r="AB50" i="42"/>
  <c r="AC50" i="42"/>
  <c r="AD50" i="42"/>
  <c r="AE50" i="42"/>
  <c r="AF50" i="42"/>
  <c r="AG50" i="42"/>
  <c r="AH50" i="42"/>
  <c r="AI50" i="42"/>
  <c r="AJ50" i="42"/>
  <c r="G51" i="42"/>
  <c r="H51" i="42"/>
  <c r="I51" i="42"/>
  <c r="J51" i="42"/>
  <c r="K51" i="42"/>
  <c r="L51" i="42"/>
  <c r="M51" i="42"/>
  <c r="N51" i="42"/>
  <c r="O51" i="42"/>
  <c r="P51" i="42"/>
  <c r="Q51" i="42"/>
  <c r="R51" i="42"/>
  <c r="S51" i="42"/>
  <c r="T51" i="42"/>
  <c r="U51" i="42"/>
  <c r="V51" i="42"/>
  <c r="W51" i="42"/>
  <c r="X51" i="42"/>
  <c r="Y51" i="42"/>
  <c r="Z51" i="42"/>
  <c r="AA51" i="42"/>
  <c r="AB51" i="42"/>
  <c r="AC51" i="42"/>
  <c r="AD51" i="42"/>
  <c r="AE51" i="42"/>
  <c r="AF51" i="42"/>
  <c r="AG51" i="42"/>
  <c r="AH51" i="42"/>
  <c r="AI51" i="42"/>
  <c r="AJ51" i="42"/>
  <c r="B52" i="42"/>
  <c r="B54" i="42"/>
  <c r="B55" i="42"/>
  <c r="G57" i="42"/>
  <c r="G58" i="42"/>
  <c r="H58" i="42"/>
  <c r="I58" i="42"/>
  <c r="J58" i="42"/>
  <c r="K58" i="42"/>
  <c r="L58" i="42"/>
  <c r="M58" i="42"/>
  <c r="N58" i="42"/>
  <c r="O58" i="42"/>
  <c r="P58" i="42"/>
  <c r="Q58" i="42"/>
  <c r="R58" i="42"/>
  <c r="S58" i="42"/>
  <c r="T58" i="42"/>
  <c r="U58" i="42"/>
  <c r="V58" i="42"/>
  <c r="W58" i="42"/>
  <c r="X58" i="42"/>
  <c r="Y58" i="42"/>
  <c r="Z58" i="42"/>
  <c r="AA58" i="42"/>
  <c r="AB58" i="42"/>
  <c r="AC58" i="42"/>
  <c r="AD58" i="42"/>
  <c r="AE58" i="42"/>
  <c r="AF58" i="42"/>
  <c r="AG58" i="42"/>
  <c r="AH58" i="42"/>
  <c r="AI58" i="42"/>
  <c r="AJ58" i="42"/>
  <c r="G59" i="42"/>
  <c r="H59" i="42"/>
  <c r="I59" i="42"/>
  <c r="J59" i="42"/>
  <c r="K59" i="42"/>
  <c r="L59" i="42"/>
  <c r="M59" i="42"/>
  <c r="N59" i="42"/>
  <c r="O59" i="42"/>
  <c r="P59" i="42"/>
  <c r="Q59" i="42"/>
  <c r="R59" i="42"/>
  <c r="S59" i="42"/>
  <c r="T59" i="42"/>
  <c r="U59" i="42"/>
  <c r="V59" i="42"/>
  <c r="W59" i="42"/>
  <c r="X59" i="42"/>
  <c r="Y59" i="42"/>
  <c r="Z59" i="42"/>
  <c r="AA59" i="42"/>
  <c r="AB59" i="42"/>
  <c r="AC59" i="42"/>
  <c r="AD59" i="42"/>
  <c r="AE59" i="42"/>
  <c r="AF59" i="42"/>
  <c r="AG59" i="42"/>
  <c r="AH59" i="42"/>
  <c r="AI59" i="42"/>
  <c r="AJ59" i="42"/>
  <c r="B60" i="42"/>
  <c r="D62" i="42"/>
  <c r="E62" i="42"/>
  <c r="F62" i="42"/>
  <c r="D63" i="42"/>
  <c r="F64" i="42"/>
  <c r="G65" i="42"/>
  <c r="H65" i="42"/>
  <c r="I65" i="42"/>
  <c r="J65" i="42"/>
  <c r="K65" i="42"/>
  <c r="L65" i="42"/>
  <c r="M65" i="42"/>
  <c r="N65" i="42"/>
  <c r="O65" i="42"/>
  <c r="P65" i="42"/>
  <c r="Q65" i="42"/>
  <c r="R65" i="42"/>
  <c r="S65" i="42"/>
  <c r="T65" i="42"/>
  <c r="U65" i="42"/>
  <c r="V65" i="42"/>
  <c r="W65" i="42"/>
  <c r="X65" i="42"/>
  <c r="Y65" i="42"/>
  <c r="Z65" i="42"/>
  <c r="AA65" i="42"/>
  <c r="AB65" i="42"/>
  <c r="AC65" i="42"/>
  <c r="AD65" i="42"/>
  <c r="AE65" i="42"/>
  <c r="AF65" i="42"/>
  <c r="AG65" i="42"/>
  <c r="AH65" i="42"/>
  <c r="AI65" i="42"/>
  <c r="AJ65" i="42"/>
  <c r="B67" i="42"/>
  <c r="C67" i="42"/>
  <c r="B70" i="42"/>
  <c r="B71" i="42"/>
  <c r="B80" i="42"/>
  <c r="C80" i="42"/>
  <c r="D80" i="42"/>
  <c r="E80" i="42"/>
  <c r="B81" i="42"/>
  <c r="C81" i="42"/>
  <c r="D81" i="42"/>
  <c r="E81" i="42"/>
  <c r="D82" i="42"/>
  <c r="E82" i="42"/>
  <c r="B83" i="42"/>
  <c r="C83" i="42"/>
  <c r="D83" i="42"/>
  <c r="E83" i="42"/>
  <c r="D85" i="42"/>
  <c r="E85" i="42"/>
  <c r="B4" i="43"/>
  <c r="B5" i="43"/>
  <c r="B6" i="43"/>
  <c r="B7" i="43"/>
  <c r="B8" i="43"/>
  <c r="B9" i="43"/>
  <c r="B10" i="43"/>
  <c r="B11" i="43"/>
  <c r="B12" i="43"/>
  <c r="B13" i="43"/>
  <c r="B14" i="43"/>
  <c r="B15" i="43"/>
  <c r="B16" i="43"/>
  <c r="B17" i="43"/>
  <c r="B18" i="43"/>
  <c r="B19" i="43"/>
  <c r="B20" i="43"/>
  <c r="B21" i="43"/>
  <c r="B22" i="43"/>
  <c r="G31" i="43"/>
  <c r="H31" i="43"/>
  <c r="I31" i="43"/>
  <c r="J31" i="43"/>
  <c r="K31" i="43"/>
  <c r="L31" i="43"/>
  <c r="M31" i="43"/>
  <c r="N31" i="43"/>
  <c r="O31" i="43"/>
  <c r="P31" i="43"/>
  <c r="Q31" i="43"/>
  <c r="R31" i="43"/>
  <c r="S31" i="43"/>
  <c r="T31" i="43"/>
  <c r="U31" i="43"/>
  <c r="V31" i="43"/>
  <c r="W31" i="43"/>
  <c r="X31" i="43"/>
  <c r="Y31" i="43"/>
  <c r="Z31" i="43"/>
  <c r="AA31" i="43"/>
  <c r="AB31" i="43"/>
  <c r="AC31" i="43"/>
  <c r="AD31" i="43"/>
  <c r="AE31" i="43"/>
  <c r="AF31" i="43"/>
  <c r="AG31" i="43"/>
  <c r="AH31" i="43"/>
  <c r="AI31" i="43"/>
  <c r="AJ31" i="43"/>
  <c r="G32" i="43"/>
  <c r="H32" i="43"/>
  <c r="I32" i="43"/>
  <c r="J32" i="43"/>
  <c r="K32" i="43"/>
  <c r="L32" i="43"/>
  <c r="M32" i="43"/>
  <c r="N32" i="43"/>
  <c r="O32" i="43"/>
  <c r="P32" i="43"/>
  <c r="Q32" i="43"/>
  <c r="R32" i="43"/>
  <c r="S32" i="43"/>
  <c r="T32" i="43"/>
  <c r="U32" i="43"/>
  <c r="V32" i="43"/>
  <c r="W32" i="43"/>
  <c r="X32" i="43"/>
  <c r="Y32" i="43"/>
  <c r="Z32" i="43"/>
  <c r="AA32" i="43"/>
  <c r="AB32" i="43"/>
  <c r="AC32" i="43"/>
  <c r="AD32" i="43"/>
  <c r="AE32" i="43"/>
  <c r="AF32" i="43"/>
  <c r="AG32" i="43"/>
  <c r="AH32" i="43"/>
  <c r="AI32" i="43"/>
  <c r="AJ32" i="43"/>
  <c r="B33" i="43"/>
  <c r="G37" i="43"/>
  <c r="H37" i="43"/>
  <c r="I37" i="43"/>
  <c r="J37" i="43"/>
  <c r="K37" i="43"/>
  <c r="L37" i="43"/>
  <c r="M37" i="43"/>
  <c r="N37" i="43"/>
  <c r="O37" i="43"/>
  <c r="P37" i="43"/>
  <c r="Q37" i="43"/>
  <c r="R37" i="43"/>
  <c r="S37" i="43"/>
  <c r="T37" i="43"/>
  <c r="U37" i="43"/>
  <c r="V37" i="43"/>
  <c r="W37" i="43"/>
  <c r="X37" i="43"/>
  <c r="Y37" i="43"/>
  <c r="Z37" i="43"/>
  <c r="AA37" i="43"/>
  <c r="AB37" i="43"/>
  <c r="AC37" i="43"/>
  <c r="AD37" i="43"/>
  <c r="AE37" i="43"/>
  <c r="AF37" i="43"/>
  <c r="AG37" i="43"/>
  <c r="AH37" i="43"/>
  <c r="AI37" i="43"/>
  <c r="AJ37" i="43"/>
  <c r="G38" i="43"/>
  <c r="H38" i="43"/>
  <c r="I38" i="43"/>
  <c r="J38" i="43"/>
  <c r="K38" i="43"/>
  <c r="L38" i="43"/>
  <c r="M38" i="43"/>
  <c r="N38" i="43"/>
  <c r="O38" i="43"/>
  <c r="P38" i="43"/>
  <c r="Q38" i="43"/>
  <c r="R38" i="43"/>
  <c r="S38" i="43"/>
  <c r="T38" i="43"/>
  <c r="U38" i="43"/>
  <c r="V38" i="43"/>
  <c r="W38" i="43"/>
  <c r="X38" i="43"/>
  <c r="Y38" i="43"/>
  <c r="Z38" i="43"/>
  <c r="AA38" i="43"/>
  <c r="AB38" i="43"/>
  <c r="AC38" i="43"/>
  <c r="AD38" i="43"/>
  <c r="AE38" i="43"/>
  <c r="AF38" i="43"/>
  <c r="AG38" i="43"/>
  <c r="AH38" i="43"/>
  <c r="AI38" i="43"/>
  <c r="AJ38" i="43"/>
  <c r="B39" i="43"/>
  <c r="D42" i="43"/>
  <c r="E42" i="43"/>
  <c r="F42" i="43"/>
  <c r="D43" i="43"/>
  <c r="F44" i="43"/>
  <c r="G45" i="43"/>
  <c r="H45" i="43"/>
  <c r="I45" i="43"/>
  <c r="J45" i="43"/>
  <c r="K45" i="43"/>
  <c r="L45" i="43"/>
  <c r="M45" i="43"/>
  <c r="N45" i="43"/>
  <c r="O45" i="43"/>
  <c r="P45" i="43"/>
  <c r="Q45" i="43"/>
  <c r="R45" i="43"/>
  <c r="S45" i="43"/>
  <c r="T45" i="43"/>
  <c r="U45" i="43"/>
  <c r="V45" i="43"/>
  <c r="W45" i="43"/>
  <c r="X45" i="43"/>
  <c r="Y45" i="43"/>
  <c r="Z45" i="43"/>
  <c r="AA45" i="43"/>
  <c r="AB45" i="43"/>
  <c r="AC45" i="43"/>
  <c r="AD45" i="43"/>
  <c r="AE45" i="43"/>
  <c r="AF45" i="43"/>
  <c r="AG45" i="43"/>
  <c r="AH45" i="43"/>
  <c r="AI45" i="43"/>
  <c r="AJ45" i="43"/>
  <c r="G46" i="43"/>
  <c r="H46" i="43"/>
  <c r="I46" i="43"/>
  <c r="J46" i="43"/>
  <c r="K46" i="43"/>
  <c r="L46" i="43"/>
  <c r="M46" i="43"/>
  <c r="N46" i="43"/>
  <c r="O46" i="43"/>
  <c r="P46" i="43"/>
  <c r="Q46" i="43"/>
  <c r="R46" i="43"/>
  <c r="S46" i="43"/>
  <c r="T46" i="43"/>
  <c r="U46" i="43"/>
  <c r="V46" i="43"/>
  <c r="W46" i="43"/>
  <c r="X46" i="43"/>
  <c r="Y46" i="43"/>
  <c r="Z46" i="43"/>
  <c r="AA46" i="43"/>
  <c r="AB46" i="43"/>
  <c r="AC46" i="43"/>
  <c r="AD46" i="43"/>
  <c r="AE46" i="43"/>
  <c r="AF46" i="43"/>
  <c r="AG46" i="43"/>
  <c r="AH46" i="43"/>
  <c r="AI46" i="43"/>
  <c r="AJ46" i="43"/>
  <c r="B47" i="43"/>
  <c r="B49" i="43"/>
  <c r="B50" i="43"/>
  <c r="G52" i="43"/>
  <c r="G53" i="43"/>
  <c r="H53" i="43"/>
  <c r="I53" i="43"/>
  <c r="J53" i="43"/>
  <c r="K53" i="43"/>
  <c r="L53" i="43"/>
  <c r="M53" i="43"/>
  <c r="N53" i="43"/>
  <c r="O53" i="43"/>
  <c r="P53" i="43"/>
  <c r="Q53" i="43"/>
  <c r="R53" i="43"/>
  <c r="S53" i="43"/>
  <c r="T53" i="43"/>
  <c r="U53" i="43"/>
  <c r="V53" i="43"/>
  <c r="W53" i="43"/>
  <c r="X53" i="43"/>
  <c r="Y53" i="43"/>
  <c r="Z53" i="43"/>
  <c r="AA53" i="43"/>
  <c r="AB53" i="43"/>
  <c r="AC53" i="43"/>
  <c r="AD53" i="43"/>
  <c r="AE53" i="43"/>
  <c r="AF53" i="43"/>
  <c r="AG53" i="43"/>
  <c r="AH53" i="43"/>
  <c r="AI53" i="43"/>
  <c r="AJ53" i="43"/>
  <c r="G54" i="43"/>
  <c r="H54" i="43"/>
  <c r="I54" i="43"/>
  <c r="J54" i="43"/>
  <c r="K54" i="43"/>
  <c r="L54" i="43"/>
  <c r="M54" i="43"/>
  <c r="N54" i="43"/>
  <c r="O54" i="43"/>
  <c r="P54" i="43"/>
  <c r="Q54" i="43"/>
  <c r="R54" i="43"/>
  <c r="S54" i="43"/>
  <c r="T54" i="43"/>
  <c r="U54" i="43"/>
  <c r="V54" i="43"/>
  <c r="W54" i="43"/>
  <c r="X54" i="43"/>
  <c r="Y54" i="43"/>
  <c r="Z54" i="43"/>
  <c r="AA54" i="43"/>
  <c r="AB54" i="43"/>
  <c r="AC54" i="43"/>
  <c r="AD54" i="43"/>
  <c r="AE54" i="43"/>
  <c r="AF54" i="43"/>
  <c r="AG54" i="43"/>
  <c r="AH54" i="43"/>
  <c r="AI54" i="43"/>
  <c r="AJ54" i="43"/>
  <c r="B55" i="43"/>
  <c r="D57" i="43"/>
  <c r="E57" i="43"/>
  <c r="F57" i="43"/>
  <c r="D58" i="43"/>
  <c r="F59" i="43"/>
  <c r="G60" i="43"/>
  <c r="H60" i="43"/>
  <c r="I60" i="43"/>
  <c r="J60" i="43"/>
  <c r="K60" i="43"/>
  <c r="L60" i="43"/>
  <c r="M60" i="43"/>
  <c r="N60" i="43"/>
  <c r="O60" i="43"/>
  <c r="P60" i="43"/>
  <c r="Q60" i="43"/>
  <c r="R60" i="43"/>
  <c r="S60" i="43"/>
  <c r="T60" i="43"/>
  <c r="U60" i="43"/>
  <c r="V60" i="43"/>
  <c r="W60" i="43"/>
  <c r="X60" i="43"/>
  <c r="Y60" i="43"/>
  <c r="Z60" i="43"/>
  <c r="AA60" i="43"/>
  <c r="AB60" i="43"/>
  <c r="AC60" i="43"/>
  <c r="AD60" i="43"/>
  <c r="AE60" i="43"/>
  <c r="AF60" i="43"/>
  <c r="AG60" i="43"/>
  <c r="AH60" i="43"/>
  <c r="AI60" i="43"/>
  <c r="AJ60" i="43"/>
  <c r="B62" i="43"/>
  <c r="C62" i="43"/>
  <c r="B64" i="43"/>
  <c r="B65" i="43"/>
  <c r="B75" i="43"/>
  <c r="C75" i="43"/>
  <c r="D75" i="43"/>
  <c r="E75" i="43"/>
  <c r="B76" i="43"/>
  <c r="C76" i="43"/>
  <c r="D76" i="43"/>
  <c r="E76" i="43"/>
  <c r="D77" i="43"/>
  <c r="E77" i="43"/>
  <c r="B78" i="43"/>
  <c r="C78" i="43"/>
  <c r="D78" i="43"/>
  <c r="E78" i="43"/>
  <c r="B69" i="6"/>
  <c r="I69" i="6"/>
  <c r="B70" i="6"/>
  <c r="I70" i="6"/>
  <c r="B71" i="6"/>
  <c r="I71" i="6"/>
  <c r="B72" i="6"/>
  <c r="I72" i="6"/>
  <c r="B74" i="6"/>
  <c r="I74" i="6"/>
  <c r="I76" i="6"/>
  <c r="B95" i="6"/>
  <c r="I95" i="6"/>
  <c r="B96" i="6"/>
  <c r="I96" i="6"/>
  <c r="B97" i="6"/>
  <c r="I97" i="6"/>
  <c r="B98" i="6"/>
  <c r="I98" i="6"/>
  <c r="B99" i="6"/>
  <c r="I99" i="6"/>
  <c r="B100" i="6"/>
  <c r="I100" i="6"/>
  <c r="B101" i="6"/>
  <c r="I101" i="6"/>
  <c r="B102" i="6"/>
  <c r="I102" i="6"/>
  <c r="B103" i="6"/>
  <c r="I103" i="6"/>
  <c r="B104" i="6"/>
  <c r="I104" i="6"/>
  <c r="I105" i="6"/>
  <c r="B201" i="6"/>
  <c r="I201" i="6"/>
  <c r="B203" i="6"/>
  <c r="I203" i="6"/>
  <c r="I204" i="6"/>
  <c r="B214" i="6"/>
  <c r="I214" i="6"/>
  <c r="B215" i="6"/>
  <c r="I215" i="6"/>
  <c r="B216" i="6"/>
  <c r="I216" i="6"/>
  <c r="B217" i="6"/>
  <c r="I217" i="6"/>
  <c r="B218" i="6"/>
  <c r="I218" i="6"/>
  <c r="B219" i="6"/>
  <c r="I219" i="6"/>
  <c r="I220" i="6"/>
  <c r="B238" i="6"/>
  <c r="I238" i="6" a="1"/>
  <c r="I238" i="6"/>
  <c r="B240" i="6"/>
  <c r="B241" i="6"/>
  <c r="B242" i="6"/>
  <c r="I243" i="6"/>
  <c r="B261" i="6"/>
  <c r="I261" i="6"/>
  <c r="B262" i="6"/>
  <c r="I262" i="6"/>
  <c r="B263" i="6"/>
  <c r="I263" i="6"/>
  <c r="I264" i="6"/>
  <c r="B278" i="6"/>
  <c r="I278" i="6"/>
  <c r="B279" i="6"/>
  <c r="I279" i="6"/>
  <c r="B280" i="6"/>
  <c r="I280" i="6"/>
  <c r="B281" i="6"/>
  <c r="I281" i="6"/>
  <c r="B282" i="6"/>
  <c r="I282" i="6"/>
  <c r="B283" i="6"/>
  <c r="I283" i="6"/>
  <c r="B284" i="6"/>
  <c r="I284" i="6"/>
  <c r="B285" i="6"/>
  <c r="I285" i="6"/>
  <c r="I286" i="6"/>
  <c r="B304" i="6"/>
  <c r="I304" i="6"/>
  <c r="B305" i="6"/>
  <c r="I305" i="6"/>
  <c r="B306" i="6"/>
  <c r="I306" i="6"/>
  <c r="B307" i="6"/>
  <c r="I307" i="6"/>
  <c r="B308" i="6"/>
  <c r="I308" i="6"/>
  <c r="B309" i="6"/>
  <c r="I309" i="6"/>
  <c r="I310" i="6"/>
  <c r="B328" i="6"/>
  <c r="I328" i="6"/>
  <c r="B329" i="6"/>
  <c r="I329" i="6"/>
  <c r="B330" i="6"/>
  <c r="I330" i="6"/>
  <c r="B331" i="6"/>
  <c r="I331" i="6"/>
  <c r="B333" i="6"/>
  <c r="I333" i="6"/>
  <c r="B334" i="6"/>
  <c r="I334" i="6"/>
  <c r="I335" i="6"/>
  <c r="B354" i="6"/>
  <c r="I354" i="6"/>
  <c r="B355" i="6"/>
  <c r="I355" i="6"/>
  <c r="B356" i="6"/>
  <c r="I356" i="6"/>
  <c r="B357" i="6"/>
  <c r="I357" i="6"/>
  <c r="B359" i="6"/>
  <c r="I359" i="6"/>
  <c r="B360" i="6"/>
  <c r="I360" i="6"/>
  <c r="I361" i="6"/>
  <c r="B380" i="6"/>
  <c r="I380" i="6"/>
  <c r="B381" i="6"/>
  <c r="I381" i="6"/>
  <c r="B382" i="6"/>
  <c r="I382" i="6"/>
  <c r="B383" i="6"/>
  <c r="I383" i="6"/>
  <c r="I384" i="6"/>
  <c r="B405" i="6"/>
  <c r="I405" i="6"/>
  <c r="B406" i="6"/>
  <c r="I406" i="6"/>
  <c r="B407" i="6"/>
  <c r="I407" i="6"/>
  <c r="B408" i="6"/>
  <c r="I408" i="6"/>
  <c r="B409" i="6"/>
  <c r="I409" i="6"/>
  <c r="B410" i="6"/>
  <c r="I410" i="6"/>
  <c r="B411" i="6"/>
  <c r="I411" i="6"/>
  <c r="B412" i="6"/>
  <c r="I412" i="6"/>
  <c r="B413" i="6"/>
  <c r="I413" i="6"/>
  <c r="B414" i="6"/>
  <c r="I414" i="6"/>
  <c r="B415" i="6"/>
  <c r="I415" i="6"/>
  <c r="B416" i="6"/>
  <c r="I416" i="6"/>
  <c r="B417" i="6"/>
  <c r="I417" i="6"/>
  <c r="B418" i="6"/>
  <c r="I418" i="6"/>
  <c r="B419" i="6"/>
  <c r="I419" i="6"/>
  <c r="B420" i="6"/>
  <c r="I420" i="6"/>
  <c r="B421" i="6"/>
  <c r="I421" i="6"/>
  <c r="B422" i="6"/>
  <c r="I422" i="6"/>
  <c r="B423" i="6"/>
  <c r="I423" i="6"/>
  <c r="B424" i="6"/>
  <c r="I424" i="6"/>
  <c r="B425" i="6"/>
  <c r="I425" i="6"/>
  <c r="I426" i="6"/>
  <c r="B443" i="6"/>
  <c r="I443" i="6"/>
  <c r="B444" i="6"/>
  <c r="I444" i="6"/>
  <c r="B446" i="6"/>
  <c r="I446" i="6"/>
  <c r="B447" i="6"/>
  <c r="I447" i="6"/>
  <c r="I448" i="6"/>
  <c r="B465" i="6"/>
  <c r="I465" i="6"/>
  <c r="B466" i="6"/>
  <c r="I466" i="6"/>
  <c r="B467" i="6"/>
  <c r="I467" i="6"/>
  <c r="B468" i="6"/>
  <c r="I468" i="6"/>
  <c r="B469" i="6"/>
  <c r="I469" i="6"/>
  <c r="B470" i="6"/>
  <c r="I470" i="6"/>
  <c r="B471" i="6"/>
  <c r="I471" i="6"/>
  <c r="B472" i="6"/>
  <c r="I472" i="6"/>
  <c r="I473" i="6"/>
  <c r="B490" i="6"/>
  <c r="I490" i="6"/>
  <c r="B491" i="6"/>
  <c r="I491" i="6"/>
  <c r="B492" i="6"/>
  <c r="I492" i="6"/>
  <c r="B493" i="6"/>
  <c r="I493" i="6"/>
  <c r="B494" i="6"/>
  <c r="I494" i="6"/>
  <c r="B495" i="6"/>
  <c r="I495" i="6"/>
  <c r="B496" i="6"/>
  <c r="I496" i="6"/>
  <c r="I498" i="6"/>
  <c r="B515" i="6"/>
  <c r="I515" i="6"/>
  <c r="B516" i="6"/>
  <c r="I516" i="6"/>
  <c r="B517" i="6"/>
  <c r="I517" i="6"/>
  <c r="B518" i="6"/>
  <c r="I518" i="6"/>
  <c r="B519" i="6"/>
  <c r="I519" i="6"/>
  <c r="B520" i="6"/>
  <c r="I520" i="6"/>
  <c r="I522" i="6"/>
  <c r="B539" i="6"/>
  <c r="I539" i="6"/>
  <c r="B540" i="6"/>
  <c r="I540" i="6"/>
  <c r="B541" i="6"/>
  <c r="I541" i="6"/>
  <c r="B542" i="6"/>
  <c r="I542" i="6"/>
  <c r="B544" i="6"/>
  <c r="I544" i="6"/>
  <c r="B545" i="6"/>
  <c r="I545" i="6"/>
  <c r="I547" i="6"/>
  <c r="B564" i="6"/>
  <c r="I564" i="6"/>
  <c r="B565" i="6"/>
  <c r="I565" i="6"/>
  <c r="B566" i="6"/>
  <c r="I566" i="6"/>
  <c r="B567" i="6"/>
  <c r="I567" i="6"/>
  <c r="B568" i="6"/>
  <c r="I568" i="6"/>
  <c r="I570" i="6"/>
  <c r="B632" i="6"/>
  <c r="I632" i="6"/>
  <c r="B633" i="6"/>
  <c r="I633" i="6"/>
  <c r="C666" i="6"/>
  <c r="B667" i="6"/>
  <c r="C667" i="6"/>
  <c r="B668" i="6"/>
  <c r="C668" i="6"/>
  <c r="C669" i="6"/>
  <c r="C670" i="6"/>
  <c r="C671" i="6"/>
  <c r="C672" i="6"/>
  <c r="B673" i="6"/>
  <c r="C673" i="6"/>
  <c r="B674" i="6"/>
  <c r="C674" i="6"/>
  <c r="B675" i="6"/>
  <c r="C675" i="6"/>
  <c r="B676" i="6"/>
  <c r="C676" i="6"/>
  <c r="B677" i="6"/>
  <c r="C677" i="6"/>
  <c r="B678" i="6"/>
  <c r="C678" i="6"/>
  <c r="B679" i="6"/>
  <c r="C679" i="6"/>
  <c r="C680" i="6"/>
  <c r="B681" i="6"/>
  <c r="C681" i="6"/>
  <c r="B682" i="6"/>
  <c r="C682" i="6"/>
  <c r="B684" i="6"/>
  <c r="C694" i="6"/>
  <c r="B695" i="6"/>
  <c r="C695" i="6"/>
  <c r="B696" i="6"/>
  <c r="C696" i="6"/>
  <c r="C697" i="6"/>
  <c r="C698" i="6"/>
  <c r="C699" i="6"/>
  <c r="C700" i="6"/>
  <c r="B701" i="6"/>
  <c r="C701" i="6"/>
  <c r="B702" i="6"/>
  <c r="C702" i="6"/>
  <c r="B703" i="6"/>
  <c r="C703" i="6"/>
  <c r="B704" i="6"/>
  <c r="C704" i="6"/>
  <c r="B705" i="6"/>
  <c r="C705" i="6"/>
  <c r="B706" i="6"/>
  <c r="C706" i="6"/>
  <c r="B707" i="6"/>
  <c r="C707" i="6"/>
  <c r="B708" i="6"/>
  <c r="C708" i="6"/>
  <c r="C709" i="6"/>
  <c r="B710" i="6"/>
  <c r="C710" i="6"/>
  <c r="B711" i="6"/>
  <c r="C711" i="6"/>
  <c r="B713" i="6"/>
  <c r="C718" i="6"/>
  <c r="B719" i="6"/>
  <c r="C719" i="6"/>
  <c r="B720" i="6"/>
  <c r="C720" i="6"/>
  <c r="C721" i="6"/>
  <c r="C722" i="6"/>
  <c r="C723" i="6"/>
  <c r="C724" i="6"/>
  <c r="B725" i="6"/>
  <c r="C725" i="6"/>
  <c r="B726" i="6"/>
  <c r="C726" i="6"/>
  <c r="B727" i="6"/>
  <c r="C727" i="6"/>
  <c r="B728" i="6"/>
  <c r="C728" i="6"/>
  <c r="B729" i="6"/>
  <c r="C729" i="6"/>
  <c r="B730" i="6"/>
  <c r="C730" i="6"/>
  <c r="B731" i="6"/>
  <c r="C731" i="6"/>
  <c r="B732" i="6"/>
  <c r="C732" i="6"/>
  <c r="B733" i="6"/>
  <c r="C733" i="6"/>
  <c r="B734" i="6"/>
  <c r="C734" i="6"/>
  <c r="B735" i="6"/>
  <c r="C735" i="6"/>
  <c r="B736" i="6"/>
  <c r="C736" i="6"/>
  <c r="B737" i="6"/>
  <c r="C737" i="6"/>
  <c r="C738" i="6"/>
  <c r="B739" i="6"/>
  <c r="C739" i="6"/>
  <c r="B740" i="6"/>
  <c r="C740" i="6"/>
  <c r="B74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Smith Pittman</author>
  </authors>
  <commentList>
    <comment ref="F13" authorId="0" shapeId="0" xr:uid="{5F095E2F-8B2D-4039-90AF-B2D999F500DC}">
      <text>
        <r>
          <rPr>
            <b/>
            <sz val="9"/>
            <color rgb="FF000000"/>
            <rFont val="Tahoma"/>
            <family val="2"/>
          </rPr>
          <t>Smith Pittman:</t>
        </r>
        <r>
          <rPr>
            <sz val="9"/>
            <color rgb="FF000000"/>
            <rFont val="Tahoma"/>
            <family val="2"/>
          </rPr>
          <t xml:space="preserve">
</t>
        </r>
        <r>
          <rPr>
            <sz val="9"/>
            <color rgb="FF000000"/>
            <rFont val="Tahoma"/>
            <family val="2"/>
          </rPr>
          <t>for scenario AB, divide total flowrate by two</t>
        </r>
      </text>
    </comment>
    <comment ref="A21" authorId="0" shapeId="0" xr:uid="{917A8281-72BD-4B41-8554-AD5EC47EB35B}">
      <text>
        <r>
          <rPr>
            <b/>
            <sz val="9"/>
            <color indexed="81"/>
            <rFont val="Tahoma"/>
            <family val="2"/>
          </rPr>
          <t>Smith Pittman:</t>
        </r>
        <r>
          <rPr>
            <sz val="9"/>
            <color indexed="81"/>
            <rFont val="Tahoma"/>
            <family val="2"/>
          </rPr>
          <t xml:space="preserve">
https://doi.org/10.1016/j.biortech.2015.02.034</t>
        </r>
      </text>
    </comment>
    <comment ref="B22" authorId="0" shapeId="0" xr:uid="{005FADBC-C755-446F-A440-63350DD3047F}">
      <text>
        <r>
          <rPr>
            <b/>
            <sz val="9"/>
            <color indexed="81"/>
            <rFont val="Tahoma"/>
            <family val="2"/>
          </rPr>
          <t>Smith Pittman:</t>
        </r>
        <r>
          <rPr>
            <sz val="9"/>
            <color indexed="81"/>
            <rFont val="Tahoma"/>
            <family val="2"/>
          </rPr>
          <t xml:space="preserve">
https://doi.org/10.1016/j.biortech.2015.02.034</t>
        </r>
      </text>
    </comment>
    <comment ref="B23" authorId="0" shapeId="0" xr:uid="{B3F3577F-232F-4643-AC85-89BC884291C3}">
      <text>
        <r>
          <rPr>
            <b/>
            <sz val="9"/>
            <color indexed="81"/>
            <rFont val="Tahoma"/>
            <family val="2"/>
          </rPr>
          <t>Smith Pittman:</t>
        </r>
        <r>
          <rPr>
            <sz val="9"/>
            <color indexed="81"/>
            <rFont val="Tahoma"/>
            <family val="2"/>
          </rPr>
          <t xml:space="preserve">
https://doi.org/10.1016/j.biortech.2015.02.034</t>
        </r>
      </text>
    </comment>
    <comment ref="A38" authorId="0" shapeId="0" xr:uid="{0BC8127D-352F-4CB0-A86D-FBC21DAE2804}">
      <text>
        <r>
          <rPr>
            <b/>
            <sz val="9"/>
            <color indexed="81"/>
            <rFont val="Tahoma"/>
            <family val="2"/>
          </rPr>
          <t>Smith Pittman:</t>
        </r>
        <r>
          <rPr>
            <sz val="9"/>
            <color indexed="81"/>
            <rFont val="Tahoma"/>
            <family val="2"/>
          </rPr>
          <t xml:space="preserve">
https://doi.org/10.1021/acs.energyfuels.6b00715</t>
        </r>
      </text>
    </comment>
    <comment ref="B38" authorId="0" shapeId="0" xr:uid="{00FCBC27-AA61-4C5F-8C79-FA54D3B26459}">
      <text>
        <r>
          <rPr>
            <b/>
            <sz val="9"/>
            <color indexed="81"/>
            <rFont val="Tahoma"/>
            <family val="2"/>
          </rPr>
          <t>Smith Pittman:</t>
        </r>
        <r>
          <rPr>
            <sz val="9"/>
            <color indexed="81"/>
            <rFont val="Tahoma"/>
            <family val="2"/>
          </rPr>
          <t xml:space="preserve">
https://doi.org/10.1021/acs.energyfuels.6b00715</t>
        </r>
      </text>
    </comment>
    <comment ref="B39" authorId="0" shapeId="0" xr:uid="{7A1F09C5-C9DD-4C7A-94D1-8BF9895AD8F9}">
      <text>
        <r>
          <rPr>
            <b/>
            <sz val="9"/>
            <color indexed="81"/>
            <rFont val="Tahoma"/>
            <family val="2"/>
          </rPr>
          <t>Smith Pittman:</t>
        </r>
        <r>
          <rPr>
            <sz val="9"/>
            <color indexed="81"/>
            <rFont val="Tahoma"/>
            <family val="2"/>
          </rPr>
          <t xml:space="preserve">
https://doi.org/10.1016/j.egyr.2021.10.119</t>
        </r>
      </text>
    </comment>
    <comment ref="A42" authorId="0" shapeId="0" xr:uid="{B71C452A-6A63-4C0F-B2A9-B0716867868D}">
      <text>
        <r>
          <rPr>
            <b/>
            <sz val="9"/>
            <color indexed="81"/>
            <rFont val="Tahoma"/>
            <family val="2"/>
          </rPr>
          <t>Smith Pittman:</t>
        </r>
        <r>
          <rPr>
            <sz val="9"/>
            <color indexed="81"/>
            <rFont val="Tahoma"/>
            <family val="2"/>
          </rPr>
          <t xml:space="preserve">
https://doi.org/10.1016/0960-8524(92)90199-8</t>
        </r>
      </text>
    </comment>
    <comment ref="B43" authorId="0" shapeId="0" xr:uid="{88B671E4-D4F0-4EF2-B006-F2ECA7FB4C7E}">
      <text>
        <r>
          <rPr>
            <b/>
            <sz val="9"/>
            <color indexed="81"/>
            <rFont val="Tahoma"/>
            <family val="2"/>
          </rPr>
          <t>Smith Pittman:</t>
        </r>
        <r>
          <rPr>
            <sz val="9"/>
            <color indexed="81"/>
            <rFont val="Tahoma"/>
            <family val="2"/>
          </rPr>
          <t xml:space="preserve">
https://doi.org/10.1016/j.biortech.2015.02.034</t>
        </r>
      </text>
    </comment>
    <comment ref="B44" authorId="0" shapeId="0" xr:uid="{9BC4CA1E-8AFE-4C41-8BAF-12866154BE93}">
      <text>
        <r>
          <rPr>
            <b/>
            <sz val="9"/>
            <color indexed="81"/>
            <rFont val="Tahoma"/>
            <family val="2"/>
          </rPr>
          <t>Smith Pittman:</t>
        </r>
        <r>
          <rPr>
            <sz val="9"/>
            <color indexed="81"/>
            <rFont val="Tahoma"/>
            <family val="2"/>
          </rPr>
          <t xml:space="preserve">
https://doi.org/10.1016/j.biortech.2015.02.034</t>
        </r>
      </text>
    </comment>
    <comment ref="B48" authorId="0" shapeId="0" xr:uid="{0CC3CEEC-389E-474D-BC30-C63C5306F23B}">
      <text>
        <r>
          <rPr>
            <b/>
            <sz val="9"/>
            <color indexed="81"/>
            <rFont val="Tahoma"/>
            <family val="2"/>
          </rPr>
          <t>Smith Pittman:</t>
        </r>
        <r>
          <rPr>
            <sz val="9"/>
            <color indexed="81"/>
            <rFont val="Tahoma"/>
            <family val="2"/>
          </rPr>
          <t xml:space="preserve">
Meaning nitrogen present in organic matter: amino acids, proteins etc
</t>
        </r>
      </text>
    </comment>
    <comment ref="B50" authorId="0" shapeId="0" xr:uid="{13C94262-C7E6-4D19-95AC-A82B3FCBA408}">
      <text>
        <r>
          <rPr>
            <b/>
            <sz val="9"/>
            <color indexed="81"/>
            <rFont val="Tahoma"/>
            <family val="2"/>
          </rPr>
          <t>Smith Pittman:</t>
        </r>
        <r>
          <rPr>
            <sz val="9"/>
            <color indexed="81"/>
            <rFont val="Tahoma"/>
            <family val="2"/>
          </rPr>
          <t xml:space="preserve">
Refering to ammonia/ammonium and nitrate/nitrite
After AD, all soluble nitrogen is ammonia
</t>
        </r>
      </text>
    </comment>
    <comment ref="A56" authorId="0" shapeId="0" xr:uid="{9714A62A-BA4A-4141-8333-955B33211EE1}">
      <text>
        <r>
          <rPr>
            <b/>
            <sz val="9"/>
            <color indexed="81"/>
            <rFont val="Tahoma"/>
            <family val="2"/>
          </rPr>
          <t>Smith Pittman:</t>
        </r>
        <r>
          <rPr>
            <sz val="9"/>
            <color indexed="81"/>
            <rFont val="Tahoma"/>
            <family val="2"/>
          </rPr>
          <t xml:space="preserve">
https://doi.org/10.1016/j.biortech.2003.10.019
</t>
        </r>
      </text>
    </comment>
    <comment ref="A59" authorId="0" shapeId="0" xr:uid="{0D7BB848-E5C7-48F7-8BC3-D938A02B31F8}">
      <text>
        <r>
          <rPr>
            <b/>
            <sz val="9"/>
            <color indexed="81"/>
            <rFont val="Tahoma"/>
            <family val="2"/>
          </rPr>
          <t>Smith Pittman:</t>
        </r>
        <r>
          <rPr>
            <sz val="9"/>
            <color indexed="81"/>
            <rFont val="Tahoma"/>
            <family val="2"/>
          </rPr>
          <t xml:space="preserve">
https://doi.org/10.1016/0960-8524(92)90199-8</t>
        </r>
      </text>
    </comment>
    <comment ref="B60" authorId="0" shapeId="0" xr:uid="{EFF2FC33-B019-4552-95FC-6298BD8A2715}">
      <text>
        <r>
          <rPr>
            <b/>
            <sz val="9"/>
            <color indexed="81"/>
            <rFont val="Tahoma"/>
            <family val="2"/>
          </rPr>
          <t>Smith Pittman:</t>
        </r>
        <r>
          <rPr>
            <sz val="9"/>
            <color indexed="81"/>
            <rFont val="Tahoma"/>
            <family val="2"/>
          </rPr>
          <t xml:space="preserve">
https://doi.org/10.1016/j.biortech.2015.02.034</t>
        </r>
      </text>
    </comment>
    <comment ref="B61" authorId="0" shapeId="0" xr:uid="{7D536BB2-FDA9-4384-8D42-350E549E283D}">
      <text>
        <r>
          <rPr>
            <b/>
            <sz val="9"/>
            <color indexed="81"/>
            <rFont val="Tahoma"/>
            <family val="2"/>
          </rPr>
          <t>Smith Pittman:</t>
        </r>
        <r>
          <rPr>
            <sz val="9"/>
            <color indexed="81"/>
            <rFont val="Tahoma"/>
            <family val="2"/>
          </rPr>
          <t xml:space="preserve">
https://doi.org/10.1016/j.biortech.2015.02.034</t>
        </r>
      </text>
    </comment>
    <comment ref="B65" authorId="0" shapeId="0" xr:uid="{6AA360E9-FA3E-4D85-8E92-58C668EF2022}">
      <text>
        <r>
          <rPr>
            <b/>
            <sz val="9"/>
            <color rgb="FF000000"/>
            <rFont val="Tahoma"/>
            <family val="2"/>
          </rPr>
          <t>Smith Pittman:</t>
        </r>
        <r>
          <rPr>
            <sz val="9"/>
            <color rgb="FF000000"/>
            <rFont val="Tahoma"/>
            <family val="2"/>
          </rPr>
          <t xml:space="preserve">
</t>
        </r>
        <r>
          <rPr>
            <sz val="9"/>
            <color rgb="FF000000"/>
            <rFont val="Tahoma"/>
            <family val="2"/>
          </rPr>
          <t xml:space="preserve">Meaning nitrogen present in organic matter: amino acids, proteins etc
</t>
        </r>
      </text>
    </comment>
    <comment ref="B67" authorId="0" shapeId="0" xr:uid="{6AE3C607-F141-4909-A311-E67910D3959E}">
      <text>
        <r>
          <rPr>
            <b/>
            <sz val="9"/>
            <color rgb="FF000000"/>
            <rFont val="Tahoma"/>
            <family val="2"/>
          </rPr>
          <t>Smith Pittman:</t>
        </r>
        <r>
          <rPr>
            <sz val="9"/>
            <color rgb="FF000000"/>
            <rFont val="Tahoma"/>
            <family val="2"/>
          </rPr>
          <t xml:space="preserve">
</t>
        </r>
        <r>
          <rPr>
            <sz val="9"/>
            <color rgb="FF000000"/>
            <rFont val="Tahoma"/>
            <family val="2"/>
          </rPr>
          <t xml:space="preserve">Refering to ammonia/ammonium and nitrate/nitrite
</t>
        </r>
        <r>
          <rPr>
            <sz val="9"/>
            <color rgb="FF000000"/>
            <rFont val="Tahoma"/>
            <family val="2"/>
          </rPr>
          <t xml:space="preserve">
</t>
        </r>
        <r>
          <rPr>
            <sz val="9"/>
            <color rgb="FF000000"/>
            <rFont val="Tahoma"/>
            <family val="2"/>
          </rPr>
          <t xml:space="preserve">After AD, all soluble nitrogen is ammonia
</t>
        </r>
      </text>
    </comment>
    <comment ref="A73" authorId="0" shapeId="0" xr:uid="{B56AFFB9-CE79-492E-A936-89EA3252AC72}">
      <text>
        <r>
          <rPr>
            <b/>
            <sz val="9"/>
            <color indexed="81"/>
            <rFont val="Tahoma"/>
            <family val="2"/>
          </rPr>
          <t>Smith Pittman:</t>
        </r>
        <r>
          <rPr>
            <sz val="9"/>
            <color indexed="81"/>
            <rFont val="Tahoma"/>
            <family val="2"/>
          </rPr>
          <t xml:space="preserve">
https://doi.org/10.1016/0269-7483(87)90024-3</t>
        </r>
      </text>
    </comment>
    <comment ref="A76" authorId="0" shapeId="0" xr:uid="{E603187D-166A-4750-81F5-87A65F8C0E1A}">
      <text>
        <r>
          <rPr>
            <b/>
            <sz val="9"/>
            <color indexed="81"/>
            <rFont val="Tahoma"/>
            <family val="2"/>
          </rPr>
          <t>Smith Pittman:</t>
        </r>
        <r>
          <rPr>
            <sz val="9"/>
            <color indexed="81"/>
            <rFont val="Tahoma"/>
            <family val="2"/>
          </rPr>
          <t xml:space="preserve">
https://doi.org/10.1016/0033-5894(71)90041-X</t>
        </r>
      </text>
    </comment>
    <comment ref="A119" authorId="0" shapeId="0" xr:uid="{F068772E-8E66-4D69-81A4-A621B553CAA2}">
      <text>
        <r>
          <rPr>
            <b/>
            <sz val="9"/>
            <color indexed="81"/>
            <rFont val="Tahoma"/>
            <family val="2"/>
          </rPr>
          <t>Smith Pittman:</t>
        </r>
        <r>
          <rPr>
            <sz val="9"/>
            <color indexed="81"/>
            <rFont val="Tahoma"/>
            <family val="2"/>
          </rPr>
          <t xml:space="preserve">
https://doi.org/10.1007/s12010-023-04834-x
</t>
        </r>
      </text>
    </comment>
    <comment ref="A128" authorId="0" shapeId="0" xr:uid="{650CDF9C-66CA-4C48-A4F2-CEB0AACE9138}">
      <text>
        <r>
          <rPr>
            <b/>
            <sz val="9"/>
            <color indexed="81"/>
            <rFont val="Tahoma"/>
            <family val="2"/>
          </rPr>
          <t>Smith Pittman:</t>
        </r>
        <r>
          <rPr>
            <sz val="9"/>
            <color indexed="81"/>
            <rFont val="Tahoma"/>
            <family val="2"/>
          </rPr>
          <t xml:space="preserve">
https://doi.org/10.1128/aem.52.2.314-319.1986
</t>
        </r>
      </text>
    </comment>
    <comment ref="A141" authorId="0" shapeId="0" xr:uid="{AACD04D0-248E-4358-BEEE-D4DDCF0739AA}">
      <text>
        <r>
          <rPr>
            <b/>
            <sz val="9"/>
            <color indexed="81"/>
            <rFont val="Tahoma"/>
            <family val="2"/>
          </rPr>
          <t>Smith Pittman:</t>
        </r>
        <r>
          <rPr>
            <sz val="9"/>
            <color indexed="81"/>
            <rFont val="Tahoma"/>
            <family val="2"/>
          </rPr>
          <t xml:space="preserve">
Osmotic Pressure (π): This depends on the salinity (concentration of solutes) of the feed water and the temperature. For seawater, the osmotic pressure is typically around 26 bar (2.6 MPa). For brackish water, it can range from 2 to 5 bar.</t>
        </r>
      </text>
    </comment>
    <comment ref="D174" authorId="0" shapeId="0" xr:uid="{21943843-31F1-4712-B032-40EA4323396B}">
      <text>
        <r>
          <rPr>
            <b/>
            <sz val="9"/>
            <color indexed="81"/>
            <rFont val="Tahoma"/>
            <family val="2"/>
          </rPr>
          <t>Smith Pittman:</t>
        </r>
        <r>
          <rPr>
            <sz val="9"/>
            <color indexed="81"/>
            <rFont val="Tahoma"/>
            <family val="2"/>
          </rPr>
          <t xml:space="preserve">
can refine
</t>
        </r>
      </text>
    </comment>
    <comment ref="D180" authorId="0" shapeId="0" xr:uid="{E138412E-8D74-4A44-8F46-8C31F6C8AAEA}">
      <text>
        <r>
          <rPr>
            <b/>
            <sz val="9"/>
            <color indexed="81"/>
            <rFont val="Tahoma"/>
            <family val="2"/>
          </rPr>
          <t>Smith Pittman:</t>
        </r>
        <r>
          <rPr>
            <sz val="9"/>
            <color indexed="81"/>
            <rFont val="Tahoma"/>
            <family val="2"/>
          </rPr>
          <t xml:space="preserve">
can refine
</t>
        </r>
      </text>
    </comment>
    <comment ref="A396" authorId="0" shapeId="0" xr:uid="{E89197BA-0848-4237-84D4-6258A28D6CC6}">
      <text>
        <r>
          <rPr>
            <b/>
            <sz val="9"/>
            <color indexed="81"/>
            <rFont val="Tahoma"/>
            <family val="2"/>
          </rPr>
          <t>Smith Pittman:</t>
        </r>
        <r>
          <rPr>
            <sz val="9"/>
            <color indexed="81"/>
            <rFont val="Tahoma"/>
            <family val="2"/>
          </rPr>
          <t xml:space="preserve">
https://doi.org/10.1016/j.jece.2022.107826</t>
        </r>
      </text>
    </comment>
    <comment ref="B401" authorId="0" shapeId="0" xr:uid="{6CFE4A3C-D8B1-4AE9-80B1-46A9F9E77C7B}">
      <text>
        <r>
          <rPr>
            <b/>
            <sz val="9"/>
            <color indexed="81"/>
            <rFont val="Tahoma"/>
            <family val="2"/>
          </rPr>
          <t>Smith Pittman:</t>
        </r>
        <r>
          <rPr>
            <sz val="9"/>
            <color indexed="81"/>
            <rFont val="Tahoma"/>
            <family val="2"/>
          </rPr>
          <t xml:space="preserve">
"The recommended flow rate that maximizes liquid-gas interfacial area while preventing flooding is just before the loading region"
</t>
        </r>
      </text>
    </comment>
    <comment ref="D446" authorId="0" shapeId="0" xr:uid="{2676FC3B-B986-4DB7-8B92-25F135076DEC}">
      <text>
        <r>
          <rPr>
            <b/>
            <sz val="9"/>
            <color indexed="81"/>
            <rFont val="Tahoma"/>
            <family val="2"/>
          </rPr>
          <t>Smith Pittman:</t>
        </r>
        <r>
          <rPr>
            <sz val="9"/>
            <color indexed="81"/>
            <rFont val="Tahoma"/>
            <family val="2"/>
          </rPr>
          <t xml:space="preserve">
https://doi.org/10.1016/j.seppur.2023.124810</t>
        </r>
      </text>
    </comment>
    <comment ref="D471" authorId="0" shapeId="0" xr:uid="{E78CEE79-1513-4383-9C04-0516C394F507}">
      <text>
        <r>
          <rPr>
            <b/>
            <sz val="9"/>
            <color indexed="81"/>
            <rFont val="Tahoma"/>
            <family val="2"/>
          </rPr>
          <t>Smith Pittman:</t>
        </r>
        <r>
          <rPr>
            <sz val="9"/>
            <color indexed="81"/>
            <rFont val="Tahoma"/>
            <family val="2"/>
          </rPr>
          <t xml:space="preserve">
Can refine</t>
        </r>
      </text>
    </comment>
    <comment ref="D586" authorId="0" shapeId="0" xr:uid="{BBE85D10-3869-47A4-9386-3B97E408F4BF}">
      <text>
        <r>
          <rPr>
            <b/>
            <sz val="9"/>
            <color indexed="81"/>
            <rFont val="Tahoma"/>
            <family val="2"/>
          </rPr>
          <t>Smith Pittman:</t>
        </r>
        <r>
          <rPr>
            <sz val="9"/>
            <color indexed="81"/>
            <rFont val="Tahoma"/>
            <family val="2"/>
          </rPr>
          <t xml:space="preserve">
can refine</t>
        </r>
      </text>
    </comment>
    <comment ref="D718" authorId="0" shapeId="0" xr:uid="{DBB110E1-908E-47F3-AC4D-63DECB44A0DC}">
      <text>
        <r>
          <rPr>
            <b/>
            <sz val="9"/>
            <color indexed="81"/>
            <rFont val="Tahoma"/>
            <family val="2"/>
          </rPr>
          <t>Smith Pittman:</t>
        </r>
        <r>
          <rPr>
            <sz val="9"/>
            <color indexed="81"/>
            <rFont val="Tahoma"/>
            <family val="2"/>
          </rPr>
          <t xml:space="preserve">
https://doi.org/10.3390/en20401107</t>
        </r>
      </text>
    </comment>
    <comment ref="D723" authorId="0" shapeId="0" xr:uid="{56271563-C528-47C4-8724-94567A3B1DC5}">
      <text>
        <r>
          <rPr>
            <b/>
            <sz val="9"/>
            <color indexed="81"/>
            <rFont val="Tahoma"/>
            <family val="2"/>
          </rPr>
          <t>Smith Pittman:</t>
        </r>
        <r>
          <rPr>
            <sz val="9"/>
            <color indexed="81"/>
            <rFont val="Tahoma"/>
            <family val="2"/>
          </rPr>
          <t xml:space="preserve">
https://doi.org/10.3390/en20401107
150 C
</t>
        </r>
      </text>
    </comment>
    <comment ref="D725" authorId="0" shapeId="0" xr:uid="{8B625A33-545B-46F4-977C-C12C03B43AD5}">
      <text>
        <r>
          <rPr>
            <b/>
            <sz val="9"/>
            <color indexed="81"/>
            <rFont val="Tahoma"/>
            <family val="2"/>
          </rPr>
          <t>Smith Pittman:</t>
        </r>
        <r>
          <rPr>
            <sz val="9"/>
            <color indexed="81"/>
            <rFont val="Tahoma"/>
            <family val="2"/>
          </rPr>
          <t xml:space="preserve">
0.01 - 0.2
https://doi.org/10.3390/en20401107
</t>
        </r>
      </text>
    </comment>
    <comment ref="D741" authorId="0" shapeId="0" xr:uid="{863FA69D-D546-4C1C-A820-5BF0E516739F}">
      <text>
        <r>
          <rPr>
            <b/>
            <sz val="9"/>
            <color indexed="81"/>
            <rFont val="Tahoma"/>
            <family val="2"/>
          </rPr>
          <t>Smith Pittman:</t>
        </r>
        <r>
          <rPr>
            <sz val="9"/>
            <color indexed="81"/>
            <rFont val="Tahoma"/>
            <family val="2"/>
          </rPr>
          <t xml:space="preserve">
https://www.nrel.gov/docs/fy19osti/71949.pdf</t>
        </r>
      </text>
    </comment>
    <comment ref="D753" authorId="0" shapeId="0" xr:uid="{B246F912-86D4-4FBA-B98C-AA990D4CE22B}">
      <text>
        <r>
          <rPr>
            <b/>
            <sz val="9"/>
            <color indexed="81"/>
            <rFont val="Tahoma"/>
            <family val="2"/>
          </rPr>
          <t>Smith Pittman:</t>
        </r>
        <r>
          <rPr>
            <sz val="9"/>
            <color indexed="81"/>
            <rFont val="Tahoma"/>
            <family val="2"/>
          </rPr>
          <t xml:space="preserve">
https://www.nrel.gov/docs/fy19osti/71949.pdf</t>
        </r>
      </text>
    </comment>
    <comment ref="D844" authorId="0" shapeId="0" xr:uid="{6E0F2077-ECD0-4DE3-97C6-F63AD8A14E6B}">
      <text>
        <r>
          <rPr>
            <b/>
            <sz val="9"/>
            <color indexed="81"/>
            <rFont val="Tahoma"/>
            <family val="2"/>
          </rPr>
          <t>Smith Pittman:</t>
        </r>
        <r>
          <rPr>
            <sz val="9"/>
            <color indexed="81"/>
            <rFont val="Tahoma"/>
            <family val="2"/>
          </rPr>
          <t xml:space="preserve">
https://routereadytrucks.com/our-trucks/front-loaders/
2020 Peterbilt 520 Heil Half Pack 40yd FL W/ Curotto Can Miles 33,890
2020 Peterbilt 520 Heil Half Pack 40yd Front Load W/ Curotto Can Miles 33,890
Cummins ISX 350hp, Allison Automatic 4500RDS 
Front Axle 20,000lb, Rear Axle 46,000lb, HMX-460,
Dual Drive, Dual Controls, Camera System,
Roof A/C, Strobe System, Work Lights, Curotto Can,
New Federal DOT Certification, 
Miles 33,890, Hours 6,825,
$355,000 An Exceptional Unit, FOB Tampa, FL
</t>
        </r>
      </text>
    </comment>
    <comment ref="D845" authorId="0" shapeId="0" xr:uid="{E44F359B-49B7-4D9C-A8DE-593A7292279D}">
      <text>
        <r>
          <rPr>
            <b/>
            <sz val="9"/>
            <color indexed="81"/>
            <rFont val="Tahoma"/>
            <family val="2"/>
          </rPr>
          <t>Smith Pittman:</t>
        </r>
        <r>
          <rPr>
            <sz val="9"/>
            <color indexed="81"/>
            <rFont val="Tahoma"/>
            <family val="2"/>
          </rPr>
          <t xml:space="preserve">
Little Giant 16G-F151-20 - 1 HP Automatic Grinder Pump w/ Piggyback Tethered Float
Model:
509810</t>
        </r>
      </text>
    </comment>
    <comment ref="D849" authorId="0" shapeId="0" xr:uid="{31997D86-4368-4D39-8FC0-1FB657A38C5E}">
      <text>
        <r>
          <rPr>
            <b/>
            <sz val="9"/>
            <color indexed="81"/>
            <rFont val="Tahoma"/>
            <family val="2"/>
          </rPr>
          <t>Smith Pittman:</t>
        </r>
        <r>
          <rPr>
            <sz val="9"/>
            <color indexed="81"/>
            <rFont val="Tahoma"/>
            <family val="2"/>
          </rPr>
          <t xml:space="preserve">
https://www.osti.gov/servlets/purl/797810</t>
        </r>
      </text>
    </comment>
    <comment ref="D853" authorId="0" shapeId="0" xr:uid="{4B420A4B-BD13-4349-B4AB-1C316FF15FAB}">
      <text>
        <r>
          <rPr>
            <b/>
            <sz val="9"/>
            <color indexed="81"/>
            <rFont val="Tahoma"/>
            <family val="2"/>
          </rPr>
          <t>Smith Pittman:</t>
        </r>
        <r>
          <rPr>
            <sz val="9"/>
            <color indexed="81"/>
            <rFont val="Tahoma"/>
            <family val="2"/>
          </rPr>
          <t xml:space="preserve">
https://www.fastmarkets.com/insights/chinas-graphite-electrode-prices-drop-further/</t>
        </r>
      </text>
    </comment>
    <comment ref="D854" authorId="0" shapeId="0" xr:uid="{AD9219D0-473B-442C-863C-3C0B0B7CF3F4}">
      <text>
        <r>
          <rPr>
            <b/>
            <sz val="9"/>
            <color indexed="81"/>
            <rFont val="Tahoma"/>
            <family val="2"/>
          </rPr>
          <t>Smith Pittman:</t>
        </r>
        <r>
          <rPr>
            <sz val="9"/>
            <color indexed="81"/>
            <rFont val="Tahoma"/>
            <family val="2"/>
          </rPr>
          <t xml:space="preserve">
https://www.fuelcellstore.com/fuel-cell-components/membranes/anion-exchange-membrane/sustainion-e28-50-t-75000000?sort=p.price&amp;order=DESC</t>
        </r>
      </text>
    </comment>
    <comment ref="D855" authorId="0" shapeId="0" xr:uid="{8C5D7C15-44F2-41B1-B916-FCA779C394F7}">
      <text>
        <r>
          <rPr>
            <b/>
            <sz val="9"/>
            <color indexed="81"/>
            <rFont val="Tahoma"/>
            <family val="2"/>
          </rPr>
          <t>Smith Pittman:</t>
        </r>
        <r>
          <rPr>
            <sz val="9"/>
            <color indexed="81"/>
            <rFont val="Tahoma"/>
            <family val="2"/>
          </rPr>
          <t xml:space="preserve">
https://www.fuelcellstore.com/fuel-cell-components/membranes/cation-exchange-membrane/fumasep-fks-pet-130</t>
        </r>
      </text>
    </comment>
    <comment ref="D856" authorId="0" shapeId="0" xr:uid="{B588FD19-1B8E-4FA7-AF08-A1056AEEAB11}">
      <text>
        <r>
          <rPr>
            <b/>
            <sz val="9"/>
            <color indexed="81"/>
            <rFont val="Tahoma"/>
            <family val="2"/>
          </rPr>
          <t>Smith Pittman:</t>
        </r>
        <r>
          <rPr>
            <sz val="9"/>
            <color indexed="81"/>
            <rFont val="Tahoma"/>
            <family val="2"/>
          </rPr>
          <t xml:space="preserve">
https://www.fuelcellstore.com/fuel-cell-components/membranes/bipolar-membranes/fumasep-fbm</t>
        </r>
      </text>
    </comment>
    <comment ref="D860" authorId="0" shapeId="0" xr:uid="{245F020C-9877-44AF-A512-78FAC353B187}">
      <text>
        <r>
          <rPr>
            <b/>
            <sz val="9"/>
            <color indexed="81"/>
            <rFont val="Tahoma"/>
            <family val="2"/>
          </rPr>
          <t>Smith Pittman:</t>
        </r>
        <r>
          <rPr>
            <sz val="9"/>
            <color indexed="81"/>
            <rFont val="Tahoma"/>
            <family val="2"/>
          </rPr>
          <t xml:space="preserve">
https://cannonwater.com/knight-equipment-pmp-8120b-peristaltic-metering-pump-115v-60-hz-fixed-speed-t-66e-squeeze-tube-30-psi-max-40-oz-min/</t>
        </r>
      </text>
    </comment>
    <comment ref="D861" authorId="0" shapeId="0" xr:uid="{40786ACE-D0A4-404E-91D5-B4430133E96E}">
      <text>
        <r>
          <rPr>
            <b/>
            <sz val="9"/>
            <color indexed="81"/>
            <rFont val="Tahoma"/>
            <family val="2"/>
          </rPr>
          <t>Smith Pittman:</t>
        </r>
        <r>
          <rPr>
            <sz val="9"/>
            <color indexed="81"/>
            <rFont val="Tahoma"/>
            <family val="2"/>
          </rPr>
          <t xml:space="preserve">
Shanking Chemical Equipment Machinery Glass Lined Chemical Reactor 220-10000L
https://chinareactortank.en.made-in-china.com/product/yndUeuYAqPrJ/China-Shanking-Chemical-Equipment-Machinery-Glass-Lined-Chemical-Reactor-220-10000L.html</t>
        </r>
      </text>
    </comment>
    <comment ref="D872" authorId="0" shapeId="0" xr:uid="{5439A01F-A1D5-4C14-A723-FA3095CC50DA}">
      <text>
        <r>
          <rPr>
            <b/>
            <sz val="9"/>
            <color indexed="81"/>
            <rFont val="Tahoma"/>
            <family val="2"/>
          </rPr>
          <t>Smith Pittman:</t>
        </r>
        <r>
          <rPr>
            <sz val="9"/>
            <color indexed="81"/>
            <rFont val="Tahoma"/>
            <family val="2"/>
          </rPr>
          <t xml:space="preserve">
https://www.nrel.gov/docs/fy19osti/71949.pdf</t>
        </r>
      </text>
    </comment>
    <comment ref="D873" authorId="0" shapeId="0" xr:uid="{3B131221-885D-4D11-A66F-225E9D22C684}">
      <text>
        <r>
          <rPr>
            <b/>
            <sz val="9"/>
            <color indexed="81"/>
            <rFont val="Tahoma"/>
            <family val="2"/>
          </rPr>
          <t>Smith Pittman:</t>
        </r>
        <r>
          <rPr>
            <sz val="9"/>
            <color indexed="81"/>
            <rFont val="Tahoma"/>
            <family val="2"/>
          </rPr>
          <t xml:space="preserve">
https://www.nrel.gov/docs/fy19osti/71949.pdf</t>
        </r>
      </text>
    </comment>
    <comment ref="D874" authorId="0" shapeId="0" xr:uid="{3521EE5A-DEE7-494F-A338-4A840CBC8485}">
      <text>
        <r>
          <rPr>
            <b/>
            <sz val="9"/>
            <color indexed="81"/>
            <rFont val="Tahoma"/>
            <family val="2"/>
          </rPr>
          <t>Smith Pittman:</t>
        </r>
        <r>
          <rPr>
            <sz val="9"/>
            <color indexed="81"/>
            <rFont val="Tahoma"/>
            <family val="2"/>
          </rPr>
          <t xml:space="preserve">
https://www.nrel.gov/docs/fy19osti/71949.pdf</t>
        </r>
      </text>
    </comment>
    <comment ref="D875" authorId="0" shapeId="0" xr:uid="{308360D6-8F01-4A0E-9F1B-D58018A977B8}">
      <text>
        <r>
          <rPr>
            <b/>
            <sz val="9"/>
            <color indexed="81"/>
            <rFont val="Tahoma"/>
            <family val="2"/>
          </rPr>
          <t>Smith Pittman:</t>
        </r>
        <r>
          <rPr>
            <sz val="9"/>
            <color indexed="81"/>
            <rFont val="Tahoma"/>
            <family val="2"/>
          </rPr>
          <t xml:space="preserve">
https://www.nrel.gov/docs/fy19osti/71949.pdf</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Smith Pittman</author>
  </authors>
  <commentList>
    <comment ref="B34" authorId="0" shapeId="0" xr:uid="{B01D9F84-D93C-4AFC-AC6C-9F04737A3577}">
      <text>
        <r>
          <rPr>
            <b/>
            <sz val="9"/>
            <color indexed="81"/>
            <rFont val="Tahoma"/>
            <family val="2"/>
          </rPr>
          <t xml:space="preserve">Smith Pittman:
</t>
        </r>
        <r>
          <rPr>
            <sz val="9"/>
            <color indexed="81"/>
            <rFont val="Tahoma"/>
            <family val="2"/>
          </rPr>
          <t xml:space="preserve">
https://fl-nzgs-media.s3.amazonaws.com/uploads/2022/06/2015_ANZ_Conference_12_010-3.pdf</t>
        </r>
      </text>
    </comment>
    <comment ref="A345" authorId="0" shapeId="0" xr:uid="{C531A5C2-FC3F-45B0-9501-4934FAEF6ACE}">
      <text>
        <r>
          <rPr>
            <b/>
            <sz val="9"/>
            <color indexed="81"/>
            <rFont val="Tahoma"/>
            <family val="2"/>
          </rPr>
          <t>Smith Pittman:</t>
        </r>
        <r>
          <rPr>
            <sz val="9"/>
            <color indexed="81"/>
            <rFont val="Tahoma"/>
            <family val="2"/>
          </rPr>
          <t xml:space="preserve">
R. Moscoviz, E. Trably, N. Berneta, H. Carrèrea
The environmental biorefinery: state-of-the-art on the production of hydrogen and value-added biomolecules in mixed-culture fermentation
Green Chem., 20 (2018), pp. 3159-3179
</t>
        </r>
      </text>
    </comment>
    <comment ref="A415" authorId="0" shapeId="0" xr:uid="{5EB1A073-CFAE-4A14-AE6B-D779DF67836D}">
      <text>
        <r>
          <rPr>
            <b/>
            <sz val="9"/>
            <color indexed="81"/>
            <rFont val="Tahoma"/>
            <family val="2"/>
          </rPr>
          <t>Smith Pittman:</t>
        </r>
        <r>
          <rPr>
            <sz val="9"/>
            <color indexed="81"/>
            <rFont val="Tahoma"/>
            <family val="2"/>
          </rPr>
          <t xml:space="preserve">
these are non-volatile with very low or neglibigle vapor pressures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Smith Pittman</author>
  </authors>
  <commentList>
    <comment ref="C3" authorId="0" shapeId="0" xr:uid="{3A559144-EC0E-475D-81CE-6EC195240F5F}">
      <text>
        <r>
          <rPr>
            <b/>
            <sz val="9"/>
            <color indexed="81"/>
            <rFont val="Tahoma"/>
            <family val="2"/>
          </rPr>
          <t>Smith Pittman:</t>
        </r>
        <r>
          <rPr>
            <sz val="9"/>
            <color indexed="81"/>
            <rFont val="Tahoma"/>
            <family val="2"/>
          </rPr>
          <t xml:space="preserve">
All values on this page are static and represent values scaled from internal experimental data. To run the analysis with experimental baseline data, select the scenario on the inputs tab.</t>
        </r>
      </text>
    </comment>
    <comment ref="A122" authorId="0" shapeId="0" xr:uid="{85CF30F5-7B86-43FA-9A6F-8B7AD94BBDA1}">
      <text>
        <r>
          <rPr>
            <b/>
            <sz val="9"/>
            <color indexed="81"/>
            <rFont val="Tahoma"/>
            <family val="2"/>
          </rPr>
          <t>Smith Pittman:</t>
        </r>
        <r>
          <rPr>
            <sz val="9"/>
            <color indexed="81"/>
            <rFont val="Tahoma"/>
            <family val="2"/>
          </rPr>
          <t xml:space="preserve">
https://doi.org/10.1007/s12010-023-04834-x
</t>
        </r>
      </text>
    </comment>
    <comment ref="A133" authorId="0" shapeId="0" xr:uid="{C4FBFF68-3859-4ED6-87F9-F88A04982F20}">
      <text>
        <r>
          <rPr>
            <b/>
            <sz val="9"/>
            <color indexed="81"/>
            <rFont val="Tahoma"/>
            <family val="2"/>
          </rPr>
          <t>Smith Pittman:</t>
        </r>
        <r>
          <rPr>
            <sz val="9"/>
            <color indexed="81"/>
            <rFont val="Tahoma"/>
            <family val="2"/>
          </rPr>
          <t xml:space="preserve">
https://doi.org/10.1128/aem.52.2.314-319.1986
</t>
        </r>
      </text>
    </comment>
    <comment ref="C191" authorId="0" shapeId="0" xr:uid="{5AA3C7E1-76B5-4562-84A8-774470D2E356}">
      <text>
        <r>
          <rPr>
            <b/>
            <sz val="9"/>
            <color indexed="81"/>
            <rFont val="Tahoma"/>
            <family val="2"/>
          </rPr>
          <t>Smith Pittman:</t>
        </r>
        <r>
          <rPr>
            <sz val="9"/>
            <color indexed="81"/>
            <rFont val="Tahoma"/>
            <family val="2"/>
          </rPr>
          <t xml:space="preserve">
All values on this page are static and represent values scaled from internal experimental data. To run the analysis with experimental baseline data, select the scenario on the inputs tab.</t>
        </r>
      </text>
    </comment>
    <comment ref="E191" authorId="0" shapeId="0" xr:uid="{1A7C69BD-241D-4D7D-93FE-1897EF1EB784}">
      <text>
        <r>
          <rPr>
            <b/>
            <sz val="9"/>
            <color indexed="81"/>
            <rFont val="Tahoma"/>
            <family val="2"/>
          </rPr>
          <t>Smith Pittman:</t>
        </r>
        <r>
          <rPr>
            <sz val="9"/>
            <color indexed="81"/>
            <rFont val="Tahoma"/>
            <family val="2"/>
          </rPr>
          <t xml:space="preserve">
All values on this page are static and represent values scaled from internal experimental data. To run the analysis with experimental baseline data, select the scenario on the inputs tab.</t>
        </r>
      </text>
    </comment>
    <comment ref="C222" authorId="0" shapeId="0" xr:uid="{E6C27E63-A45F-4E4D-ABF2-CCDFCFD4EE9F}">
      <text>
        <r>
          <rPr>
            <b/>
            <sz val="9"/>
            <color indexed="81"/>
            <rFont val="Tahoma"/>
            <family val="2"/>
          </rPr>
          <t>Smith Pittman:</t>
        </r>
        <r>
          <rPr>
            <sz val="9"/>
            <color indexed="81"/>
            <rFont val="Tahoma"/>
            <family val="2"/>
          </rPr>
          <t xml:space="preserve">
https://doi.org/10.1016/j.biortech.2018.11.104
Moreover, despite the low pH levels, a high yield of 0.54 g VFA/g VSadded was realized, which was a better performance than what was previously achieved during biodegradation of food waste with pH control. For instance, Zhang et al., 2005, Jiang et al., 2013, Lim et al., 2000 used batch reactors and the yields obtained from their processes were 0.31 g VFA/g VSadded (at pH 7.0), 0.50 g VFA/g VSadded (at pH 6.0) and 0.40 g VFA/g VSadded (at pH 5.5) respectively.</t>
        </r>
      </text>
    </comment>
    <comment ref="A322" authorId="0" shapeId="0" xr:uid="{F7858DA1-323F-49E1-8142-5DBAF490F2DF}">
      <text>
        <r>
          <rPr>
            <b/>
            <sz val="9"/>
            <color indexed="81"/>
            <rFont val="Tahoma"/>
            <family val="2"/>
          </rPr>
          <t>Smith Pittman:</t>
        </r>
        <r>
          <rPr>
            <sz val="9"/>
            <color indexed="81"/>
            <rFont val="Tahoma"/>
            <family val="2"/>
          </rPr>
          <t xml:space="preserve">
Assume that 70 percent of total phosphorus is soluble in the AD effluent
</t>
        </r>
      </text>
    </comment>
    <comment ref="A350" authorId="0" shapeId="0" xr:uid="{6F6022E2-2971-41F2-809D-FEF8245B414F}">
      <text>
        <r>
          <rPr>
            <b/>
            <sz val="9"/>
            <color indexed="81"/>
            <rFont val="Tahoma"/>
            <family val="2"/>
          </rPr>
          <t>Smith Pittman:</t>
        </r>
        <r>
          <rPr>
            <sz val="9"/>
            <color indexed="81"/>
            <rFont val="Tahoma"/>
            <family val="2"/>
          </rPr>
          <t xml:space="preserve">
All soluble nitrogen was ammonium in digested cow and pig manure
https://www.sciencedirect.com/science/article/pii/0960852492901998?via%3Dihub</t>
        </r>
      </text>
    </comment>
    <comment ref="A391" authorId="0" shapeId="0" xr:uid="{ED7DC21E-1804-4342-9B72-9A29B1982877}">
      <text>
        <r>
          <rPr>
            <b/>
            <sz val="9"/>
            <color indexed="81"/>
            <rFont val="Tahoma"/>
            <family val="2"/>
          </rPr>
          <t>Smith Pittman:</t>
        </r>
        <r>
          <rPr>
            <sz val="9"/>
            <color indexed="81"/>
            <rFont val="Tahoma"/>
            <family val="2"/>
          </rPr>
          <t xml:space="preserve">
https://doi.org/10.1533/9780857097415.2.267</t>
        </r>
      </text>
    </comment>
    <comment ref="A392" authorId="0" shapeId="0" xr:uid="{C35F7DD4-ED26-48A4-A375-86FA1213C0F6}">
      <text>
        <r>
          <rPr>
            <b/>
            <sz val="9"/>
            <color indexed="81"/>
            <rFont val="Tahoma"/>
            <family val="2"/>
          </rPr>
          <t>Smith Pittman:</t>
        </r>
        <r>
          <rPr>
            <sz val="9"/>
            <color indexed="81"/>
            <rFont val="Tahoma"/>
            <family val="2"/>
          </rPr>
          <t xml:space="preserve">
https://doi.org/10.1533/9780857097415.2.267</t>
        </r>
      </text>
    </comment>
    <comment ref="B583" authorId="0" shapeId="0" xr:uid="{C442B1E1-FA68-452D-8D96-4EA14F187F37}">
      <text>
        <r>
          <rPr>
            <b/>
            <sz val="9"/>
            <color indexed="81"/>
            <rFont val="Tahoma"/>
            <family val="2"/>
          </rPr>
          <t>Smith Pittman:</t>
        </r>
        <r>
          <rPr>
            <sz val="9"/>
            <color indexed="81"/>
            <rFont val="Tahoma"/>
            <family val="2"/>
          </rPr>
          <t xml:space="preserve">
https://doi.org/10.1021%2Facs.cgd.2c00352</t>
        </r>
      </text>
    </comment>
    <comment ref="D583" authorId="0" shapeId="0" xr:uid="{5F82395E-AC13-48D7-B1AB-C13849FB8508}">
      <text>
        <r>
          <rPr>
            <b/>
            <sz val="9"/>
            <color indexed="81"/>
            <rFont val="Tahoma"/>
            <family val="2"/>
          </rPr>
          <t>Smith Pittman:</t>
        </r>
        <r>
          <rPr>
            <sz val="9"/>
            <color indexed="81"/>
            <rFont val="Tahoma"/>
            <family val="2"/>
          </rPr>
          <t xml:space="preserve">
https://ebner-co.de/en/applications/crystallization-of-na2so4-or-glaubers-salt/#:~:text=If%20sodium%20sulfate%20is%20to%20be%20removed,on%20the%20overall%20components%20of%20the%20solution.</t>
        </r>
      </text>
    </comment>
    <comment ref="F583" authorId="0" shapeId="0" xr:uid="{9476A95C-02E3-4B15-8374-6FDC3982DE65}">
      <text>
        <r>
          <rPr>
            <b/>
            <sz val="9"/>
            <color indexed="81"/>
            <rFont val="Tahoma"/>
            <family val="2"/>
          </rPr>
          <t>Smith Pittman:</t>
        </r>
        <r>
          <rPr>
            <sz val="9"/>
            <color indexed="81"/>
            <rFont val="Tahoma"/>
            <family val="2"/>
          </rPr>
          <t xml:space="preserve">
https://patents.google.com/patent/WO2014040858A1/en</t>
        </r>
      </text>
    </comment>
    <comment ref="C645" authorId="0" shapeId="0" xr:uid="{709FA6A5-268B-49CE-BD70-3CB47428412C}">
      <text>
        <r>
          <rPr>
            <b/>
            <sz val="9"/>
            <color indexed="81"/>
            <rFont val="Tahoma"/>
            <family val="2"/>
          </rPr>
          <t>Smith Pittman:</t>
        </r>
        <r>
          <rPr>
            <sz val="9"/>
            <color indexed="81"/>
            <rFont val="Tahoma"/>
            <family val="2"/>
          </rPr>
          <t xml:space="preserve">
https://doi.org/10.1021/acs.est.7b04904</t>
        </r>
      </text>
    </comment>
    <comment ref="C646" authorId="0" shapeId="0" xr:uid="{426F0277-7A50-4224-91AD-3330EB348D98}">
      <text>
        <r>
          <rPr>
            <b/>
            <sz val="9"/>
            <color indexed="81"/>
            <rFont val="Tahoma"/>
            <family val="2"/>
          </rPr>
          <t>Smith Pittman:</t>
        </r>
        <r>
          <rPr>
            <sz val="9"/>
            <color indexed="81"/>
            <rFont val="Tahoma"/>
            <family val="2"/>
          </rPr>
          <t xml:space="preserve">
https://doi.org/10.1016/j.jenvman.2019.04.093</t>
        </r>
      </text>
    </comment>
    <comment ref="C647" authorId="0" shapeId="0" xr:uid="{9C3FE8FF-DDFE-464F-8528-0035A67B5867}">
      <text>
        <r>
          <rPr>
            <b/>
            <sz val="9"/>
            <color indexed="81"/>
            <rFont val="Tahoma"/>
            <family val="2"/>
          </rPr>
          <t>Smith Pittman:</t>
        </r>
        <r>
          <rPr>
            <sz val="9"/>
            <color indexed="81"/>
            <rFont val="Tahoma"/>
            <family val="2"/>
          </rPr>
          <t xml:space="preserve">
https://doi.org/10.1016/j.jenvman.2019.04.093</t>
        </r>
      </text>
    </comment>
    <comment ref="C648" authorId="0" shapeId="0" xr:uid="{AF7ECEC5-24D7-4BE8-90AC-DB81AD87485C}">
      <text>
        <r>
          <rPr>
            <b/>
            <sz val="9"/>
            <color indexed="81"/>
            <rFont val="Tahoma"/>
            <family val="2"/>
          </rPr>
          <t>Smith Pittman:</t>
        </r>
        <r>
          <rPr>
            <sz val="9"/>
            <color indexed="81"/>
            <rFont val="Tahoma"/>
            <family val="2"/>
          </rPr>
          <t xml:space="preserve">
https://doi.org/10.1016/j.jenvman.2019.04.093</t>
        </r>
      </text>
    </comment>
    <comment ref="C649" authorId="0" shapeId="0" xr:uid="{4FCE69C9-ADDC-474B-9FE7-B8146B214EEA}">
      <text>
        <r>
          <rPr>
            <b/>
            <sz val="9"/>
            <color indexed="81"/>
            <rFont val="Tahoma"/>
            <family val="2"/>
          </rPr>
          <t>Smith Pittman:</t>
        </r>
        <r>
          <rPr>
            <sz val="9"/>
            <color indexed="81"/>
            <rFont val="Tahoma"/>
            <family val="2"/>
          </rPr>
          <t xml:space="preserve">
https://doi.org/10.1016/j.jenvman.2019.04.093</t>
        </r>
      </text>
    </comment>
    <comment ref="C678" authorId="0" shapeId="0" xr:uid="{C2733DF3-9DDB-4787-8674-422E4B36C696}">
      <text>
        <r>
          <rPr>
            <b/>
            <sz val="9"/>
            <color rgb="FF000000"/>
            <rFont val="Tahoma"/>
            <family val="2"/>
          </rPr>
          <t>Smith Pittman:</t>
        </r>
        <r>
          <rPr>
            <sz val="9"/>
            <color rgb="FF000000"/>
            <rFont val="Tahoma"/>
            <family val="2"/>
          </rPr>
          <t xml:space="preserve">
</t>
        </r>
        <r>
          <rPr>
            <sz val="9"/>
            <color rgb="FF000000"/>
            <rFont val="Tahoma"/>
            <family val="2"/>
          </rPr>
          <t xml:space="preserve">Refine
</t>
        </r>
        <r>
          <rPr>
            <sz val="9"/>
            <color rgb="FF000000"/>
            <rFont val="Tahoma"/>
            <family val="2"/>
          </rPr>
          <t xml:space="preserve">
</t>
        </r>
      </text>
    </comment>
    <comment ref="C739" authorId="0" shapeId="0" xr:uid="{96AE547E-6A59-48B9-BD11-41D7593AC417}">
      <text>
        <r>
          <rPr>
            <b/>
            <sz val="9"/>
            <color indexed="81"/>
            <rFont val="Tahoma"/>
            <family val="2"/>
          </rPr>
          <t>Smith Pittman:</t>
        </r>
        <r>
          <rPr>
            <sz val="9"/>
            <color indexed="81"/>
            <rFont val="Tahoma"/>
            <family val="2"/>
          </rPr>
          <t xml:space="preserve">
All values on this page are static and represent values scaled from internal experimental data. To run the analysis with experimental baseline data, select the scenario on the inputs tab.</t>
        </r>
      </text>
    </comment>
    <comment ref="C888" authorId="0" shapeId="0" xr:uid="{74D2936F-EE30-4238-882C-56B1D2B2BC54}">
      <text>
        <r>
          <rPr>
            <b/>
            <sz val="9"/>
            <color indexed="81"/>
            <rFont val="Tahoma"/>
            <family val="2"/>
          </rPr>
          <t>Smith Pittman:</t>
        </r>
        <r>
          <rPr>
            <sz val="9"/>
            <color indexed="81"/>
            <rFont val="Tahoma"/>
            <family val="2"/>
          </rPr>
          <t xml:space="preserve">
chain elongation concentration issue continues here
</t>
        </r>
      </text>
    </comment>
    <comment ref="A923" authorId="0" shapeId="0" xr:uid="{63659364-D70C-46C5-9798-3FFADE8EB3E0}">
      <text>
        <r>
          <rPr>
            <b/>
            <sz val="9"/>
            <color indexed="81"/>
            <rFont val="Tahoma"/>
            <family val="2"/>
          </rPr>
          <t>Smith Pittman:</t>
        </r>
        <r>
          <rPr>
            <sz val="9"/>
            <color indexed="81"/>
            <rFont val="Tahoma"/>
            <family val="2"/>
          </rPr>
          <t xml:space="preserve">
https://doi.org/10.1186/s13068-019-1433-8
https://biotechnologyforbiofuels.biomedcentral.com/articles/10.1186/s13068-019-1433-8/tables/3</t>
        </r>
      </text>
    </comment>
    <comment ref="A1177" authorId="0" shapeId="0" xr:uid="{20DFB2FD-B29A-470F-B876-8D781006E9DD}">
      <text>
        <r>
          <rPr>
            <b/>
            <sz val="9"/>
            <color indexed="81"/>
            <rFont val="Tahoma"/>
            <family val="2"/>
          </rPr>
          <t>Smith Pittman:</t>
        </r>
        <r>
          <rPr>
            <sz val="9"/>
            <color indexed="81"/>
            <rFont val="Tahoma"/>
            <family val="2"/>
          </rPr>
          <t xml:space="preserve">
https://www.eia.gov/todayinenergy/detail.php?id=62443#:~:text=U.S.%20jet%20fuel%20consumption%20averaged,consistently%20higher%20than%20in%202023.</t>
        </r>
      </text>
    </comment>
    <comment ref="C1244" authorId="0" shapeId="0" xr:uid="{9F0EAD9B-91A3-4E1A-B74A-8F2B61327880}">
      <text>
        <r>
          <rPr>
            <b/>
            <sz val="9"/>
            <color indexed="81"/>
            <rFont val="Tahoma"/>
            <family val="2"/>
          </rPr>
          <t>Smith Pittman:</t>
        </r>
        <r>
          <rPr>
            <sz val="9"/>
            <color indexed="81"/>
            <rFont val="Tahoma"/>
            <family val="2"/>
          </rPr>
          <t xml:space="preserve">
All values on this page are static and represent values scaled from internal experimental data. To run the analysis with experimental baseline data, select the scenario on the inputs tab.</t>
        </r>
      </text>
    </comment>
    <comment ref="A1466" authorId="0" shapeId="0" xr:uid="{4E02993B-401C-44C9-9874-92049FF9035C}">
      <text>
        <r>
          <rPr>
            <b/>
            <sz val="9"/>
            <color indexed="81"/>
            <rFont val="Tahoma"/>
            <family val="2"/>
          </rPr>
          <t>Smith Pittman:</t>
        </r>
        <r>
          <rPr>
            <sz val="9"/>
            <color indexed="81"/>
            <rFont val="Tahoma"/>
            <family val="2"/>
          </rPr>
          <t xml:space="preserve">
https://doi.org/10.1186/s13068-019-1433-8
https://biotechnologyforbiofuels.biomedcentral.com/articles/10.1186/s13068-019-1433-8/tables/3</t>
        </r>
      </text>
    </comment>
    <comment ref="G1613" authorId="0" shapeId="0" xr:uid="{125C2267-6878-4DA8-A6EB-1C9EC16E26D4}">
      <text>
        <r>
          <rPr>
            <b/>
            <sz val="9"/>
            <color indexed="81"/>
            <rFont val="Tahoma"/>
            <family val="2"/>
          </rPr>
          <t>Smith Pittman:</t>
        </r>
        <r>
          <rPr>
            <sz val="9"/>
            <color indexed="81"/>
            <rFont val="Tahoma"/>
            <family val="2"/>
          </rPr>
          <t xml:space="preserve">
Supercritical CO2 has a higher affinity for substances that: are less polar, have a lower vapor pressure, and a larger molecule size
</t>
        </r>
      </text>
    </comment>
    <comment ref="G1629" authorId="0" shapeId="0" xr:uid="{DB17C7F5-3EA4-4170-BD64-D8A64B3F2BCA}">
      <text>
        <r>
          <rPr>
            <b/>
            <sz val="9"/>
            <color indexed="81"/>
            <rFont val="Tahoma"/>
            <family val="2"/>
          </rPr>
          <t>Smith Pittman:</t>
        </r>
        <r>
          <rPr>
            <sz val="9"/>
            <color indexed="81"/>
            <rFont val="Tahoma"/>
            <family val="2"/>
          </rPr>
          <t xml:space="preserve">
Supercritical CO2 has a higher affinity for substances that: are less polar, have a lower vapor pressure, and a larger molecule size
</t>
        </r>
      </text>
    </comment>
    <comment ref="G1669" authorId="0" shapeId="0" xr:uid="{EA9470F4-F7EA-4819-811E-FAE5F80353A8}">
      <text>
        <r>
          <rPr>
            <b/>
            <sz val="9"/>
            <color indexed="81"/>
            <rFont val="Tahoma"/>
            <family val="2"/>
          </rPr>
          <t>Smith Pittman:</t>
        </r>
        <r>
          <rPr>
            <sz val="9"/>
            <color indexed="81"/>
            <rFont val="Tahoma"/>
            <family val="2"/>
          </rPr>
          <t xml:space="preserve">
Supercritical CO2 has a higher affinity for substances that: are less polar, have a lower vapor pressure, and a larger molecule size
</t>
        </r>
      </text>
    </comment>
    <comment ref="G1713" authorId="0" shapeId="0" xr:uid="{655DA988-2BC3-41DC-9418-86D3E2B9D7F3}">
      <text>
        <r>
          <rPr>
            <b/>
            <sz val="9"/>
            <color indexed="81"/>
            <rFont val="Tahoma"/>
            <family val="2"/>
          </rPr>
          <t>Smith Pittman:</t>
        </r>
        <r>
          <rPr>
            <sz val="9"/>
            <color indexed="81"/>
            <rFont val="Tahoma"/>
            <family val="2"/>
          </rPr>
          <t xml:space="preserve">
Supercritical CO2 has a higher affinity for substances that: are less polar, have a lower vapor pressure, and a larger molecule size
</t>
        </r>
      </text>
    </comment>
    <comment ref="I1771" authorId="0" shapeId="0" xr:uid="{5A0281D2-27E0-4E9C-A4ED-2FA82C57C304}">
      <text>
        <r>
          <rPr>
            <b/>
            <sz val="9"/>
            <color indexed="81"/>
            <rFont val="Tahoma"/>
            <family val="2"/>
          </rPr>
          <t>Smith Pittman:</t>
        </r>
        <r>
          <rPr>
            <sz val="9"/>
            <color indexed="81"/>
            <rFont val="Tahoma"/>
            <family val="2"/>
          </rPr>
          <t xml:space="preserve">
1:1 Ideal</t>
        </r>
      </text>
    </comment>
    <comment ref="A1778" authorId="0" shapeId="0" xr:uid="{FBCD3F26-3D61-4E16-84D8-4ECB09E91159}">
      <text>
        <r>
          <rPr>
            <b/>
            <sz val="9"/>
            <color indexed="81"/>
            <rFont val="Tahoma"/>
            <family val="2"/>
          </rPr>
          <t>Smith Pittman:</t>
        </r>
        <r>
          <rPr>
            <sz val="9"/>
            <color indexed="81"/>
            <rFont val="Tahoma"/>
            <family val="2"/>
          </rPr>
          <t xml:space="preserve">
Higher alcohols are less likely to form esters
</t>
        </r>
      </text>
    </comment>
    <comment ref="A1781" authorId="0" shapeId="0" xr:uid="{D00538CC-2D32-4830-8564-9482D596A0B1}">
      <text>
        <r>
          <rPr>
            <b/>
            <sz val="9"/>
            <color indexed="81"/>
            <rFont val="Tahoma"/>
            <family val="2"/>
          </rPr>
          <t>Smith Pittman:</t>
        </r>
        <r>
          <rPr>
            <sz val="9"/>
            <color indexed="81"/>
            <rFont val="Tahoma"/>
            <family val="2"/>
          </rPr>
          <t xml:space="preserve">
Branched alcohols have a lower esterification extent
</t>
        </r>
      </text>
    </comment>
    <comment ref="C1887" authorId="0" shapeId="0" xr:uid="{501F8B7A-0A8F-4234-81D2-F04DF5A9E2EC}">
      <text>
        <r>
          <rPr>
            <b/>
            <sz val="9"/>
            <color indexed="81"/>
            <rFont val="Tahoma"/>
            <family val="2"/>
          </rPr>
          <t>Smith Pittman:</t>
        </r>
        <r>
          <rPr>
            <sz val="9"/>
            <color indexed="81"/>
            <rFont val="Tahoma"/>
            <family val="2"/>
          </rPr>
          <t xml:space="preserve">
All values on this page are static and represent values scaled from internal experimental data. To run the analysis with experimental baseline data, select the scenario on the inputs tab.</t>
        </r>
      </text>
    </comment>
    <comment ref="C1891" authorId="0" shapeId="0" xr:uid="{C9A1846D-BDE1-458A-BF93-97206609DD83}">
      <text>
        <r>
          <rPr>
            <b/>
            <sz val="9"/>
            <color indexed="81"/>
            <rFont val="Tahoma"/>
            <family val="2"/>
          </rPr>
          <t>Smith Pittman:</t>
        </r>
        <r>
          <rPr>
            <sz val="9"/>
            <color indexed="81"/>
            <rFont val="Tahoma"/>
            <family val="2"/>
          </rPr>
          <t xml:space="preserve">
All values on this page are static and represent values scaled from internal experimental data. To run the analysis with experimental baseline data, select the scenario on the inputs tab.</t>
        </r>
      </text>
    </comment>
    <comment ref="G1891" authorId="0" shapeId="0" xr:uid="{7C153302-AD15-4FD1-97FB-932637E2339E}">
      <text>
        <r>
          <rPr>
            <b/>
            <sz val="9"/>
            <color indexed="81"/>
            <rFont val="Tahoma"/>
            <family val="2"/>
          </rPr>
          <t>Smith Pittman:</t>
        </r>
        <r>
          <rPr>
            <sz val="9"/>
            <color indexed="81"/>
            <rFont val="Tahoma"/>
            <family val="2"/>
          </rPr>
          <t xml:space="preserve">
All values on this page are static and represent values scaled from internal experimental data. To run the analysis with experimental baseline data, select the scenario on the inputs tab.</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Smith Pittman</author>
  </authors>
  <commentList>
    <comment ref="A21" authorId="0" shapeId="0" xr:uid="{77CB4722-C75C-4C19-9429-CA603C44DCE3}">
      <text>
        <r>
          <rPr>
            <b/>
            <sz val="9"/>
            <color indexed="81"/>
            <rFont val="Tahoma"/>
            <family val="2"/>
          </rPr>
          <t>Smith Pittman:</t>
        </r>
        <r>
          <rPr>
            <sz val="9"/>
            <color indexed="81"/>
            <rFont val="Tahoma"/>
            <family val="2"/>
          </rPr>
          <t xml:space="preserve">
https://routereadytrucks.com/our-trucks/front-loaders/
2020 Peterbilt 520 Heil Half Pack 40yd FL W/ Curotto Can Miles 33,890
2020 Peterbilt 520 Heil Half Pack 40yd Front Load W/ Curotto Can Miles 33,890
Cummins ISX 350hp, Allison Automatic 4500RDS 
Front Axle 20,000lb, Rear Axle 46,000lb, HMX-460,
Dual Drive, Dual Controls, Camera System,
Roof A/C, Strobe System, Work Lights, Curotto Can,
New Federal DOT Certification, 
Miles 33,890, Hours 6,825,
$355,000 An Exceptional Unit, FOB T</t>
        </r>
      </text>
    </comment>
    <comment ref="A34" authorId="0" shapeId="0" xr:uid="{9A898C8E-F380-41EF-B61B-97970083CD5D}">
      <text>
        <r>
          <rPr>
            <b/>
            <sz val="9"/>
            <color indexed="81"/>
            <rFont val="Tahoma"/>
            <family val="2"/>
          </rPr>
          <t>Smith Pittman:</t>
        </r>
        <r>
          <rPr>
            <sz val="9"/>
            <color indexed="81"/>
            <rFont val="Tahoma"/>
            <family val="2"/>
          </rPr>
          <t xml:space="preserve">
https://routereadytrucks.com/our-trucks/front-loaders/
2020 Peterbilt 520 Heil Half Pack 40yd FL W/ Curotto Can Miles 33,890
2020 Peterbilt 520 Heil Half Pack 40yd Front Load W/ Curotto Can Miles 33,890
Cummins ISX 350hp, Allison Automatic 4500RDS 
Front Axle 20,000lb, Rear Axle 46,000lb, HMX-460,
Dual Drive, Dual Controls, Camera System,
Roof A/C, Strobe System, Work Lights, Curotto Can,
New Federal DOT Certification, 
Miles 33,890, Hours 6,825,
$355,000 An Exceptional Unit, FOB T</t>
        </r>
      </text>
    </comment>
    <comment ref="A46" authorId="0" shapeId="0" xr:uid="{E7E7D2ED-F21B-408B-936F-F9BFC364A3D5}">
      <text>
        <r>
          <rPr>
            <b/>
            <sz val="9"/>
            <color indexed="81"/>
            <rFont val="Tahoma"/>
            <family val="2"/>
          </rPr>
          <t>Smith Pittman:</t>
        </r>
        <r>
          <rPr>
            <sz val="9"/>
            <color indexed="81"/>
            <rFont val="Tahoma"/>
            <family val="2"/>
          </rPr>
          <t xml:space="preserve">
https://routereadytrucks.com/our-trucks/front-loaders/
2020 Peterbilt 520 Heil Half Pack 40yd FL W/ Curotto Can Miles 33,890
2020 Peterbilt 520 Heil Half Pack 40yd Front Load W/ Curotto Can Miles 33,890
Cummins ISX 350hp, Allison Automatic 4500RDS 
Front Axle 20,000lb, Rear Axle 46,000lb, HMX-460,
Dual Drive, Dual Controls, Camera System,
Roof A/C, Strobe System, Work Lights, Curotto Can,
New Federal DOT Certification, 
Miles 33,890, Hours 6,825,
$355,000 An Exceptional Unit, FOB T</t>
        </r>
      </text>
    </comment>
    <comment ref="B160" authorId="0" shapeId="0" xr:uid="{32392D13-8F21-4DA9-A708-62179EB56179}">
      <text>
        <r>
          <rPr>
            <b/>
            <sz val="9"/>
            <color indexed="81"/>
            <rFont val="Tahoma"/>
            <family val="2"/>
          </rPr>
          <t>Smith Pittman:</t>
        </r>
        <r>
          <rPr>
            <sz val="9"/>
            <color indexed="81"/>
            <rFont val="Tahoma"/>
            <family val="2"/>
          </rPr>
          <t xml:space="preserve">
Hydraulic Power Equation
</t>
        </r>
      </text>
    </comment>
    <comment ref="B164" authorId="0" shapeId="0" xr:uid="{72402FC4-F7A5-46CB-AE44-55142DB13233}">
      <text>
        <r>
          <rPr>
            <b/>
            <sz val="9"/>
            <color indexed="81"/>
            <rFont val="Tahoma"/>
            <family val="2"/>
          </rPr>
          <t>Smith Pittman:</t>
        </r>
        <r>
          <rPr>
            <sz val="9"/>
            <color indexed="81"/>
            <rFont val="Tahoma"/>
            <family val="2"/>
          </rPr>
          <t xml:space="preserve">
P=VI
</t>
        </r>
      </text>
    </comment>
    <comment ref="B175" authorId="0" shapeId="0" xr:uid="{303191B7-D33B-4E43-86C9-7E57D51BFC37}">
      <text>
        <r>
          <rPr>
            <b/>
            <sz val="9"/>
            <color indexed="81"/>
            <rFont val="Tahoma"/>
            <family val="2"/>
          </rPr>
          <t>Smith Pittman:</t>
        </r>
        <r>
          <rPr>
            <sz val="9"/>
            <color indexed="81"/>
            <rFont val="Tahoma"/>
            <family val="2"/>
          </rPr>
          <t xml:space="preserve">
Flow*HRT/ Working Volume
</t>
        </r>
      </text>
    </comment>
    <comment ref="C184" authorId="0" shapeId="0" xr:uid="{DA5FA47D-44BA-413D-98E2-E9625B916961}">
      <text>
        <r>
          <rPr>
            <b/>
            <sz val="9"/>
            <color indexed="81"/>
            <rFont val="Tahoma"/>
            <family val="2"/>
          </rPr>
          <t>Smith Pittman:</t>
        </r>
        <r>
          <rPr>
            <sz val="9"/>
            <color indexed="81"/>
            <rFont val="Tahoma"/>
            <family val="2"/>
          </rPr>
          <t xml:space="preserve">
https://doi.org/10.2166/wst.2020.248
Propeller, 3 impellers, 2 blades per impeller
for 83 m3/d sludge
Power = 0.27rpm</t>
        </r>
      </text>
    </comment>
    <comment ref="C197" authorId="0" shapeId="0" xr:uid="{5AB0EB3E-C860-4238-8701-EA8019BDD734}">
      <text>
        <r>
          <rPr>
            <b/>
            <sz val="9"/>
            <color indexed="81"/>
            <rFont val="Tahoma"/>
            <family val="2"/>
          </rPr>
          <t>Smith Pittman:</t>
        </r>
        <r>
          <rPr>
            <sz val="9"/>
            <color indexed="81"/>
            <rFont val="Tahoma"/>
            <family val="2"/>
          </rPr>
          <t xml:space="preserve">
https://doi.org/10.2166/wst.2020.248
Propeller, 3 impellers, 2 blades per impeller
for 83 m3/d sludge
Power = 0.27rpm</t>
        </r>
      </text>
    </comment>
    <comment ref="B213" authorId="0" shapeId="0" xr:uid="{DA0DD2D2-942A-45D4-B7A5-8AA800AE37FE}">
      <text>
        <r>
          <rPr>
            <b/>
            <sz val="9"/>
            <color indexed="81"/>
            <rFont val="Tahoma"/>
            <family val="2"/>
          </rPr>
          <t>Smith Pittman:</t>
        </r>
        <r>
          <rPr>
            <sz val="9"/>
            <color indexed="81"/>
            <rFont val="Tahoma"/>
            <family val="2"/>
          </rPr>
          <t xml:space="preserve">
Hydraulic Power Equation
</t>
        </r>
      </text>
    </comment>
    <comment ref="B216" authorId="0" shapeId="0" xr:uid="{5D51CFD1-673D-4585-9807-CA33E7A76FE2}">
      <text/>
    </comment>
    <comment ref="F236" authorId="0" shapeId="0" xr:uid="{7E98DB93-67FA-45BB-BF4C-8A348DA07163}">
      <text>
        <r>
          <rPr>
            <b/>
            <sz val="9"/>
            <color indexed="81"/>
            <rFont val="Tahoma"/>
            <family val="2"/>
          </rPr>
          <t>Smith Pittman:</t>
        </r>
        <r>
          <rPr>
            <sz val="9"/>
            <color indexed="81"/>
            <rFont val="Tahoma"/>
            <family val="2"/>
          </rPr>
          <t xml:space="preserve">
Little Giant 16G-F151-20 - 1 HP Automatic Grinder Pump w/ Piggyback Tethered Float
Model:
509810</t>
        </r>
      </text>
    </comment>
    <comment ref="B241" authorId="0" shapeId="0" xr:uid="{BD127E40-0540-4F74-8912-A08A6D3F2C2C}">
      <text>
        <r>
          <rPr>
            <b/>
            <sz val="9"/>
            <color indexed="81"/>
            <rFont val="Tahoma"/>
            <family val="2"/>
          </rPr>
          <t>Smith Pittman:</t>
        </r>
        <r>
          <rPr>
            <sz val="9"/>
            <color indexed="81"/>
            <rFont val="Tahoma"/>
            <family val="2"/>
          </rPr>
          <t xml:space="preserve">
Flow*HRT/ Working Volume
</t>
        </r>
      </text>
    </comment>
    <comment ref="C250" authorId="0" shapeId="0" xr:uid="{5315438D-EEC7-43D4-B673-4CFBCF419A21}">
      <text>
        <r>
          <rPr>
            <b/>
            <sz val="9"/>
            <color indexed="81"/>
            <rFont val="Tahoma"/>
            <family val="2"/>
          </rPr>
          <t>Smith Pittman:</t>
        </r>
        <r>
          <rPr>
            <sz val="9"/>
            <color indexed="81"/>
            <rFont val="Tahoma"/>
            <family val="2"/>
          </rPr>
          <t xml:space="preserve">
https://doi.org/10.2166/wst.2020.248
Propeller, 3 impellers, 2 blades per impeller
for 83 m3/d sludge
Power = 0.27rpm</t>
        </r>
      </text>
    </comment>
    <comment ref="F254" authorId="0" shapeId="0" xr:uid="{A27E1B61-5726-4B16-A6D4-31505B209AAA}">
      <text>
        <r>
          <rPr>
            <b/>
            <sz val="9"/>
            <color indexed="81"/>
            <rFont val="Tahoma"/>
            <family val="2"/>
          </rPr>
          <t>Smith Pittman:</t>
        </r>
        <r>
          <rPr>
            <sz val="9"/>
            <color indexed="81"/>
            <rFont val="Tahoma"/>
            <family val="2"/>
          </rPr>
          <t xml:space="preserve">
Little Giant 16G-F151-20 - 1 HP Automatic Grinder Pump w/ Piggyback Tethered Float
Model:
509810</t>
        </r>
      </text>
    </comment>
    <comment ref="B259" authorId="0" shapeId="0" xr:uid="{7C43C981-A282-45F9-A081-0F4EDD4DD1C3}">
      <text>
        <r>
          <rPr>
            <b/>
            <sz val="9"/>
            <color indexed="81"/>
            <rFont val="Tahoma"/>
            <family val="2"/>
          </rPr>
          <t>Smith Pittman:</t>
        </r>
        <r>
          <rPr>
            <sz val="9"/>
            <color indexed="81"/>
            <rFont val="Tahoma"/>
            <family val="2"/>
          </rPr>
          <t xml:space="preserve">
Flow*HRT/ Working Volume
</t>
        </r>
      </text>
    </comment>
    <comment ref="C268" authorId="0" shapeId="0" xr:uid="{5CEFD10D-5B66-4A54-96E7-F54AC2BE60CD}">
      <text>
        <r>
          <rPr>
            <b/>
            <sz val="9"/>
            <color indexed="81"/>
            <rFont val="Tahoma"/>
            <family val="2"/>
          </rPr>
          <t>Smith Pittman:</t>
        </r>
        <r>
          <rPr>
            <sz val="9"/>
            <color indexed="81"/>
            <rFont val="Tahoma"/>
            <family val="2"/>
          </rPr>
          <t xml:space="preserve">
https://doi.org/10.2166/wst.2020.248
Propeller, 3 impellers, 2 blades per impeller
for 83 m3/d sludge
Power = 0.27rpm</t>
        </r>
      </text>
    </comment>
    <comment ref="C306" authorId="0" shapeId="0" xr:uid="{93D334B4-352D-4BA1-BFAC-7F18DC5F09AC}">
      <text>
        <r>
          <rPr>
            <b/>
            <sz val="9"/>
            <color indexed="81"/>
            <rFont val="Tahoma"/>
            <family val="2"/>
          </rPr>
          <t>Smith Pittman:</t>
        </r>
        <r>
          <rPr>
            <sz val="9"/>
            <color indexed="81"/>
            <rFont val="Tahoma"/>
            <family val="2"/>
          </rPr>
          <t xml:space="preserve">
https://doi.org/10.2166/wst.2020.248
Propeller, 3 impellers, 2 blades per impeller
for 83 m3/d sludge
Power = 0.27rpm</t>
        </r>
      </text>
    </comment>
    <comment ref="C348" authorId="0" shapeId="0" xr:uid="{AE9E763E-2641-4692-B1F8-F3E90970FBA2}">
      <text>
        <r>
          <rPr>
            <b/>
            <sz val="9"/>
            <color indexed="81"/>
            <rFont val="Tahoma"/>
            <family val="2"/>
          </rPr>
          <t>Smith Pittman:</t>
        </r>
        <r>
          <rPr>
            <sz val="9"/>
            <color indexed="81"/>
            <rFont val="Tahoma"/>
            <family val="2"/>
          </rPr>
          <t xml:space="preserve">
https://doi.org/10.2166/wst.2020.248
Propeller, 3 impellers, 2 blades per impeller
for 83 m3/d sludge
Power = 0.27rpm</t>
        </r>
      </text>
    </comment>
    <comment ref="B380" authorId="0" shapeId="0" xr:uid="{A6F6B013-1D90-45D7-8146-569ACE620566}">
      <text>
        <r>
          <rPr>
            <b/>
            <sz val="9"/>
            <color indexed="81"/>
            <rFont val="Tahoma"/>
            <family val="2"/>
          </rPr>
          <t>Smith Pittman:</t>
        </r>
        <r>
          <rPr>
            <sz val="9"/>
            <color indexed="81"/>
            <rFont val="Tahoma"/>
            <family val="2"/>
          </rPr>
          <t xml:space="preserve">
https://doi.org/10.1016/j.algal.2017.11.038</t>
        </r>
      </text>
    </comment>
    <comment ref="B428" authorId="0" shapeId="0" xr:uid="{11F8B9BD-23EF-4E8E-B305-E58D23AD8399}">
      <text>
        <r>
          <rPr>
            <b/>
            <sz val="9"/>
            <color indexed="81"/>
            <rFont val="Tahoma"/>
            <family val="2"/>
          </rPr>
          <t>Smith Pittman:</t>
        </r>
        <r>
          <rPr>
            <sz val="9"/>
            <color indexed="81"/>
            <rFont val="Tahoma"/>
            <family val="2"/>
          </rPr>
          <t xml:space="preserve">
need to make this based on the amount of gas produced/required</t>
        </r>
      </text>
    </comment>
    <comment ref="C434" authorId="0" shapeId="0" xr:uid="{80C7C3D1-ADD9-497A-8BEA-26BC5D2BB006}">
      <text>
        <r>
          <rPr>
            <b/>
            <sz val="9"/>
            <color indexed="81"/>
            <rFont val="Tahoma"/>
            <family val="2"/>
          </rPr>
          <t>Smith Pittman:</t>
        </r>
        <r>
          <rPr>
            <sz val="9"/>
            <color indexed="81"/>
            <rFont val="Tahoma"/>
            <family val="2"/>
          </rPr>
          <t xml:space="preserve">
https://doi.org/10.2166/wst.2020.248
Propeller, 3 impellers, 2 blades per impeller
for 83 m3/d sludge
Power = 0.27rpm</t>
        </r>
      </text>
    </comment>
    <comment ref="B451" authorId="0" shapeId="0" xr:uid="{47C18432-4708-4055-8765-0667A65F771F}">
      <text>
        <r>
          <rPr>
            <b/>
            <sz val="9"/>
            <color indexed="81"/>
            <rFont val="Tahoma"/>
            <family val="2"/>
          </rPr>
          <t>Smith Pittman:</t>
        </r>
        <r>
          <rPr>
            <sz val="9"/>
            <color indexed="81"/>
            <rFont val="Tahoma"/>
            <family val="2"/>
          </rPr>
          <t xml:space="preserve">
https://doi.org/10.1016/j.algal.2017.11.038</t>
        </r>
      </text>
    </comment>
    <comment ref="C570" authorId="0" shapeId="0" xr:uid="{E78F659C-2622-4FA4-9B0F-816713D326B5}">
      <text>
        <r>
          <rPr>
            <b/>
            <sz val="9"/>
            <color indexed="81"/>
            <rFont val="Tahoma"/>
            <family val="2"/>
          </rPr>
          <t>Smith Pittman:</t>
        </r>
        <r>
          <rPr>
            <sz val="9"/>
            <color indexed="81"/>
            <rFont val="Tahoma"/>
            <family val="2"/>
          </rPr>
          <t xml:space="preserve">
https://doi.org/10.2166/wst.2020.248
Propeller, 3 impellers, 2 blades per impeller
for 83 m3/d sludge
Power = 0.27rpm</t>
        </r>
      </text>
    </comment>
    <comment ref="C728" authorId="0" shapeId="0" xr:uid="{A6C1F598-83FE-437D-949A-D660A080E237}">
      <text>
        <r>
          <rPr>
            <b/>
            <sz val="9"/>
            <color indexed="81"/>
            <rFont val="Tahoma"/>
            <family val="2"/>
          </rPr>
          <t>Smith Pittman:</t>
        </r>
        <r>
          <rPr>
            <sz val="9"/>
            <color indexed="81"/>
            <rFont val="Tahoma"/>
            <family val="2"/>
          </rPr>
          <t xml:space="preserve">
https://doi.org/10.2166/wst.2020.248
Propeller, 3 impellers, 2 blades per impeller
for 83 m3/d sludge
Power = 0.27rpm</t>
        </r>
      </text>
    </comment>
    <comment ref="E741" authorId="0" shapeId="0" xr:uid="{556741D1-8A25-4B2F-AABF-D617EE234AD8}">
      <text>
        <r>
          <rPr>
            <b/>
            <sz val="9"/>
            <color indexed="81"/>
            <rFont val="Tahoma"/>
            <family val="2"/>
          </rPr>
          <t>Smith Pittman:</t>
        </r>
        <r>
          <rPr>
            <sz val="9"/>
            <color indexed="81"/>
            <rFont val="Tahoma"/>
            <family val="2"/>
          </rPr>
          <t xml:space="preserve">
Includes motor, agitator, pressure gauge, heat exchange jacket, cooling water connection
Functional only at low pressure
</t>
        </r>
      </text>
    </comment>
    <comment ref="F741" authorId="0" shapeId="0" xr:uid="{63DAA811-304D-48EE-935C-5FEB9C4D0FD9}">
      <text>
        <r>
          <rPr>
            <b/>
            <sz val="9"/>
            <color indexed="81"/>
            <rFont val="Tahoma"/>
            <family val="2"/>
          </rPr>
          <t>Smith Pittman:</t>
        </r>
        <r>
          <rPr>
            <sz val="9"/>
            <color indexed="81"/>
            <rFont val="Tahoma"/>
            <family val="2"/>
          </rPr>
          <t xml:space="preserve">
Shanking Chemical Equipment Machinery Glass Lined Chemical Reactor 220-10000L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Smith Pittman</author>
  </authors>
  <commentList>
    <comment ref="A4" authorId="0" shapeId="0" xr:uid="{22E911F3-D21D-4661-8D49-FA3548988557}">
      <text>
        <r>
          <rPr>
            <b/>
            <sz val="9"/>
            <color indexed="81"/>
            <rFont val="Tahoma"/>
            <family val="2"/>
          </rPr>
          <t>Smith Pittman:</t>
        </r>
        <r>
          <rPr>
            <sz val="9"/>
            <color indexed="81"/>
            <rFont val="Tahoma"/>
            <family val="2"/>
          </rPr>
          <t xml:space="preserve">
https://www.epa.gov/transforming-waste-tool/contracts-and-franchise-agreements-waste-haulers-transforming-waste-streams#CaseStudies</t>
        </r>
      </text>
    </comment>
    <comment ref="A6" authorId="0" shapeId="0" xr:uid="{AD8217C9-C246-4A3D-96DA-E19EC5391619}">
      <text>
        <r>
          <rPr>
            <b/>
            <sz val="9"/>
            <color indexed="81"/>
            <rFont val="Tahoma"/>
            <family val="2"/>
          </rPr>
          <t>Smith Pittman:</t>
        </r>
        <r>
          <rPr>
            <sz val="9"/>
            <color indexed="81"/>
            <rFont val="Tahoma"/>
            <family val="2"/>
          </rPr>
          <t xml:space="preserve">
https://www.sfenvironment.org/press/san-francisco-celebrates-major-climate-success-25-years-composting</t>
        </r>
      </text>
    </comment>
    <comment ref="A22" authorId="0" shapeId="0" xr:uid="{C7E94F96-2F9B-42FC-BB8C-DC6415333E5B}">
      <text>
        <r>
          <rPr>
            <b/>
            <sz val="9"/>
            <color indexed="81"/>
            <rFont val="Tahoma"/>
            <family val="2"/>
          </rPr>
          <t>Smith Pittman:</t>
        </r>
        <r>
          <rPr>
            <sz val="9"/>
            <color indexed="81"/>
            <rFont val="Tahoma"/>
            <family val="2"/>
          </rPr>
          <t xml:space="preserve">
https://data.austintexas.gov/stories/s/Austin-Resource-Recovery-2021-Annual-Report/sabp-xcz6/#:~:text=ARR%20provides%20curbside%20collection%20services,of%20trash%20through%20curbside%20collections.</t>
        </r>
      </text>
    </comment>
    <comment ref="A31" authorId="0" shapeId="0" xr:uid="{6BB67D64-B7D0-4F29-8E42-70A0B7BCFF9C}">
      <text>
        <r>
          <rPr>
            <b/>
            <sz val="9"/>
            <color indexed="81"/>
            <rFont val="Tahoma"/>
            <family val="2"/>
          </rPr>
          <t>Smith Pittman:</t>
        </r>
        <r>
          <rPr>
            <sz val="9"/>
            <color indexed="81"/>
            <rFont val="Tahoma"/>
            <family val="2"/>
          </rPr>
          <t xml:space="preserve">
https://berkeleyhighjacket.com/2021/features/berkeleys-composting-system-has-a-unique-community-impact/#:~:text=The%20City%20of%20Berkeley%20collects,from%20residential%20and%20commercial%20sectors.&amp;text=Berkeley's%20composting%20service%20has%20been,%2C%20residents%2C%20and%20the%20climate.</t>
        </r>
      </text>
    </comment>
    <comment ref="D60" authorId="0" shapeId="0" xr:uid="{824428AA-0E99-4F48-913C-804947680566}">
      <text>
        <r>
          <rPr>
            <b/>
            <sz val="9"/>
            <color indexed="81"/>
            <rFont val="Tahoma"/>
            <family val="2"/>
          </rPr>
          <t>Smith Pittman:</t>
        </r>
        <r>
          <rPr>
            <sz val="9"/>
            <color indexed="81"/>
            <rFont val="Tahoma"/>
            <family val="2"/>
          </rPr>
          <t xml:space="preserve">
https://doi.org/10.2134/asaspecpub67.c1</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Smith Pittman</author>
  </authors>
  <commentList>
    <comment ref="M3" authorId="0" shapeId="0" xr:uid="{6BB89A6D-896E-473E-BF70-1F3D0FA79719}">
      <text>
        <r>
          <rPr>
            <b/>
            <sz val="9"/>
            <color indexed="81"/>
            <rFont val="Tahoma"/>
            <family val="2"/>
          </rPr>
          <t>Smith Pittman:</t>
        </r>
        <r>
          <rPr>
            <sz val="9"/>
            <color indexed="81"/>
            <rFont val="Tahoma"/>
            <family val="2"/>
          </rPr>
          <t xml:space="preserve">
https://data.bls.gov/dataViewer/view/timeseries/PCU325199325199P</t>
        </r>
      </text>
    </comment>
    <comment ref="J11" authorId="0" shapeId="0" xr:uid="{B46E403A-95CC-493A-8F62-7AA2FFD91C86}">
      <text>
        <r>
          <rPr>
            <b/>
            <sz val="9"/>
            <color indexed="81"/>
            <rFont val="Tahoma"/>
            <family val="2"/>
          </rPr>
          <t>Smith Pittman:</t>
        </r>
        <r>
          <rPr>
            <sz val="9"/>
            <color indexed="81"/>
            <rFont val="Tahoma"/>
            <family val="2"/>
          </rPr>
          <t xml:space="preserve">
https://www.oceanmarine.com/detail.cfm?225ft%2DSteel%2DResearch%2DType%2DVessel%2D%2D%2D16092&amp;product_id=16092&amp;category_current=1&amp;category_current_sub=42</t>
        </r>
      </text>
    </comment>
    <comment ref="J12" authorId="0" shapeId="0" xr:uid="{C6FEF296-57B2-4CD9-8E43-45B3B8BD590B}">
      <text>
        <r>
          <rPr>
            <b/>
            <sz val="9"/>
            <color indexed="81"/>
            <rFont val="Tahoma"/>
            <family val="2"/>
          </rPr>
          <t>Smith Pittman:</t>
        </r>
        <r>
          <rPr>
            <sz val="9"/>
            <color indexed="81"/>
            <rFont val="Tahoma"/>
            <family val="2"/>
          </rPr>
          <t xml:space="preserve">
https://routereadytrucks.com/our-trucks/front-loaders/
2020 Peterbilt 520 Heil Half Pack 40yd FL W/ Curotto Can Miles 33,890
2020 Peterbilt 520 Heil Half Pack 40yd Front Load W/ Curotto Can Miles 33,890
Cummins ISX 350hp, Allison Automatic 4500RDS 
Front Axle 20,000lb, Rear Axle 46,000lb, HMX-460,
Dual Drive, Dual Controls, Camera System,
Roof A/C, Strobe System, Work Lights, Curotto Can,
New Federal DOT Certification, 
Miles 33,890, Hours 6,825,
$355,000 An Exceptional Unit, FOB T</t>
        </r>
      </text>
    </comment>
    <comment ref="J13" authorId="0" shapeId="0" xr:uid="{9CF01B17-CA04-450F-8111-D5BD5CA310F3}">
      <text>
        <r>
          <rPr>
            <b/>
            <sz val="9"/>
            <color indexed="81"/>
            <rFont val="Tahoma"/>
            <family val="2"/>
          </rPr>
          <t>Smith Pittman:</t>
        </r>
        <r>
          <rPr>
            <sz val="9"/>
            <color indexed="81"/>
            <rFont val="Tahoma"/>
            <family val="2"/>
          </rPr>
          <t xml:space="preserve">
https://routereadytrucks.com/our-trucks/front-loaders/
2020 Peterbilt 520 Heil Half Pack 40yd FL W/ Curotto Can Miles 33,890
2020 Peterbilt 520 Heil Half Pack 40yd Front Load W/ Curotto Can Miles 33,890
Cummins ISX 350hp, Allison Automatic 4500RDS 
Front Axle 20,000lb, Rear Axle 46,000lb, HMX-460,
Dual Drive, Dual Controls, Camera System,
Roof A/C, Strobe System, Work Lights, Curotto Can,
New Federal DOT Certification, 
Miles 33,890, Hours 6,825,
$355,000 An Exceptional Unit, FOB T</t>
        </r>
      </text>
    </comment>
    <comment ref="J14" authorId="0" shapeId="0" xr:uid="{E02560B3-50B6-4C06-876A-5799D7ACC46B}">
      <text>
        <r>
          <rPr>
            <b/>
            <sz val="9"/>
            <color indexed="81"/>
            <rFont val="Tahoma"/>
            <family val="2"/>
          </rPr>
          <t>Smith Pittman:</t>
        </r>
        <r>
          <rPr>
            <sz val="9"/>
            <color indexed="81"/>
            <rFont val="Tahoma"/>
            <family val="2"/>
          </rPr>
          <t xml:space="preserve">
https://routereadytrucks.com/our-trucks/front-loaders/
2020 Peterbilt 520 Heil Half Pack 40yd FL W/ Curotto Can Miles 33,890
2020 Peterbilt 520 Heil Half Pack 40yd Front Load W/ Curotto Can Miles 33,890
Cummins ISX 350hp, Allison Automatic 4500RDS 
Front Axle 20,000lb, Rear Axle 46,000lb, HMX-460,
Dual Drive, Dual Controls, Camera System,
Roof A/C, Strobe System, Work Lights, Curotto Can,
New Federal DOT Certification, 
Miles 33,890, Hours 6,825,
$355,000 An Exceptional Unit, FOB T</t>
        </r>
      </text>
    </comment>
    <comment ref="J15" authorId="0" shapeId="0" xr:uid="{AC9DFDF6-AA8A-4153-AA78-B06244508D54}">
      <text>
        <r>
          <rPr>
            <b/>
            <sz val="9"/>
            <color indexed="81"/>
            <rFont val="Tahoma"/>
            <family val="2"/>
          </rPr>
          <t>Smith Pittman:</t>
        </r>
        <r>
          <rPr>
            <sz val="9"/>
            <color indexed="81"/>
            <rFont val="Tahoma"/>
            <family val="2"/>
          </rPr>
          <t xml:space="preserve">
https://www.nrel.gov/docs/fy15osti/62455.pdf</t>
        </r>
      </text>
    </comment>
    <comment ref="N24" authorId="0" shapeId="0" xr:uid="{9E5C11D5-8FAD-4BC6-82D2-43FE71C1CFA7}">
      <text>
        <r>
          <rPr>
            <b/>
            <sz val="9"/>
            <color indexed="81"/>
            <rFont val="Tahoma"/>
            <family val="2"/>
          </rPr>
          <t>Smith Pittman:</t>
        </r>
        <r>
          <rPr>
            <sz val="9"/>
            <color indexed="81"/>
            <rFont val="Tahoma"/>
            <family val="2"/>
          </rPr>
          <t xml:space="preserve">
https://data.bls.gov/dataViewer/view/timeseries/PCU325199325199P
</t>
        </r>
      </text>
    </comment>
    <comment ref="J26" authorId="0" shapeId="0" xr:uid="{82EC545E-9286-4C84-98A8-25F943361EDA}">
      <text>
        <r>
          <rPr>
            <b/>
            <sz val="9"/>
            <color indexed="81"/>
            <rFont val="Tahoma"/>
            <family val="2"/>
          </rPr>
          <t>Smith Pittman:</t>
        </r>
        <r>
          <rPr>
            <sz val="9"/>
            <color indexed="81"/>
            <rFont val="Tahoma"/>
            <family val="2"/>
          </rPr>
          <t xml:space="preserve">
https://www.nrel.gov/docs/fy19osti/71949.pdf</t>
        </r>
      </text>
    </comment>
    <comment ref="J29" authorId="0" shapeId="0" xr:uid="{04B92AE0-4CB3-4989-BF4D-74DC0AF9B917}">
      <text>
        <r>
          <rPr>
            <b/>
            <sz val="9"/>
            <color indexed="81"/>
            <rFont val="Tahoma"/>
            <family val="2"/>
          </rPr>
          <t>Smith Pittman:</t>
        </r>
        <r>
          <rPr>
            <sz val="9"/>
            <color indexed="81"/>
            <rFont val="Tahoma"/>
            <family val="2"/>
          </rPr>
          <t xml:space="preserve">
https://mingshuo.en.made-in-china.com/product/GSLnXJVOHHYe/China-Double-Membrane-Digester-Cover-for-Biogas-Storage-Holder.html
Type: Gas Storage
Material: PVDF
Thickness Range: 0.8-1.5mm
Application: Gas Storage
Control System: Auto Control System
Service Life: 30 Years</t>
        </r>
      </text>
    </comment>
    <comment ref="J31" authorId="0" shapeId="0" xr:uid="{30CE83D8-9604-48D0-B79C-95F594500660}">
      <text>
        <r>
          <rPr>
            <b/>
            <sz val="9"/>
            <color indexed="81"/>
            <rFont val="Tahoma"/>
            <family val="2"/>
          </rPr>
          <t>Smith Pittman:</t>
        </r>
        <r>
          <rPr>
            <sz val="9"/>
            <color indexed="81"/>
            <rFont val="Tahoma"/>
            <family val="2"/>
          </rPr>
          <t xml:space="preserve">
https://www.nrel.gov/docs/fy19osti/71949.pdf</t>
        </r>
      </text>
    </comment>
    <comment ref="J34" authorId="0" shapeId="0" xr:uid="{0749C7C3-D5DA-41AA-AFBA-23E6D90791A8}">
      <text>
        <r>
          <rPr>
            <b/>
            <sz val="9"/>
            <color indexed="81"/>
            <rFont val="Tahoma"/>
            <family val="2"/>
          </rPr>
          <t>Smith Pittman:</t>
        </r>
        <r>
          <rPr>
            <sz val="9"/>
            <color indexed="81"/>
            <rFont val="Tahoma"/>
            <family val="2"/>
          </rPr>
          <t xml:space="preserve">
https://mingshuo.en.made-in-china.com/product/GSLnXJVOHHYe/China-Double-Membrane-Digester-Cover-for-Biogas-Storage-Holder.html
Type: Gas Storage
Material: PVDF
Thickness Range: 0.8-1.5mm
Application: Gas Storage
Control System: Auto Control System
Service Life: 30 Years</t>
        </r>
      </text>
    </comment>
    <comment ref="J36" authorId="0" shapeId="0" xr:uid="{5A8CB849-C709-4CE7-AA17-E9D1F4240275}">
      <text>
        <r>
          <rPr>
            <b/>
            <sz val="9"/>
            <color indexed="81"/>
            <rFont val="Tahoma"/>
            <family val="2"/>
          </rPr>
          <t>Smith Pittman:</t>
        </r>
        <r>
          <rPr>
            <sz val="9"/>
            <color indexed="81"/>
            <rFont val="Tahoma"/>
            <family val="2"/>
          </rPr>
          <t xml:space="preserve">
https://www.nrel.gov/docs/fy19osti/71949.pdf</t>
        </r>
      </text>
    </comment>
    <comment ref="J39" authorId="0" shapeId="0" xr:uid="{ECFAC258-344C-4191-BE0A-9184C3CBED35}">
      <text>
        <r>
          <rPr>
            <b/>
            <sz val="9"/>
            <color indexed="81"/>
            <rFont val="Tahoma"/>
            <family val="2"/>
          </rPr>
          <t>Smith Pittman:</t>
        </r>
        <r>
          <rPr>
            <sz val="9"/>
            <color indexed="81"/>
            <rFont val="Tahoma"/>
            <family val="2"/>
          </rPr>
          <t xml:space="preserve">
https://mingshuo.en.made-in-china.com/product/GSLnXJVOHHYe/China-Double-Membrane-Digester-Cover-for-Biogas-Storage-Holder.html
Type: Gas Storage
Material: PVDF
Thickness Range: 0.8-1.5mm
Application: Gas Storage
Control System: Auto Control System
Service Life: 30 Years</t>
        </r>
      </text>
    </comment>
    <comment ref="J41" authorId="0" shapeId="0" xr:uid="{FC05920F-7115-4E2B-A11B-A2191762ACDB}">
      <text>
        <r>
          <rPr>
            <b/>
            <sz val="9"/>
            <color indexed="81"/>
            <rFont val="Tahoma"/>
            <family val="2"/>
          </rPr>
          <t>Smith Pittman:</t>
        </r>
        <r>
          <rPr>
            <sz val="9"/>
            <color indexed="81"/>
            <rFont val="Tahoma"/>
            <family val="2"/>
          </rPr>
          <t xml:space="preserve">
https://www.nrel.gov/docs/fy19osti/71949.pdf</t>
        </r>
      </text>
    </comment>
    <comment ref="J44" authorId="0" shapeId="0" xr:uid="{C9E89791-C7E9-45ED-9ACD-AA4339EA54EB}">
      <text>
        <r>
          <rPr>
            <b/>
            <sz val="9"/>
            <color indexed="81"/>
            <rFont val="Tahoma"/>
            <family val="2"/>
          </rPr>
          <t>Smith Pittman:</t>
        </r>
        <r>
          <rPr>
            <sz val="9"/>
            <color indexed="81"/>
            <rFont val="Tahoma"/>
            <family val="2"/>
          </rPr>
          <t xml:space="preserve">
https://mingshuo.en.made-in-china.com/product/GSLnXJVOHHYe/China-Double-Membrane-Digester-Cover-for-Biogas-Storage-Holder.html
Type: Gas Storage
Material: PVDF
Thickness Range: 0.8-1.5mm
Application: Gas Storage
Control System: Auto Control System
Service Life: 30 Years</t>
        </r>
      </text>
    </comment>
    <comment ref="J46" authorId="0" shapeId="0" xr:uid="{BEDD87DA-2473-4531-B143-59CA5CFEC2ED}">
      <text>
        <r>
          <rPr>
            <b/>
            <sz val="9"/>
            <color indexed="81"/>
            <rFont val="Tahoma"/>
            <family val="2"/>
          </rPr>
          <t>Smith Pittman:</t>
        </r>
        <r>
          <rPr>
            <sz val="9"/>
            <color indexed="81"/>
            <rFont val="Tahoma"/>
            <family val="2"/>
          </rPr>
          <t xml:space="preserve">
https://www.nrel.gov/docs/fy19osti/71949.pdf</t>
        </r>
      </text>
    </comment>
    <comment ref="J49" authorId="0" shapeId="0" xr:uid="{B9D1EACF-7E2E-4B69-B0F6-A3432987A971}">
      <text>
        <r>
          <rPr>
            <b/>
            <sz val="9"/>
            <color indexed="81"/>
            <rFont val="Tahoma"/>
            <family val="2"/>
          </rPr>
          <t>Smith Pittman:</t>
        </r>
        <r>
          <rPr>
            <sz val="9"/>
            <color indexed="81"/>
            <rFont val="Tahoma"/>
            <family val="2"/>
          </rPr>
          <t xml:space="preserve">
https://mingshuo.en.made-in-china.com/product/GSLnXJVOHHYe/China-Double-Membrane-Digester-Cover-for-Biogas-Storage-Holder.html
Type: Gas Storage
Material: PVDF
Thickness Range: 0.8-1.5mm
Application: Gas Storage
Control System: Auto Control System
Service Life: 30 Years</t>
        </r>
      </text>
    </comment>
    <comment ref="N60" authorId="0" shapeId="0" xr:uid="{23580BBB-04B4-4F2E-9A05-6E51E3D1273F}">
      <text>
        <r>
          <rPr>
            <b/>
            <sz val="9"/>
            <color indexed="81"/>
            <rFont val="Tahoma"/>
            <family val="2"/>
          </rPr>
          <t>Smith Pittman:</t>
        </r>
        <r>
          <rPr>
            <sz val="9"/>
            <color indexed="81"/>
            <rFont val="Tahoma"/>
            <family val="2"/>
          </rPr>
          <t xml:space="preserve">
https://data.bls.gov/dataViewer/view/timeseries/PCU325199325199P
</t>
        </r>
      </text>
    </comment>
    <comment ref="J62" authorId="0" shapeId="0" xr:uid="{4B19FED5-5E8C-44BE-A9F9-7CB04AED4364}">
      <text>
        <r>
          <rPr>
            <b/>
            <sz val="9"/>
            <color indexed="81"/>
            <rFont val="Tahoma"/>
            <family val="2"/>
          </rPr>
          <t>Smith Pittman:</t>
        </r>
        <r>
          <rPr>
            <sz val="9"/>
            <color indexed="81"/>
            <rFont val="Tahoma"/>
            <family val="2"/>
          </rPr>
          <t xml:space="preserve">
https://www.nrel.gov/docs/fy19osti/71949.pdf</t>
        </r>
      </text>
    </comment>
    <comment ref="J63" authorId="0" shapeId="0" xr:uid="{C2C69B99-2FBF-4F11-BB3C-606BACC2BD5C}">
      <text>
        <r>
          <rPr>
            <b/>
            <sz val="9"/>
            <color indexed="81"/>
            <rFont val="Tahoma"/>
            <family val="2"/>
          </rPr>
          <t>Smith Pittman:</t>
        </r>
        <r>
          <rPr>
            <sz val="9"/>
            <color indexed="81"/>
            <rFont val="Tahoma"/>
            <family val="2"/>
          </rPr>
          <t xml:space="preserve">
https://www.nrel.gov/docs/fy19osti/71949.pdf</t>
        </r>
      </text>
    </comment>
    <comment ref="J65" authorId="0" shapeId="0" xr:uid="{D2C32457-9675-4F8F-8E50-AA6B4837DAC9}">
      <text>
        <r>
          <rPr>
            <b/>
            <sz val="9"/>
            <color indexed="81"/>
            <rFont val="Tahoma"/>
            <family val="2"/>
          </rPr>
          <t>Smith Pittman:</t>
        </r>
        <r>
          <rPr>
            <sz val="9"/>
            <color indexed="81"/>
            <rFont val="Tahoma"/>
            <family val="2"/>
          </rPr>
          <t xml:space="preserve">
https://www.fuelcellstore.com/fuel-cell-components/membranes/anion-exchange-membrane/sustainion-e28-50-t-75000000?sort=p.price&amp;order=DESC</t>
        </r>
      </text>
    </comment>
    <comment ref="J66" authorId="0" shapeId="0" xr:uid="{98F1B1F7-57ED-42EF-87C2-138760BE579E}">
      <text>
        <r>
          <rPr>
            <b/>
            <sz val="9"/>
            <color indexed="81"/>
            <rFont val="Tahoma"/>
            <family val="2"/>
          </rPr>
          <t>Smith Pittman:</t>
        </r>
        <r>
          <rPr>
            <sz val="9"/>
            <color indexed="81"/>
            <rFont val="Tahoma"/>
            <family val="2"/>
          </rPr>
          <t xml:space="preserve">
https://www.fuelcellstore.com/fuel-cell-components/membranes/cation-exchange-membrane/fumasep-fks-pet-130</t>
        </r>
      </text>
    </comment>
    <comment ref="J67" authorId="0" shapeId="0" xr:uid="{C7C9E74C-E68B-45CE-8AFC-CA4B4D1E6E34}">
      <text>
        <r>
          <rPr>
            <b/>
            <sz val="9"/>
            <color indexed="81"/>
            <rFont val="Tahoma"/>
            <family val="2"/>
          </rPr>
          <t>Smith Pittman:</t>
        </r>
        <r>
          <rPr>
            <sz val="9"/>
            <color indexed="81"/>
            <rFont val="Tahoma"/>
            <family val="2"/>
          </rPr>
          <t xml:space="preserve">
https://www.fuelcellstore.com/fuel-cell-components/membranes/bipolar-membranes/fumasep-fbm</t>
        </r>
      </text>
    </comment>
    <comment ref="J68" authorId="0" shapeId="0" xr:uid="{E01B0F3E-88C3-4644-8D19-7A7A77C69986}">
      <text>
        <r>
          <rPr>
            <b/>
            <sz val="9"/>
            <color indexed="81"/>
            <rFont val="Tahoma"/>
            <family val="2"/>
          </rPr>
          <t>Smith Pittman:</t>
        </r>
        <r>
          <rPr>
            <sz val="9"/>
            <color indexed="81"/>
            <rFont val="Tahoma"/>
            <family val="2"/>
          </rPr>
          <t xml:space="preserve">
https://www.fastmarkets.com/insights/chinas-graphite-electrode-prices-drop-further/
</t>
        </r>
      </text>
    </comment>
    <comment ref="J69" authorId="0" shapeId="0" xr:uid="{B3C8E149-797D-4D7C-9232-A704D25E7BCA}">
      <text>
        <r>
          <rPr>
            <b/>
            <sz val="9"/>
            <color indexed="81"/>
            <rFont val="Tahoma"/>
            <family val="2"/>
          </rPr>
          <t>Smith Pittman:</t>
        </r>
        <r>
          <rPr>
            <sz val="9"/>
            <color indexed="81"/>
            <rFont val="Tahoma"/>
            <family val="2"/>
          </rPr>
          <t xml:space="preserve">
https://cannonwater.com/knight-equipment-pmp-8120b-peristaltic-metering-pump-115v-60-hz-fixed-speed-t-66e-squeeze-tube-30-psi-max-40-oz-min/</t>
        </r>
      </text>
    </comment>
    <comment ref="J74" authorId="0" shapeId="0" xr:uid="{061CBB60-6947-4B03-91AB-074333DDF64D}">
      <text>
        <r>
          <rPr>
            <b/>
            <sz val="9"/>
            <color indexed="81"/>
            <rFont val="Tahoma"/>
            <family val="2"/>
          </rPr>
          <t>Smith Pittman:</t>
        </r>
        <r>
          <rPr>
            <sz val="9"/>
            <color indexed="81"/>
            <rFont val="Tahoma"/>
            <family val="2"/>
          </rPr>
          <t xml:space="preserve">
https://www.nrel.gov/docs/fy11osti/51838.pdf</t>
        </r>
      </text>
    </comment>
    <comment ref="J75" authorId="0" shapeId="0" xr:uid="{F709FF5B-F9C3-4F7B-A616-92789CE0ADB2}">
      <text>
        <r>
          <rPr>
            <b/>
            <sz val="9"/>
            <color indexed="81"/>
            <rFont val="Tahoma"/>
            <family val="2"/>
          </rPr>
          <t>Smith Pittman:</t>
        </r>
        <r>
          <rPr>
            <sz val="9"/>
            <color indexed="81"/>
            <rFont val="Tahoma"/>
            <family val="2"/>
          </rPr>
          <t xml:space="preserve">
https://www.nrel.gov/docs/fy19osti/71949.pdf</t>
        </r>
      </text>
    </comment>
    <comment ref="J76" authorId="0" shapeId="0" xr:uid="{F5FF58DF-310A-4E01-B415-DFDD3011320E}">
      <text>
        <r>
          <rPr>
            <b/>
            <sz val="9"/>
            <color indexed="81"/>
            <rFont val="Tahoma"/>
            <family val="2"/>
          </rPr>
          <t>Smith Pittman:</t>
        </r>
        <r>
          <rPr>
            <sz val="9"/>
            <color indexed="81"/>
            <rFont val="Tahoma"/>
            <family val="2"/>
          </rPr>
          <t xml:space="preserve">
https://www.nrel.gov/docs/fy02osti/32438.pdf</t>
        </r>
      </text>
    </comment>
    <comment ref="J77" authorId="0" shapeId="0" xr:uid="{1DA8D838-A2E3-4BAD-AC06-6EEF2FC9992D}">
      <text>
        <r>
          <rPr>
            <b/>
            <sz val="9"/>
            <color indexed="81"/>
            <rFont val="Tahoma"/>
            <family val="2"/>
          </rPr>
          <t>Smith Pittman:</t>
        </r>
        <r>
          <rPr>
            <sz val="9"/>
            <color indexed="81"/>
            <rFont val="Tahoma"/>
            <family val="2"/>
          </rPr>
          <t xml:space="preserve">
https://www.nrel.gov/docs/fy02osti/32438.pdf</t>
        </r>
      </text>
    </comment>
    <comment ref="J78" authorId="0" shapeId="0" xr:uid="{5144A6AD-A49A-42A7-AD61-99266331E49E}">
      <text>
        <r>
          <rPr>
            <b/>
            <sz val="9"/>
            <color indexed="81"/>
            <rFont val="Tahoma"/>
            <family val="2"/>
          </rPr>
          <t>Smith Pittman:</t>
        </r>
        <r>
          <rPr>
            <sz val="9"/>
            <color indexed="81"/>
            <rFont val="Tahoma"/>
            <family val="2"/>
          </rPr>
          <t xml:space="preserve">
https://www.nrel.gov/docs/fy15osti/62455.pdf</t>
        </r>
      </text>
    </comment>
    <comment ref="J79" authorId="0" shapeId="0" xr:uid="{DF071A03-4417-451E-A776-B45CCF8CAF44}">
      <text>
        <r>
          <rPr>
            <b/>
            <sz val="9"/>
            <color indexed="81"/>
            <rFont val="Tahoma"/>
            <family val="2"/>
          </rPr>
          <t>Smith Pittman:</t>
        </r>
        <r>
          <rPr>
            <sz val="9"/>
            <color indexed="81"/>
            <rFont val="Tahoma"/>
            <family val="2"/>
          </rPr>
          <t xml:space="preserve">
https://www.nrel.gov/docs/fy15osti/62455.pdf</t>
        </r>
      </text>
    </comment>
    <comment ref="N89" authorId="0" shapeId="0" xr:uid="{727A048C-F3DE-4D9A-B682-5AC3D672E4E8}">
      <text>
        <r>
          <rPr>
            <b/>
            <sz val="9"/>
            <color indexed="81"/>
            <rFont val="Tahoma"/>
            <family val="2"/>
          </rPr>
          <t>Smith Pittman:</t>
        </r>
        <r>
          <rPr>
            <sz val="9"/>
            <color indexed="81"/>
            <rFont val="Tahoma"/>
            <family val="2"/>
          </rPr>
          <t xml:space="preserve">
https://data.bls.gov/dataViewer/view/timeseries/PCU325199325199P
</t>
        </r>
      </text>
    </comment>
    <comment ref="J91" authorId="0" shapeId="0" xr:uid="{6C829CEA-B7C0-4F00-9BED-2C38F2468856}">
      <text>
        <r>
          <rPr>
            <b/>
            <sz val="9"/>
            <color indexed="81"/>
            <rFont val="Tahoma"/>
            <family val="2"/>
          </rPr>
          <t>Smith Pittman:</t>
        </r>
        <r>
          <rPr>
            <sz val="9"/>
            <color indexed="81"/>
            <rFont val="Tahoma"/>
            <family val="2"/>
          </rPr>
          <t xml:space="preserve">
https://www.nrel.gov/docs/fy19osti/71949.pdf</t>
        </r>
      </text>
    </comment>
    <comment ref="J92" authorId="0" shapeId="0" xr:uid="{6E78CCCE-41FD-45DB-A349-6227ED35F915}">
      <text>
        <r>
          <rPr>
            <b/>
            <sz val="9"/>
            <color indexed="81"/>
            <rFont val="Tahoma"/>
            <family val="2"/>
          </rPr>
          <t>Smith Pittman:</t>
        </r>
        <r>
          <rPr>
            <sz val="9"/>
            <color indexed="81"/>
            <rFont val="Tahoma"/>
            <family val="2"/>
          </rPr>
          <t xml:space="preserve">
https://www.nrel.gov/docs/fy19osti/71949.pdf</t>
        </r>
      </text>
    </comment>
    <comment ref="J96" authorId="0" shapeId="0" xr:uid="{C402B312-46C3-4BB2-BFC3-178579C32E7F}">
      <text>
        <r>
          <rPr>
            <b/>
            <sz val="9"/>
            <color indexed="81"/>
            <rFont val="Tahoma"/>
            <family val="2"/>
          </rPr>
          <t>Smith Pittman:</t>
        </r>
        <r>
          <rPr>
            <sz val="9"/>
            <color indexed="81"/>
            <rFont val="Tahoma"/>
            <family val="2"/>
          </rPr>
          <t xml:space="preserve">
https://www.nrel.gov/docs/fy19osti/71949.pdf</t>
        </r>
      </text>
    </comment>
    <comment ref="J100" authorId="0" shapeId="0" xr:uid="{C4FCD3EB-5823-460F-89DA-347CEAF31502}">
      <text>
        <r>
          <rPr>
            <b/>
            <sz val="9"/>
            <color indexed="81"/>
            <rFont val="Tahoma"/>
            <family val="2"/>
          </rPr>
          <t>Smith Pittman:</t>
        </r>
        <r>
          <rPr>
            <sz val="9"/>
            <color indexed="81"/>
            <rFont val="Tahoma"/>
            <family val="2"/>
          </rPr>
          <t xml:space="preserve">
https://www.nrel.gov/docs/fy19osti/71949.pdf</t>
        </r>
      </text>
    </comment>
    <comment ref="J101" authorId="0" shapeId="0" xr:uid="{ABB1CDDA-A45B-4490-A8AD-EDFE978443F6}">
      <text>
        <r>
          <rPr>
            <b/>
            <sz val="9"/>
            <color indexed="81"/>
            <rFont val="Tahoma"/>
            <family val="2"/>
          </rPr>
          <t>Smith Pittman:</t>
        </r>
        <r>
          <rPr>
            <sz val="9"/>
            <color indexed="81"/>
            <rFont val="Tahoma"/>
            <family val="2"/>
          </rPr>
          <t xml:space="preserve">
https://www.nrel.gov/docs/fy19osti/71949.pdf</t>
        </r>
      </text>
    </comment>
    <comment ref="J103" authorId="0" shapeId="0" xr:uid="{23AF5B95-B8B1-4593-9B3C-1FB2692AE7DE}">
      <text>
        <r>
          <rPr>
            <b/>
            <sz val="9"/>
            <color indexed="81"/>
            <rFont val="Tahoma"/>
            <family val="2"/>
          </rPr>
          <t>Smith Pittman:</t>
        </r>
        <r>
          <rPr>
            <sz val="9"/>
            <color indexed="81"/>
            <rFont val="Tahoma"/>
            <family val="2"/>
          </rPr>
          <t xml:space="preserve">
https://www.nrel.gov/docs/fy19osti/71949.pdf</t>
        </r>
      </text>
    </comment>
    <comment ref="J107" authorId="0" shapeId="0" xr:uid="{E804F184-3205-4F6F-BCD7-0F997627E2B5}">
      <text>
        <r>
          <rPr>
            <b/>
            <sz val="9"/>
            <color indexed="81"/>
            <rFont val="Tahoma"/>
            <family val="2"/>
          </rPr>
          <t>Smith Pittman:</t>
        </r>
        <r>
          <rPr>
            <sz val="9"/>
            <color indexed="81"/>
            <rFont val="Tahoma"/>
            <family val="2"/>
          </rPr>
          <t xml:space="preserve">
https://www.nrel.gov/docs/fy15osti/62455.pdf</t>
        </r>
      </text>
    </comment>
    <comment ref="J108" authorId="0" shapeId="0" xr:uid="{9F8B23B1-71BF-4599-A0CE-C30DA4646B13}">
      <text>
        <r>
          <rPr>
            <b/>
            <sz val="9"/>
            <color indexed="81"/>
            <rFont val="Tahoma"/>
            <family val="2"/>
          </rPr>
          <t>Smith Pittman:</t>
        </r>
        <r>
          <rPr>
            <sz val="9"/>
            <color indexed="81"/>
            <rFont val="Tahoma"/>
            <family val="2"/>
          </rPr>
          <t xml:space="preserve">
https://www.nrel.gov/docs/fy02osti/32438.pdf</t>
        </r>
      </text>
    </comment>
    <comment ref="J109" authorId="0" shapeId="0" xr:uid="{CD934106-D4AD-4E26-AB63-63A61C46E3AB}">
      <text>
        <r>
          <rPr>
            <b/>
            <sz val="9"/>
            <color indexed="81"/>
            <rFont val="Tahoma"/>
            <family val="2"/>
          </rPr>
          <t>Smith Pittman:</t>
        </r>
        <r>
          <rPr>
            <sz val="9"/>
            <color indexed="81"/>
            <rFont val="Tahoma"/>
            <family val="2"/>
          </rPr>
          <t xml:space="preserve">
https://www.nrel.gov/docs/fy15osti/62455.pdf</t>
        </r>
      </text>
    </comment>
    <comment ref="J121" authorId="0" shapeId="0" xr:uid="{6DFE58A6-D0B3-4EE8-BE52-0B74B726AAE1}">
      <text>
        <r>
          <rPr>
            <b/>
            <sz val="9"/>
            <color indexed="81"/>
            <rFont val="Tahoma"/>
            <family val="2"/>
          </rPr>
          <t>Smith Pittman:</t>
        </r>
        <r>
          <rPr>
            <sz val="9"/>
            <color indexed="81"/>
            <rFont val="Tahoma"/>
            <family val="2"/>
          </rPr>
          <t xml:space="preserve">
https://ecommons.cornell.edu/server/api/core/bitstreams/d6f5bc54-7731-4c1d-a8c2-3ac2a73cd1d4/content</t>
        </r>
      </text>
    </comment>
    <comment ref="J124" authorId="0" shapeId="0" xr:uid="{09B2B391-F4D2-4C3A-AF69-6F93101806E1}">
      <text>
        <r>
          <rPr>
            <b/>
            <sz val="9"/>
            <color indexed="81"/>
            <rFont val="Tahoma"/>
            <family val="2"/>
          </rPr>
          <t>Smith Pittman:</t>
        </r>
        <r>
          <rPr>
            <sz val="9"/>
            <color indexed="81"/>
            <rFont val="Tahoma"/>
            <family val="2"/>
          </rPr>
          <t xml:space="preserve">
https://www.nrel.gov/docs/fy19osti/71949.pdf</t>
        </r>
      </text>
    </comment>
    <comment ref="J127" authorId="0" shapeId="0" xr:uid="{6E97AADA-E7A3-4E78-8EBB-630F8D1B7FC9}">
      <text>
        <r>
          <rPr>
            <b/>
            <sz val="9"/>
            <color indexed="81"/>
            <rFont val="Tahoma"/>
            <family val="2"/>
          </rPr>
          <t>Smith Pittman:</t>
        </r>
        <r>
          <rPr>
            <sz val="9"/>
            <color indexed="81"/>
            <rFont val="Tahoma"/>
            <family val="2"/>
          </rPr>
          <t xml:space="preserve">
https://www.nrel.gov/docs/fy19osti/71949.pdf</t>
        </r>
      </text>
    </comment>
    <comment ref="J128" authorId="0" shapeId="0" xr:uid="{2E7A3672-8B0F-40AB-A68A-D7D86FE5AB58}">
      <text>
        <r>
          <rPr>
            <b/>
            <sz val="9"/>
            <color indexed="81"/>
            <rFont val="Tahoma"/>
            <family val="2"/>
          </rPr>
          <t>Smith Pittman:</t>
        </r>
        <r>
          <rPr>
            <sz val="9"/>
            <color indexed="81"/>
            <rFont val="Tahoma"/>
            <family val="2"/>
          </rPr>
          <t xml:space="preserve">
https://www.nrel.gov/docs/fy15osti/62455.pdf
</t>
        </r>
      </text>
    </comment>
    <comment ref="J129" authorId="0" shapeId="0" xr:uid="{B5A7540C-0976-4A02-B209-7D1C044E82AA}">
      <text>
        <r>
          <rPr>
            <b/>
            <sz val="9"/>
            <color indexed="81"/>
            <rFont val="Tahoma"/>
            <family val="2"/>
          </rPr>
          <t>Smith Pittman:</t>
        </r>
        <r>
          <rPr>
            <sz val="9"/>
            <color indexed="81"/>
            <rFont val="Tahoma"/>
            <family val="2"/>
          </rPr>
          <t xml:space="preserve">
https://www.nrel.gov/docs/fy15osti/62455.pdf</t>
        </r>
      </text>
    </comment>
    <comment ref="J130" authorId="0" shapeId="0" xr:uid="{5E1F4E34-8827-4C7B-8E3D-D9F5CD84401D}">
      <text>
        <r>
          <rPr>
            <b/>
            <sz val="9"/>
            <color indexed="81"/>
            <rFont val="Tahoma"/>
            <family val="2"/>
          </rPr>
          <t>Smith Pittman:</t>
        </r>
        <r>
          <rPr>
            <sz val="9"/>
            <color indexed="81"/>
            <rFont val="Tahoma"/>
            <family val="2"/>
          </rPr>
          <t xml:space="preserve">
https://www.nrel.gov/docs/fy15osti/62455.pdf</t>
        </r>
      </text>
    </comment>
    <comment ref="J131" authorId="0" shapeId="0" xr:uid="{43B31995-7165-4A4C-9C04-E5DA6F5C0B30}">
      <text>
        <r>
          <rPr>
            <b/>
            <sz val="9"/>
            <color indexed="81"/>
            <rFont val="Tahoma"/>
            <family val="2"/>
          </rPr>
          <t>Smith Pittman:</t>
        </r>
        <r>
          <rPr>
            <sz val="9"/>
            <color indexed="81"/>
            <rFont val="Tahoma"/>
            <family val="2"/>
          </rPr>
          <t xml:space="preserve">
Little Giant 16G-F151-20 - 1 HP Automatic Grinder Pump w/ Piggyback Tethered Float
Model:
509810</t>
        </r>
      </text>
    </comment>
    <comment ref="J132" authorId="0" shapeId="0" xr:uid="{81ED12DC-1917-4704-9346-5A1CD96DAB8E}">
      <text>
        <r>
          <rPr>
            <b/>
            <sz val="9"/>
            <color indexed="81"/>
            <rFont val="Tahoma"/>
            <family val="2"/>
          </rPr>
          <t>Smith Pittman:</t>
        </r>
        <r>
          <rPr>
            <sz val="9"/>
            <color indexed="81"/>
            <rFont val="Tahoma"/>
            <family val="2"/>
          </rPr>
          <t xml:space="preserve">
Little Giant 16G-F151-20 - 1 HP Automatic Grinder Pump w/ Piggyback Tethered Float
Model:
509810</t>
        </r>
      </text>
    </comment>
    <comment ref="J143" authorId="0" shapeId="0" xr:uid="{85BEDD33-8E28-4549-9DAA-29881C01FE2B}">
      <text>
        <r>
          <rPr>
            <b/>
            <sz val="9"/>
            <color indexed="81"/>
            <rFont val="Tahoma"/>
            <family val="2"/>
          </rPr>
          <t>Smith Pittman:</t>
        </r>
        <r>
          <rPr>
            <sz val="9"/>
            <color indexed="81"/>
            <rFont val="Tahoma"/>
            <family val="2"/>
          </rPr>
          <t xml:space="preserve">
https://www.nrel.gov/docs/fy19osti/71949.pdf</t>
        </r>
      </text>
    </comment>
    <comment ref="J146" authorId="0" shapeId="0" xr:uid="{DBB6B244-A649-45EB-B3EA-AA773C38CE50}">
      <text>
        <r>
          <rPr>
            <b/>
            <sz val="9"/>
            <color indexed="81"/>
            <rFont val="Tahoma"/>
            <family val="2"/>
          </rPr>
          <t>Smith Pittman:</t>
        </r>
        <r>
          <rPr>
            <sz val="9"/>
            <color indexed="81"/>
            <rFont val="Tahoma"/>
            <family val="2"/>
          </rPr>
          <t xml:space="preserve">
https://mingshuo.en.made-in-china.com/product/GSLnXJVOHHYe/China-Double-Membrane-Digester-Cover-for-Biogas-Storage-Holder.html
Type: Gas Storage
Material: PVDF
Thickness Range: 0.8-1.5mm
Application: Gas Storage
Control System: Auto Control System
Service Life: 30 Years</t>
        </r>
      </text>
    </comment>
    <comment ref="J147" authorId="0" shapeId="0" xr:uid="{08BC3B3A-FC98-43FC-BC4B-FD4DF00EAE98}">
      <text>
        <r>
          <rPr>
            <b/>
            <sz val="9"/>
            <color indexed="81"/>
            <rFont val="Tahoma"/>
            <family val="2"/>
          </rPr>
          <t>Smith Pittman:</t>
        </r>
        <r>
          <rPr>
            <sz val="9"/>
            <color indexed="81"/>
            <rFont val="Tahoma"/>
            <family val="2"/>
          </rPr>
          <t xml:space="preserve">
https://www.nrel.gov/docs/fy19osti/71949.pdf</t>
        </r>
      </text>
    </comment>
    <comment ref="J148" authorId="0" shapeId="0" xr:uid="{3525A3F8-7AF7-4605-8345-CEFA6E762D66}">
      <text>
        <r>
          <rPr>
            <b/>
            <sz val="9"/>
            <color indexed="81"/>
            <rFont val="Tahoma"/>
            <family val="2"/>
          </rPr>
          <t>Smith Pittman:</t>
        </r>
        <r>
          <rPr>
            <sz val="9"/>
            <color indexed="81"/>
            <rFont val="Tahoma"/>
            <family val="2"/>
          </rPr>
          <t xml:space="preserve">
https://www.nrel.gov/docs/fy19osti/71949.pdf</t>
        </r>
      </text>
    </comment>
    <comment ref="J159" authorId="0" shapeId="0" xr:uid="{E2597283-1DF0-4241-8B00-B3DF0C59682A}">
      <text>
        <r>
          <rPr>
            <b/>
            <sz val="9"/>
            <color indexed="81"/>
            <rFont val="Tahoma"/>
            <family val="2"/>
          </rPr>
          <t>Smith Pittman:</t>
        </r>
        <r>
          <rPr>
            <sz val="9"/>
            <color indexed="81"/>
            <rFont val="Tahoma"/>
            <family val="2"/>
          </rPr>
          <t xml:space="preserve">
https://www.nrel.gov/docs/fy19osti/71949.pdf</t>
        </r>
      </text>
    </comment>
    <comment ref="J160" authorId="0" shapeId="0" xr:uid="{BFA04241-CE7F-4E4C-B314-474213E7DEDE}">
      <text>
        <r>
          <rPr>
            <b/>
            <sz val="9"/>
            <color indexed="81"/>
            <rFont val="Tahoma"/>
            <family val="2"/>
          </rPr>
          <t>Smith Pittman:</t>
        </r>
        <r>
          <rPr>
            <sz val="9"/>
            <color indexed="81"/>
            <rFont val="Tahoma"/>
            <family val="2"/>
          </rPr>
          <t xml:space="preserve">
https://www.nrel.gov/docs/fy19osti/71949.pdf</t>
        </r>
      </text>
    </comment>
    <comment ref="J161" authorId="0" shapeId="0" xr:uid="{38939AAD-AA40-47C1-8668-ADADC7643CEA}">
      <text>
        <r>
          <rPr>
            <b/>
            <sz val="9"/>
            <color indexed="81"/>
            <rFont val="Tahoma"/>
            <family val="2"/>
          </rPr>
          <t>Smith Pittman:</t>
        </r>
        <r>
          <rPr>
            <sz val="9"/>
            <color indexed="81"/>
            <rFont val="Tahoma"/>
            <family val="2"/>
          </rPr>
          <t xml:space="preserve">
https://www.nrel.gov/docs/fy19osti/71949.pdf</t>
        </r>
      </text>
    </comment>
    <comment ref="J164" authorId="0" shapeId="0" xr:uid="{96B9038C-6AD5-4DD5-819E-A2FDDD80ADB9}">
      <text>
        <r>
          <rPr>
            <b/>
            <sz val="9"/>
            <color indexed="81"/>
            <rFont val="Tahoma"/>
            <family val="2"/>
          </rPr>
          <t>Smith Pittman:</t>
        </r>
        <r>
          <rPr>
            <sz val="9"/>
            <color indexed="81"/>
            <rFont val="Tahoma"/>
            <family val="2"/>
          </rPr>
          <t xml:space="preserve">
https://mingshuo.en.made-in-china.com/product/GSLnXJVOHHYe/China-Double-Membrane-Digester-Cover-for-Biogas-Storage-Holder.html
Type: Gas Storage
Material: PVDF
Thickness Range: 0.8-1.5mm
Application: Gas Storage
Control System: Auto Control System
Service Life: 30 Years</t>
        </r>
      </text>
    </comment>
    <comment ref="J165" authorId="0" shapeId="0" xr:uid="{9B78E137-1DAC-4EFB-A436-19B180075BED}">
      <text>
        <r>
          <rPr>
            <b/>
            <sz val="9"/>
            <color indexed="81"/>
            <rFont val="Tahoma"/>
            <family val="2"/>
          </rPr>
          <t>Smith Pittman:</t>
        </r>
        <r>
          <rPr>
            <sz val="9"/>
            <color indexed="81"/>
            <rFont val="Tahoma"/>
            <family val="2"/>
          </rPr>
          <t xml:space="preserve">
https://www.nrel.gov/docs/fy19osti/71949.pdf</t>
        </r>
      </text>
    </comment>
    <comment ref="J166" authorId="0" shapeId="0" xr:uid="{7B8F914E-75BF-4DAE-A3EC-28EC9F98689A}">
      <text>
        <r>
          <rPr>
            <b/>
            <sz val="9"/>
            <color indexed="81"/>
            <rFont val="Tahoma"/>
            <family val="2"/>
          </rPr>
          <t>Smith Pittman:</t>
        </r>
        <r>
          <rPr>
            <sz val="9"/>
            <color indexed="81"/>
            <rFont val="Tahoma"/>
            <family val="2"/>
          </rPr>
          <t xml:space="preserve">
https://www.fastmarkets.com/insights/chinas-graphite-electrode-prices-drop-further/
</t>
        </r>
      </text>
    </comment>
    <comment ref="J176" authorId="0" shapeId="0" xr:uid="{C3D8D78F-2EB7-411B-8B2A-91CE9937210A}">
      <text>
        <r>
          <rPr>
            <b/>
            <sz val="9"/>
            <color indexed="81"/>
            <rFont val="Tahoma"/>
            <family val="2"/>
          </rPr>
          <t>Smith Pittman:</t>
        </r>
        <r>
          <rPr>
            <sz val="9"/>
            <color indexed="81"/>
            <rFont val="Tahoma"/>
            <family val="2"/>
          </rPr>
          <t xml:space="preserve">
https://www.nrel.gov/docs/fy19osti/71949.pdf</t>
        </r>
      </text>
    </comment>
    <comment ref="J177" authorId="0" shapeId="0" xr:uid="{690F28CB-BA46-4054-85B5-15583758CFBA}">
      <text>
        <r>
          <rPr>
            <b/>
            <sz val="9"/>
            <color indexed="81"/>
            <rFont val="Tahoma"/>
            <family val="2"/>
          </rPr>
          <t>Smith Pittman:</t>
        </r>
        <r>
          <rPr>
            <sz val="9"/>
            <color indexed="81"/>
            <rFont val="Tahoma"/>
            <family val="2"/>
          </rPr>
          <t xml:space="preserve">
https://www.nrel.gov/docs/fy19osti/71949.pdf</t>
        </r>
      </text>
    </comment>
    <comment ref="J178" authorId="0" shapeId="0" xr:uid="{8FA8873E-D7BD-4349-B3AE-59E29397AE98}">
      <text>
        <r>
          <rPr>
            <b/>
            <sz val="9"/>
            <color indexed="81"/>
            <rFont val="Tahoma"/>
            <family val="2"/>
          </rPr>
          <t>Smith Pittman:</t>
        </r>
        <r>
          <rPr>
            <sz val="9"/>
            <color indexed="81"/>
            <rFont val="Tahoma"/>
            <family val="2"/>
          </rPr>
          <t xml:space="preserve">
https://www.nrel.gov/docs/fy19osti/71949.pdf</t>
        </r>
      </text>
    </comment>
    <comment ref="J181" authorId="0" shapeId="0" xr:uid="{09A9A92A-5E89-47AD-BCF9-637A2DE48BF4}">
      <text>
        <r>
          <rPr>
            <b/>
            <sz val="9"/>
            <color indexed="81"/>
            <rFont val="Tahoma"/>
            <family val="2"/>
          </rPr>
          <t>Smith Pittman:</t>
        </r>
        <r>
          <rPr>
            <sz val="9"/>
            <color indexed="81"/>
            <rFont val="Tahoma"/>
            <family val="2"/>
          </rPr>
          <t xml:space="preserve">
https://mingshuo.en.made-in-china.com/product/GSLnXJVOHHYe/China-Double-Membrane-Digester-Cover-for-Biogas-Storage-Holder.html
Type: Gas Storage
Material: PVDF
Thickness Range: 0.8-1.5mm
Application: Gas Storage
Control System: Auto Control System
Service Life: 30 Years</t>
        </r>
      </text>
    </comment>
    <comment ref="J182" authorId="0" shapeId="0" xr:uid="{4FB4C483-3B9A-4970-A8EF-8B83D2685867}">
      <text>
        <r>
          <rPr>
            <b/>
            <sz val="9"/>
            <color indexed="81"/>
            <rFont val="Tahoma"/>
            <family val="2"/>
          </rPr>
          <t>Smith Pittman:</t>
        </r>
        <r>
          <rPr>
            <sz val="9"/>
            <color indexed="81"/>
            <rFont val="Tahoma"/>
            <family val="2"/>
          </rPr>
          <t xml:space="preserve">
https://www.nrel.gov/docs/fy19osti/71949.pdf</t>
        </r>
      </text>
    </comment>
    <comment ref="J183" authorId="0" shapeId="0" xr:uid="{84E5CC5E-5B24-4B9D-9BA4-7DBE24925D08}">
      <text>
        <r>
          <rPr>
            <b/>
            <sz val="9"/>
            <color indexed="81"/>
            <rFont val="Tahoma"/>
            <family val="2"/>
          </rPr>
          <t>Smith Pittman:</t>
        </r>
        <r>
          <rPr>
            <sz val="9"/>
            <color indexed="81"/>
            <rFont val="Tahoma"/>
            <family val="2"/>
          </rPr>
          <t xml:space="preserve">
https://www.fastmarkets.com/insights/chinas-graphite-electrode-prices-drop-further/
</t>
        </r>
      </text>
    </comment>
    <comment ref="J193" authorId="0" shapeId="0" xr:uid="{AE20A654-4043-4F27-8E5D-E43779961835}">
      <text>
        <r>
          <rPr>
            <b/>
            <sz val="9"/>
            <color indexed="81"/>
            <rFont val="Tahoma"/>
            <family val="2"/>
          </rPr>
          <t>Smith Pittman:</t>
        </r>
        <r>
          <rPr>
            <sz val="9"/>
            <color indexed="81"/>
            <rFont val="Tahoma"/>
            <family val="2"/>
          </rPr>
          <t xml:space="preserve">
https://www.nrel.gov/docs/fy19osti/71949.pdf</t>
        </r>
      </text>
    </comment>
    <comment ref="J194" authorId="0" shapeId="0" xr:uid="{B24B5010-AA77-46E8-8F0E-827CAE78FE34}">
      <text>
        <r>
          <rPr>
            <b/>
            <sz val="9"/>
            <color indexed="81"/>
            <rFont val="Tahoma"/>
            <family val="2"/>
          </rPr>
          <t>https://www.nrel.gov/docs/fy02osti/32438.pdf
https://www.nrel.gov/docs/gen/fy03/34353.pdf</t>
        </r>
      </text>
    </comment>
    <comment ref="J195" authorId="0" shapeId="0" xr:uid="{46493733-B9FE-4560-B799-0E3B7CFD3C6D}">
      <text>
        <r>
          <rPr>
            <b/>
            <sz val="9"/>
            <color indexed="81"/>
            <rFont val="Tahoma"/>
            <family val="2"/>
          </rPr>
          <t>Smith Pittman:</t>
        </r>
        <r>
          <rPr>
            <sz val="9"/>
            <color indexed="81"/>
            <rFont val="Tahoma"/>
            <family val="2"/>
          </rPr>
          <t xml:space="preserve">
https://www.nrel.gov/docs/fy19osti/71949.pdf</t>
        </r>
      </text>
    </comment>
    <comment ref="J206" authorId="0" shapeId="0" xr:uid="{734AC697-105B-4166-AED4-F37DFFFA7138}">
      <text>
        <r>
          <rPr>
            <b/>
            <sz val="9"/>
            <color indexed="81"/>
            <rFont val="Tahoma"/>
            <family val="2"/>
          </rPr>
          <t>Smith Pittman:</t>
        </r>
        <r>
          <rPr>
            <sz val="9"/>
            <color indexed="81"/>
            <rFont val="Tahoma"/>
            <family val="2"/>
          </rPr>
          <t xml:space="preserve">
https://www.nrel.gov/docs/fy19osti/71949.pdf</t>
        </r>
      </text>
    </comment>
    <comment ref="J207" authorId="0" shapeId="0" xr:uid="{BE6DA839-C492-49BE-ADD9-283C426D9D66}">
      <text>
        <r>
          <rPr>
            <b/>
            <sz val="9"/>
            <color indexed="81"/>
            <rFont val="Tahoma"/>
            <family val="2"/>
          </rPr>
          <t>Smith Pittman:</t>
        </r>
        <r>
          <rPr>
            <sz val="9"/>
            <color indexed="81"/>
            <rFont val="Tahoma"/>
            <family val="2"/>
          </rPr>
          <t xml:space="preserve">
https://www.nrel.gov/docs/fy19osti/71949.pdf</t>
        </r>
      </text>
    </comment>
    <comment ref="J208" authorId="0" shapeId="0" xr:uid="{81A0A277-2905-4B01-B2A4-D5AF0759AD26}">
      <text>
        <r>
          <rPr>
            <b/>
            <sz val="9"/>
            <color indexed="81"/>
            <rFont val="Tahoma"/>
            <family val="2"/>
          </rPr>
          <t>Smith Pittman:</t>
        </r>
        <r>
          <rPr>
            <sz val="9"/>
            <color indexed="81"/>
            <rFont val="Tahoma"/>
            <family val="2"/>
          </rPr>
          <t xml:space="preserve">
https://www.nrel.gov/docs/fy15osti/62455.pdf</t>
        </r>
      </text>
    </comment>
    <comment ref="J209" authorId="0" shapeId="0" xr:uid="{866DCAC0-9890-4CF7-AC43-843C1525F05F}">
      <text>
        <r>
          <rPr>
            <b/>
            <sz val="9"/>
            <color indexed="81"/>
            <rFont val="Tahoma"/>
            <family val="2"/>
          </rPr>
          <t>Smith Pittman:</t>
        </r>
        <r>
          <rPr>
            <sz val="9"/>
            <color indexed="81"/>
            <rFont val="Tahoma"/>
            <family val="2"/>
          </rPr>
          <t xml:space="preserve">
https://www.nrel.gov/docs/fy11osti/51400.pdf</t>
        </r>
      </text>
    </comment>
    <comment ref="J210" authorId="0" shapeId="0" xr:uid="{BF99D75C-0BC6-49EE-B2D1-DBA336641933}">
      <text>
        <r>
          <rPr>
            <b/>
            <sz val="9"/>
            <color indexed="81"/>
            <rFont val="Tahoma"/>
            <family val="2"/>
          </rPr>
          <t>Smith Pittman:</t>
        </r>
        <r>
          <rPr>
            <sz val="9"/>
            <color indexed="81"/>
            <rFont val="Tahoma"/>
            <family val="2"/>
          </rPr>
          <t xml:space="preserve">
https://www.nrel.gov/docs/fy11osti/51400.pdf</t>
        </r>
      </text>
    </comment>
    <comment ref="J211" authorId="0" shapeId="0" xr:uid="{89A856A6-C73A-46B8-B73D-B651575E930B}">
      <text>
        <r>
          <rPr>
            <b/>
            <sz val="9"/>
            <color indexed="81"/>
            <rFont val="Tahoma"/>
            <family val="2"/>
          </rPr>
          <t>Smith Pittman:</t>
        </r>
        <r>
          <rPr>
            <sz val="9"/>
            <color indexed="81"/>
            <rFont val="Tahoma"/>
            <family val="2"/>
          </rPr>
          <t xml:space="preserve">
https://www.nrel.gov/docs/fy11osti/51400.pdf</t>
        </r>
      </text>
    </comment>
    <comment ref="J212" authorId="0" shapeId="0" xr:uid="{CF53E6C3-1640-4A4E-B965-78BB4235EE49}">
      <text>
        <r>
          <rPr>
            <b/>
            <sz val="9"/>
            <color indexed="81"/>
            <rFont val="Tahoma"/>
            <family val="2"/>
          </rPr>
          <t>Smith Pittman:</t>
        </r>
        <r>
          <rPr>
            <sz val="9"/>
            <color indexed="81"/>
            <rFont val="Tahoma"/>
            <family val="2"/>
          </rPr>
          <t xml:space="preserve">
https://www.nrel.gov/docs/fy11osti/51400.pdf</t>
        </r>
      </text>
    </comment>
    <comment ref="J213" authorId="0" shapeId="0" xr:uid="{C2A8FD44-B894-42F4-99BC-6C882EB0D84A}">
      <text>
        <r>
          <rPr>
            <b/>
            <sz val="9"/>
            <color indexed="81"/>
            <rFont val="Tahoma"/>
            <family val="2"/>
          </rPr>
          <t>Smith Pittman:</t>
        </r>
        <r>
          <rPr>
            <sz val="9"/>
            <color indexed="81"/>
            <rFont val="Tahoma"/>
            <family val="2"/>
          </rPr>
          <t xml:space="preserve">
https://www.nrel.gov/docs/fy11osti/51400.pdf</t>
        </r>
      </text>
    </comment>
    <comment ref="J214" authorId="0" shapeId="0" xr:uid="{C12833AC-89E1-4729-9C37-80583BD00802}">
      <text>
        <r>
          <rPr>
            <b/>
            <sz val="9"/>
            <color indexed="81"/>
            <rFont val="Tahoma"/>
            <family val="2"/>
          </rPr>
          <t>Smith Pittman:</t>
        </r>
        <r>
          <rPr>
            <sz val="9"/>
            <color indexed="81"/>
            <rFont val="Tahoma"/>
            <family val="2"/>
          </rPr>
          <t xml:space="preserve">
https://www.nrel.gov/docs/fy11osti/51400.pdf</t>
        </r>
      </text>
    </comment>
    <comment ref="J215" authorId="0" shapeId="0" xr:uid="{30B74961-4458-4450-9ACE-5EEDF92BC4E5}">
      <text>
        <r>
          <rPr>
            <b/>
            <sz val="9"/>
            <color indexed="81"/>
            <rFont val="Tahoma"/>
            <family val="2"/>
          </rPr>
          <t>Smith Pittman:</t>
        </r>
        <r>
          <rPr>
            <sz val="9"/>
            <color indexed="81"/>
            <rFont val="Tahoma"/>
            <family val="2"/>
          </rPr>
          <t xml:space="preserve">
https://www.nrel.gov/docs/fy11osti/51400.pdf</t>
        </r>
      </text>
    </comment>
    <comment ref="J216" authorId="0" shapeId="0" xr:uid="{B325D19C-506A-461C-AD0C-B7E852859726}">
      <text>
        <r>
          <rPr>
            <b/>
            <sz val="9"/>
            <color indexed="81"/>
            <rFont val="Tahoma"/>
            <family val="2"/>
          </rPr>
          <t>Smith Pittman:</t>
        </r>
        <r>
          <rPr>
            <sz val="9"/>
            <color indexed="81"/>
            <rFont val="Tahoma"/>
            <family val="2"/>
          </rPr>
          <t xml:space="preserve">
https://www.nrel.gov/docs/fy11osti/51400.pdf</t>
        </r>
      </text>
    </comment>
    <comment ref="J217" authorId="0" shapeId="0" xr:uid="{AEECBE28-8398-4619-BCBC-0E34E5E577B5}">
      <text>
        <r>
          <rPr>
            <b/>
            <sz val="9"/>
            <color indexed="81"/>
            <rFont val="Tahoma"/>
            <family val="2"/>
          </rPr>
          <t>Smith Pittman:</t>
        </r>
        <r>
          <rPr>
            <sz val="9"/>
            <color indexed="81"/>
            <rFont val="Tahoma"/>
            <family val="2"/>
          </rPr>
          <t xml:space="preserve">
https://www.nrel.gov/docs/fy11osti/51400.pdf</t>
        </r>
      </text>
    </comment>
    <comment ref="J218" authorId="0" shapeId="0" xr:uid="{49E1F28D-0E96-4848-8222-EC36CABE0938}">
      <text>
        <r>
          <rPr>
            <b/>
            <sz val="9"/>
            <color indexed="81"/>
            <rFont val="Tahoma"/>
            <family val="2"/>
          </rPr>
          <t>Smith Pittman:</t>
        </r>
        <r>
          <rPr>
            <sz val="9"/>
            <color indexed="81"/>
            <rFont val="Tahoma"/>
            <family val="2"/>
          </rPr>
          <t xml:space="preserve">
https://www.nrel.gov/docs/fy11osti/51400.pdf</t>
        </r>
      </text>
    </comment>
    <comment ref="J219" authorId="0" shapeId="0" xr:uid="{37B6BF24-280E-4CF4-B512-139229443420}">
      <text>
        <r>
          <rPr>
            <b/>
            <sz val="9"/>
            <color indexed="81"/>
            <rFont val="Tahoma"/>
            <family val="2"/>
          </rPr>
          <t>Smith Pittman:</t>
        </r>
        <r>
          <rPr>
            <sz val="9"/>
            <color indexed="81"/>
            <rFont val="Tahoma"/>
            <family val="2"/>
          </rPr>
          <t xml:space="preserve">
https://www.nrel.gov/docs/fy02osti/32438.pdf</t>
        </r>
      </text>
    </comment>
    <comment ref="J220" authorId="0" shapeId="0" xr:uid="{9FA6DA2E-DAB5-4435-B9A2-22BBD6EF246B}">
      <text>
        <r>
          <rPr>
            <b/>
            <sz val="9"/>
            <color indexed="81"/>
            <rFont val="Tahoma"/>
            <family val="2"/>
          </rPr>
          <t>Smith Pittman:</t>
        </r>
        <r>
          <rPr>
            <sz val="9"/>
            <color indexed="81"/>
            <rFont val="Tahoma"/>
            <family val="2"/>
          </rPr>
          <t xml:space="preserve">
https://www.nrel.gov/docs/fy15osti/62455.pdf</t>
        </r>
      </text>
    </comment>
    <comment ref="J221" authorId="0" shapeId="0" xr:uid="{77FF4327-7E11-43E3-8F17-93BAC3E9ED1A}">
      <text>
        <r>
          <rPr>
            <b/>
            <sz val="9"/>
            <color indexed="81"/>
            <rFont val="Tahoma"/>
            <family val="2"/>
          </rPr>
          <t>Smith Pittman:</t>
        </r>
        <r>
          <rPr>
            <sz val="9"/>
            <color indexed="81"/>
            <rFont val="Tahoma"/>
            <family val="2"/>
          </rPr>
          <t xml:space="preserve">
https://www.nrel.gov/docs/fy11osti/51838.pdf</t>
        </r>
      </text>
    </comment>
    <comment ref="J222" authorId="0" shapeId="0" xr:uid="{ACAA50B3-9CD4-4E1F-BE02-A18789E68F80}">
      <text>
        <r>
          <rPr>
            <b/>
            <sz val="9"/>
            <color indexed="81"/>
            <rFont val="Tahoma"/>
            <family val="2"/>
          </rPr>
          <t>Smith Pittman:</t>
        </r>
        <r>
          <rPr>
            <sz val="9"/>
            <color indexed="81"/>
            <rFont val="Tahoma"/>
            <family val="2"/>
          </rPr>
          <t xml:space="preserve">
https://www.nrel.gov/docs/fy11osti/51838.pdf</t>
        </r>
      </text>
    </comment>
    <comment ref="J232" authorId="0" shapeId="0" xr:uid="{4F28EAC0-496E-48D4-B5CC-A9E9EA6DC34C}">
      <text>
        <r>
          <rPr>
            <b/>
            <sz val="9"/>
            <color indexed="81"/>
            <rFont val="Tahoma"/>
            <family val="2"/>
          </rPr>
          <t>Smith Pittman:</t>
        </r>
        <r>
          <rPr>
            <sz val="9"/>
            <color indexed="81"/>
            <rFont val="Tahoma"/>
            <family val="2"/>
          </rPr>
          <t xml:space="preserve">
https://www.nrel.gov/docs/fy19osti/71949.pdf</t>
        </r>
      </text>
    </comment>
    <comment ref="J233" authorId="0" shapeId="0" xr:uid="{568FE0E8-A0BC-4028-A488-74E804205EFC}">
      <text>
        <r>
          <rPr>
            <b/>
            <sz val="9"/>
            <color indexed="81"/>
            <rFont val="Tahoma"/>
            <family val="2"/>
          </rPr>
          <t>Smith Pittman:</t>
        </r>
        <r>
          <rPr>
            <sz val="9"/>
            <color indexed="81"/>
            <rFont val="Tahoma"/>
            <family val="2"/>
          </rPr>
          <t xml:space="preserve">
https://www.nrel.gov/docs/fy19osti/71949.pdf</t>
        </r>
      </text>
    </comment>
    <comment ref="J234" authorId="0" shapeId="0" xr:uid="{A30137C6-75D6-4EF6-BCE0-988CE0120399}">
      <text>
        <r>
          <rPr>
            <b/>
            <sz val="9"/>
            <color indexed="81"/>
            <rFont val="Tahoma"/>
            <family val="2"/>
          </rPr>
          <t>Smith Pittman:</t>
        </r>
        <r>
          <rPr>
            <sz val="9"/>
            <color indexed="81"/>
            <rFont val="Tahoma"/>
            <family val="2"/>
          </rPr>
          <t xml:space="preserve">
https://www.nrel.gov/docs/fy19osti/71949.pdf</t>
        </r>
      </text>
    </comment>
    <comment ref="J235" authorId="0" shapeId="0" xr:uid="{4E450408-4015-4E13-BA52-B0EEB35F9DD2}">
      <text>
        <r>
          <rPr>
            <b/>
            <sz val="9"/>
            <color indexed="81"/>
            <rFont val="Tahoma"/>
            <family val="2"/>
          </rPr>
          <t>Smith Pittman:</t>
        </r>
        <r>
          <rPr>
            <sz val="9"/>
            <color indexed="81"/>
            <rFont val="Tahoma"/>
            <family val="2"/>
          </rPr>
          <t xml:space="preserve">
https://www.nrel.gov/docs/fy19osti/71949.pdf</t>
        </r>
      </text>
    </comment>
    <comment ref="J236" authorId="0" shapeId="0" xr:uid="{B4C795A9-BF9D-4876-9552-C9DE5B475FB4}">
      <text>
        <r>
          <rPr>
            <b/>
            <sz val="9"/>
            <color indexed="81"/>
            <rFont val="Tahoma"/>
            <family val="2"/>
          </rPr>
          <t>Smith Pittman:</t>
        </r>
        <r>
          <rPr>
            <sz val="9"/>
            <color indexed="81"/>
            <rFont val="Tahoma"/>
            <family val="2"/>
          </rPr>
          <t xml:space="preserve">
https://www.nrel.gov/docs/fy19osti/71949.pdf</t>
        </r>
      </text>
    </comment>
    <comment ref="J239" authorId="0" shapeId="0" xr:uid="{79AB4965-0998-4BE0-8F05-14FAD5AF08A7}">
      <text>
        <r>
          <rPr>
            <b/>
            <sz val="9"/>
            <color indexed="81"/>
            <rFont val="Tahoma"/>
            <family val="2"/>
          </rPr>
          <t>Smith Pittman:</t>
        </r>
        <r>
          <rPr>
            <sz val="9"/>
            <color indexed="81"/>
            <rFont val="Tahoma"/>
            <family val="2"/>
          </rPr>
          <t xml:space="preserve">
https://www.nrel.gov/docs/fy19osti/71949.pdf</t>
        </r>
      </text>
    </comment>
    <comment ref="J240" authorId="0" shapeId="0" xr:uid="{1D55C824-3C10-410E-B266-C2C3B289243C}">
      <text>
        <r>
          <rPr>
            <b/>
            <sz val="9"/>
            <color indexed="81"/>
            <rFont val="Tahoma"/>
            <family val="2"/>
          </rPr>
          <t>Smith Pittman:</t>
        </r>
        <r>
          <rPr>
            <sz val="9"/>
            <color indexed="81"/>
            <rFont val="Tahoma"/>
            <family val="2"/>
          </rPr>
          <t xml:space="preserve">
https://www.fastmarkets.com/insights/chinas-graphite-electrode-prices-drop-further/</t>
        </r>
      </text>
    </comment>
    <comment ref="J241" authorId="0" shapeId="0" xr:uid="{E6E11058-4C9E-459A-A8E9-D5DA09B4E0F6}">
      <text>
        <r>
          <rPr>
            <b/>
            <sz val="9"/>
            <color indexed="81"/>
            <rFont val="Tahoma"/>
            <family val="2"/>
          </rPr>
          <t>Smith Pittman:</t>
        </r>
        <r>
          <rPr>
            <sz val="9"/>
            <color indexed="81"/>
            <rFont val="Tahoma"/>
            <family val="2"/>
          </rPr>
          <t xml:space="preserve">
https://mingshuo.en.made-in-china.com/product/GSLnXJVOHHYe/China-Double-Membrane-Digester-Cover-for-Biogas-Storage-Holder.html
Type: Gas Storage
Material: PVDF
Thickness Range: 0.8-1.5mm
Application: Gas Storage
Control System: Auto Control System
Service Life: 30 Years</t>
        </r>
      </text>
    </comment>
    <comment ref="J251" authorId="0" shapeId="0" xr:uid="{66C8902B-9E94-4644-8A63-B85E2E3BB230}">
      <text>
        <r>
          <rPr>
            <b/>
            <sz val="9"/>
            <color indexed="81"/>
            <rFont val="Tahoma"/>
            <family val="2"/>
          </rPr>
          <t>Smith Pittman:</t>
        </r>
        <r>
          <rPr>
            <sz val="9"/>
            <color indexed="81"/>
            <rFont val="Tahoma"/>
            <family val="2"/>
          </rPr>
          <t xml:space="preserve">
https://www.nrel.gov/docs/fy19osti/71949.pdf</t>
        </r>
      </text>
    </comment>
    <comment ref="J252" authorId="0" shapeId="0" xr:uid="{70C4C80B-8C9A-4451-8CB3-0099E420AB43}">
      <text>
        <r>
          <rPr>
            <b/>
            <sz val="9"/>
            <color indexed="81"/>
            <rFont val="Tahoma"/>
            <family val="2"/>
          </rPr>
          <t>https://www.nrel.gov/docs/fy02osti/32438.pdf
https://www.nrel.gov/docs/gen/fy03/34353.pdf</t>
        </r>
      </text>
    </comment>
    <comment ref="J253" authorId="0" shapeId="0" xr:uid="{F55ACF46-5A92-4496-8D21-56EF77F51306}">
      <text>
        <r>
          <rPr>
            <b/>
            <sz val="9"/>
            <color indexed="81"/>
            <rFont val="Tahoma"/>
            <family val="2"/>
          </rPr>
          <t>Smith Pittman:</t>
        </r>
        <r>
          <rPr>
            <sz val="9"/>
            <color indexed="81"/>
            <rFont val="Tahoma"/>
            <family val="2"/>
          </rPr>
          <t xml:space="preserve">
https://www.nrel.gov/docs/fy19osti/71949.pdf</t>
        </r>
      </text>
    </comment>
    <comment ref="J270" authorId="0" shapeId="0" xr:uid="{54340325-33F5-4012-8E45-367FE0062E15}">
      <text>
        <r>
          <rPr>
            <b/>
            <sz val="9"/>
            <color indexed="81"/>
            <rFont val="Tahoma"/>
            <family val="2"/>
          </rPr>
          <t>Smith Pittman:</t>
        </r>
        <r>
          <rPr>
            <sz val="9"/>
            <color indexed="81"/>
            <rFont val="Tahoma"/>
            <family val="2"/>
          </rPr>
          <t xml:space="preserve">
https://www.fuelcellstore.com/fuel-cell-components/membranes/anion-exchange-membrane/sustainion-e28-50-t-75000000?sort=p.price&amp;order=DESC</t>
        </r>
      </text>
    </comment>
    <comment ref="J271" authorId="0" shapeId="0" xr:uid="{B2A8889B-E629-4928-A825-CD2AA0A207BB}">
      <text>
        <r>
          <rPr>
            <b/>
            <sz val="9"/>
            <color indexed="81"/>
            <rFont val="Tahoma"/>
            <family val="2"/>
          </rPr>
          <t>Smith Pittman:</t>
        </r>
        <r>
          <rPr>
            <sz val="9"/>
            <color indexed="81"/>
            <rFont val="Tahoma"/>
            <family val="2"/>
          </rPr>
          <t xml:space="preserve">
https://www.fuelcellstore.com/fuel-cell-components/membranes/cation-exchange-membrane/fumasep-fks-pet-130</t>
        </r>
      </text>
    </comment>
    <comment ref="J272" authorId="0" shapeId="0" xr:uid="{EAC17286-BA41-4A3D-BD83-76F68470923C}">
      <text>
        <r>
          <rPr>
            <b/>
            <sz val="9"/>
            <color indexed="81"/>
            <rFont val="Tahoma"/>
            <family val="2"/>
          </rPr>
          <t>Smith Pittman:</t>
        </r>
        <r>
          <rPr>
            <sz val="9"/>
            <color indexed="81"/>
            <rFont val="Tahoma"/>
            <family val="2"/>
          </rPr>
          <t xml:space="preserve">
https://www.fuelcellstore.com/fuel-cell-components/membranes/bipolar-membranes/fumasep-fbm</t>
        </r>
      </text>
    </comment>
    <comment ref="J273" authorId="0" shapeId="0" xr:uid="{12E228DA-FCF4-4322-A5D9-ECBF3A5728D4}">
      <text>
        <r>
          <rPr>
            <b/>
            <sz val="9"/>
            <color indexed="81"/>
            <rFont val="Tahoma"/>
            <family val="2"/>
          </rPr>
          <t>Smith Pittman:</t>
        </r>
        <r>
          <rPr>
            <sz val="9"/>
            <color indexed="81"/>
            <rFont val="Tahoma"/>
            <family val="2"/>
          </rPr>
          <t xml:space="preserve">
https://www.fastmarkets.com/insights/chinas-graphite-electrode-prices-drop-further/
</t>
        </r>
      </text>
    </comment>
    <comment ref="J274" authorId="0" shapeId="0" xr:uid="{FB9AF7CF-DAF2-452B-A51C-A53E19361422}">
      <text>
        <r>
          <rPr>
            <b/>
            <sz val="9"/>
            <color indexed="81"/>
            <rFont val="Tahoma"/>
            <family val="2"/>
          </rPr>
          <t>Smith Pittman:</t>
        </r>
        <r>
          <rPr>
            <sz val="9"/>
            <color indexed="81"/>
            <rFont val="Tahoma"/>
            <family val="2"/>
          </rPr>
          <t xml:space="preserve">
https://cannonwater.com/knight-equipment-pmp-8120b-peristaltic-metering-pump-115v-60-hz-fixed-speed-t-66e-squeeze-tube-30-psi-max-40-oz-min/</t>
        </r>
      </text>
    </comment>
    <comment ref="J288" authorId="0" shapeId="0" xr:uid="{3F1A0E46-88A3-4BB5-A94F-6EF94B02ED6C}">
      <text>
        <r>
          <rPr>
            <b/>
            <sz val="9"/>
            <color indexed="81"/>
            <rFont val="Tahoma"/>
            <family val="2"/>
          </rPr>
          <t>Smith Pittman:</t>
        </r>
        <r>
          <rPr>
            <sz val="9"/>
            <color indexed="81"/>
            <rFont val="Tahoma"/>
            <family val="2"/>
          </rPr>
          <t xml:space="preserve">
https://www.nrel.gov/docs/fy19osti/71949.pdf</t>
        </r>
      </text>
    </comment>
    <comment ref="J289" authorId="0" shapeId="0" xr:uid="{15BF16EC-6EB4-45D4-BC84-4B15BF9DE352}">
      <text>
        <r>
          <rPr>
            <b/>
            <sz val="9"/>
            <color indexed="81"/>
            <rFont val="Tahoma"/>
            <family val="2"/>
          </rPr>
          <t>Smith Pittman:</t>
        </r>
        <r>
          <rPr>
            <sz val="9"/>
            <color indexed="81"/>
            <rFont val="Tahoma"/>
            <family val="2"/>
          </rPr>
          <t xml:space="preserve">
https://www.nrel.gov/docs/fy19osti/71949.pdf</t>
        </r>
      </text>
    </comment>
    <comment ref="J290" authorId="0" shapeId="0" xr:uid="{8994BE50-DD32-41E6-B1E4-7DDF0144A162}">
      <text>
        <r>
          <rPr>
            <b/>
            <sz val="9"/>
            <color indexed="81"/>
            <rFont val="Tahoma"/>
            <family val="2"/>
          </rPr>
          <t>Smith Pittman:</t>
        </r>
        <r>
          <rPr>
            <sz val="9"/>
            <color indexed="81"/>
            <rFont val="Tahoma"/>
            <family val="2"/>
          </rPr>
          <t xml:space="preserve">
https://www.nrel.gov/docs/fy19osti/71949.pdf</t>
        </r>
      </text>
    </comment>
    <comment ref="J292" authorId="0" shapeId="0" xr:uid="{5D5E01FB-61C8-40A5-8F16-ED139121E0B7}">
      <text>
        <r>
          <rPr>
            <b/>
            <sz val="9"/>
            <color indexed="81"/>
            <rFont val="Tahoma"/>
            <family val="2"/>
          </rPr>
          <t>Smith Pittman:</t>
        </r>
        <r>
          <rPr>
            <sz val="9"/>
            <color indexed="81"/>
            <rFont val="Tahoma"/>
            <family val="2"/>
          </rPr>
          <t xml:space="preserve">
https://www.nrel.gov/docs/fy19osti/71949.pdf</t>
        </r>
      </text>
    </comment>
    <comment ref="J293" authorId="0" shapeId="0" xr:uid="{BDD55A8B-CEBD-4F55-819F-826588D0CEB0}">
      <text>
        <r>
          <rPr>
            <b/>
            <sz val="9"/>
            <color indexed="81"/>
            <rFont val="Tahoma"/>
            <family val="2"/>
          </rPr>
          <t>Smith Pittman:</t>
        </r>
        <r>
          <rPr>
            <sz val="9"/>
            <color indexed="81"/>
            <rFont val="Tahoma"/>
            <family val="2"/>
          </rPr>
          <t xml:space="preserve">
https://www.nrel.gov/docs/fy19osti/71949.pdf</t>
        </r>
      </text>
    </comment>
    <comment ref="J294" authorId="0" shapeId="0" xr:uid="{8C5AE56E-9AC6-4F71-AD7B-F9B11DE04D74}">
      <text>
        <r>
          <rPr>
            <b/>
            <sz val="9"/>
            <color indexed="81"/>
            <rFont val="Tahoma"/>
            <family val="2"/>
          </rPr>
          <t>Smith Pittman:</t>
        </r>
        <r>
          <rPr>
            <sz val="9"/>
            <color indexed="81"/>
            <rFont val="Tahoma"/>
            <family val="2"/>
          </rPr>
          <t xml:space="preserve">
https://www.nrel.gov/docs/fy19osti/71949.pdf</t>
        </r>
      </text>
    </comment>
    <comment ref="J295" authorId="0" shapeId="0" xr:uid="{6A3FDEEB-A533-4268-BBFE-D3130152616D}">
      <text>
        <r>
          <rPr>
            <b/>
            <sz val="9"/>
            <color indexed="81"/>
            <rFont val="Tahoma"/>
            <family val="2"/>
          </rPr>
          <t>Smith Pittman:</t>
        </r>
        <r>
          <rPr>
            <sz val="9"/>
            <color indexed="81"/>
            <rFont val="Tahoma"/>
            <family val="2"/>
          </rPr>
          <t xml:space="preserve">
https://www.nrel.gov/docs/fy19osti/71949.pdf</t>
        </r>
      </text>
    </comment>
    <comment ref="J296" authorId="0" shapeId="0" xr:uid="{BEC7323B-B56F-4E3B-9600-C66BE8BEE5C8}">
      <text>
        <r>
          <rPr>
            <b/>
            <sz val="9"/>
            <color indexed="81"/>
            <rFont val="Tahoma"/>
            <family val="2"/>
          </rPr>
          <t>Smith Pittman:</t>
        </r>
        <r>
          <rPr>
            <sz val="9"/>
            <color indexed="81"/>
            <rFont val="Tahoma"/>
            <family val="2"/>
          </rPr>
          <t xml:space="preserve">
https://www.nrel.gov/docs/fy19osti/71949.pdf</t>
        </r>
      </text>
    </comment>
    <comment ref="J297" authorId="0" shapeId="0" xr:uid="{7C6B9F40-4121-41E5-B3B1-B40702E4E996}">
      <text>
        <r>
          <rPr>
            <b/>
            <sz val="9"/>
            <color indexed="81"/>
            <rFont val="Tahoma"/>
            <family val="2"/>
          </rPr>
          <t>Smith Pittman:</t>
        </r>
        <r>
          <rPr>
            <sz val="9"/>
            <color indexed="81"/>
            <rFont val="Tahoma"/>
            <family val="2"/>
          </rPr>
          <t xml:space="preserve">
https://www.nrel.gov/docs/fy19osti/71949.pdf</t>
        </r>
      </text>
    </comment>
    <comment ref="J298" authorId="0" shapeId="0" xr:uid="{BD617663-72E3-405F-A034-C92DD247B733}">
      <text>
        <r>
          <rPr>
            <b/>
            <sz val="9"/>
            <color indexed="81"/>
            <rFont val="Tahoma"/>
            <family val="2"/>
          </rPr>
          <t>Smith Pittman:</t>
        </r>
        <r>
          <rPr>
            <sz val="9"/>
            <color indexed="81"/>
            <rFont val="Tahoma"/>
            <family val="2"/>
          </rPr>
          <t xml:space="preserve">
https://www.nrel.gov/docs/fy19osti/71949.pdf</t>
        </r>
      </text>
    </comment>
    <comment ref="J308" authorId="0" shapeId="0" xr:uid="{3C668989-9476-4C05-9AD2-0C8E2075373D}">
      <text>
        <r>
          <rPr>
            <b/>
            <sz val="9"/>
            <color indexed="81"/>
            <rFont val="Tahoma"/>
            <family val="2"/>
          </rPr>
          <t>Smith Pittman:</t>
        </r>
        <r>
          <rPr>
            <sz val="9"/>
            <color indexed="81"/>
            <rFont val="Tahoma"/>
            <family val="2"/>
          </rPr>
          <t xml:space="preserve">
https://www.nrel.gov/docs/fy19osti/71949.pdf</t>
        </r>
      </text>
    </comment>
    <comment ref="J309" authorId="0" shapeId="0" xr:uid="{6B400025-C651-4DAD-886B-D18561542950}">
      <text>
        <r>
          <rPr>
            <b/>
            <sz val="9"/>
            <color indexed="81"/>
            <rFont val="Tahoma"/>
            <family val="2"/>
          </rPr>
          <t>Smith Pittman:</t>
        </r>
        <r>
          <rPr>
            <sz val="9"/>
            <color indexed="81"/>
            <rFont val="Tahoma"/>
            <family val="2"/>
          </rPr>
          <t xml:space="preserve">
https://www.nrel.gov/docs/fy19osti/71949.pdf</t>
        </r>
      </text>
    </comment>
    <comment ref="J310" authorId="0" shapeId="0" xr:uid="{50734CA9-9BE5-4585-A3CD-3D8D0E88968D}">
      <text>
        <r>
          <rPr>
            <b/>
            <sz val="9"/>
            <color indexed="81"/>
            <rFont val="Tahoma"/>
            <family val="2"/>
          </rPr>
          <t>Smith Pittman:</t>
        </r>
        <r>
          <rPr>
            <sz val="9"/>
            <color indexed="81"/>
            <rFont val="Tahoma"/>
            <family val="2"/>
          </rPr>
          <t xml:space="preserve">
https://www.nrel.gov/docs/fy19osti/71949.pdf</t>
        </r>
      </text>
    </comment>
    <comment ref="J311" authorId="0" shapeId="0" xr:uid="{700C08C3-0021-43CB-94F0-5519D65126A2}">
      <text>
        <r>
          <rPr>
            <b/>
            <sz val="9"/>
            <color indexed="81"/>
            <rFont val="Tahoma"/>
            <family val="2"/>
          </rPr>
          <t>Smith Pittman:</t>
        </r>
        <r>
          <rPr>
            <sz val="9"/>
            <color indexed="81"/>
            <rFont val="Tahoma"/>
            <family val="2"/>
          </rPr>
          <t xml:space="preserve">
https://www.nrel.gov/docs/fy19osti/71949.pdf</t>
        </r>
      </text>
    </comment>
    <comment ref="J312" authorId="0" shapeId="0" xr:uid="{03B2D6D6-530C-4004-88BD-B47486CB2AE8}">
      <text>
        <r>
          <rPr>
            <b/>
            <sz val="9"/>
            <color indexed="81"/>
            <rFont val="Tahoma"/>
            <family val="2"/>
          </rPr>
          <t>Smith Pittman:</t>
        </r>
        <r>
          <rPr>
            <sz val="9"/>
            <color indexed="81"/>
            <rFont val="Tahoma"/>
            <family val="2"/>
          </rPr>
          <t xml:space="preserve">
https://www.nrel.gov/docs/fy19osti/71949.pdf</t>
        </r>
      </text>
    </comment>
    <comment ref="J313" authorId="0" shapeId="0" xr:uid="{1E877326-3F22-4D4D-8F8D-0F7183F0DB22}">
      <text>
        <r>
          <rPr>
            <b/>
            <sz val="9"/>
            <color indexed="81"/>
            <rFont val="Tahoma"/>
            <family val="2"/>
          </rPr>
          <t>Smith Pittman:</t>
        </r>
        <r>
          <rPr>
            <sz val="9"/>
            <color indexed="81"/>
            <rFont val="Tahoma"/>
            <family val="2"/>
          </rPr>
          <t xml:space="preserve">
https://www.nrel.gov/docs/fy19osti/71949.pdf</t>
        </r>
      </text>
    </comment>
    <comment ref="J314" authorId="0" shapeId="0" xr:uid="{74D83714-C408-4863-A54E-6F0839AE8F6B}">
      <text>
        <r>
          <rPr>
            <b/>
            <sz val="9"/>
            <color indexed="81"/>
            <rFont val="Tahoma"/>
            <family val="2"/>
          </rPr>
          <t>Smith Pittman:</t>
        </r>
        <r>
          <rPr>
            <sz val="9"/>
            <color indexed="81"/>
            <rFont val="Tahoma"/>
            <family val="2"/>
          </rPr>
          <t xml:space="preserve">
https://www.nrel.gov/docs/fy15osti/62402.pdf</t>
        </r>
      </text>
    </comment>
    <comment ref="J324" authorId="0" shapeId="0" xr:uid="{FA406177-3A0A-495B-8DBB-15FB56DE8E5E}">
      <text>
        <r>
          <rPr>
            <b/>
            <sz val="9"/>
            <color indexed="81"/>
            <rFont val="Tahoma"/>
            <family val="2"/>
          </rPr>
          <t>Smith Pittman:</t>
        </r>
        <r>
          <rPr>
            <sz val="9"/>
            <color indexed="81"/>
            <rFont val="Tahoma"/>
            <family val="2"/>
          </rPr>
          <t xml:space="preserve">
https://www.nrel.gov/docs/fy19osti/71949.pdf</t>
        </r>
      </text>
    </comment>
    <comment ref="J325" authorId="0" shapeId="0" xr:uid="{A81D19DE-7AF2-4EA6-8FEA-2C62106FE11B}">
      <text>
        <r>
          <rPr>
            <b/>
            <sz val="9"/>
            <color indexed="81"/>
            <rFont val="Tahoma"/>
            <family val="2"/>
          </rPr>
          <t>Smith Pittman:</t>
        </r>
        <r>
          <rPr>
            <sz val="9"/>
            <color indexed="81"/>
            <rFont val="Tahoma"/>
            <family val="2"/>
          </rPr>
          <t xml:space="preserve">
https://www.nrel.gov/docs/fy19osti/71949.pdf</t>
        </r>
      </text>
    </comment>
    <comment ref="J326" authorId="0" shapeId="0" xr:uid="{E88FF468-3EFF-47C4-A388-A2E473C14B7A}">
      <text>
        <r>
          <rPr>
            <b/>
            <sz val="9"/>
            <color indexed="81"/>
            <rFont val="Tahoma"/>
            <family val="2"/>
          </rPr>
          <t>Smith Pittman:</t>
        </r>
        <r>
          <rPr>
            <sz val="9"/>
            <color indexed="81"/>
            <rFont val="Tahoma"/>
            <family val="2"/>
          </rPr>
          <t xml:space="preserve">
https://www.nrel.gov/docs/fy19osti/71949.pdf</t>
        </r>
      </text>
    </comment>
    <comment ref="J327" authorId="0" shapeId="0" xr:uid="{DA987418-7AA3-44DC-ABFB-6A789DA47541}">
      <text>
        <r>
          <rPr>
            <b/>
            <sz val="9"/>
            <color indexed="81"/>
            <rFont val="Tahoma"/>
            <family val="2"/>
          </rPr>
          <t>Smith Pittman:</t>
        </r>
        <r>
          <rPr>
            <sz val="9"/>
            <color indexed="81"/>
            <rFont val="Tahoma"/>
            <family val="2"/>
          </rPr>
          <t xml:space="preserve">
https://www.nrel.gov/docs/fy19osti/71949.pdf</t>
        </r>
      </text>
    </comment>
    <comment ref="J328" authorId="0" shapeId="0" xr:uid="{58E7FC64-BC98-4C2D-8DDA-7D0D84C76527}">
      <text>
        <r>
          <rPr>
            <b/>
            <sz val="9"/>
            <color indexed="81"/>
            <rFont val="Tahoma"/>
            <family val="2"/>
          </rPr>
          <t>Smith Pittman:</t>
        </r>
        <r>
          <rPr>
            <sz val="9"/>
            <color indexed="81"/>
            <rFont val="Tahoma"/>
            <family val="2"/>
          </rPr>
          <t xml:space="preserve">
https://www.nrel.gov/docs/fy19osti/71949.pdf</t>
        </r>
      </text>
    </comment>
    <comment ref="J329" authorId="0" shapeId="0" xr:uid="{367C4BB4-D751-492A-A216-AAF9C6721E34}">
      <text>
        <r>
          <rPr>
            <b/>
            <sz val="9"/>
            <color indexed="81"/>
            <rFont val="Tahoma"/>
            <family val="2"/>
          </rPr>
          <t>Smith Pittman:</t>
        </r>
        <r>
          <rPr>
            <sz val="9"/>
            <color indexed="81"/>
            <rFont val="Tahoma"/>
            <family val="2"/>
          </rPr>
          <t xml:space="preserve">
https://www.nrel.gov/docs/fy19osti/71949.pdf</t>
        </r>
      </text>
    </comment>
    <comment ref="J330" authorId="0" shapeId="0" xr:uid="{88D31B67-F2F9-4A02-A9A2-2F71189BBAA9}">
      <text>
        <r>
          <rPr>
            <b/>
            <sz val="9"/>
            <color indexed="81"/>
            <rFont val="Tahoma"/>
            <family val="2"/>
          </rPr>
          <t>Smith Pittman:</t>
        </r>
        <r>
          <rPr>
            <sz val="9"/>
            <color indexed="81"/>
            <rFont val="Tahoma"/>
            <family val="2"/>
          </rPr>
          <t xml:space="preserve">
https://www.nrel.gov/docs/fy19osti/71949.pdf</t>
        </r>
      </text>
    </comment>
    <comment ref="J331" authorId="0" shapeId="0" xr:uid="{3B222D50-F883-4425-BCE9-DCB7CD209D6D}">
      <text>
        <r>
          <rPr>
            <b/>
            <sz val="9"/>
            <color indexed="81"/>
            <rFont val="Tahoma"/>
            <family val="2"/>
          </rPr>
          <t>Smith Pittman:</t>
        </r>
        <r>
          <rPr>
            <sz val="9"/>
            <color indexed="81"/>
            <rFont val="Tahoma"/>
            <family val="2"/>
          </rPr>
          <t xml:space="preserve">
https://www.nrel.gov/docs/fy19osti/71949.pdf</t>
        </r>
      </text>
    </comment>
    <comment ref="J332" authorId="0" shapeId="0" xr:uid="{82251535-EBBC-44F0-9C63-D92B6C5F6E6A}">
      <text>
        <r>
          <rPr>
            <b/>
            <sz val="9"/>
            <color indexed="81"/>
            <rFont val="Tahoma"/>
            <family val="2"/>
          </rPr>
          <t>Smith Pittman:</t>
        </r>
        <r>
          <rPr>
            <sz val="9"/>
            <color indexed="81"/>
            <rFont val="Tahoma"/>
            <family val="2"/>
          </rPr>
          <t xml:space="preserve">
https://www.nrel.gov/docs/fy15osti/62402.pdf</t>
        </r>
      </text>
    </comment>
    <comment ref="J342" authorId="0" shapeId="0" xr:uid="{BE3F01F9-A81A-4CBB-9146-A628D9F10ED6}">
      <text>
        <r>
          <rPr>
            <b/>
            <sz val="9"/>
            <color indexed="81"/>
            <rFont val="Tahoma"/>
            <family val="2"/>
          </rPr>
          <t>Smith Pittman:</t>
        </r>
        <r>
          <rPr>
            <sz val="9"/>
            <color indexed="81"/>
            <rFont val="Tahoma"/>
            <family val="2"/>
          </rPr>
          <t xml:space="preserve">
https://www.nrel.gov/docs/fy19osti/71949.pdf</t>
        </r>
      </text>
    </comment>
    <comment ref="J343" authorId="0" shapeId="0" xr:uid="{243F0853-BD1B-48F2-9CD7-FAD062C1B409}">
      <text>
        <r>
          <rPr>
            <b/>
            <sz val="9"/>
            <color indexed="81"/>
            <rFont val="Tahoma"/>
            <family val="2"/>
          </rPr>
          <t>Smith Pittman:</t>
        </r>
        <r>
          <rPr>
            <sz val="9"/>
            <color indexed="81"/>
            <rFont val="Tahoma"/>
            <family val="2"/>
          </rPr>
          <t xml:space="preserve">
https://www.nrel.gov/docs/fy19osti/71949.pdf</t>
        </r>
      </text>
    </comment>
    <comment ref="J344" authorId="0" shapeId="0" xr:uid="{D73768CA-5F01-40D4-94F7-BFB9E20D6427}">
      <text>
        <r>
          <rPr>
            <b/>
            <sz val="9"/>
            <color indexed="81"/>
            <rFont val="Tahoma"/>
            <family val="2"/>
          </rPr>
          <t>Smith Pittman:</t>
        </r>
        <r>
          <rPr>
            <sz val="9"/>
            <color indexed="81"/>
            <rFont val="Tahoma"/>
            <family val="2"/>
          </rPr>
          <t xml:space="preserve">
https://www.nrel.gov/docs/fy19osti/71949.pdf</t>
        </r>
      </text>
    </comment>
    <comment ref="J345" authorId="0" shapeId="0" xr:uid="{4A819199-DA5E-4FF0-B2C0-117DC2134B1B}">
      <text>
        <r>
          <rPr>
            <b/>
            <sz val="9"/>
            <color indexed="81"/>
            <rFont val="Tahoma"/>
            <family val="2"/>
          </rPr>
          <t>Smith Pittman:</t>
        </r>
        <r>
          <rPr>
            <sz val="9"/>
            <color indexed="81"/>
            <rFont val="Tahoma"/>
            <family val="2"/>
          </rPr>
          <t xml:space="preserve">
https://www.nrel.gov/docs/fy19osti/71949.pdf</t>
        </r>
      </text>
    </comment>
    <comment ref="J346" authorId="0" shapeId="0" xr:uid="{1A2011E7-D836-4BEA-9C5D-97C6DF3D7F47}">
      <text>
        <r>
          <rPr>
            <b/>
            <sz val="9"/>
            <color indexed="81"/>
            <rFont val="Tahoma"/>
            <family val="2"/>
          </rPr>
          <t>Smith Pittman:</t>
        </r>
        <r>
          <rPr>
            <sz val="9"/>
            <color indexed="81"/>
            <rFont val="Tahoma"/>
            <family val="2"/>
          </rPr>
          <t xml:space="preserve">
https://www.nrel.gov/docs/fy19osti/71949.pdf</t>
        </r>
      </text>
    </comment>
    <comment ref="J360" authorId="0" shapeId="0" xr:uid="{72D1D46E-06BA-42A7-B555-02487B67E184}">
      <text>
        <r>
          <rPr>
            <b/>
            <sz val="9"/>
            <color indexed="81"/>
            <rFont val="Tahoma"/>
            <family val="2"/>
          </rPr>
          <t>Smith Pittman:</t>
        </r>
        <r>
          <rPr>
            <sz val="9"/>
            <color indexed="81"/>
            <rFont val="Tahoma"/>
            <family val="2"/>
          </rPr>
          <t xml:space="preserve">
https://www.nrel.gov/docs/fy19osti/71949.pdf</t>
        </r>
      </text>
    </comment>
    <comment ref="J361" authorId="0" shapeId="0" xr:uid="{2A32B34F-0091-4B4A-B1F2-DB242052295D}">
      <text>
        <r>
          <rPr>
            <b/>
            <sz val="9"/>
            <color indexed="81"/>
            <rFont val="Tahoma"/>
            <family val="2"/>
          </rPr>
          <t>Smith Pittman:</t>
        </r>
        <r>
          <rPr>
            <sz val="9"/>
            <color indexed="81"/>
            <rFont val="Tahoma"/>
            <family val="2"/>
          </rPr>
          <t xml:space="preserve">
https://www.nrel.gov/docs/fy19osti/71949.pdf</t>
        </r>
      </text>
    </comment>
    <comment ref="J362" authorId="0" shapeId="0" xr:uid="{EAE733DF-86CD-47CC-9AA3-040B2BD42F27}">
      <text>
        <r>
          <rPr>
            <b/>
            <sz val="9"/>
            <color indexed="81"/>
            <rFont val="Tahoma"/>
            <family val="2"/>
          </rPr>
          <t>Smith Pittman:</t>
        </r>
        <r>
          <rPr>
            <sz val="9"/>
            <color indexed="81"/>
            <rFont val="Tahoma"/>
            <family val="2"/>
          </rPr>
          <t xml:space="preserve">
https://www.nrel.gov/docs/fy19osti/71949.pdf</t>
        </r>
      </text>
    </comment>
    <comment ref="J363" authorId="0" shapeId="0" xr:uid="{5F3F0C11-7D64-4808-8AC5-33B569E431DF}">
      <text>
        <r>
          <rPr>
            <b/>
            <sz val="9"/>
            <color indexed="81"/>
            <rFont val="Tahoma"/>
            <family val="2"/>
          </rPr>
          <t>Smith Pittman:</t>
        </r>
        <r>
          <rPr>
            <sz val="9"/>
            <color indexed="81"/>
            <rFont val="Tahoma"/>
            <family val="2"/>
          </rPr>
          <t xml:space="preserve">
https://www.nrel.gov/docs/fy19osti/71949.pdf</t>
        </r>
      </text>
    </comment>
    <comment ref="J366" authorId="0" shapeId="0" xr:uid="{3AE58777-7A8D-459B-924A-D61179B41DCB}">
      <text>
        <r>
          <rPr>
            <b/>
            <sz val="9"/>
            <color indexed="81"/>
            <rFont val="Tahoma"/>
            <family val="2"/>
          </rPr>
          <t>Smith Pittman:</t>
        </r>
        <r>
          <rPr>
            <sz val="9"/>
            <color indexed="81"/>
            <rFont val="Tahoma"/>
            <family val="2"/>
          </rPr>
          <t xml:space="preserve">
https://www.nrel.gov/docs/fy19osti/71949.pdf</t>
        </r>
      </text>
    </comment>
    <comment ref="J367" authorId="0" shapeId="0" xr:uid="{3C1D8BA1-2EA5-4F53-A4FF-01EDEC7F701B}">
      <text>
        <r>
          <rPr>
            <b/>
            <sz val="9"/>
            <color indexed="81"/>
            <rFont val="Tahoma"/>
            <family val="2"/>
          </rPr>
          <t>Smith Pittman:</t>
        </r>
        <r>
          <rPr>
            <sz val="9"/>
            <color indexed="81"/>
            <rFont val="Tahoma"/>
            <family val="2"/>
          </rPr>
          <t xml:space="preserve">
https://www.nrel.gov/docs/fy19osti/71949.pdf</t>
        </r>
      </text>
    </comment>
    <comment ref="J370" authorId="0" shapeId="0" xr:uid="{55E50322-0D32-4F02-90A9-DC367E8DC90E}">
      <text>
        <r>
          <rPr>
            <b/>
            <sz val="9"/>
            <color indexed="81"/>
            <rFont val="Tahoma"/>
            <family val="2"/>
          </rPr>
          <t>Smith Pittman:</t>
        </r>
        <r>
          <rPr>
            <sz val="9"/>
            <color indexed="81"/>
            <rFont val="Tahoma"/>
            <family val="2"/>
          </rPr>
          <t xml:space="preserve">
https://www.nrel.gov/docs/fy19osti/71949.pdf</t>
        </r>
      </text>
    </comment>
    <comment ref="J371" authorId="0" shapeId="0" xr:uid="{E41F32D6-4E62-4615-9BDA-FCFC235D6F7E}">
      <text>
        <r>
          <rPr>
            <b/>
            <sz val="9"/>
            <color indexed="81"/>
            <rFont val="Tahoma"/>
            <family val="2"/>
          </rPr>
          <t>Smith Pittman:</t>
        </r>
        <r>
          <rPr>
            <sz val="9"/>
            <color indexed="81"/>
            <rFont val="Tahoma"/>
            <family val="2"/>
          </rPr>
          <t xml:space="preserve">
https://www.nrel.gov/docs/fy19osti/71949.pdf</t>
        </r>
      </text>
    </comment>
    <comment ref="J374" authorId="0" shapeId="0" xr:uid="{93390824-D683-485C-AEEB-45540E29F52A}">
      <text>
        <r>
          <rPr>
            <b/>
            <sz val="9"/>
            <color indexed="81"/>
            <rFont val="Tahoma"/>
            <family val="2"/>
          </rPr>
          <t>Smith Pittman:</t>
        </r>
        <r>
          <rPr>
            <sz val="9"/>
            <color indexed="81"/>
            <rFont val="Tahoma"/>
            <family val="2"/>
          </rPr>
          <t xml:space="preserve">
https://www.nrel.gov/docs/fy19osti/71949.pdf</t>
        </r>
      </text>
    </comment>
    <comment ref="J375" authorId="0" shapeId="0" xr:uid="{49D81A64-8959-4905-8C32-C8D393794F58}">
      <text>
        <r>
          <rPr>
            <b/>
            <sz val="9"/>
            <color indexed="81"/>
            <rFont val="Tahoma"/>
            <family val="2"/>
          </rPr>
          <t>Smith Pittman:</t>
        </r>
        <r>
          <rPr>
            <sz val="9"/>
            <color indexed="81"/>
            <rFont val="Tahoma"/>
            <family val="2"/>
          </rPr>
          <t xml:space="preserve">
https://www.nrel.gov/docs/fy19osti/71949.pdf</t>
        </r>
      </text>
    </comment>
    <comment ref="J378" authorId="0" shapeId="0" xr:uid="{ED39000E-5778-49C6-AFDF-6E60B43C5A14}">
      <text>
        <r>
          <rPr>
            <b/>
            <sz val="9"/>
            <color indexed="81"/>
            <rFont val="Tahoma"/>
            <family val="2"/>
          </rPr>
          <t>Smith Pittman:</t>
        </r>
        <r>
          <rPr>
            <sz val="9"/>
            <color indexed="81"/>
            <rFont val="Tahoma"/>
            <family val="2"/>
          </rPr>
          <t xml:space="preserve">
https://www.nrel.gov/docs/fy19osti/71949.pdf</t>
        </r>
      </text>
    </comment>
    <comment ref="J380" authorId="0" shapeId="0" xr:uid="{4B252702-F713-48AE-ABE7-34A3E43C7FB0}">
      <text>
        <r>
          <rPr>
            <b/>
            <sz val="9"/>
            <color indexed="81"/>
            <rFont val="Tahoma"/>
            <family val="2"/>
          </rPr>
          <t>Smith Pittman:</t>
        </r>
        <r>
          <rPr>
            <sz val="9"/>
            <color indexed="81"/>
            <rFont val="Tahoma"/>
            <family val="2"/>
          </rPr>
          <t xml:space="preserve">
https://www.nrel.gov/docs/fy19osti/71949.pdf</t>
        </r>
      </text>
    </comment>
    <comment ref="J390" authorId="0" shapeId="0" xr:uid="{54632ED6-BF36-40F3-8EFB-AE39C37B2DF9}">
      <text>
        <r>
          <rPr>
            <b/>
            <sz val="9"/>
            <color indexed="81"/>
            <rFont val="Tahoma"/>
            <family val="2"/>
          </rPr>
          <t>Smith Pittman:</t>
        </r>
        <r>
          <rPr>
            <sz val="9"/>
            <color indexed="81"/>
            <rFont val="Tahoma"/>
            <family val="2"/>
          </rPr>
          <t xml:space="preserve">
https://www.fuelcellstore.com/fuel-cell-components/membranes/anion-exchange-membrane/sustainion-e28-50-t-75000000?sort=p.price&amp;order=DESC</t>
        </r>
      </text>
    </comment>
    <comment ref="J391" authorId="0" shapeId="0" xr:uid="{05DE4AC5-4794-44CD-96C4-6BBC15CED162}">
      <text>
        <r>
          <rPr>
            <b/>
            <sz val="9"/>
            <color indexed="81"/>
            <rFont val="Tahoma"/>
            <family val="2"/>
          </rPr>
          <t>Smith Pittman:</t>
        </r>
        <r>
          <rPr>
            <sz val="9"/>
            <color indexed="81"/>
            <rFont val="Tahoma"/>
            <family val="2"/>
          </rPr>
          <t xml:space="preserve">
https://www.fuelcellstore.com/fuel-cell-components/membranes/cation-exchange-membrane/fumasep-fks-pet-130</t>
        </r>
      </text>
    </comment>
    <comment ref="J392" authorId="0" shapeId="0" xr:uid="{AA5858B7-E9AA-44BA-AFD2-7DCE372773C1}">
      <text>
        <r>
          <rPr>
            <b/>
            <sz val="9"/>
            <color indexed="81"/>
            <rFont val="Tahoma"/>
            <family val="2"/>
          </rPr>
          <t>Smith Pittman:</t>
        </r>
        <r>
          <rPr>
            <sz val="9"/>
            <color indexed="81"/>
            <rFont val="Tahoma"/>
            <family val="2"/>
          </rPr>
          <t xml:space="preserve">
https://www.fuelcellstore.com/fuel-cell-components/membranes/bipolar-membranes/fumasep-fbm</t>
        </r>
      </text>
    </comment>
    <comment ref="J393" authorId="0" shapeId="0" xr:uid="{C6961DAD-BC5C-4D83-97AF-E44D00006FB7}">
      <text>
        <r>
          <rPr>
            <b/>
            <sz val="9"/>
            <color indexed="81"/>
            <rFont val="Tahoma"/>
            <family val="2"/>
          </rPr>
          <t>Smith Pittman:</t>
        </r>
        <r>
          <rPr>
            <sz val="9"/>
            <color indexed="81"/>
            <rFont val="Tahoma"/>
            <family val="2"/>
          </rPr>
          <t xml:space="preserve">
https://www.fastmarkets.com/insights/chinas-graphite-electrode-prices-drop-further/
</t>
        </r>
      </text>
    </comment>
    <comment ref="J394" authorId="0" shapeId="0" xr:uid="{7503AAE3-4C3F-45D1-8919-79A2A3012037}">
      <text>
        <r>
          <rPr>
            <b/>
            <sz val="9"/>
            <color indexed="81"/>
            <rFont val="Tahoma"/>
            <family val="2"/>
          </rPr>
          <t>Smith Pittman:</t>
        </r>
        <r>
          <rPr>
            <sz val="9"/>
            <color indexed="81"/>
            <rFont val="Tahoma"/>
            <family val="2"/>
          </rPr>
          <t xml:space="preserve">
https://cannonwater.com/knight-equipment-pmp-8120b-peristaltic-metering-pump-115v-60-hz-fixed-speed-t-66e-squeeze-tube-30-psi-max-40-oz-min/</t>
        </r>
      </text>
    </comment>
    <comment ref="J408" authorId="0" shapeId="0" xr:uid="{F6AF94C3-A697-4334-8D09-E01C55F10A58}">
      <text>
        <r>
          <rPr>
            <b/>
            <sz val="9"/>
            <color indexed="81"/>
            <rFont val="Tahoma"/>
            <family val="2"/>
          </rPr>
          <t>Smith Pittman:</t>
        </r>
        <r>
          <rPr>
            <sz val="9"/>
            <color indexed="81"/>
            <rFont val="Tahoma"/>
            <family val="2"/>
          </rPr>
          <t xml:space="preserve">
https://www.nrel.gov/docs/fy19osti/71949.pdf</t>
        </r>
      </text>
    </comment>
    <comment ref="J409" authorId="0" shapeId="0" xr:uid="{504934FB-2754-4F44-837A-9748CFCEDB27}">
      <text>
        <r>
          <rPr>
            <b/>
            <sz val="9"/>
            <color indexed="81"/>
            <rFont val="Tahoma"/>
            <family val="2"/>
          </rPr>
          <t>Smith Pittman:</t>
        </r>
        <r>
          <rPr>
            <sz val="9"/>
            <color indexed="81"/>
            <rFont val="Tahoma"/>
            <family val="2"/>
          </rPr>
          <t xml:space="preserve">
https://www.nrel.gov/docs/fy19osti/71949.pdf</t>
        </r>
      </text>
    </comment>
    <comment ref="J410" authorId="0" shapeId="0" xr:uid="{71CB6802-87EC-4A21-B74E-8ABE3BEFB97A}">
      <text>
        <r>
          <rPr>
            <b/>
            <sz val="9"/>
            <color indexed="81"/>
            <rFont val="Tahoma"/>
            <family val="2"/>
          </rPr>
          <t>Smith Pittman:</t>
        </r>
        <r>
          <rPr>
            <sz val="9"/>
            <color indexed="81"/>
            <rFont val="Tahoma"/>
            <family val="2"/>
          </rPr>
          <t xml:space="preserve">
https://www.nrel.gov/docs/fy19osti/71949.pdf</t>
        </r>
      </text>
    </comment>
    <comment ref="H411" authorId="0" shapeId="0" xr:uid="{E2E96D8A-B2D3-4CC0-A9F6-FE03A4F53C35}">
      <text>
        <r>
          <rPr>
            <b/>
            <sz val="9"/>
            <color indexed="81"/>
            <rFont val="Tahoma"/>
            <family val="2"/>
          </rPr>
          <t>Smith Pittman:</t>
        </r>
        <r>
          <rPr>
            <sz val="9"/>
            <color indexed="81"/>
            <rFont val="Tahoma"/>
            <family val="2"/>
          </rPr>
          <t xml:space="preserve">
Total feed circulation rate
</t>
        </r>
      </text>
    </comment>
    <comment ref="J411" authorId="0" shapeId="0" xr:uid="{967CAD7C-064E-493C-8254-B9A18B92F97A}">
      <text>
        <r>
          <rPr>
            <b/>
            <sz val="9"/>
            <color indexed="81"/>
            <rFont val="Tahoma"/>
            <family val="2"/>
          </rPr>
          <t>Smith Pittman:</t>
        </r>
        <r>
          <rPr>
            <sz val="9"/>
            <color indexed="81"/>
            <rFont val="Tahoma"/>
            <family val="2"/>
          </rPr>
          <t xml:space="preserve">
https://www.nrel.gov/docs/fy11osti/51400.pdf</t>
        </r>
      </text>
    </comment>
    <comment ref="H412" authorId="0" shapeId="0" xr:uid="{43F8E43A-FADE-4F4C-9636-5371DEFDADCE}">
      <text>
        <r>
          <rPr>
            <b/>
            <sz val="9"/>
            <color indexed="81"/>
            <rFont val="Tahoma"/>
            <family val="2"/>
          </rPr>
          <t>Smith Pittman:</t>
        </r>
        <r>
          <rPr>
            <sz val="9"/>
            <color indexed="81"/>
            <rFont val="Tahoma"/>
            <family val="2"/>
          </rPr>
          <t xml:space="preserve">
Total feed circulation rate
</t>
        </r>
      </text>
    </comment>
    <comment ref="J412" authorId="0" shapeId="0" xr:uid="{50CEC92A-1B99-40EE-9A41-5641998E8AB8}">
      <text>
        <r>
          <rPr>
            <b/>
            <sz val="9"/>
            <color indexed="81"/>
            <rFont val="Tahoma"/>
            <family val="2"/>
          </rPr>
          <t>Smith Pittman:</t>
        </r>
        <r>
          <rPr>
            <sz val="9"/>
            <color indexed="81"/>
            <rFont val="Tahoma"/>
            <family val="2"/>
          </rPr>
          <t xml:space="preserve">
https://www.nrel.gov/docs/fy11osti/51400.pdf</t>
        </r>
      </text>
    </comment>
    <comment ref="H413" authorId="0" shapeId="0" xr:uid="{AF59FBAD-62BF-4EEF-85DA-A51428841989}">
      <text>
        <r>
          <rPr>
            <b/>
            <sz val="9"/>
            <color indexed="81"/>
            <rFont val="Tahoma"/>
            <family val="2"/>
          </rPr>
          <t>Smith Pittman:</t>
        </r>
        <r>
          <rPr>
            <sz val="9"/>
            <color indexed="81"/>
            <rFont val="Tahoma"/>
            <family val="2"/>
          </rPr>
          <t xml:space="preserve">
Total feed circulation rate
</t>
        </r>
      </text>
    </comment>
    <comment ref="J413" authorId="0" shapeId="0" xr:uid="{554E0DD4-319E-4BA7-A174-39938B448C89}">
      <text>
        <r>
          <rPr>
            <b/>
            <sz val="9"/>
            <color indexed="81"/>
            <rFont val="Tahoma"/>
            <family val="2"/>
          </rPr>
          <t>Smith Pittman:</t>
        </r>
        <r>
          <rPr>
            <sz val="9"/>
            <color indexed="81"/>
            <rFont val="Tahoma"/>
            <family val="2"/>
          </rPr>
          <t xml:space="preserve">
https://www.nrel.gov/docs/fy11osti/51400.pdf</t>
        </r>
      </text>
    </comment>
    <comment ref="J414" authorId="0" shapeId="0" xr:uid="{ADCDC7EA-FF8B-47FD-8D6F-7C1DFC790814}">
      <text>
        <r>
          <rPr>
            <b/>
            <sz val="9"/>
            <color indexed="81"/>
            <rFont val="Tahoma"/>
            <family val="2"/>
          </rPr>
          <t>Smith Pittman:</t>
        </r>
        <r>
          <rPr>
            <sz val="9"/>
            <color indexed="81"/>
            <rFont val="Tahoma"/>
            <family val="2"/>
          </rPr>
          <t xml:space="preserve">
https://www.nrel.gov/docs/fy11osti/51400.pdf</t>
        </r>
      </text>
    </comment>
    <comment ref="J415" authorId="0" shapeId="0" xr:uid="{2F42E977-28B6-4664-AF82-2B957D34FE8D}">
      <text>
        <r>
          <rPr>
            <b/>
            <sz val="9"/>
            <color indexed="81"/>
            <rFont val="Tahoma"/>
            <family val="2"/>
          </rPr>
          <t>Smith Pittman:</t>
        </r>
        <r>
          <rPr>
            <sz val="9"/>
            <color indexed="81"/>
            <rFont val="Tahoma"/>
            <family val="2"/>
          </rPr>
          <t xml:space="preserve">
https://www.nrel.gov/docs/fy11osti/51400.pdf</t>
        </r>
      </text>
    </comment>
    <comment ref="J416" authorId="0" shapeId="0" xr:uid="{BC0E34D2-62F2-4CCF-88E9-BEE396308280}">
      <text>
        <r>
          <rPr>
            <b/>
            <sz val="9"/>
            <color indexed="81"/>
            <rFont val="Tahoma"/>
            <family val="2"/>
          </rPr>
          <t>Smith Pittman:</t>
        </r>
        <r>
          <rPr>
            <sz val="9"/>
            <color indexed="81"/>
            <rFont val="Tahoma"/>
            <family val="2"/>
          </rPr>
          <t xml:space="preserve">
https://www.nrel.gov/docs/fy19osti/71949.pdf</t>
        </r>
      </text>
    </comment>
    <comment ref="J426" authorId="0" shapeId="0" xr:uid="{2A74BD19-6E73-4F74-886D-7EE466CA1EE7}">
      <text>
        <r>
          <rPr>
            <b/>
            <sz val="9"/>
            <color indexed="81"/>
            <rFont val="Tahoma"/>
            <family val="2"/>
          </rPr>
          <t>Smith Pittman:</t>
        </r>
        <r>
          <rPr>
            <sz val="9"/>
            <color indexed="81"/>
            <rFont val="Tahoma"/>
            <family val="2"/>
          </rPr>
          <t xml:space="preserve">
https://www.nrel.gov/docs/fy19osti/71949.pdf</t>
        </r>
      </text>
    </comment>
    <comment ref="J427" authorId="0" shapeId="0" xr:uid="{D02E1093-0B7B-4CFC-B63D-22A81CC07B8A}">
      <text>
        <r>
          <rPr>
            <b/>
            <sz val="9"/>
            <color indexed="81"/>
            <rFont val="Tahoma"/>
            <family val="2"/>
          </rPr>
          <t>Smith Pittman:</t>
        </r>
        <r>
          <rPr>
            <sz val="9"/>
            <color indexed="81"/>
            <rFont val="Tahoma"/>
            <family val="2"/>
          </rPr>
          <t xml:space="preserve">
https://www.nrel.gov/docs/fy19osti/71949.pdf</t>
        </r>
      </text>
    </comment>
    <comment ref="J429" authorId="0" shapeId="0" xr:uid="{8A20DCCA-C35A-4DF7-9007-EA153A6DB6E8}">
      <text>
        <r>
          <rPr>
            <b/>
            <sz val="9"/>
            <color indexed="81"/>
            <rFont val="Tahoma"/>
            <family val="2"/>
          </rPr>
          <t>Smith Pittman:</t>
        </r>
        <r>
          <rPr>
            <sz val="9"/>
            <color indexed="81"/>
            <rFont val="Tahoma"/>
            <family val="2"/>
          </rPr>
          <t xml:space="preserve">
https://www.nrel.gov/docs/fy19osti/71949.pdf</t>
        </r>
      </text>
    </comment>
    <comment ref="J430" authorId="0" shapeId="0" xr:uid="{DF0273D1-BE7A-4340-85B1-DFB39F075192}">
      <text>
        <r>
          <rPr>
            <b/>
            <sz val="9"/>
            <color indexed="81"/>
            <rFont val="Tahoma"/>
            <family val="2"/>
          </rPr>
          <t>Smith Pittman:</t>
        </r>
        <r>
          <rPr>
            <sz val="9"/>
            <color indexed="81"/>
            <rFont val="Tahoma"/>
            <family val="2"/>
          </rPr>
          <t xml:space="preserve">
https://www.nrel.gov/docs/fy19osti/71949.pdf</t>
        </r>
      </text>
    </comment>
    <comment ref="J431" authorId="0" shapeId="0" xr:uid="{4A8285E0-0DB7-4C7E-B95D-922114C70752}">
      <text>
        <r>
          <rPr>
            <b/>
            <sz val="9"/>
            <color indexed="81"/>
            <rFont val="Tahoma"/>
            <family val="2"/>
          </rPr>
          <t>Smith Pittman:</t>
        </r>
        <r>
          <rPr>
            <sz val="9"/>
            <color indexed="81"/>
            <rFont val="Tahoma"/>
            <family val="2"/>
          </rPr>
          <t xml:space="preserve">
https://www.nrel.gov/docs/fy19osti/71949.pdf</t>
        </r>
      </text>
    </comment>
    <comment ref="J432" authorId="0" shapeId="0" xr:uid="{28F2ACBF-0002-48BB-A8A1-43FA15953DDC}">
      <text>
        <r>
          <rPr>
            <b/>
            <sz val="9"/>
            <color indexed="81"/>
            <rFont val="Tahoma"/>
            <family val="2"/>
          </rPr>
          <t>Smith Pittman:</t>
        </r>
        <r>
          <rPr>
            <sz val="9"/>
            <color indexed="81"/>
            <rFont val="Tahoma"/>
            <family val="2"/>
          </rPr>
          <t xml:space="preserve">
https://www.nrel.gov/docs/fy19osti/71949.pdf</t>
        </r>
      </text>
    </comment>
    <comment ref="J433" authorId="0" shapeId="0" xr:uid="{5496F954-6EAA-417F-9F1C-E1755FEA7E33}">
      <text>
        <r>
          <rPr>
            <b/>
            <sz val="9"/>
            <color indexed="81"/>
            <rFont val="Tahoma"/>
            <family val="2"/>
          </rPr>
          <t>Smith Pittman:</t>
        </r>
        <r>
          <rPr>
            <sz val="9"/>
            <color indexed="81"/>
            <rFont val="Tahoma"/>
            <family val="2"/>
          </rPr>
          <t xml:space="preserve">
https://www.nrel.gov/docs/fy19osti/71949.pdf</t>
        </r>
      </text>
    </comment>
    <comment ref="J434" authorId="0" shapeId="0" xr:uid="{09D8CB28-2E82-49EF-81D9-739BEFE9490B}">
      <text>
        <r>
          <rPr>
            <b/>
            <sz val="9"/>
            <color indexed="81"/>
            <rFont val="Tahoma"/>
            <family val="2"/>
          </rPr>
          <t>Smith Pittman:</t>
        </r>
        <r>
          <rPr>
            <sz val="9"/>
            <color indexed="81"/>
            <rFont val="Tahoma"/>
            <family val="2"/>
          </rPr>
          <t xml:space="preserve">
https://www.nrel.gov/docs/fy19osti/71949.pdf</t>
        </r>
      </text>
    </comment>
    <comment ref="J435" authorId="0" shapeId="0" xr:uid="{F092D403-21FB-4C8E-8B46-A3C9DC450E5F}">
      <text>
        <r>
          <rPr>
            <b/>
            <sz val="9"/>
            <color indexed="81"/>
            <rFont val="Tahoma"/>
            <family val="2"/>
          </rPr>
          <t>Smith Pittman:</t>
        </r>
        <r>
          <rPr>
            <sz val="9"/>
            <color indexed="81"/>
            <rFont val="Tahoma"/>
            <family val="2"/>
          </rPr>
          <t xml:space="preserve">
https://www.nrel.gov/docs/fy19osti/71949.pdf</t>
        </r>
      </text>
    </comment>
    <comment ref="J436" authorId="0" shapeId="0" xr:uid="{7BE2BA18-9F52-4B1B-AF72-C15743934F59}">
      <text>
        <r>
          <rPr>
            <b/>
            <sz val="9"/>
            <color indexed="81"/>
            <rFont val="Tahoma"/>
            <family val="2"/>
          </rPr>
          <t>Smith Pittman:</t>
        </r>
        <r>
          <rPr>
            <sz val="9"/>
            <color indexed="81"/>
            <rFont val="Tahoma"/>
            <family val="2"/>
          </rPr>
          <t xml:space="preserve">
https://www.nrel.gov/docs/fy19osti/71949.pdf</t>
        </r>
      </text>
    </comment>
    <comment ref="J446" authorId="0" shapeId="0" xr:uid="{9D2667B9-A728-4FBC-A2B2-615E107D0314}">
      <text>
        <r>
          <rPr>
            <b/>
            <sz val="9"/>
            <color indexed="81"/>
            <rFont val="Tahoma"/>
            <family val="2"/>
          </rPr>
          <t>Smith Pittman:</t>
        </r>
        <r>
          <rPr>
            <sz val="9"/>
            <color indexed="81"/>
            <rFont val="Tahoma"/>
            <family val="2"/>
          </rPr>
          <t xml:space="preserve">
https://www.nrel.gov/docs/fy19osti/71949.pdf</t>
        </r>
      </text>
    </comment>
    <comment ref="J447" authorId="0" shapeId="0" xr:uid="{18F4520D-1C97-416B-BF63-BA0E9B2F6DF3}">
      <text>
        <r>
          <rPr>
            <b/>
            <sz val="9"/>
            <color indexed="81"/>
            <rFont val="Tahoma"/>
            <family val="2"/>
          </rPr>
          <t>Smith Pittman:</t>
        </r>
        <r>
          <rPr>
            <sz val="9"/>
            <color indexed="81"/>
            <rFont val="Tahoma"/>
            <family val="2"/>
          </rPr>
          <t xml:space="preserve">
https://www.nrel.gov/docs/fy19osti/71949.pdf</t>
        </r>
      </text>
    </comment>
    <comment ref="J448" authorId="0" shapeId="0" xr:uid="{40A52EFA-FAAB-4D22-8339-8925E6AC739B}">
      <text>
        <r>
          <rPr>
            <b/>
            <sz val="9"/>
            <color indexed="81"/>
            <rFont val="Tahoma"/>
            <family val="2"/>
          </rPr>
          <t>Smith Pittman:</t>
        </r>
        <r>
          <rPr>
            <sz val="9"/>
            <color indexed="81"/>
            <rFont val="Tahoma"/>
            <family val="2"/>
          </rPr>
          <t xml:space="preserve">
https://www.nrel.gov/docs/fy02osti/32438.pdf</t>
        </r>
      </text>
    </comment>
    <comment ref="J449" authorId="0" shapeId="0" xr:uid="{48E0ECCC-85B4-4CC0-A0EB-F67915F21DAF}">
      <text>
        <r>
          <rPr>
            <b/>
            <sz val="9"/>
            <color indexed="81"/>
            <rFont val="Tahoma"/>
            <family val="2"/>
          </rPr>
          <t>Smith Pittman:</t>
        </r>
        <r>
          <rPr>
            <sz val="9"/>
            <color indexed="81"/>
            <rFont val="Tahoma"/>
            <family val="2"/>
          </rPr>
          <t xml:space="preserve">
https://www.nrel.gov/docs/fy02osti/32438.pdf</t>
        </r>
      </text>
    </comment>
    <comment ref="J450" authorId="0" shapeId="0" xr:uid="{8650196F-2054-437C-AE8F-594CE629C4CB}">
      <text>
        <r>
          <rPr>
            <b/>
            <sz val="9"/>
            <color indexed="81"/>
            <rFont val="Tahoma"/>
            <family val="2"/>
          </rPr>
          <t>Smith Pittman:</t>
        </r>
        <r>
          <rPr>
            <sz val="9"/>
            <color indexed="81"/>
            <rFont val="Tahoma"/>
            <family val="2"/>
          </rPr>
          <t xml:space="preserve">
Shanking Chemical Equipment Machinery Glass Lined Chemical Reactor 220-10000L
https://chinareactortank.en.made-in-china.com/product/yndUeuYAqPrJ/China-Shanking-Chemical-Equipment-Machinery-Glass-Lined-Chemical-Reactor-220-10000L.html</t>
        </r>
      </text>
    </comment>
    <comment ref="J451" authorId="0" shapeId="0" xr:uid="{CB5346AB-9CE0-48D8-8C07-87040844B3B1}">
      <text>
        <r>
          <rPr>
            <b/>
            <sz val="9"/>
            <color indexed="81"/>
            <rFont val="Tahoma"/>
            <family val="2"/>
          </rPr>
          <t>Smith Pittman:</t>
        </r>
        <r>
          <rPr>
            <sz val="9"/>
            <color indexed="81"/>
            <rFont val="Tahoma"/>
            <family val="2"/>
          </rPr>
          <t xml:space="preserve">
https://www.nrel.gov/docs/fy19osti/71949.pdf</t>
        </r>
      </text>
    </comment>
    <comment ref="J452" authorId="0" shapeId="0" xr:uid="{502C50D5-D308-43F4-8684-341E747B20D3}">
      <text>
        <r>
          <rPr>
            <b/>
            <sz val="9"/>
            <color indexed="81"/>
            <rFont val="Tahoma"/>
            <family val="2"/>
          </rPr>
          <t>Smith Pittman:</t>
        </r>
        <r>
          <rPr>
            <sz val="9"/>
            <color indexed="81"/>
            <rFont val="Tahoma"/>
            <family val="2"/>
          </rPr>
          <t xml:space="preserve">
https://www.nrel.gov/docs/fy19osti/71949.pdf</t>
        </r>
      </text>
    </comment>
    <comment ref="J453" authorId="0" shapeId="0" xr:uid="{8991B20E-F87A-4F3C-ACC6-8C3844D9D55F}">
      <text>
        <r>
          <rPr>
            <b/>
            <sz val="9"/>
            <color indexed="81"/>
            <rFont val="Tahoma"/>
            <family val="2"/>
          </rPr>
          <t>Smith Pittman:</t>
        </r>
        <r>
          <rPr>
            <sz val="9"/>
            <color indexed="81"/>
            <rFont val="Tahoma"/>
            <family val="2"/>
          </rPr>
          <t xml:space="preserve">
https://www.nrel.gov/docs/fy15osti/62402.pdf</t>
        </r>
      </text>
    </comment>
    <comment ref="J454" authorId="0" shapeId="0" xr:uid="{57727558-C179-4991-854A-6D8FD339831F}">
      <text>
        <r>
          <rPr>
            <b/>
            <sz val="9"/>
            <color indexed="81"/>
            <rFont val="Tahoma"/>
            <family val="2"/>
          </rPr>
          <t>Smith Pittman:</t>
        </r>
        <r>
          <rPr>
            <sz val="9"/>
            <color indexed="81"/>
            <rFont val="Tahoma"/>
            <family val="2"/>
          </rPr>
          <t xml:space="preserve">
https://www.nrel.gov/docs/fy15osti/62402.pdf</t>
        </r>
      </text>
    </comment>
    <comment ref="J465" authorId="0" shapeId="0" xr:uid="{5A22A7AF-8775-425A-A391-7FC3EDC716C3}">
      <text>
        <r>
          <rPr>
            <b/>
            <sz val="9"/>
            <color indexed="81"/>
            <rFont val="Tahoma"/>
            <family val="2"/>
          </rPr>
          <t>Smith Pittman:</t>
        </r>
        <r>
          <rPr>
            <sz val="9"/>
            <color indexed="81"/>
            <rFont val="Tahoma"/>
            <family val="2"/>
          </rPr>
          <t xml:space="preserve">
https://www.nrel.gov/docs/fy11osti/51400.pdf</t>
        </r>
      </text>
    </comment>
    <comment ref="J466" authorId="0" shapeId="0" xr:uid="{F48B05B8-1699-4B67-8CFF-F49D65A31D0F}">
      <text>
        <r>
          <rPr>
            <b/>
            <sz val="9"/>
            <color indexed="81"/>
            <rFont val="Tahoma"/>
            <family val="2"/>
          </rPr>
          <t>Smith Pittman:</t>
        </r>
        <r>
          <rPr>
            <sz val="9"/>
            <color indexed="81"/>
            <rFont val="Tahoma"/>
            <family val="2"/>
          </rPr>
          <t xml:space="preserve">
https://www.nrel.gov/docs/fy19osti/71949.pdf</t>
        </r>
      </text>
    </comment>
    <comment ref="J467" authorId="0" shapeId="0" xr:uid="{496CD804-E74C-4579-967E-858CCE8CF188}">
      <text>
        <r>
          <rPr>
            <b/>
            <sz val="9"/>
            <color indexed="81"/>
            <rFont val="Tahoma"/>
            <family val="2"/>
          </rPr>
          <t>Smith Pittman:</t>
        </r>
        <r>
          <rPr>
            <sz val="9"/>
            <color indexed="81"/>
            <rFont val="Tahoma"/>
            <family val="2"/>
          </rPr>
          <t xml:space="preserve">
https://www.nrel.gov/docs/fy11osti/51400.pdf</t>
        </r>
      </text>
    </comment>
    <comment ref="J468" authorId="0" shapeId="0" xr:uid="{7367B41D-3BB0-41FD-9ADD-7B1FBA5A81FB}">
      <text>
        <r>
          <rPr>
            <b/>
            <sz val="9"/>
            <color indexed="81"/>
            <rFont val="Tahoma"/>
            <family val="2"/>
          </rPr>
          <t>Smith Pittman:</t>
        </r>
        <r>
          <rPr>
            <sz val="9"/>
            <color indexed="81"/>
            <rFont val="Tahoma"/>
            <family val="2"/>
          </rPr>
          <t xml:space="preserve">
https://www.nrel.gov/docs/fy11osti/51400.pdf</t>
        </r>
      </text>
    </comment>
    <comment ref="J469" authorId="0" shapeId="0" xr:uid="{6F5B0C63-C073-49D3-AF79-1D2AB916814E}">
      <text>
        <r>
          <rPr>
            <b/>
            <sz val="9"/>
            <color indexed="81"/>
            <rFont val="Tahoma"/>
            <family val="2"/>
          </rPr>
          <t>Smith Pittman:</t>
        </r>
        <r>
          <rPr>
            <sz val="9"/>
            <color indexed="81"/>
            <rFont val="Tahoma"/>
            <family val="2"/>
          </rPr>
          <t xml:space="preserve">
https://www.nrel.gov/docs/fy11osti/51400.pdf</t>
        </r>
      </text>
    </comment>
    <comment ref="J470" authorId="0" shapeId="0" xr:uid="{71085F4E-B9AA-479C-AEAA-35CFA1E51A23}">
      <text>
        <r>
          <rPr>
            <b/>
            <sz val="9"/>
            <color indexed="81"/>
            <rFont val="Tahoma"/>
            <family val="2"/>
          </rPr>
          <t>Smith Pittman:</t>
        </r>
        <r>
          <rPr>
            <sz val="9"/>
            <color indexed="81"/>
            <rFont val="Tahoma"/>
            <family val="2"/>
          </rPr>
          <t xml:space="preserve">
https://www.nrel.gov/docs/fy11osti/51400.pdf</t>
        </r>
      </text>
    </comment>
    <comment ref="J471" authorId="0" shapeId="0" xr:uid="{86067337-265A-485F-9373-099FA9E1B305}">
      <text>
        <r>
          <rPr>
            <b/>
            <sz val="9"/>
            <color indexed="81"/>
            <rFont val="Tahoma"/>
            <family val="2"/>
          </rPr>
          <t>Smith Pittman:</t>
        </r>
        <r>
          <rPr>
            <sz val="9"/>
            <color indexed="81"/>
            <rFont val="Tahoma"/>
            <family val="2"/>
          </rPr>
          <t xml:space="preserve">
https://www.nrel.gov/docs/fy11osti/51400.pdf</t>
        </r>
      </text>
    </comment>
    <comment ref="J472" authorId="0" shapeId="0" xr:uid="{F51C0C6D-ED0E-40DD-A623-70875ACDAA18}">
      <text>
        <r>
          <rPr>
            <b/>
            <sz val="9"/>
            <color indexed="81"/>
            <rFont val="Tahoma"/>
            <family val="2"/>
          </rPr>
          <t>Smith Pittman:</t>
        </r>
        <r>
          <rPr>
            <sz val="9"/>
            <color indexed="81"/>
            <rFont val="Tahoma"/>
            <family val="2"/>
          </rPr>
          <t xml:space="preserve">
https://www.nrel.gov/docs/fy11osti/51400.pdf</t>
        </r>
      </text>
    </comment>
    <comment ref="J473" authorId="0" shapeId="0" xr:uid="{0C9CC967-D348-4674-BF08-9FDA9EAFE2DE}">
      <text>
        <r>
          <rPr>
            <b/>
            <sz val="9"/>
            <color indexed="81"/>
            <rFont val="Tahoma"/>
            <family val="2"/>
          </rPr>
          <t>Smith Pittman:</t>
        </r>
        <r>
          <rPr>
            <sz val="9"/>
            <color indexed="81"/>
            <rFont val="Tahoma"/>
            <family val="2"/>
          </rPr>
          <t xml:space="preserve">
https://www.nrel.gov/docs/fy11osti/51400.pdf</t>
        </r>
      </text>
    </comment>
    <comment ref="J474" authorId="0" shapeId="0" xr:uid="{ED909BAB-4EDE-4E0A-A0D6-300845E77691}">
      <text>
        <r>
          <rPr>
            <b/>
            <sz val="9"/>
            <color indexed="81"/>
            <rFont val="Tahoma"/>
            <family val="2"/>
          </rPr>
          <t>Smith Pittman:</t>
        </r>
        <r>
          <rPr>
            <sz val="9"/>
            <color indexed="81"/>
            <rFont val="Tahoma"/>
            <family val="2"/>
          </rPr>
          <t xml:space="preserve">
https://www.nrel.gov/docs/fy11osti/51400.pdf</t>
        </r>
      </text>
    </comment>
    <comment ref="J475" authorId="0" shapeId="0" xr:uid="{D7EB0EC9-B370-4AB9-BA32-CAB6B85A30B9}">
      <text>
        <r>
          <rPr>
            <b/>
            <sz val="9"/>
            <color indexed="81"/>
            <rFont val="Tahoma"/>
            <family val="2"/>
          </rPr>
          <t>Smith Pittman:</t>
        </r>
        <r>
          <rPr>
            <sz val="9"/>
            <color indexed="81"/>
            <rFont val="Tahoma"/>
            <family val="2"/>
          </rPr>
          <t xml:space="preserve">
https://www.nrel.gov/docs/fy19osti/71949.pdf</t>
        </r>
      </text>
    </comment>
    <comment ref="J476" authorId="0" shapeId="0" xr:uid="{72813FFF-9B1B-4FEE-9C03-F5BCC462442E}">
      <text>
        <r>
          <rPr>
            <b/>
            <sz val="9"/>
            <color indexed="81"/>
            <rFont val="Tahoma"/>
            <family val="2"/>
          </rPr>
          <t>Smith Pittman:</t>
        </r>
        <r>
          <rPr>
            <sz val="9"/>
            <color indexed="81"/>
            <rFont val="Tahoma"/>
            <family val="2"/>
          </rPr>
          <t xml:space="preserve">
https://www.nrel.gov/docs/fy19osti/71949.pdf</t>
        </r>
      </text>
    </comment>
    <comment ref="J477" authorId="0" shapeId="0" xr:uid="{2A73777C-CE77-43F4-8F1E-7500F2948775}">
      <text>
        <r>
          <rPr>
            <b/>
            <sz val="9"/>
            <color indexed="81"/>
            <rFont val="Tahoma"/>
            <family val="2"/>
          </rPr>
          <t>Smith Pittman:</t>
        </r>
        <r>
          <rPr>
            <sz val="9"/>
            <color indexed="81"/>
            <rFont val="Tahoma"/>
            <family val="2"/>
          </rPr>
          <t xml:space="preserve">
https://www.nrel.gov/docs/fy02osti/32438.pdf</t>
        </r>
      </text>
    </comment>
    <comment ref="J492" authorId="0" shapeId="0" xr:uid="{3E25DD5B-252E-4F78-B878-5B980EA01E53}">
      <text>
        <r>
          <rPr>
            <b/>
            <sz val="9"/>
            <color indexed="81"/>
            <rFont val="Tahoma"/>
            <family val="2"/>
          </rPr>
          <t>Smith Pittman:</t>
        </r>
        <r>
          <rPr>
            <sz val="9"/>
            <color indexed="81"/>
            <rFont val="Tahoma"/>
            <family val="2"/>
          </rPr>
          <t xml:space="preserve">
https://www.nrel.gov/docs/fy11osti/51400.pdf</t>
        </r>
      </text>
    </comment>
    <comment ref="J493" authorId="0" shapeId="0" xr:uid="{ADD52BD6-49DB-46FA-B5AA-E8BFC7E55A49}">
      <text>
        <r>
          <rPr>
            <b/>
            <sz val="9"/>
            <color indexed="81"/>
            <rFont val="Tahoma"/>
            <family val="2"/>
          </rPr>
          <t>Smith Pittman:</t>
        </r>
        <r>
          <rPr>
            <sz val="9"/>
            <color indexed="81"/>
            <rFont val="Tahoma"/>
            <family val="2"/>
          </rPr>
          <t xml:space="preserve">
https://www.nrel.gov/docs/fy11osti/51400.pdf</t>
        </r>
      </text>
    </comment>
    <comment ref="J494" authorId="0" shapeId="0" xr:uid="{17A46A4F-B033-48C7-BC32-FA0406FE6766}">
      <text>
        <r>
          <rPr>
            <b/>
            <sz val="9"/>
            <color indexed="81"/>
            <rFont val="Tahoma"/>
            <family val="2"/>
          </rPr>
          <t>Smith Pittman:</t>
        </r>
        <r>
          <rPr>
            <sz val="9"/>
            <color indexed="81"/>
            <rFont val="Tahoma"/>
            <family val="2"/>
          </rPr>
          <t xml:space="preserve">
https://www.nrel.gov/docs/fy11osti/51400.pdf</t>
        </r>
      </text>
    </comment>
    <comment ref="J495" authorId="0" shapeId="0" xr:uid="{EA1A9F8D-C222-4064-BA95-10D21E4FF518}">
      <text>
        <r>
          <rPr>
            <b/>
            <sz val="9"/>
            <color indexed="81"/>
            <rFont val="Tahoma"/>
            <family val="2"/>
          </rPr>
          <t>Smith Pittman:</t>
        </r>
        <r>
          <rPr>
            <sz val="9"/>
            <color indexed="81"/>
            <rFont val="Tahoma"/>
            <family val="2"/>
          </rPr>
          <t xml:space="preserve">
https://www.nrel.gov/docs/fy11osti/51400.pdf</t>
        </r>
      </text>
    </comment>
    <comment ref="J496" authorId="0" shapeId="0" xr:uid="{AE01941D-5F81-4595-8E55-02069D0DE78D}">
      <text>
        <r>
          <rPr>
            <b/>
            <sz val="9"/>
            <color indexed="81"/>
            <rFont val="Tahoma"/>
            <family val="2"/>
          </rPr>
          <t>Smith Pittman:</t>
        </r>
        <r>
          <rPr>
            <sz val="9"/>
            <color indexed="81"/>
            <rFont val="Tahoma"/>
            <family val="2"/>
          </rPr>
          <t xml:space="preserve">
https://www.nrel.gov/docs/fy11osti/51400.pdf</t>
        </r>
      </text>
    </comment>
    <comment ref="J498" authorId="0" shapeId="0" xr:uid="{13C221BE-33B4-4E6A-99AC-A399683D1315}">
      <text>
        <r>
          <rPr>
            <b/>
            <sz val="9"/>
            <color indexed="81"/>
            <rFont val="Tahoma"/>
            <family val="2"/>
          </rPr>
          <t>Smith Pittman:</t>
        </r>
        <r>
          <rPr>
            <sz val="9"/>
            <color indexed="81"/>
            <rFont val="Tahoma"/>
            <family val="2"/>
          </rPr>
          <t xml:space="preserve">
https://www.nrel.gov/docs/fy11osti/51400.pdf</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Smith Pittman</author>
  </authors>
  <commentList>
    <comment ref="G10" authorId="0" shapeId="0" xr:uid="{11BDE2F3-F7E0-44F8-A224-0D766F0E3EC9}">
      <text>
        <r>
          <rPr>
            <b/>
            <sz val="9"/>
            <color indexed="81"/>
            <rFont val="Tahoma"/>
            <family val="2"/>
          </rPr>
          <t>Smith Pittman:</t>
        </r>
        <r>
          <rPr>
            <sz val="9"/>
            <color indexed="81"/>
            <rFont val="Tahoma"/>
            <family val="2"/>
          </rPr>
          <t xml:space="preserve">
https://www.eia.gov/petroleum/gasdiesel/</t>
        </r>
      </text>
    </comment>
    <comment ref="G11" authorId="0" shapeId="0" xr:uid="{F9C7BFFA-402E-4B6B-B222-B03A5153FA39}">
      <text>
        <r>
          <rPr>
            <b/>
            <sz val="9"/>
            <color indexed="81"/>
            <rFont val="Tahoma"/>
            <family val="2"/>
          </rPr>
          <t>Smith Pittman:</t>
        </r>
        <r>
          <rPr>
            <sz val="9"/>
            <color indexed="81"/>
            <rFont val="Tahoma"/>
            <family val="2"/>
          </rPr>
          <t xml:space="preserve">
https://www.eia.gov/petroleum/gasdiesel/</t>
        </r>
      </text>
    </comment>
    <comment ref="G12" authorId="0" shapeId="0" xr:uid="{BE433D65-6458-4D7B-A0F7-D41AFCB58DC8}">
      <text>
        <r>
          <rPr>
            <b/>
            <sz val="9"/>
            <color indexed="81"/>
            <rFont val="Tahoma"/>
            <family val="2"/>
          </rPr>
          <t>Smith Pittman:</t>
        </r>
        <r>
          <rPr>
            <sz val="9"/>
            <color indexed="81"/>
            <rFont val="Tahoma"/>
            <family val="2"/>
          </rPr>
          <t xml:space="preserve">
https://www.bls.gov/regions/midwest/data/averageenergyprices_selectedareas_table.htm</t>
        </r>
      </text>
    </comment>
    <comment ref="G30" authorId="0" shapeId="0" xr:uid="{A8EC2C86-C79D-48C2-A1D2-4EE7950CEBAC}">
      <text>
        <r>
          <rPr>
            <b/>
            <sz val="9"/>
            <color indexed="81"/>
            <rFont val="Tahoma"/>
            <family val="2"/>
          </rPr>
          <t>Smith Pittman:</t>
        </r>
        <r>
          <rPr>
            <sz val="9"/>
            <color indexed="81"/>
            <rFont val="Tahoma"/>
            <family val="2"/>
          </rPr>
          <t xml:space="preserve">
https://www.bls.gov/regions/midwest/data/averageenergyprices_selectedareas_table.htm</t>
        </r>
      </text>
    </comment>
    <comment ref="G31" authorId="0" shapeId="0" xr:uid="{C79ECA40-6303-491E-8703-72E387951122}">
      <text>
        <r>
          <rPr>
            <b/>
            <sz val="9"/>
            <color indexed="81"/>
            <rFont val="Tahoma"/>
            <family val="2"/>
          </rPr>
          <t>Smith Pittman:</t>
        </r>
        <r>
          <rPr>
            <sz val="9"/>
            <color indexed="81"/>
            <rFont val="Tahoma"/>
            <family val="2"/>
          </rPr>
          <t xml:space="preserve">
https://www.bls.gov/regions/midwest/data/averageenergyprices_selectedareas_table.htm</t>
        </r>
      </text>
    </comment>
    <comment ref="G32" authorId="0" shapeId="0" xr:uid="{8AD58467-94C1-4857-8BDB-EFFD762442F0}">
      <text>
        <r>
          <rPr>
            <b/>
            <sz val="9"/>
            <color indexed="81"/>
            <rFont val="Tahoma"/>
            <family val="2"/>
          </rPr>
          <t>Smith Pittman:</t>
        </r>
        <r>
          <rPr>
            <sz val="9"/>
            <color indexed="81"/>
            <rFont val="Tahoma"/>
            <family val="2"/>
          </rPr>
          <t xml:space="preserve">
https://www.bls.gov/regions/midwest/data/averageenergyprices_selectedareas_table.htm</t>
        </r>
      </text>
    </comment>
    <comment ref="G34" authorId="0" shapeId="0" xr:uid="{A593A838-6790-4D46-ACCB-AB9F43F304FB}">
      <text>
        <r>
          <rPr>
            <b/>
            <sz val="9"/>
            <color indexed="81"/>
            <rFont val="Tahoma"/>
            <family val="2"/>
          </rPr>
          <t>Smith Pittman:</t>
        </r>
        <r>
          <rPr>
            <sz val="9"/>
            <color indexed="81"/>
            <rFont val="Tahoma"/>
            <family val="2"/>
          </rPr>
          <t xml:space="preserve">
https://www.procurementresource.com/resource-center/acetic-acid-price-trends</t>
        </r>
      </text>
    </comment>
    <comment ref="G35" authorId="0" shapeId="0" xr:uid="{EF21F17E-64E0-4E50-B408-E6AA184E33D8}">
      <text>
        <r>
          <rPr>
            <b/>
            <sz val="9"/>
            <color indexed="81"/>
            <rFont val="Tahoma"/>
            <family val="2"/>
          </rPr>
          <t>Smith Pittman:</t>
        </r>
        <r>
          <rPr>
            <sz val="9"/>
            <color indexed="81"/>
            <rFont val="Tahoma"/>
            <family val="2"/>
          </rPr>
          <t xml:space="preserve">
https://www.fishersci.com/shop/products/fisher-bioreagents-yeast-extract-granulated-3/p-4245067</t>
        </r>
      </text>
    </comment>
    <comment ref="G36" authorId="0" shapeId="0" xr:uid="{A6096D6C-6947-4937-AC4D-4DDA956BA8C8}">
      <text>
        <r>
          <rPr>
            <b/>
            <sz val="9"/>
            <color indexed="81"/>
            <rFont val="Tahoma"/>
            <family val="2"/>
          </rPr>
          <t>Smith Pittman:</t>
        </r>
        <r>
          <rPr>
            <sz val="9"/>
            <color indexed="81"/>
            <rFont val="Tahoma"/>
            <family val="2"/>
          </rPr>
          <t xml:space="preserve">
https://www.carlroth.com/com/en/potassium-salts-k/potassium-dihydrogen-phosphate/p/3904.5</t>
        </r>
      </text>
    </comment>
    <comment ref="G37" authorId="0" shapeId="0" xr:uid="{EC54D42C-5750-46AD-BF9C-2DE9DC1355E1}">
      <text>
        <r>
          <rPr>
            <b/>
            <sz val="9"/>
            <color indexed="81"/>
            <rFont val="Tahoma"/>
            <family val="2"/>
          </rPr>
          <t>Smith Pittman:</t>
        </r>
        <r>
          <rPr>
            <sz val="9"/>
            <color indexed="81"/>
            <rFont val="Tahoma"/>
            <family val="2"/>
          </rPr>
          <t xml:space="preserve">
https://www.fishersci.com/shop/products/magnesium-sulfate-99-analysis-anhydrous-thermo-scientific/AC446890010</t>
        </r>
      </text>
    </comment>
    <comment ref="G38" authorId="0" shapeId="0" xr:uid="{4F282F67-C47F-47CC-B3CF-2E863141D135}">
      <text>
        <r>
          <rPr>
            <b/>
            <sz val="9"/>
            <color indexed="81"/>
            <rFont val="Tahoma"/>
            <family val="2"/>
          </rPr>
          <t>Smith Pittman:</t>
        </r>
        <r>
          <rPr>
            <sz val="9"/>
            <color indexed="81"/>
            <rFont val="Tahoma"/>
            <family val="2"/>
          </rPr>
          <t xml:space="preserve">
https://ingredi.com/sodium-bicarbonate-usp-grade-5-50-lbs-bag/</t>
        </r>
      </text>
    </comment>
    <comment ref="G39" authorId="0" shapeId="0" xr:uid="{D6817BE8-1F5A-49E0-8E0C-03922D76075A}">
      <text>
        <r>
          <rPr>
            <b/>
            <sz val="9"/>
            <color indexed="81"/>
            <rFont val="Tahoma"/>
            <family val="2"/>
          </rPr>
          <t>Smith Pittman:</t>
        </r>
        <r>
          <rPr>
            <sz val="9"/>
            <color indexed="81"/>
            <rFont val="Tahoma"/>
            <family val="2"/>
          </rPr>
          <t xml:space="preserve">
https://www.thermofisher.com/order/catalog/product/258590025</t>
        </r>
      </text>
    </comment>
    <comment ref="G41" authorId="0" shapeId="0" xr:uid="{C684CDEE-4AF7-44FD-A781-6D845DA9C2CF}">
      <text>
        <r>
          <rPr>
            <b/>
            <sz val="9"/>
            <color indexed="81"/>
            <rFont val="Tahoma"/>
            <family val="2"/>
          </rPr>
          <t>Smith Pittman:</t>
        </r>
        <r>
          <rPr>
            <sz val="9"/>
            <color indexed="81"/>
            <rFont val="Tahoma"/>
            <family val="2"/>
          </rPr>
          <t xml:space="preserve">
https://www.thermofisher.com/order/catalog/product/A17730.0C</t>
        </r>
      </text>
    </comment>
    <comment ref="G42" authorId="0" shapeId="0" xr:uid="{9922692B-C968-477F-8E74-6A1CE2FE14E2}">
      <text>
        <r>
          <rPr>
            <b/>
            <sz val="9"/>
            <color indexed="81"/>
            <rFont val="Tahoma"/>
            <family val="2"/>
          </rPr>
          <t>Smith Pittman:</t>
        </r>
        <r>
          <rPr>
            <sz val="9"/>
            <color indexed="81"/>
            <rFont val="Tahoma"/>
            <family val="2"/>
          </rPr>
          <t xml:space="preserve">
https://www.fishersci.com/shop/products/fisher-bioreagents-yeast-extract-granulated-3/p-4245067</t>
        </r>
      </text>
    </comment>
    <comment ref="G43" authorId="0" shapeId="0" xr:uid="{00DE27C0-25A1-4180-8D93-5180326D00DE}">
      <text>
        <r>
          <rPr>
            <b/>
            <sz val="9"/>
            <color indexed="81"/>
            <rFont val="Tahoma"/>
            <family val="2"/>
          </rPr>
          <t>Smith Pittman:</t>
        </r>
        <r>
          <rPr>
            <sz val="9"/>
            <color indexed="81"/>
            <rFont val="Tahoma"/>
            <family val="2"/>
          </rPr>
          <t xml:space="preserve">
https://www.thermofisher.com/order/catalog/product/258590025</t>
        </r>
      </text>
    </comment>
    <comment ref="G45" authorId="0" shapeId="0" xr:uid="{4019E03F-AFB0-4B80-90F4-20F9B934463A}">
      <text>
        <r>
          <rPr>
            <b/>
            <sz val="9"/>
            <color indexed="81"/>
            <rFont val="Tahoma"/>
            <family val="2"/>
          </rPr>
          <t>Smith Pittman:</t>
        </r>
        <r>
          <rPr>
            <sz val="9"/>
            <color indexed="81"/>
            <rFont val="Tahoma"/>
            <family val="2"/>
          </rPr>
          <t xml:space="preserve">
https://www.thermofisher.com/order/catalog/product/15023021?SID=srch-srp-15023021</t>
        </r>
      </text>
    </comment>
    <comment ref="G46" authorId="0" shapeId="0" xr:uid="{218E43CD-1EE2-489C-A0C6-055973857A75}">
      <text>
        <r>
          <rPr>
            <b/>
            <sz val="9"/>
            <color indexed="81"/>
            <rFont val="Tahoma"/>
            <family val="2"/>
          </rPr>
          <t>Smith Pittman:</t>
        </r>
        <r>
          <rPr>
            <sz val="9"/>
            <color indexed="81"/>
            <rFont val="Tahoma"/>
            <family val="2"/>
          </rPr>
          <t xml:space="preserve">
https://www.fishersci.com/shop/products/fisher-bioreagents-yeast-extract-granulated-3/p-4245067</t>
        </r>
      </text>
    </comment>
    <comment ref="G47" authorId="0" shapeId="0" xr:uid="{9B4EEA55-7C5C-4C58-A963-F6EBFDDAD8B1}">
      <text>
        <r>
          <rPr>
            <b/>
            <sz val="9"/>
            <color indexed="81"/>
            <rFont val="Tahoma"/>
            <family val="2"/>
          </rPr>
          <t>Smith Pittman:</t>
        </r>
        <r>
          <rPr>
            <sz val="9"/>
            <color indexed="81"/>
            <rFont val="Tahoma"/>
            <family val="2"/>
          </rPr>
          <t xml:space="preserve">
https://www.carlroth.com/com/en/potassium-salts-k/potassium-dihydrogen-phosphate/p/3904.5</t>
        </r>
      </text>
    </comment>
    <comment ref="G48" authorId="0" shapeId="0" xr:uid="{A71B87D0-EA80-490D-8E9B-B33BEDBDCD50}">
      <text>
        <r>
          <rPr>
            <b/>
            <sz val="9"/>
            <color indexed="81"/>
            <rFont val="Tahoma"/>
            <family val="2"/>
          </rPr>
          <t>Smith Pittman:</t>
        </r>
        <r>
          <rPr>
            <sz val="9"/>
            <color indexed="81"/>
            <rFont val="Tahoma"/>
            <family val="2"/>
          </rPr>
          <t xml:space="preserve">
https://www.fishersci.com/shop/products/magnesium-sulfate-99-analysis-anhydrous-thermo-scientific/AC446890010</t>
        </r>
      </text>
    </comment>
    <comment ref="G49" authorId="0" shapeId="0" xr:uid="{4E1F1C10-F194-4BCA-89EF-AFA45C94CC4E}">
      <text>
        <r>
          <rPr>
            <b/>
            <sz val="9"/>
            <color indexed="81"/>
            <rFont val="Tahoma"/>
            <family val="2"/>
          </rPr>
          <t>Smith Pittman:</t>
        </r>
        <r>
          <rPr>
            <sz val="9"/>
            <color indexed="81"/>
            <rFont val="Tahoma"/>
            <family val="2"/>
          </rPr>
          <t xml:space="preserve">
https://www.thermofisher.com/order/catalog/product/447300050</t>
        </r>
      </text>
    </comment>
    <comment ref="G50" authorId="0" shapeId="0" xr:uid="{989DC43A-FC6B-4D84-A653-373ADDD45A4D}">
      <text>
        <r>
          <rPr>
            <b/>
            <sz val="9"/>
            <color rgb="FF000000"/>
            <rFont val="Tahoma"/>
            <family val="2"/>
          </rPr>
          <t>Smith Pittman:</t>
        </r>
        <r>
          <rPr>
            <sz val="9"/>
            <color rgb="FF000000"/>
            <rFont val="Tahoma"/>
            <family val="2"/>
          </rPr>
          <t xml:space="preserve">
</t>
        </r>
        <r>
          <rPr>
            <sz val="9"/>
            <color rgb="FF000000"/>
            <rFont val="Tahoma"/>
            <family val="2"/>
          </rPr>
          <t>https://www.thermofisher.com/order/catalog/product/258590025</t>
        </r>
      </text>
    </comment>
    <comment ref="G69" authorId="0" shapeId="0" xr:uid="{7B702CC1-6438-4279-944B-7436F9D1A8A6}">
      <text>
        <r>
          <rPr>
            <b/>
            <sz val="9"/>
            <color indexed="81"/>
            <rFont val="Tahoma"/>
            <family val="2"/>
          </rPr>
          <t>Smith Pittman:</t>
        </r>
        <r>
          <rPr>
            <sz val="9"/>
            <color indexed="81"/>
            <rFont val="Tahoma"/>
            <family val="2"/>
          </rPr>
          <t xml:space="preserve">
https://www.bls.gov/regions/midwest/data/averageenergyprices_selectedareas_table.htm</t>
        </r>
      </text>
    </comment>
    <comment ref="G70" authorId="0" shapeId="0" xr:uid="{177428ED-4229-42EC-B521-71A67AA35B48}">
      <text>
        <r>
          <rPr>
            <b/>
            <sz val="9"/>
            <color indexed="81"/>
            <rFont val="Tahoma"/>
            <family val="2"/>
          </rPr>
          <t>Smith Pittman:</t>
        </r>
        <r>
          <rPr>
            <sz val="9"/>
            <color indexed="81"/>
            <rFont val="Tahoma"/>
            <family val="2"/>
          </rPr>
          <t xml:space="preserve">
https://www.bls.gov/regions/midwest/data/averageenergyprices_selectedareas_table.htm</t>
        </r>
      </text>
    </comment>
    <comment ref="G71" authorId="0" shapeId="0" xr:uid="{4ED28E14-224F-4A6A-90F4-8B2219A32D40}">
      <text>
        <r>
          <rPr>
            <b/>
            <sz val="9"/>
            <color indexed="81"/>
            <rFont val="Tahoma"/>
            <family val="2"/>
          </rPr>
          <t>Smith Pittman:</t>
        </r>
        <r>
          <rPr>
            <sz val="9"/>
            <color indexed="81"/>
            <rFont val="Tahoma"/>
            <family val="2"/>
          </rPr>
          <t xml:space="preserve">
https://www.bls.gov/regions/midwest/data/averageenergyprices_selectedareas_table.htm</t>
        </r>
      </text>
    </comment>
    <comment ref="G72" authorId="0" shapeId="0" xr:uid="{BFDD833B-D9D3-4AC6-A0B9-4C07CCC113FE}">
      <text>
        <r>
          <rPr>
            <b/>
            <sz val="9"/>
            <color indexed="81"/>
            <rFont val="Tahoma"/>
            <family val="2"/>
          </rPr>
          <t>Smith Pittman:</t>
        </r>
        <r>
          <rPr>
            <sz val="9"/>
            <color indexed="81"/>
            <rFont val="Tahoma"/>
            <family val="2"/>
          </rPr>
          <t xml:space="preserve">
https://www.bls.gov/regions/midwest/data/averageenergyprices_selectedareas_table.htm</t>
        </r>
      </text>
    </comment>
    <comment ref="G73" authorId="0" shapeId="0" xr:uid="{F68D8558-7B14-4965-B488-8AD8DC93242D}">
      <text>
        <r>
          <rPr>
            <b/>
            <sz val="9"/>
            <color indexed="81"/>
            <rFont val="Tahoma"/>
            <family val="2"/>
          </rPr>
          <t>Smith Pittman:</t>
        </r>
        <r>
          <rPr>
            <sz val="9"/>
            <color indexed="81"/>
            <rFont val="Tahoma"/>
            <family val="2"/>
          </rPr>
          <t xml:space="preserve">
https://www.bls.gov/regions/midwest/data/averageenergyprices_selectedareas_table.htm</t>
        </r>
      </text>
    </comment>
    <comment ref="G74" authorId="0" shapeId="0" xr:uid="{1569CE33-7E48-4C33-9B65-A5B5549BCC1C}">
      <text>
        <r>
          <rPr>
            <b/>
            <sz val="9"/>
            <color indexed="81"/>
            <rFont val="Tahoma"/>
            <family val="2"/>
          </rPr>
          <t>Smith Pittman:</t>
        </r>
        <r>
          <rPr>
            <sz val="9"/>
            <color indexed="81"/>
            <rFont val="Tahoma"/>
            <family val="2"/>
          </rPr>
          <t xml:space="preserve">
https://www.bls.gov/regions/midwest/data/averageenergyprices_selectedareas_table.htm</t>
        </r>
      </text>
    </comment>
    <comment ref="G95" authorId="0" shapeId="0" xr:uid="{AD0842DE-5861-4CE6-9F36-06DF6C9673B8}">
      <text>
        <r>
          <rPr>
            <b/>
            <sz val="9"/>
            <color indexed="81"/>
            <rFont val="Tahoma"/>
            <family val="2"/>
          </rPr>
          <t>Smith Pittman:</t>
        </r>
        <r>
          <rPr>
            <sz val="9"/>
            <color indexed="81"/>
            <rFont val="Tahoma"/>
            <family val="2"/>
          </rPr>
          <t xml:space="preserve">
https://www.bls.gov/regions/midwest/data/averageenergyprices_selectedareas_table.htm</t>
        </r>
      </text>
    </comment>
    <comment ref="G96" authorId="0" shapeId="0" xr:uid="{891DEAD2-6C8B-4E14-8D3A-1188DDD1796F}">
      <text>
        <r>
          <rPr>
            <b/>
            <sz val="9"/>
            <color indexed="81"/>
            <rFont val="Tahoma"/>
            <family val="2"/>
          </rPr>
          <t>Smith Pittman:</t>
        </r>
        <r>
          <rPr>
            <sz val="9"/>
            <color indexed="81"/>
            <rFont val="Tahoma"/>
            <family val="2"/>
          </rPr>
          <t xml:space="preserve">
https://www.sigmaaldrich.com/US/en/product/roche/10105031001?srsltid=AfmBOooqXxfayY2MayApScwIq_MR4MzS0X9T6vXmXBdvXCc1YetI326K</t>
        </r>
      </text>
    </comment>
    <comment ref="G97" authorId="0" shapeId="0" xr:uid="{6EEC823F-33BC-4E4B-B9B0-431DAE9E6E0A}">
      <text>
        <r>
          <rPr>
            <b/>
            <sz val="9"/>
            <color indexed="81"/>
            <rFont val="Tahoma"/>
            <family val="2"/>
          </rPr>
          <t>Smith Pittman:</t>
        </r>
        <r>
          <rPr>
            <sz val="9"/>
            <color indexed="81"/>
            <rFont val="Tahoma"/>
            <family val="2"/>
          </rPr>
          <t xml:space="preserve">
https://www.bls.gov/regions/midwest/data/averageenergyprices_selectedareas_table.htm</t>
        </r>
      </text>
    </comment>
    <comment ref="G98" authorId="0" shapeId="0" xr:uid="{5633E1B8-01C3-48FA-9D18-981D83E08E2D}">
      <text>
        <r>
          <rPr>
            <b/>
            <sz val="9"/>
            <color indexed="81"/>
            <rFont val="Tahoma"/>
            <family val="2"/>
          </rPr>
          <t>Smith Pittman:</t>
        </r>
        <r>
          <rPr>
            <sz val="9"/>
            <color indexed="81"/>
            <rFont val="Tahoma"/>
            <family val="2"/>
          </rPr>
          <t xml:space="preserve">
https://www.bls.gov/regions/midwest/data/averageenergyprices_selectedareas_table.htm</t>
        </r>
      </text>
    </comment>
    <comment ref="G99" authorId="0" shapeId="0" xr:uid="{A24AE538-50AD-443F-9827-0CAF364D23CB}">
      <text>
        <r>
          <rPr>
            <b/>
            <sz val="9"/>
            <color indexed="81"/>
            <rFont val="Tahoma"/>
            <family val="2"/>
          </rPr>
          <t>Smith Pittman:</t>
        </r>
        <r>
          <rPr>
            <sz val="9"/>
            <color indexed="81"/>
            <rFont val="Tahoma"/>
            <family val="2"/>
          </rPr>
          <t xml:space="preserve">
https://www.bls.gov/regions/midwest/data/averageenergyprices_selectedareas_table.htm</t>
        </r>
      </text>
    </comment>
    <comment ref="G100" authorId="0" shapeId="0" xr:uid="{91601E63-66D7-4522-9C69-EE4B54B48A9B}">
      <text>
        <r>
          <rPr>
            <b/>
            <sz val="9"/>
            <color indexed="81"/>
            <rFont val="Tahoma"/>
            <family val="2"/>
          </rPr>
          <t>Smith Pittman:</t>
        </r>
        <r>
          <rPr>
            <sz val="9"/>
            <color indexed="81"/>
            <rFont val="Tahoma"/>
            <family val="2"/>
          </rPr>
          <t xml:space="preserve">
https://www.bls.gov/regions/midwest/data/averageenergyprices_selectedareas_table.htm</t>
        </r>
      </text>
    </comment>
    <comment ref="G101" authorId="0" shapeId="0" xr:uid="{3AAD3EB3-111C-4527-A6B9-94628A0D6BC5}">
      <text>
        <r>
          <rPr>
            <b/>
            <sz val="9"/>
            <color indexed="81"/>
            <rFont val="Tahoma"/>
            <family val="2"/>
          </rPr>
          <t>Smith Pittman:</t>
        </r>
        <r>
          <rPr>
            <sz val="9"/>
            <color indexed="81"/>
            <rFont val="Tahoma"/>
            <family val="2"/>
          </rPr>
          <t xml:space="preserve">
https://www.bls.gov/regions/midwest/data/averageenergyprices_selectedareas_table.htm</t>
        </r>
      </text>
    </comment>
    <comment ref="G102" authorId="0" shapeId="0" xr:uid="{96DF5B16-BA3D-4D41-9481-5388DDE8243E}">
      <text>
        <r>
          <rPr>
            <b/>
            <sz val="9"/>
            <color indexed="81"/>
            <rFont val="Tahoma"/>
            <family val="2"/>
          </rPr>
          <t>Smith Pittman:</t>
        </r>
        <r>
          <rPr>
            <sz val="9"/>
            <color indexed="81"/>
            <rFont val="Tahoma"/>
            <family val="2"/>
          </rPr>
          <t xml:space="preserve">
https://www.bls.gov/regions/midwest/data/averageenergyprices_selectedareas_table.htm</t>
        </r>
      </text>
    </comment>
    <comment ref="G103" authorId="0" shapeId="0" xr:uid="{0D57B3BC-EF11-4EB2-B954-83065F9B2A78}">
      <text>
        <r>
          <rPr>
            <b/>
            <sz val="9"/>
            <color indexed="81"/>
            <rFont val="Tahoma"/>
            <family val="2"/>
          </rPr>
          <t>Smith Pittman:</t>
        </r>
        <r>
          <rPr>
            <sz val="9"/>
            <color indexed="81"/>
            <rFont val="Tahoma"/>
            <family val="2"/>
          </rPr>
          <t xml:space="preserve">
https://www.bls.gov/regions/midwest/data/averageenergyprices_selectedareas_table.htm</t>
        </r>
      </text>
    </comment>
    <comment ref="G104" authorId="0" shapeId="0" xr:uid="{D8BE53D1-7F5E-44CA-BD9D-E70BCCDF2437}">
      <text>
        <r>
          <rPr>
            <b/>
            <sz val="9"/>
            <color indexed="81"/>
            <rFont val="Tahoma"/>
            <family val="2"/>
          </rPr>
          <t>Smith Pittman:</t>
        </r>
        <r>
          <rPr>
            <sz val="9"/>
            <color indexed="81"/>
            <rFont val="Tahoma"/>
            <family val="2"/>
          </rPr>
          <t xml:space="preserve">
https://www.bls.gov/regions/midwest/data/averageenergyprices_selectedareas_table.htm</t>
        </r>
      </text>
    </comment>
    <comment ref="G124" authorId="0" shapeId="0" xr:uid="{C4249008-90F9-4FD5-AD39-FEFD1885FD13}">
      <text>
        <r>
          <rPr>
            <b/>
            <sz val="9"/>
            <color indexed="81"/>
            <rFont val="Tahoma"/>
            <family val="2"/>
          </rPr>
          <t>Smith Pittman:</t>
        </r>
        <r>
          <rPr>
            <sz val="9"/>
            <color indexed="81"/>
            <rFont val="Tahoma"/>
            <family val="2"/>
          </rPr>
          <t xml:space="preserve">
https://www.bls.gov/regions/midwest/data/averageenergyprices_selectedareas_table.htm</t>
        </r>
      </text>
    </comment>
    <comment ref="G125" authorId="0" shapeId="0" xr:uid="{600285AA-18B4-48B0-B8AC-B4C17BA0BBB9}">
      <text>
        <r>
          <rPr>
            <b/>
            <sz val="9"/>
            <color indexed="81"/>
            <rFont val="Tahoma"/>
            <family val="2"/>
          </rPr>
          <t>Smith Pittman:</t>
        </r>
        <r>
          <rPr>
            <sz val="9"/>
            <color indexed="81"/>
            <rFont val="Tahoma"/>
            <family val="2"/>
          </rPr>
          <t xml:space="preserve">
https://www.bls.gov/regions/midwest/data/averageenergyprices_selectedareas_table.htm</t>
        </r>
      </text>
    </comment>
    <comment ref="G126" authorId="0" shapeId="0" xr:uid="{19934EFD-2C7F-441A-A23B-07AFBA5EC3BB}">
      <text>
        <r>
          <rPr>
            <b/>
            <sz val="9"/>
            <color indexed="81"/>
            <rFont val="Tahoma"/>
            <family val="2"/>
          </rPr>
          <t>Smith Pittman:</t>
        </r>
        <r>
          <rPr>
            <sz val="9"/>
            <color indexed="81"/>
            <rFont val="Tahoma"/>
            <family val="2"/>
          </rPr>
          <t xml:space="preserve">
https://www.bls.gov/regions/midwest/data/averageenergyprices_selectedareas_table.htm</t>
        </r>
      </text>
    </comment>
    <comment ref="G127" authorId="0" shapeId="0" xr:uid="{010D0194-FC7E-4380-8A5D-7A2FC4D49AFC}">
      <text>
        <r>
          <rPr>
            <b/>
            <sz val="9"/>
            <color indexed="81"/>
            <rFont val="Tahoma"/>
            <family val="2"/>
          </rPr>
          <t>Smith Pittman:</t>
        </r>
        <r>
          <rPr>
            <sz val="9"/>
            <color indexed="81"/>
            <rFont val="Tahoma"/>
            <family val="2"/>
          </rPr>
          <t xml:space="preserve">
https://www.bls.gov/regions/midwest/data/averageenergyprices_selectedareas_table.htm</t>
        </r>
      </text>
    </comment>
    <comment ref="G128" authorId="0" shapeId="0" xr:uid="{230F7C3A-A289-46E4-A6AB-3A369C6A4143}">
      <text>
        <r>
          <rPr>
            <b/>
            <sz val="9"/>
            <color indexed="81"/>
            <rFont val="Tahoma"/>
            <family val="2"/>
          </rPr>
          <t>Smith Pittman:</t>
        </r>
        <r>
          <rPr>
            <sz val="9"/>
            <color indexed="81"/>
            <rFont val="Tahoma"/>
            <family val="2"/>
          </rPr>
          <t xml:space="preserve">
https://www.bls.gov/regions/midwest/data/averageenergyprices_selectedareas_table.htm</t>
        </r>
      </text>
    </comment>
    <comment ref="G129" authorId="0" shapeId="0" xr:uid="{D86D03B3-BC9E-490E-9D49-BC9AD14B045F}">
      <text>
        <r>
          <rPr>
            <b/>
            <sz val="9"/>
            <color indexed="81"/>
            <rFont val="Tahoma"/>
            <family val="2"/>
          </rPr>
          <t>Smith Pittman:</t>
        </r>
        <r>
          <rPr>
            <sz val="9"/>
            <color indexed="81"/>
            <rFont val="Tahoma"/>
            <family val="2"/>
          </rPr>
          <t xml:space="preserve">
https://www.bls.gov/regions/midwest/data/averageenergyprices_selectedareas_table.htm</t>
        </r>
      </text>
    </comment>
    <comment ref="G140" authorId="0" shapeId="0" xr:uid="{6E2ECAC1-6441-419A-9386-A9EDFFA35A2E}">
      <text>
        <r>
          <rPr>
            <b/>
            <sz val="9"/>
            <color indexed="81"/>
            <rFont val="Tahoma"/>
            <family val="2"/>
          </rPr>
          <t>Smith Pittman:</t>
        </r>
        <r>
          <rPr>
            <sz val="9"/>
            <color indexed="81"/>
            <rFont val="Tahoma"/>
            <family val="2"/>
          </rPr>
          <t xml:space="preserve">
https://www.bls.gov/regions/midwest/data/averageenergyprices_selectedareas_table.htm</t>
        </r>
      </text>
    </comment>
    <comment ref="G159" authorId="0" shapeId="0" xr:uid="{6E0E9195-405A-49E9-A73B-8B82C769476A}">
      <text>
        <r>
          <rPr>
            <b/>
            <sz val="9"/>
            <color indexed="81"/>
            <rFont val="Tahoma"/>
            <family val="2"/>
          </rPr>
          <t>Smith Pittman:</t>
        </r>
        <r>
          <rPr>
            <sz val="9"/>
            <color indexed="81"/>
            <rFont val="Tahoma"/>
            <family val="2"/>
          </rPr>
          <t xml:space="preserve">
https://www.bls.gov/regions/midwest/data/averageenergyprices_selectedareas_table.htm</t>
        </r>
      </text>
    </comment>
    <comment ref="G160" authorId="0" shapeId="0" xr:uid="{8C7F0221-38C9-4D97-B805-0476522957CA}">
      <text>
        <r>
          <rPr>
            <b/>
            <sz val="9"/>
            <color indexed="81"/>
            <rFont val="Tahoma"/>
            <family val="2"/>
          </rPr>
          <t>Smith Pittman:</t>
        </r>
        <r>
          <rPr>
            <sz val="9"/>
            <color indexed="81"/>
            <rFont val="Tahoma"/>
            <family val="2"/>
          </rPr>
          <t xml:space="preserve">
https://www.bls.gov/regions/midwest/data/averageenergyprices_selectedareas_table.htm</t>
        </r>
      </text>
    </comment>
    <comment ref="G161" authorId="0" shapeId="0" xr:uid="{DBB5A9FE-10D8-4B34-B256-EA3671792244}">
      <text>
        <r>
          <rPr>
            <b/>
            <sz val="9"/>
            <color indexed="81"/>
            <rFont val="Tahoma"/>
            <family val="2"/>
          </rPr>
          <t>Smith Pittman:</t>
        </r>
        <r>
          <rPr>
            <sz val="9"/>
            <color indexed="81"/>
            <rFont val="Tahoma"/>
            <family val="2"/>
          </rPr>
          <t xml:space="preserve">
https://www.bls.gov/regions/midwest/data/averageenergyprices_selectedareas_table.htm</t>
        </r>
      </text>
    </comment>
    <comment ref="G180" authorId="0" shapeId="0" xr:uid="{5C71D8C0-0E39-43CE-A248-F0805C44CBFF}">
      <text>
        <r>
          <rPr>
            <b/>
            <sz val="9"/>
            <color indexed="81"/>
            <rFont val="Tahoma"/>
            <family val="2"/>
          </rPr>
          <t>Smith Pittman:</t>
        </r>
        <r>
          <rPr>
            <sz val="9"/>
            <color indexed="81"/>
            <rFont val="Tahoma"/>
            <family val="2"/>
          </rPr>
          <t xml:space="preserve">
https://www.bls.gov/regions/midwest/data/averageenergyprices_selectedareas_table.htm</t>
        </r>
      </text>
    </comment>
    <comment ref="G181" authorId="0" shapeId="0" xr:uid="{41611B5B-584F-4522-BB04-DF555B54F9CD}">
      <text>
        <r>
          <rPr>
            <b/>
            <sz val="9"/>
            <color indexed="81"/>
            <rFont val="Tahoma"/>
            <family val="2"/>
          </rPr>
          <t>Smith Pittman:</t>
        </r>
        <r>
          <rPr>
            <sz val="9"/>
            <color indexed="81"/>
            <rFont val="Tahoma"/>
            <family val="2"/>
          </rPr>
          <t xml:space="preserve">
https://www.bls.gov/regions/midwest/data/averageenergyprices_selectedareas_table.htm</t>
        </r>
      </text>
    </comment>
    <comment ref="G182" authorId="0" shapeId="0" xr:uid="{BFF827A4-40E3-4FAE-8F18-E923AB39F49E}">
      <text>
        <r>
          <rPr>
            <b/>
            <sz val="9"/>
            <color indexed="81"/>
            <rFont val="Tahoma"/>
            <family val="2"/>
          </rPr>
          <t>Smith Pittman:</t>
        </r>
        <r>
          <rPr>
            <sz val="9"/>
            <color indexed="81"/>
            <rFont val="Tahoma"/>
            <family val="2"/>
          </rPr>
          <t xml:space="preserve">
https://www.bls.gov/regions/midwest/data/averageenergyprices_selectedareas_table.htm</t>
        </r>
      </text>
    </comment>
    <comment ref="G201" authorId="0" shapeId="0" xr:uid="{9AAD45A8-B8F4-4693-8CA9-AAAC1BDD073C}">
      <text>
        <r>
          <rPr>
            <b/>
            <sz val="9"/>
            <color indexed="81"/>
            <rFont val="Tahoma"/>
            <family val="2"/>
          </rPr>
          <t>Smith Pittman:</t>
        </r>
        <r>
          <rPr>
            <sz val="9"/>
            <color indexed="81"/>
            <rFont val="Tahoma"/>
            <family val="2"/>
          </rPr>
          <t xml:space="preserve">
https://www.bls.gov/regions/midwest/data/averageenergyprices_selectedareas_table.htm</t>
        </r>
      </text>
    </comment>
    <comment ref="G202" authorId="0" shapeId="0" xr:uid="{F302CE32-4529-483F-9135-57E3D7247685}">
      <text>
        <r>
          <rPr>
            <b/>
            <sz val="9"/>
            <color indexed="81"/>
            <rFont val="Tahoma"/>
            <family val="2"/>
          </rPr>
          <t>Smith Pittman:</t>
        </r>
        <r>
          <rPr>
            <sz val="9"/>
            <color indexed="81"/>
            <rFont val="Tahoma"/>
            <family val="2"/>
          </rPr>
          <t xml:space="preserve">
https://www.bls.gov/regions/midwest/data/averageenergyprices_selectedareas_table.htm</t>
        </r>
      </text>
    </comment>
    <comment ref="G203" authorId="0" shapeId="0" xr:uid="{A45C30D5-2AF2-4E16-B775-14EE0D21E1AF}">
      <text>
        <r>
          <rPr>
            <b/>
            <sz val="9"/>
            <color indexed="81"/>
            <rFont val="Tahoma"/>
            <family val="2"/>
          </rPr>
          <t>Smith Pittman:</t>
        </r>
        <r>
          <rPr>
            <sz val="9"/>
            <color indexed="81"/>
            <rFont val="Tahoma"/>
            <family val="2"/>
          </rPr>
          <t xml:space="preserve">
https://www.nrel.gov/docs/fy15osti/62402.pdf</t>
        </r>
      </text>
    </comment>
    <comment ref="G214" authorId="0" shapeId="0" xr:uid="{C3BA6EAF-639A-4277-B029-935BAC4477B2}">
      <text>
        <r>
          <rPr>
            <b/>
            <sz val="9"/>
            <color indexed="81"/>
            <rFont val="Tahoma"/>
            <family val="2"/>
          </rPr>
          <t>Smith Pittman:</t>
        </r>
        <r>
          <rPr>
            <sz val="9"/>
            <color indexed="81"/>
            <rFont val="Tahoma"/>
            <family val="2"/>
          </rPr>
          <t xml:space="preserve">
https://www.bls.gov/regions/midwest/data/averageenergyprices_selectedareas_table.htm</t>
        </r>
      </text>
    </comment>
    <comment ref="G215" authorId="0" shapeId="0" xr:uid="{33639071-7153-485D-B5FA-16879CBD3EF1}">
      <text>
        <r>
          <rPr>
            <b/>
            <sz val="9"/>
            <color indexed="81"/>
            <rFont val="Tahoma"/>
            <family val="2"/>
          </rPr>
          <t>Smith Pittman:</t>
        </r>
        <r>
          <rPr>
            <sz val="9"/>
            <color indexed="81"/>
            <rFont val="Tahoma"/>
            <family val="2"/>
          </rPr>
          <t xml:space="preserve">
https://www.bls.gov/regions/midwest/data/averageenergyprices_selectedareas_table.htm</t>
        </r>
      </text>
    </comment>
    <comment ref="G216" authorId="0" shapeId="0" xr:uid="{E01AAE52-BDB5-4DD9-8E21-18E1864ACBED}">
      <text>
        <r>
          <rPr>
            <b/>
            <sz val="9"/>
            <color indexed="81"/>
            <rFont val="Tahoma"/>
            <family val="2"/>
          </rPr>
          <t>Smith Pittman:</t>
        </r>
        <r>
          <rPr>
            <sz val="9"/>
            <color indexed="81"/>
            <rFont val="Tahoma"/>
            <family val="2"/>
          </rPr>
          <t xml:space="preserve">
https://www.bls.gov/regions/midwest/data/averageenergyprices_selectedareas_table.htm</t>
        </r>
      </text>
    </comment>
    <comment ref="G217" authorId="0" shapeId="0" xr:uid="{D7AF67B1-DDB3-45B1-B600-185D3F1ACECC}">
      <text>
        <r>
          <rPr>
            <b/>
            <sz val="9"/>
            <color indexed="81"/>
            <rFont val="Tahoma"/>
            <family val="2"/>
          </rPr>
          <t>Smith Pittman:</t>
        </r>
        <r>
          <rPr>
            <sz val="9"/>
            <color indexed="81"/>
            <rFont val="Tahoma"/>
            <family val="2"/>
          </rPr>
          <t xml:space="preserve">
https://www.bls.gov/regions/midwest/data/averageenergyprices_selectedareas_table.htm</t>
        </r>
      </text>
    </comment>
    <comment ref="G218" authorId="0" shapeId="0" xr:uid="{A93C39F8-4772-44E9-9171-3560747B96D9}">
      <text>
        <r>
          <rPr>
            <b/>
            <sz val="9"/>
            <color indexed="81"/>
            <rFont val="Tahoma"/>
            <family val="2"/>
          </rPr>
          <t>Smith Pittman:</t>
        </r>
        <r>
          <rPr>
            <sz val="9"/>
            <color indexed="81"/>
            <rFont val="Tahoma"/>
            <family val="2"/>
          </rPr>
          <t xml:space="preserve">
https://www.bls.gov/regions/midwest/data/averageenergyprices_selectedareas_table.htm</t>
        </r>
      </text>
    </comment>
    <comment ref="G219" authorId="0" shapeId="0" xr:uid="{4E50BE29-7970-40DE-8214-9089B186EB71}">
      <text>
        <r>
          <rPr>
            <b/>
            <sz val="9"/>
            <color indexed="81"/>
            <rFont val="Tahoma"/>
            <family val="2"/>
          </rPr>
          <t>Smith Pittman:</t>
        </r>
        <r>
          <rPr>
            <sz val="9"/>
            <color indexed="81"/>
            <rFont val="Tahoma"/>
            <family val="2"/>
          </rPr>
          <t xml:space="preserve">
https://www.bls.gov/regions/midwest/data/averageenergyprices_selectedareas_table.htm</t>
        </r>
      </text>
    </comment>
    <comment ref="G238" authorId="0" shapeId="0" xr:uid="{1B1320C0-D834-422F-AF27-CC6294E59F9D}">
      <text>
        <r>
          <rPr>
            <b/>
            <sz val="9"/>
            <color indexed="81"/>
            <rFont val="Tahoma"/>
            <family val="2"/>
          </rPr>
          <t>Smith Pittman:</t>
        </r>
        <r>
          <rPr>
            <sz val="9"/>
            <color indexed="81"/>
            <rFont val="Tahoma"/>
            <family val="2"/>
          </rPr>
          <t xml:space="preserve">
https://www.bls.gov/regions/midwest/data/averageenergyprices_selectedareas_table.htm</t>
        </r>
      </text>
    </comment>
    <comment ref="G239" authorId="0" shapeId="0" xr:uid="{01CD5F4C-249A-4F85-9222-FE09B9A73C84}">
      <text>
        <r>
          <rPr>
            <b/>
            <sz val="9"/>
            <color indexed="81"/>
            <rFont val="Tahoma"/>
            <family val="2"/>
          </rPr>
          <t>Smith Pittman:</t>
        </r>
        <r>
          <rPr>
            <sz val="9"/>
            <color indexed="81"/>
            <rFont val="Tahoma"/>
            <family val="2"/>
          </rPr>
          <t xml:space="preserve">
https://www.bls.gov/regions/midwest/data/averageenergyprices_selectedareas_table.htm</t>
        </r>
      </text>
    </comment>
    <comment ref="G240" authorId="0" shapeId="0" xr:uid="{E3E4DD1C-05B9-49D1-B8F8-52AD220BE64A}">
      <text>
        <r>
          <rPr>
            <b/>
            <sz val="9"/>
            <color indexed="81"/>
            <rFont val="Tahoma"/>
            <family val="2"/>
          </rPr>
          <t>Smith Pittman:</t>
        </r>
        <r>
          <rPr>
            <sz val="9"/>
            <color indexed="81"/>
            <rFont val="Tahoma"/>
            <family val="2"/>
          </rPr>
          <t xml:space="preserve">
https://www.bls.gov/regions/midwest/data/averageenergyprices_selectedareas_table.htm</t>
        </r>
      </text>
    </comment>
    <comment ref="G241" authorId="0" shapeId="0" xr:uid="{B6185115-BF69-4659-BC5A-1F1F01CE14B2}">
      <text>
        <r>
          <rPr>
            <b/>
            <sz val="9"/>
            <color indexed="81"/>
            <rFont val="Tahoma"/>
            <family val="2"/>
          </rPr>
          <t>Smith Pittman:</t>
        </r>
        <r>
          <rPr>
            <sz val="9"/>
            <color indexed="81"/>
            <rFont val="Tahoma"/>
            <family val="2"/>
          </rPr>
          <t xml:space="preserve">
https://www.bls.gov/regions/midwest/data/averageenergyprices_selectedareas_table.htm</t>
        </r>
      </text>
    </comment>
    <comment ref="G242" authorId="0" shapeId="0" xr:uid="{BA0C0843-9BA6-4EF8-9768-9EDAB8CF7257}">
      <text>
        <r>
          <rPr>
            <b/>
            <sz val="9"/>
            <color indexed="81"/>
            <rFont val="Tahoma"/>
            <family val="2"/>
          </rPr>
          <t>Smith Pittman:</t>
        </r>
        <r>
          <rPr>
            <sz val="9"/>
            <color indexed="81"/>
            <rFont val="Tahoma"/>
            <family val="2"/>
          </rPr>
          <t xml:space="preserve">
https://www.bls.gov/regions/midwest/data/averageenergyprices_selectedareas_table.htm</t>
        </r>
      </text>
    </comment>
    <comment ref="G261" authorId="0" shapeId="0" xr:uid="{F672E761-B637-4C32-85E8-0C6EE93EEF8D}">
      <text>
        <r>
          <rPr>
            <b/>
            <sz val="9"/>
            <color indexed="81"/>
            <rFont val="Tahoma"/>
            <family val="2"/>
          </rPr>
          <t>Smith Pittman:</t>
        </r>
        <r>
          <rPr>
            <sz val="9"/>
            <color indexed="81"/>
            <rFont val="Tahoma"/>
            <family val="2"/>
          </rPr>
          <t xml:space="preserve">
https://www.bls.gov/regions/midwest/data/averageenergyprices_selectedareas_table.htm</t>
        </r>
      </text>
    </comment>
    <comment ref="G262" authorId="0" shapeId="0" xr:uid="{EBCA6B65-1301-4049-99B5-137B625B4D96}">
      <text>
        <r>
          <rPr>
            <b/>
            <sz val="9"/>
            <color indexed="81"/>
            <rFont val="Tahoma"/>
            <family val="2"/>
          </rPr>
          <t>Smith Pittman:</t>
        </r>
        <r>
          <rPr>
            <sz val="9"/>
            <color indexed="81"/>
            <rFont val="Tahoma"/>
            <family val="2"/>
          </rPr>
          <t xml:space="preserve">
https://www.bls.gov/regions/midwest/data/averageenergyprices_selectedareas_table.htm</t>
        </r>
      </text>
    </comment>
    <comment ref="G263" authorId="0" shapeId="0" xr:uid="{3061EFE7-379D-4B7A-BA25-6C5007A2CA3A}">
      <text>
        <r>
          <rPr>
            <b/>
            <sz val="9"/>
            <color indexed="81"/>
            <rFont val="Tahoma"/>
            <family val="2"/>
          </rPr>
          <t>Smith Pittman:</t>
        </r>
        <r>
          <rPr>
            <sz val="9"/>
            <color indexed="81"/>
            <rFont val="Tahoma"/>
            <family val="2"/>
          </rPr>
          <t xml:space="preserve">
https://www.nrel.gov/docs/fy15osti/62402.pdf</t>
        </r>
      </text>
    </comment>
    <comment ref="G278" authorId="0" shapeId="0" xr:uid="{DE199DA0-C7FB-46FF-9674-833F2AEC449E}">
      <text>
        <r>
          <rPr>
            <b/>
            <sz val="9"/>
            <color indexed="81"/>
            <rFont val="Tahoma"/>
            <family val="2"/>
          </rPr>
          <t>Smith Pittman:</t>
        </r>
        <r>
          <rPr>
            <sz val="9"/>
            <color indexed="81"/>
            <rFont val="Tahoma"/>
            <family val="2"/>
          </rPr>
          <t xml:space="preserve">
https://www.bls.gov/regions/midwest/data/averageenergyprices_selectedareas_table.htm</t>
        </r>
      </text>
    </comment>
    <comment ref="G279" authorId="0" shapeId="0" xr:uid="{8E1349E1-41C8-4696-8497-D8908A044BA4}">
      <text>
        <r>
          <rPr>
            <b/>
            <sz val="9"/>
            <color indexed="81"/>
            <rFont val="Tahoma"/>
            <family val="2"/>
          </rPr>
          <t>Smith Pittman:</t>
        </r>
        <r>
          <rPr>
            <sz val="9"/>
            <color indexed="81"/>
            <rFont val="Tahoma"/>
            <family val="2"/>
          </rPr>
          <t xml:space="preserve">
https://www.bls.gov/regions/midwest/data/averageenergyprices_selectedareas_table.htm</t>
        </r>
      </text>
    </comment>
    <comment ref="G280" authorId="0" shapeId="0" xr:uid="{795BDF5C-DAFB-455D-AF6A-9A222878BA7C}">
      <text>
        <r>
          <rPr>
            <b/>
            <sz val="9"/>
            <color indexed="81"/>
            <rFont val="Tahoma"/>
            <family val="2"/>
          </rPr>
          <t>Smith Pittman:</t>
        </r>
        <r>
          <rPr>
            <sz val="9"/>
            <color indexed="81"/>
            <rFont val="Tahoma"/>
            <family val="2"/>
          </rPr>
          <t xml:space="preserve">
https://www.bls.gov/regions/midwest/data/averageenergyprices_selectedareas_table.htm</t>
        </r>
      </text>
    </comment>
    <comment ref="G281" authorId="0" shapeId="0" xr:uid="{590BAB75-0975-4E12-BE91-2EEB36622426}">
      <text>
        <r>
          <rPr>
            <b/>
            <sz val="9"/>
            <color indexed="81"/>
            <rFont val="Tahoma"/>
            <family val="2"/>
          </rPr>
          <t>Smith Pittman:</t>
        </r>
        <r>
          <rPr>
            <sz val="9"/>
            <color indexed="81"/>
            <rFont val="Tahoma"/>
            <family val="2"/>
          </rPr>
          <t xml:space="preserve">
https://www.bls.gov/regions/midwest/data/averageenergyprices_selectedareas_table.htm</t>
        </r>
      </text>
    </comment>
    <comment ref="G282" authorId="0" shapeId="0" xr:uid="{B0481B50-2821-4D62-B006-1EA33A5376A4}">
      <text>
        <r>
          <rPr>
            <b/>
            <sz val="9"/>
            <color indexed="81"/>
            <rFont val="Tahoma"/>
            <family val="2"/>
          </rPr>
          <t>Smith Pittman:</t>
        </r>
        <r>
          <rPr>
            <sz val="9"/>
            <color indexed="81"/>
            <rFont val="Tahoma"/>
            <family val="2"/>
          </rPr>
          <t xml:space="preserve">
https://www.bls.gov/regions/midwest/data/averageenergyprices_selectedareas_table.htm</t>
        </r>
      </text>
    </comment>
    <comment ref="G283" authorId="0" shapeId="0" xr:uid="{9426AD0F-50FF-4E84-AFF4-9A2E2669E94B}">
      <text>
        <r>
          <rPr>
            <b/>
            <sz val="9"/>
            <color indexed="81"/>
            <rFont val="Tahoma"/>
            <family val="2"/>
          </rPr>
          <t>Smith Pittman:</t>
        </r>
        <r>
          <rPr>
            <sz val="9"/>
            <color indexed="81"/>
            <rFont val="Tahoma"/>
            <family val="2"/>
          </rPr>
          <t xml:space="preserve">
https://www.bls.gov/regions/midwest/data/averageenergyprices_selectedareas_table.htm</t>
        </r>
      </text>
    </comment>
    <comment ref="G284" authorId="0" shapeId="0" xr:uid="{91E6F6EE-1076-44C8-AD44-1425615DE432}">
      <text>
        <r>
          <rPr>
            <b/>
            <sz val="9"/>
            <color indexed="81"/>
            <rFont val="Tahoma"/>
            <family val="2"/>
          </rPr>
          <t>Smith Pittman:</t>
        </r>
        <r>
          <rPr>
            <sz val="9"/>
            <color indexed="81"/>
            <rFont val="Tahoma"/>
            <family val="2"/>
          </rPr>
          <t xml:space="preserve">
https://www.bls.gov/regions/midwest/data/averageenergyprices_selectedareas_table.htm</t>
        </r>
      </text>
    </comment>
    <comment ref="G285" authorId="0" shapeId="0" xr:uid="{DD141D9D-908E-4EBC-BD86-7EE07FFB3861}">
      <text>
        <r>
          <rPr>
            <b/>
            <sz val="9"/>
            <color indexed="81"/>
            <rFont val="Tahoma"/>
            <family val="2"/>
          </rPr>
          <t>Smith Pittman:</t>
        </r>
        <r>
          <rPr>
            <sz val="9"/>
            <color indexed="81"/>
            <rFont val="Tahoma"/>
            <family val="2"/>
          </rPr>
          <t xml:space="preserve">
https://www.nrel.gov/docs/fy15osti/62455.pdf</t>
        </r>
      </text>
    </comment>
    <comment ref="G304" authorId="0" shapeId="0" xr:uid="{F26D3BED-6B16-45D6-BB63-537D8C32E21B}">
      <text>
        <r>
          <rPr>
            <b/>
            <sz val="9"/>
            <color indexed="81"/>
            <rFont val="Tahoma"/>
            <family val="2"/>
          </rPr>
          <t>Smith Pittman:</t>
        </r>
        <r>
          <rPr>
            <sz val="9"/>
            <color indexed="81"/>
            <rFont val="Tahoma"/>
            <family val="2"/>
          </rPr>
          <t xml:space="preserve">
https://www.vigon.com/product/acetate-c-9-fcc-nonyl-acetate/?tm=tt&amp;ap=gads&amp;aaid=ada59wGQs4jF9&amp;gad_source=1&amp;gclid=CjwKCAjwxY-3BhAuEiwAu7Y6s8_VTUbjiJzA1PISXFVqO68gf1AI_TTK_IyxwEWabcWPP9ZEaWcsIRoC0ioQAvD_BwE</t>
        </r>
      </text>
    </comment>
    <comment ref="G305" authorId="0" shapeId="0" xr:uid="{E85998DE-1663-42BF-A65D-7AB12B9D2D6E}">
      <text>
        <r>
          <rPr>
            <b/>
            <sz val="9"/>
            <color indexed="81"/>
            <rFont val="Tahoma"/>
            <family val="2"/>
          </rPr>
          <t>Smith Pittman:</t>
        </r>
        <r>
          <rPr>
            <sz val="9"/>
            <color indexed="81"/>
            <rFont val="Tahoma"/>
            <family val="2"/>
          </rPr>
          <t xml:space="preserve">
https://www.bls.gov/regions/midwest/data/averageenergyprices_selectedareas_table.htm</t>
        </r>
      </text>
    </comment>
    <comment ref="G306" authorId="0" shapeId="0" xr:uid="{73A03523-BC92-4D8D-85F2-47FF5D63E909}">
      <text>
        <r>
          <rPr>
            <b/>
            <sz val="9"/>
            <color indexed="81"/>
            <rFont val="Tahoma"/>
            <family val="2"/>
          </rPr>
          <t>Smith Pittman:</t>
        </r>
        <r>
          <rPr>
            <sz val="9"/>
            <color indexed="81"/>
            <rFont val="Tahoma"/>
            <family val="2"/>
          </rPr>
          <t xml:space="preserve">
https://www.bls.gov/regions/midwest/data/averageenergyprices_selectedareas_table.htm</t>
        </r>
      </text>
    </comment>
    <comment ref="G307" authorId="0" shapeId="0" xr:uid="{E0AD36C8-8C02-49EF-A7DD-382C3DCFCA90}">
      <text>
        <r>
          <rPr>
            <b/>
            <sz val="9"/>
            <color indexed="81"/>
            <rFont val="Tahoma"/>
            <family val="2"/>
          </rPr>
          <t>Smith Pittman:</t>
        </r>
        <r>
          <rPr>
            <sz val="9"/>
            <color indexed="81"/>
            <rFont val="Tahoma"/>
            <family val="2"/>
          </rPr>
          <t xml:space="preserve">
https://www.bls.gov/regions/midwest/data/averageenergyprices_selectedareas_table.htm</t>
        </r>
      </text>
    </comment>
    <comment ref="G308" authorId="0" shapeId="0" xr:uid="{11A5F35F-66F2-4452-81B1-F308B39EDC41}">
      <text>
        <r>
          <rPr>
            <b/>
            <sz val="9"/>
            <color indexed="81"/>
            <rFont val="Tahoma"/>
            <family val="2"/>
          </rPr>
          <t>Smith Pittman:</t>
        </r>
        <r>
          <rPr>
            <sz val="9"/>
            <color indexed="81"/>
            <rFont val="Tahoma"/>
            <family val="2"/>
          </rPr>
          <t xml:space="preserve">
https://www.bls.gov/regions/midwest/data/averageenergyprices_selectedareas_table.htm</t>
        </r>
      </text>
    </comment>
    <comment ref="G309" authorId="0" shapeId="0" xr:uid="{823D08A1-36B0-4B60-906D-5869EED37E48}">
      <text>
        <r>
          <rPr>
            <b/>
            <sz val="9"/>
            <color indexed="81"/>
            <rFont val="Tahoma"/>
            <family val="2"/>
          </rPr>
          <t>Smith Pittman:</t>
        </r>
        <r>
          <rPr>
            <sz val="9"/>
            <color indexed="81"/>
            <rFont val="Tahoma"/>
            <family val="2"/>
          </rPr>
          <t xml:space="preserve">
https://www.nrel.gov/docs/fy15osti/62455.pdf</t>
        </r>
      </text>
    </comment>
    <comment ref="G328" authorId="0" shapeId="0" xr:uid="{C3820DAA-B7B3-40BA-85EF-13552A61587C}">
      <text>
        <r>
          <rPr>
            <b/>
            <sz val="9"/>
            <color indexed="81"/>
            <rFont val="Tahoma"/>
            <family val="2"/>
          </rPr>
          <t>Smith Pittman:</t>
        </r>
        <r>
          <rPr>
            <sz val="9"/>
            <color indexed="81"/>
            <rFont val="Tahoma"/>
            <family val="2"/>
          </rPr>
          <t xml:space="preserve">
https://www.pnas.org/doi/full/10.1073/pnas.2023008118</t>
        </r>
      </text>
    </comment>
    <comment ref="G329" authorId="0" shapeId="0" xr:uid="{194C7454-81C9-4C68-9E11-3B071865661B}">
      <text>
        <r>
          <rPr>
            <b/>
            <sz val="9"/>
            <color indexed="81"/>
            <rFont val="Tahoma"/>
            <family val="2"/>
          </rPr>
          <t>Smith Pittman:</t>
        </r>
        <r>
          <rPr>
            <sz val="9"/>
            <color indexed="81"/>
            <rFont val="Tahoma"/>
            <family val="2"/>
          </rPr>
          <t xml:space="preserve">
https://www.bls.gov/regions/midwest/data/averageenergyprices_selectedareas_table.htm</t>
        </r>
      </text>
    </comment>
    <comment ref="G330" authorId="0" shapeId="0" xr:uid="{2FA6714A-2B95-4085-BAA5-D2FA022E28FB}">
      <text>
        <r>
          <rPr>
            <b/>
            <sz val="9"/>
            <color indexed="81"/>
            <rFont val="Tahoma"/>
            <family val="2"/>
          </rPr>
          <t>Smith Pittman:</t>
        </r>
        <r>
          <rPr>
            <sz val="9"/>
            <color indexed="81"/>
            <rFont val="Tahoma"/>
            <family val="2"/>
          </rPr>
          <t xml:space="preserve">
https://www.bls.gov/regions/midwest/data/averageenergyprices_selectedareas_table.htm</t>
        </r>
      </text>
    </comment>
    <comment ref="G331" authorId="0" shapeId="0" xr:uid="{E608A93C-86F6-456A-B6CD-4A813B64DEBB}">
      <text>
        <r>
          <rPr>
            <b/>
            <sz val="9"/>
            <color indexed="81"/>
            <rFont val="Tahoma"/>
            <family val="2"/>
          </rPr>
          <t>Smith Pittman:</t>
        </r>
        <r>
          <rPr>
            <sz val="9"/>
            <color indexed="81"/>
            <rFont val="Tahoma"/>
            <family val="2"/>
          </rPr>
          <t xml:space="preserve">
https://www.bls.gov/regions/midwest/data/averageenergyprices_selectedareas_table.htm</t>
        </r>
      </text>
    </comment>
    <comment ref="G332" authorId="0" shapeId="0" xr:uid="{2C5FEF67-6DF9-4A2A-AB4F-ACB86215B01D}">
      <text>
        <r>
          <rPr>
            <b/>
            <sz val="9"/>
            <color indexed="81"/>
            <rFont val="Tahoma"/>
            <family val="2"/>
          </rPr>
          <t>Smith Pittman:</t>
        </r>
        <r>
          <rPr>
            <sz val="9"/>
            <color indexed="81"/>
            <rFont val="Tahoma"/>
            <family val="2"/>
          </rPr>
          <t xml:space="preserve">
https://www.bls.gov/regions/midwest/data/averageenergyprices_selectedareas_table.htm</t>
        </r>
      </text>
    </comment>
    <comment ref="G333" authorId="0" shapeId="0" xr:uid="{5F2E010B-C5AC-4959-92DE-69AADACCF818}">
      <text>
        <r>
          <rPr>
            <b/>
            <sz val="9"/>
            <color indexed="81"/>
            <rFont val="Tahoma"/>
            <family val="2"/>
          </rPr>
          <t>Smith Pittman:</t>
        </r>
        <r>
          <rPr>
            <sz val="9"/>
            <color indexed="81"/>
            <rFont val="Tahoma"/>
            <family val="2"/>
          </rPr>
          <t xml:space="preserve">
https://www.bls.gov/regions/midwest/data/averageenergyprices_selectedareas_table.htm</t>
        </r>
      </text>
    </comment>
    <comment ref="G334" authorId="0" shapeId="0" xr:uid="{92490EB2-7E0A-497F-8AD8-86AF44F81B6A}">
      <text>
        <r>
          <rPr>
            <b/>
            <sz val="9"/>
            <color indexed="81"/>
            <rFont val="Tahoma"/>
            <family val="2"/>
          </rPr>
          <t>Smith Pittman:</t>
        </r>
        <r>
          <rPr>
            <sz val="9"/>
            <color indexed="81"/>
            <rFont val="Tahoma"/>
            <family val="2"/>
          </rPr>
          <t xml:space="preserve">
https://www.nrel.gov/docs/fy15osti/62455.pdf</t>
        </r>
      </text>
    </comment>
    <comment ref="G354" authorId="0" shapeId="0" xr:uid="{6B427AA6-999E-43DA-A5D5-E27D7A3FA96B}">
      <text>
        <r>
          <rPr>
            <b/>
            <sz val="9"/>
            <color indexed="81"/>
            <rFont val="Tahoma"/>
            <family val="2"/>
          </rPr>
          <t>Smith Pittman:</t>
        </r>
        <r>
          <rPr>
            <sz val="9"/>
            <color indexed="81"/>
            <rFont val="Tahoma"/>
            <family val="2"/>
          </rPr>
          <t xml:space="preserve">
https://www.pnas.org/doi/full/10.1073/pnas.2023008118</t>
        </r>
      </text>
    </comment>
    <comment ref="G355" authorId="0" shapeId="0" xr:uid="{AC523B18-5EFB-40C0-AC41-7378E2359BDB}">
      <text>
        <r>
          <rPr>
            <b/>
            <sz val="9"/>
            <color indexed="81"/>
            <rFont val="Tahoma"/>
            <family val="2"/>
          </rPr>
          <t>Smith Pittman:</t>
        </r>
        <r>
          <rPr>
            <sz val="9"/>
            <color indexed="81"/>
            <rFont val="Tahoma"/>
            <family val="2"/>
          </rPr>
          <t xml:space="preserve">
https://www.bls.gov/regions/midwest/data/averageenergyprices_selectedareas_table.htm</t>
        </r>
      </text>
    </comment>
    <comment ref="G356" authorId="0" shapeId="0" xr:uid="{1B3EF658-48E3-4E51-99E1-ADBB2A1353CB}">
      <text>
        <r>
          <rPr>
            <b/>
            <sz val="9"/>
            <color indexed="81"/>
            <rFont val="Tahoma"/>
            <family val="2"/>
          </rPr>
          <t>Smith Pittman:</t>
        </r>
        <r>
          <rPr>
            <sz val="9"/>
            <color indexed="81"/>
            <rFont val="Tahoma"/>
            <family val="2"/>
          </rPr>
          <t xml:space="preserve">
https://www.bls.gov/regions/midwest/data/averageenergyprices_selectedareas_table.htm</t>
        </r>
      </text>
    </comment>
    <comment ref="G357" authorId="0" shapeId="0" xr:uid="{0E335725-A65D-49FB-8ECE-296E931EA86D}">
      <text>
        <r>
          <rPr>
            <b/>
            <sz val="9"/>
            <color indexed="81"/>
            <rFont val="Tahoma"/>
            <family val="2"/>
          </rPr>
          <t>Smith Pittman:</t>
        </r>
        <r>
          <rPr>
            <sz val="9"/>
            <color indexed="81"/>
            <rFont val="Tahoma"/>
            <family val="2"/>
          </rPr>
          <t xml:space="preserve">
https://www.bls.gov/regions/midwest/data/averageenergyprices_selectedareas_table.htm</t>
        </r>
      </text>
    </comment>
    <comment ref="G358" authorId="0" shapeId="0" xr:uid="{97FB741E-7DF7-436A-9D5D-8BE0FCC83D1E}">
      <text>
        <r>
          <rPr>
            <b/>
            <sz val="9"/>
            <color indexed="81"/>
            <rFont val="Tahoma"/>
            <family val="2"/>
          </rPr>
          <t>Smith Pittman:</t>
        </r>
        <r>
          <rPr>
            <sz val="9"/>
            <color indexed="81"/>
            <rFont val="Tahoma"/>
            <family val="2"/>
          </rPr>
          <t xml:space="preserve">
https://www.bls.gov/regions/midwest/data/averageenergyprices_selectedareas_table.htm</t>
        </r>
      </text>
    </comment>
    <comment ref="G359" authorId="0" shapeId="0" xr:uid="{E2C06973-2CBB-4E5F-9F6A-5A3548ECC0A0}">
      <text>
        <r>
          <rPr>
            <b/>
            <sz val="9"/>
            <color indexed="81"/>
            <rFont val="Tahoma"/>
            <family val="2"/>
          </rPr>
          <t>Smith Pittman:</t>
        </r>
        <r>
          <rPr>
            <sz val="9"/>
            <color indexed="81"/>
            <rFont val="Tahoma"/>
            <family val="2"/>
          </rPr>
          <t xml:space="preserve">
https://www.bls.gov/regions/midwest/data/averageenergyprices_selectedareas_table.htm</t>
        </r>
      </text>
    </comment>
    <comment ref="G360" authorId="0" shapeId="0" xr:uid="{782C7667-5D01-495A-B392-45B3CF5445D3}">
      <text>
        <r>
          <rPr>
            <b/>
            <sz val="9"/>
            <color indexed="81"/>
            <rFont val="Tahoma"/>
            <family val="2"/>
          </rPr>
          <t>Smith Pittman:</t>
        </r>
        <r>
          <rPr>
            <sz val="9"/>
            <color indexed="81"/>
            <rFont val="Tahoma"/>
            <family val="2"/>
          </rPr>
          <t xml:space="preserve">
https://www.nrel.gov/docs/fy15osti/62455.pdf</t>
        </r>
      </text>
    </comment>
    <comment ref="G380" authorId="0" shapeId="0" xr:uid="{F64D4DFE-FAF4-4415-99EB-A2E97054F578}">
      <text>
        <r>
          <rPr>
            <b/>
            <sz val="9"/>
            <color indexed="81"/>
            <rFont val="Tahoma"/>
            <family val="2"/>
          </rPr>
          <t>Smith Pittman:</t>
        </r>
        <r>
          <rPr>
            <sz val="9"/>
            <color indexed="81"/>
            <rFont val="Tahoma"/>
            <family val="2"/>
          </rPr>
          <t xml:space="preserve">
https://www.bls.gov/regions/midwest/data/averageenergyprices_selectedareas_table.htm</t>
        </r>
      </text>
    </comment>
    <comment ref="G381" authorId="0" shapeId="0" xr:uid="{7AB8057E-498B-48CD-B82C-249B23A294B2}">
      <text>
        <r>
          <rPr>
            <b/>
            <sz val="9"/>
            <color indexed="81"/>
            <rFont val="Tahoma"/>
            <family val="2"/>
          </rPr>
          <t>Smith Pittman:</t>
        </r>
        <r>
          <rPr>
            <sz val="9"/>
            <color indexed="81"/>
            <rFont val="Tahoma"/>
            <family val="2"/>
          </rPr>
          <t xml:space="preserve">
https://www.bls.gov/regions/midwest/data/averageenergyprices_selectedareas_table.htm</t>
        </r>
      </text>
    </comment>
    <comment ref="G382" authorId="0" shapeId="0" xr:uid="{B010C475-8C51-4EC8-ACE8-4E3F95A9062B}">
      <text>
        <r>
          <rPr>
            <b/>
            <sz val="9"/>
            <color indexed="81"/>
            <rFont val="Tahoma"/>
            <family val="2"/>
          </rPr>
          <t>Smith Pittman:</t>
        </r>
        <r>
          <rPr>
            <sz val="9"/>
            <color indexed="81"/>
            <rFont val="Tahoma"/>
            <family val="2"/>
          </rPr>
          <t xml:space="preserve">
https://www.bls.gov/regions/midwest/data/averageenergyprices_selectedareas_table.htm</t>
        </r>
      </text>
    </comment>
    <comment ref="G383" authorId="0" shapeId="0" xr:uid="{4FA76A69-F59A-47CC-A66D-ECAD080F2B39}">
      <text>
        <r>
          <rPr>
            <b/>
            <sz val="9"/>
            <color indexed="81"/>
            <rFont val="Tahoma"/>
            <family val="2"/>
          </rPr>
          <t>Smith Pittman:</t>
        </r>
        <r>
          <rPr>
            <sz val="9"/>
            <color indexed="81"/>
            <rFont val="Tahoma"/>
            <family val="2"/>
          </rPr>
          <t xml:space="preserve">
https://www.bls.gov/regions/midwest/data/averageenergyprices_selectedareas_table.htm</t>
        </r>
      </text>
    </comment>
    <comment ref="G405" authorId="0" shapeId="0" xr:uid="{937B8002-6B9E-49BB-A543-16FA90845BA0}">
      <text>
        <r>
          <rPr>
            <b/>
            <sz val="9"/>
            <color indexed="81"/>
            <rFont val="Tahoma"/>
            <family val="2"/>
          </rPr>
          <t>Smith Pittman:</t>
        </r>
        <r>
          <rPr>
            <sz val="9"/>
            <color indexed="81"/>
            <rFont val="Tahoma"/>
            <family val="2"/>
          </rPr>
          <t xml:space="preserve">
https://www.thermofisher.com/order/catalog/product/15023021?SID=srch-srp-15023021</t>
        </r>
      </text>
    </comment>
    <comment ref="G406" authorId="0" shapeId="0" xr:uid="{B999CD13-624D-4116-87D8-A5E5F9E8B3AA}">
      <text>
        <r>
          <rPr>
            <b/>
            <sz val="9"/>
            <color indexed="81"/>
            <rFont val="Tahoma"/>
            <family val="2"/>
          </rPr>
          <t>Smith Pittman:</t>
        </r>
        <r>
          <rPr>
            <sz val="9"/>
            <color indexed="81"/>
            <rFont val="Tahoma"/>
            <family val="2"/>
          </rPr>
          <t xml:space="preserve">
https://www.thermofisher.com/order/catalog/product/A1374401?SID=srch-srp-A1374401</t>
        </r>
      </text>
    </comment>
    <comment ref="G407" authorId="0" shapeId="0" xr:uid="{76465FF2-17E2-4CAC-90D9-C65EC652B896}">
      <text>
        <r>
          <rPr>
            <b/>
            <sz val="9"/>
            <color indexed="81"/>
            <rFont val="Tahoma"/>
            <family val="2"/>
          </rPr>
          <t>Smith Pittman:</t>
        </r>
        <r>
          <rPr>
            <sz val="9"/>
            <color indexed="81"/>
            <rFont val="Tahoma"/>
            <family val="2"/>
          </rPr>
          <t xml:space="preserve">
https://www.bls.gov/regions/midwest/data/averageenergyprices_selectedareas_table.htm</t>
        </r>
      </text>
    </comment>
    <comment ref="G408" authorId="0" shapeId="0" xr:uid="{A7CB0525-D041-488D-8268-7BB3A4DD4301}">
      <text>
        <r>
          <rPr>
            <b/>
            <sz val="9"/>
            <color indexed="81"/>
            <rFont val="Tahoma"/>
            <family val="2"/>
          </rPr>
          <t>Smith Pittman:</t>
        </r>
        <r>
          <rPr>
            <sz val="9"/>
            <color indexed="81"/>
            <rFont val="Tahoma"/>
            <family val="2"/>
          </rPr>
          <t xml:space="preserve">
https://www.bls.gov/regions/midwest/data/averageenergyprices_selectedareas_table.htm</t>
        </r>
      </text>
    </comment>
    <comment ref="G409" authorId="0" shapeId="0" xr:uid="{9EEB2DFC-08B2-44E0-9B07-0BF2D5689DBD}">
      <text>
        <r>
          <rPr>
            <b/>
            <sz val="9"/>
            <color indexed="81"/>
            <rFont val="Tahoma"/>
            <family val="2"/>
          </rPr>
          <t>Smith Pittman:</t>
        </r>
        <r>
          <rPr>
            <sz val="9"/>
            <color indexed="81"/>
            <rFont val="Tahoma"/>
            <family val="2"/>
          </rPr>
          <t xml:space="preserve">
https://www.bls.gov/regions/midwest/data/averageenergyprices_selectedareas_table.htm</t>
        </r>
      </text>
    </comment>
    <comment ref="G410" authorId="0" shapeId="0" xr:uid="{530A18A2-E7C7-4EBF-AC14-C22DADEAF34F}">
      <text>
        <r>
          <rPr>
            <b/>
            <sz val="9"/>
            <color indexed="81"/>
            <rFont val="Tahoma"/>
            <family val="2"/>
          </rPr>
          <t>Smith Pittman:</t>
        </r>
        <r>
          <rPr>
            <sz val="9"/>
            <color indexed="81"/>
            <rFont val="Tahoma"/>
            <family val="2"/>
          </rPr>
          <t xml:space="preserve">
https://www.bls.gov/regions/midwest/data/averageenergyprices_selectedareas_table.htm</t>
        </r>
      </text>
    </comment>
    <comment ref="G411" authorId="0" shapeId="0" xr:uid="{916784AB-DE6A-41D8-BF01-80D2F88A0822}">
      <text>
        <r>
          <rPr>
            <b/>
            <sz val="9"/>
            <color indexed="81"/>
            <rFont val="Tahoma"/>
            <family val="2"/>
          </rPr>
          <t>Smith Pittman:</t>
        </r>
        <r>
          <rPr>
            <sz val="9"/>
            <color indexed="81"/>
            <rFont val="Tahoma"/>
            <family val="2"/>
          </rPr>
          <t xml:space="preserve">
https://www.bls.gov/regions/midwest/data/averageenergyprices_selectedareas_table.htm</t>
        </r>
      </text>
    </comment>
    <comment ref="G412" authorId="0" shapeId="0" xr:uid="{36DDF934-4DDA-4C52-A85D-21FE1068786F}">
      <text>
        <r>
          <rPr>
            <b/>
            <sz val="9"/>
            <color indexed="81"/>
            <rFont val="Tahoma"/>
            <family val="2"/>
          </rPr>
          <t>Smith Pittman:</t>
        </r>
        <r>
          <rPr>
            <sz val="9"/>
            <color indexed="81"/>
            <rFont val="Tahoma"/>
            <family val="2"/>
          </rPr>
          <t xml:space="preserve">
https://www.thermofisher.com/order/catalog/product/A18565.0E</t>
        </r>
      </text>
    </comment>
    <comment ref="G413" authorId="0" shapeId="0" xr:uid="{F7D4B01C-E331-40D7-8DA6-39C4376FE7BC}">
      <text>
        <r>
          <rPr>
            <b/>
            <sz val="9"/>
            <color indexed="81"/>
            <rFont val="Tahoma"/>
            <family val="2"/>
          </rPr>
          <t>Smith Pittman:</t>
        </r>
        <r>
          <rPr>
            <sz val="9"/>
            <color indexed="81"/>
            <rFont val="Tahoma"/>
            <family val="2"/>
          </rPr>
          <t xml:space="preserve">
https://www.thermofisher.com/order/catalog/product/15023021?SID=srch-srp-15023021</t>
        </r>
      </text>
    </comment>
    <comment ref="G414" authorId="0" shapeId="0" xr:uid="{B4C4CF9D-0135-41BB-BC5A-D55EAA6B4EC8}">
      <text>
        <r>
          <rPr>
            <b/>
            <sz val="9"/>
            <color indexed="81"/>
            <rFont val="Tahoma"/>
            <family val="2"/>
          </rPr>
          <t>Smith Pittman:</t>
        </r>
        <r>
          <rPr>
            <sz val="9"/>
            <color indexed="81"/>
            <rFont val="Tahoma"/>
            <family val="2"/>
          </rPr>
          <t xml:space="preserve">
https://www.thermofisher.com/order/catalog/product/A1374401?SID=srch-srp-A1374401</t>
        </r>
      </text>
    </comment>
    <comment ref="G415" authorId="0" shapeId="0" xr:uid="{AC86E87E-4632-48C5-8DF4-354DA9F627EE}">
      <text>
        <r>
          <rPr>
            <b/>
            <sz val="9"/>
            <color indexed="81"/>
            <rFont val="Tahoma"/>
            <family val="2"/>
          </rPr>
          <t>Smith Pittman:</t>
        </r>
        <r>
          <rPr>
            <sz val="9"/>
            <color indexed="81"/>
            <rFont val="Tahoma"/>
            <family val="2"/>
          </rPr>
          <t xml:space="preserve">
https://www.bls.gov/regions/midwest/data/averageenergyprices_selectedareas_table.htm</t>
        </r>
      </text>
    </comment>
    <comment ref="G416" authorId="0" shapeId="0" xr:uid="{9615ED01-27EE-4547-8CDB-2463D4890261}">
      <text>
        <r>
          <rPr>
            <b/>
            <sz val="9"/>
            <color indexed="81"/>
            <rFont val="Tahoma"/>
            <family val="2"/>
          </rPr>
          <t>Smith Pittman:</t>
        </r>
        <r>
          <rPr>
            <sz val="9"/>
            <color indexed="81"/>
            <rFont val="Tahoma"/>
            <family val="2"/>
          </rPr>
          <t xml:space="preserve">
https://www.bls.gov/regions/midwest/data/averageenergyprices_selectedareas_table.htm</t>
        </r>
      </text>
    </comment>
    <comment ref="G417" authorId="0" shapeId="0" xr:uid="{73192D53-3126-469C-98ED-083C5973FA15}">
      <text>
        <r>
          <rPr>
            <b/>
            <sz val="9"/>
            <color indexed="81"/>
            <rFont val="Tahoma"/>
            <family val="2"/>
          </rPr>
          <t>Smith Pittman:</t>
        </r>
        <r>
          <rPr>
            <sz val="9"/>
            <color indexed="81"/>
            <rFont val="Tahoma"/>
            <family val="2"/>
          </rPr>
          <t xml:space="preserve">
https://www.thermofisher.com/order/catalog/product/L13191.0I</t>
        </r>
      </text>
    </comment>
    <comment ref="G418" authorId="0" shapeId="0" xr:uid="{ADC055CA-BF00-494E-B38D-40984838DFCD}">
      <text>
        <r>
          <rPr>
            <b/>
            <sz val="9"/>
            <color indexed="81"/>
            <rFont val="Tahoma"/>
            <family val="2"/>
          </rPr>
          <t>Smith Pittman:</t>
        </r>
        <r>
          <rPr>
            <sz val="9"/>
            <color indexed="81"/>
            <rFont val="Tahoma"/>
            <family val="2"/>
          </rPr>
          <t xml:space="preserve">
https://www.bls.gov/regions/midwest/data/averageenergyprices_selectedareas_table.htm</t>
        </r>
      </text>
    </comment>
    <comment ref="G419" authorId="0" shapeId="0" xr:uid="{FBBB3946-C3EB-4CD5-8D3D-327A87774205}">
      <text>
        <r>
          <rPr>
            <b/>
            <sz val="9"/>
            <color indexed="81"/>
            <rFont val="Tahoma"/>
            <family val="2"/>
          </rPr>
          <t>Smith Pittman:</t>
        </r>
        <r>
          <rPr>
            <sz val="9"/>
            <color indexed="81"/>
            <rFont val="Tahoma"/>
            <family val="2"/>
          </rPr>
          <t xml:space="preserve">
https://www.bls.gov/regions/midwest/data/averageenergyprices_selectedareas_table.htm</t>
        </r>
      </text>
    </comment>
    <comment ref="G420" authorId="0" shapeId="0" xr:uid="{D4C5D798-4873-405D-AF4D-3D53989EB234}">
      <text>
        <r>
          <rPr>
            <b/>
            <sz val="9"/>
            <color indexed="81"/>
            <rFont val="Tahoma"/>
            <family val="2"/>
          </rPr>
          <t>Smith Pittman:</t>
        </r>
        <r>
          <rPr>
            <sz val="9"/>
            <color indexed="81"/>
            <rFont val="Tahoma"/>
            <family val="2"/>
          </rPr>
          <t xml:space="preserve">
https://www.bls.gov/regions/midwest/data/averageenergyprices_selectedareas_table.htm</t>
        </r>
      </text>
    </comment>
    <comment ref="G421" authorId="0" shapeId="0" xr:uid="{898EF047-AA43-408C-9B0B-C4BD7853EF61}">
      <text>
        <r>
          <rPr>
            <b/>
            <sz val="9"/>
            <color indexed="81"/>
            <rFont val="Tahoma"/>
            <family val="2"/>
          </rPr>
          <t>Smith Pittman:</t>
        </r>
        <r>
          <rPr>
            <sz val="9"/>
            <color indexed="81"/>
            <rFont val="Tahoma"/>
            <family val="2"/>
          </rPr>
          <t xml:space="preserve">
https://www.bls.gov/regions/midwest/data/averageenergyprices_selectedareas_table.htm</t>
        </r>
      </text>
    </comment>
    <comment ref="G422" authorId="0" shapeId="0" xr:uid="{BCB12587-FB75-4570-99B1-07763BC0063A}">
      <text>
        <r>
          <rPr>
            <b/>
            <sz val="9"/>
            <color indexed="81"/>
            <rFont val="Tahoma"/>
            <family val="2"/>
          </rPr>
          <t>Smith Pittman:</t>
        </r>
        <r>
          <rPr>
            <sz val="9"/>
            <color indexed="81"/>
            <rFont val="Tahoma"/>
            <family val="2"/>
          </rPr>
          <t xml:space="preserve">
https://www.thermofisher.com/order/catalog/product/10010072</t>
        </r>
      </text>
    </comment>
    <comment ref="G423" authorId="0" shapeId="0" xr:uid="{77970BCC-B28B-4D4D-BB63-C509CDD0588E}">
      <text>
        <r>
          <rPr>
            <b/>
            <sz val="9"/>
            <color indexed="81"/>
            <rFont val="Tahoma"/>
            <family val="2"/>
          </rPr>
          <t>Smith Pittman:</t>
        </r>
        <r>
          <rPr>
            <sz val="9"/>
            <color indexed="81"/>
            <rFont val="Tahoma"/>
            <family val="2"/>
          </rPr>
          <t xml:space="preserve">
https://www.bls.gov/regions/midwest/data/averageenergyprices_selectedareas_table.htm</t>
        </r>
      </text>
    </comment>
    <comment ref="G424" authorId="0" shapeId="0" xr:uid="{420D863C-BB3D-4C25-8A3D-AA088B776592}">
      <text>
        <r>
          <rPr>
            <b/>
            <sz val="9"/>
            <color indexed="81"/>
            <rFont val="Tahoma"/>
            <family val="2"/>
          </rPr>
          <t>Smith Pittman:</t>
        </r>
        <r>
          <rPr>
            <sz val="9"/>
            <color indexed="81"/>
            <rFont val="Tahoma"/>
            <family val="2"/>
          </rPr>
          <t xml:space="preserve">
https://www.bls.gov/regions/midwest/data/averageenergyprices_selectedareas_table.htm</t>
        </r>
      </text>
    </comment>
    <comment ref="G425" authorId="0" shapeId="0" xr:uid="{4516DC13-3BAC-4141-B5F5-B620D9CC0BB8}">
      <text>
        <r>
          <rPr>
            <b/>
            <sz val="9"/>
            <color indexed="81"/>
            <rFont val="Tahoma"/>
            <family val="2"/>
          </rPr>
          <t>Smith Pittman:</t>
        </r>
        <r>
          <rPr>
            <sz val="9"/>
            <color indexed="81"/>
            <rFont val="Tahoma"/>
            <family val="2"/>
          </rPr>
          <t xml:space="preserve">
https://www.nrel.gov/docs/fy15osti/62455.pdf</t>
        </r>
      </text>
    </comment>
    <comment ref="G443" authorId="0" shapeId="0" xr:uid="{8E363C33-E031-4DD8-91AA-A89D8A4F6C22}">
      <text>
        <r>
          <rPr>
            <b/>
            <sz val="9"/>
            <color indexed="81"/>
            <rFont val="Tahoma"/>
            <family val="2"/>
          </rPr>
          <t>Smith Pittman:</t>
        </r>
        <r>
          <rPr>
            <sz val="9"/>
            <color indexed="81"/>
            <rFont val="Tahoma"/>
            <family val="2"/>
          </rPr>
          <t xml:space="preserve">
https://www.bls.gov/regions/midwest/data/averageenergyprices_selectedareas_table.htm</t>
        </r>
      </text>
    </comment>
    <comment ref="G444" authorId="0" shapeId="0" xr:uid="{0CA67C2F-6DF0-4A34-8F26-A82CBA6DEF13}">
      <text>
        <r>
          <rPr>
            <b/>
            <sz val="9"/>
            <color indexed="81"/>
            <rFont val="Tahoma"/>
            <family val="2"/>
          </rPr>
          <t>Smith Pittman:</t>
        </r>
        <r>
          <rPr>
            <sz val="9"/>
            <color indexed="81"/>
            <rFont val="Tahoma"/>
            <family val="2"/>
          </rPr>
          <t xml:space="preserve">
https://www.bls.gov/regions/midwest/data/averageenergyprices_selectedareas_table.htm</t>
        </r>
      </text>
    </comment>
    <comment ref="G445" authorId="0" shapeId="0" xr:uid="{468D3E61-78FB-42EB-ADAF-22B86E4C0969}">
      <text>
        <r>
          <rPr>
            <b/>
            <sz val="9"/>
            <color indexed="81"/>
            <rFont val="Tahoma"/>
            <family val="2"/>
          </rPr>
          <t>Smith Pittman:</t>
        </r>
        <r>
          <rPr>
            <sz val="9"/>
            <color indexed="81"/>
            <rFont val="Tahoma"/>
            <family val="2"/>
          </rPr>
          <t xml:space="preserve">
https://www.bls.gov/regions/midwest/data/averageenergyprices_selectedareas_table.htm</t>
        </r>
      </text>
    </comment>
    <comment ref="G446" authorId="0" shapeId="0" xr:uid="{3D172328-39DF-4229-A9E9-081F6C7E001D}">
      <text>
        <r>
          <rPr>
            <b/>
            <sz val="9"/>
            <color indexed="81"/>
            <rFont val="Tahoma"/>
            <family val="2"/>
          </rPr>
          <t>Smith Pittman:</t>
        </r>
        <r>
          <rPr>
            <sz val="9"/>
            <color indexed="81"/>
            <rFont val="Tahoma"/>
            <family val="2"/>
          </rPr>
          <t xml:space="preserve">
https://www.bls.gov/regions/midwest/data/averageenergyprices_selectedareas_table.htm</t>
        </r>
      </text>
    </comment>
    <comment ref="G447" authorId="0" shapeId="0" xr:uid="{600958C2-FEDA-4BB3-9A0A-E2E0DFFBB184}">
      <text>
        <r>
          <rPr>
            <b/>
            <sz val="9"/>
            <color indexed="81"/>
            <rFont val="Tahoma"/>
            <family val="2"/>
          </rPr>
          <t>Smith Pittman:</t>
        </r>
        <r>
          <rPr>
            <sz val="9"/>
            <color indexed="81"/>
            <rFont val="Tahoma"/>
            <family val="2"/>
          </rPr>
          <t xml:space="preserve">
https://www.nrel.gov/docs/fy15osti/62402.pdf</t>
        </r>
      </text>
    </comment>
    <comment ref="G465" authorId="0" shapeId="0" xr:uid="{257114FC-9E58-46BC-8ED6-4D5D937B0D2D}">
      <text>
        <r>
          <rPr>
            <b/>
            <sz val="9"/>
            <color indexed="81"/>
            <rFont val="Tahoma"/>
            <family val="2"/>
          </rPr>
          <t>Smith Pittman:</t>
        </r>
        <r>
          <rPr>
            <sz val="9"/>
            <color indexed="81"/>
            <rFont val="Tahoma"/>
            <family val="2"/>
          </rPr>
          <t xml:space="preserve">
https://www.bls.gov/regions/midwest/data/averageenergyprices_selectedareas_table.htm</t>
        </r>
      </text>
    </comment>
    <comment ref="G466" authorId="0" shapeId="0" xr:uid="{4FCB6527-69A6-4A02-A3FA-979BDFFA9122}">
      <text>
        <r>
          <rPr>
            <b/>
            <sz val="9"/>
            <color indexed="81"/>
            <rFont val="Tahoma"/>
            <family val="2"/>
          </rPr>
          <t>Smith Pittman:</t>
        </r>
        <r>
          <rPr>
            <sz val="9"/>
            <color indexed="81"/>
            <rFont val="Tahoma"/>
            <family val="2"/>
          </rPr>
          <t xml:space="preserve">
https://www.bls.gov/regions/midwest/data/averageenergyprices_selectedareas_table.htm</t>
        </r>
      </text>
    </comment>
    <comment ref="G467" authorId="0" shapeId="0" xr:uid="{84AB4346-74D0-49FB-8AED-0607CE649B76}">
      <text>
        <r>
          <rPr>
            <b/>
            <sz val="9"/>
            <color indexed="81"/>
            <rFont val="Tahoma"/>
            <family val="2"/>
          </rPr>
          <t>Smith Pittman:</t>
        </r>
        <r>
          <rPr>
            <sz val="9"/>
            <color indexed="81"/>
            <rFont val="Tahoma"/>
            <family val="2"/>
          </rPr>
          <t xml:space="preserve">
https://www.bls.gov/regions/midwest/data/averageenergyprices_selectedareas_table.htm</t>
        </r>
      </text>
    </comment>
    <comment ref="G468" authorId="0" shapeId="0" xr:uid="{CDB1D11D-A452-4803-AF19-D6ADEDF2C5AE}">
      <text>
        <r>
          <rPr>
            <b/>
            <sz val="9"/>
            <color indexed="81"/>
            <rFont val="Tahoma"/>
            <family val="2"/>
          </rPr>
          <t>Smith Pittman:</t>
        </r>
        <r>
          <rPr>
            <sz val="9"/>
            <color indexed="81"/>
            <rFont val="Tahoma"/>
            <family val="2"/>
          </rPr>
          <t xml:space="preserve">
https://www.bls.gov/regions/midwest/data/averageenergyprices_selectedareas_table.htm</t>
        </r>
      </text>
    </comment>
    <comment ref="G469" authorId="0" shapeId="0" xr:uid="{D2FE2656-19EE-4603-BB27-8483DE4FDE97}">
      <text>
        <r>
          <rPr>
            <b/>
            <sz val="9"/>
            <color indexed="81"/>
            <rFont val="Tahoma"/>
            <family val="2"/>
          </rPr>
          <t>Smith Pittman:</t>
        </r>
        <r>
          <rPr>
            <sz val="9"/>
            <color indexed="81"/>
            <rFont val="Tahoma"/>
            <family val="2"/>
          </rPr>
          <t xml:space="preserve">
https://www.bls.gov/regions/midwest/data/averageenergyprices_selectedareas_table.htm</t>
        </r>
      </text>
    </comment>
    <comment ref="G470" authorId="0" shapeId="0" xr:uid="{482D551B-4FE8-48A2-B84B-21F5287C17B7}">
      <text>
        <r>
          <rPr>
            <b/>
            <sz val="9"/>
            <color indexed="81"/>
            <rFont val="Tahoma"/>
            <family val="2"/>
          </rPr>
          <t>Smith Pittman:</t>
        </r>
        <r>
          <rPr>
            <sz val="9"/>
            <color indexed="81"/>
            <rFont val="Tahoma"/>
            <family val="2"/>
          </rPr>
          <t xml:space="preserve">
https://www.bls.gov/regions/midwest/data/averageenergyprices_selectedareas_table.htm</t>
        </r>
      </text>
    </comment>
    <comment ref="G471" authorId="0" shapeId="0" xr:uid="{258603FC-48C8-4AE5-9EA2-79B32C285A6C}">
      <text>
        <r>
          <rPr>
            <b/>
            <sz val="9"/>
            <color indexed="81"/>
            <rFont val="Tahoma"/>
            <family val="2"/>
          </rPr>
          <t>Smith Pittman:</t>
        </r>
        <r>
          <rPr>
            <sz val="9"/>
            <color indexed="81"/>
            <rFont val="Tahoma"/>
            <family val="2"/>
          </rPr>
          <t xml:space="preserve">
https://www.bls.gov/regions/midwest/data/averageenergyprices_selectedareas_table.htm</t>
        </r>
      </text>
    </comment>
    <comment ref="G472" authorId="0" shapeId="0" xr:uid="{FAD41BED-5508-4049-942B-A8309D6655CD}">
      <text>
        <r>
          <rPr>
            <b/>
            <sz val="9"/>
            <color indexed="81"/>
            <rFont val="Tahoma"/>
            <family val="2"/>
          </rPr>
          <t>Smith Pittman:</t>
        </r>
        <r>
          <rPr>
            <sz val="9"/>
            <color indexed="81"/>
            <rFont val="Tahoma"/>
            <family val="2"/>
          </rPr>
          <t xml:space="preserve">
https://www.nrel.gov/docs/fy15osti/62455.pdf</t>
        </r>
      </text>
    </comment>
    <comment ref="G490" authorId="0" shapeId="0" xr:uid="{7A72FF71-6208-440C-AD5C-CBD4E9DB3391}">
      <text>
        <r>
          <rPr>
            <b/>
            <sz val="9"/>
            <color indexed="81"/>
            <rFont val="Tahoma"/>
            <family val="2"/>
          </rPr>
          <t>Smith Pittman:</t>
        </r>
        <r>
          <rPr>
            <sz val="9"/>
            <color indexed="81"/>
            <rFont val="Tahoma"/>
            <family val="2"/>
          </rPr>
          <t xml:space="preserve">
https://www.chemanalyst.com/Pricing-data/liquid-carbon-dioxide-1090</t>
        </r>
      </text>
    </comment>
    <comment ref="G491" authorId="0" shapeId="0" xr:uid="{40B1FAF8-020C-4D08-850B-4744AB1A4C00}">
      <text>
        <r>
          <rPr>
            <b/>
            <sz val="9"/>
            <color indexed="81"/>
            <rFont val="Tahoma"/>
            <family val="2"/>
          </rPr>
          <t>Smith Pittman:</t>
        </r>
        <r>
          <rPr>
            <sz val="9"/>
            <color indexed="81"/>
            <rFont val="Tahoma"/>
            <family val="2"/>
          </rPr>
          <t xml:space="preserve">
https://www.bls.gov/regions/midwest/data/averageenergyprices_selectedareas_table.htm</t>
        </r>
      </text>
    </comment>
    <comment ref="G492" authorId="0" shapeId="0" xr:uid="{825F5984-2356-4056-800A-DF628AA416ED}">
      <text>
        <r>
          <rPr>
            <b/>
            <sz val="9"/>
            <color indexed="81"/>
            <rFont val="Tahoma"/>
            <family val="2"/>
          </rPr>
          <t>Smith Pittman:</t>
        </r>
        <r>
          <rPr>
            <sz val="9"/>
            <color indexed="81"/>
            <rFont val="Tahoma"/>
            <family val="2"/>
          </rPr>
          <t xml:space="preserve">
https://www.bls.gov/regions/midwest/data/averageenergyprices_selectedareas_table.htm</t>
        </r>
      </text>
    </comment>
    <comment ref="G493" authorId="0" shapeId="0" xr:uid="{8C78B2AD-DAC7-4442-88FF-9D6868741297}">
      <text>
        <r>
          <rPr>
            <b/>
            <sz val="9"/>
            <color indexed="81"/>
            <rFont val="Tahoma"/>
            <family val="2"/>
          </rPr>
          <t>Smith Pittman:</t>
        </r>
        <r>
          <rPr>
            <sz val="9"/>
            <color indexed="81"/>
            <rFont val="Tahoma"/>
            <family val="2"/>
          </rPr>
          <t xml:space="preserve">
https://www.bls.gov/regions/midwest/data/averageenergyprices_selectedareas_table.htm</t>
        </r>
      </text>
    </comment>
    <comment ref="G494" authorId="0" shapeId="0" xr:uid="{1E6F6745-30BB-4EF5-809F-51C8E500495F}">
      <text>
        <r>
          <rPr>
            <b/>
            <sz val="9"/>
            <color indexed="81"/>
            <rFont val="Tahoma"/>
            <family val="2"/>
          </rPr>
          <t>Smith Pittman:</t>
        </r>
        <r>
          <rPr>
            <sz val="9"/>
            <color indexed="81"/>
            <rFont val="Tahoma"/>
            <family val="2"/>
          </rPr>
          <t xml:space="preserve">
https://www.bls.gov/regions/midwest/data/averageenergyprices_selectedareas_table.htm</t>
        </r>
      </text>
    </comment>
    <comment ref="G495" authorId="0" shapeId="0" xr:uid="{564B463C-C6D6-475E-8FBC-7C5163449124}">
      <text>
        <r>
          <rPr>
            <b/>
            <sz val="9"/>
            <color indexed="81"/>
            <rFont val="Tahoma"/>
            <family val="2"/>
          </rPr>
          <t>Smith Pittman:</t>
        </r>
        <r>
          <rPr>
            <sz val="9"/>
            <color indexed="81"/>
            <rFont val="Tahoma"/>
            <family val="2"/>
          </rPr>
          <t xml:space="preserve">
https://www.bls.gov/regions/midwest/data/averageenergyprices_selectedareas_table.htm</t>
        </r>
      </text>
    </comment>
    <comment ref="G496" authorId="0" shapeId="0" xr:uid="{E1C4538E-E858-4B35-9173-375DE7BD7FB0}">
      <text>
        <r>
          <rPr>
            <b/>
            <sz val="9"/>
            <color indexed="81"/>
            <rFont val="Tahoma"/>
            <family val="2"/>
          </rPr>
          <t>Smith Pittman:</t>
        </r>
        <r>
          <rPr>
            <sz val="9"/>
            <color indexed="81"/>
            <rFont val="Tahoma"/>
            <family val="2"/>
          </rPr>
          <t xml:space="preserve">
https://www.nrel.gov/docs/fy15osti/62455.pdf</t>
        </r>
      </text>
    </comment>
    <comment ref="G515" authorId="0" shapeId="0" xr:uid="{917E56B0-D196-40DE-9226-D28B8AC7855A}">
      <text>
        <r>
          <rPr>
            <b/>
            <sz val="9"/>
            <color indexed="81"/>
            <rFont val="Tahoma"/>
            <family val="2"/>
          </rPr>
          <t>Smith Pittman:</t>
        </r>
        <r>
          <rPr>
            <sz val="9"/>
            <color indexed="81"/>
            <rFont val="Tahoma"/>
            <family val="2"/>
          </rPr>
          <t xml:space="preserve">
https://www.vigon.com/product/acetate-c-9-fcc-nonyl-acetate/?tm=tt&amp;ap=gads&amp;aaid=ada59wGQs4jF9&amp;gad_source=1&amp;gclid=CjwKCAjwxY-3BhAuEiwAu7Y6s8_VTUbjiJzA1PISXFVqO68gf1AI_TTK_IyxwEWabcWPP9ZEaWcsIRoC0ioQAvD_BwE</t>
        </r>
      </text>
    </comment>
    <comment ref="G516" authorId="0" shapeId="0" xr:uid="{618861CC-852C-4936-A64B-15DAC4A8F00B}">
      <text>
        <r>
          <rPr>
            <b/>
            <sz val="9"/>
            <color indexed="81"/>
            <rFont val="Tahoma"/>
            <family val="2"/>
          </rPr>
          <t>Smith Pittman:</t>
        </r>
        <r>
          <rPr>
            <sz val="9"/>
            <color indexed="81"/>
            <rFont val="Tahoma"/>
            <family val="2"/>
          </rPr>
          <t xml:space="preserve">
https://www.bls.gov/regions/midwest/data/averageenergyprices_selectedareas_table.htm</t>
        </r>
      </text>
    </comment>
    <comment ref="G517" authorId="0" shapeId="0" xr:uid="{FD06B21A-1027-441C-B58B-CF96E26CE63C}">
      <text>
        <r>
          <rPr>
            <b/>
            <sz val="9"/>
            <color indexed="81"/>
            <rFont val="Tahoma"/>
            <family val="2"/>
          </rPr>
          <t>Smith Pittman:</t>
        </r>
        <r>
          <rPr>
            <sz val="9"/>
            <color indexed="81"/>
            <rFont val="Tahoma"/>
            <family val="2"/>
          </rPr>
          <t xml:space="preserve">
https://www.bls.gov/regions/midwest/data/averageenergyprices_selectedareas_table.htm</t>
        </r>
      </text>
    </comment>
    <comment ref="G518" authorId="0" shapeId="0" xr:uid="{73355EC0-6E04-4985-9FB9-2CEA17C6DF8D}">
      <text>
        <r>
          <rPr>
            <b/>
            <sz val="9"/>
            <color indexed="81"/>
            <rFont val="Tahoma"/>
            <family val="2"/>
          </rPr>
          <t>Smith Pittman:</t>
        </r>
        <r>
          <rPr>
            <sz val="9"/>
            <color indexed="81"/>
            <rFont val="Tahoma"/>
            <family val="2"/>
          </rPr>
          <t xml:space="preserve">
https://www.bls.gov/regions/midwest/data/averageenergyprices_selectedareas_table.htm</t>
        </r>
      </text>
    </comment>
    <comment ref="G519" authorId="0" shapeId="0" xr:uid="{C1B3D65A-AEAA-4EC5-974C-04EC61A9E7C0}">
      <text>
        <r>
          <rPr>
            <b/>
            <sz val="9"/>
            <color indexed="81"/>
            <rFont val="Tahoma"/>
            <family val="2"/>
          </rPr>
          <t>Smith Pittman:</t>
        </r>
        <r>
          <rPr>
            <sz val="9"/>
            <color indexed="81"/>
            <rFont val="Tahoma"/>
            <family val="2"/>
          </rPr>
          <t xml:space="preserve">
https://www.bls.gov/regions/midwest/data/averageenergyprices_selectedareas_table.htm</t>
        </r>
      </text>
    </comment>
    <comment ref="G520" authorId="0" shapeId="0" xr:uid="{335AA24D-E287-48F2-9CF2-9BC73041F7B4}">
      <text>
        <r>
          <rPr>
            <b/>
            <sz val="9"/>
            <color indexed="81"/>
            <rFont val="Tahoma"/>
            <family val="2"/>
          </rPr>
          <t>Smith Pittman:</t>
        </r>
        <r>
          <rPr>
            <sz val="9"/>
            <color indexed="81"/>
            <rFont val="Tahoma"/>
            <family val="2"/>
          </rPr>
          <t xml:space="preserve">
https://www.nrel.gov/docs/fy15osti/62455.pdf</t>
        </r>
      </text>
    </comment>
    <comment ref="G539" authorId="0" shapeId="0" xr:uid="{78E7F53D-962B-4AC7-A22E-C33B395D2045}">
      <text>
        <r>
          <rPr>
            <b/>
            <sz val="9"/>
            <color indexed="81"/>
            <rFont val="Tahoma"/>
            <family val="2"/>
          </rPr>
          <t>Smith Pittman:</t>
        </r>
        <r>
          <rPr>
            <sz val="9"/>
            <color indexed="81"/>
            <rFont val="Tahoma"/>
            <family val="2"/>
          </rPr>
          <t xml:space="preserve">
https://www.nrel.gov/docs/fy02osti/32438.pdf</t>
        </r>
      </text>
    </comment>
    <comment ref="G540" authorId="0" shapeId="0" xr:uid="{C4FA1D47-AD10-460D-9980-7F235F618456}">
      <text>
        <r>
          <rPr>
            <b/>
            <sz val="9"/>
            <color indexed="81"/>
            <rFont val="Tahoma"/>
            <family val="2"/>
          </rPr>
          <t>Smith Pittman:</t>
        </r>
        <r>
          <rPr>
            <sz val="9"/>
            <color indexed="81"/>
            <rFont val="Tahoma"/>
            <family val="2"/>
          </rPr>
          <t xml:space="preserve">
https://www.bls.gov/regions/midwest/data/averageenergyprices_selectedareas_table.htm</t>
        </r>
      </text>
    </comment>
    <comment ref="G541" authorId="0" shapeId="0" xr:uid="{CB35EEB8-ABB1-4834-8E63-64FFC3AA6C8C}">
      <text>
        <r>
          <rPr>
            <b/>
            <sz val="9"/>
            <color indexed="81"/>
            <rFont val="Tahoma"/>
            <family val="2"/>
          </rPr>
          <t>Smith Pittman:</t>
        </r>
        <r>
          <rPr>
            <sz val="9"/>
            <color indexed="81"/>
            <rFont val="Tahoma"/>
            <family val="2"/>
          </rPr>
          <t xml:space="preserve">
https://www.bls.gov/regions/midwest/data/averageenergyprices_selectedareas_table.htm</t>
        </r>
      </text>
    </comment>
    <comment ref="G542" authorId="0" shapeId="0" xr:uid="{E60A7BFA-2A3E-46D9-A011-744081D502AA}">
      <text>
        <r>
          <rPr>
            <b/>
            <sz val="9"/>
            <color indexed="81"/>
            <rFont val="Tahoma"/>
            <family val="2"/>
          </rPr>
          <t>Smith Pittman:</t>
        </r>
        <r>
          <rPr>
            <sz val="9"/>
            <color indexed="81"/>
            <rFont val="Tahoma"/>
            <family val="2"/>
          </rPr>
          <t xml:space="preserve">
https://www.bls.gov/regions/midwest/data/averageenergyprices_selectedareas_table.htm</t>
        </r>
      </text>
    </comment>
    <comment ref="G543" authorId="0" shapeId="0" xr:uid="{5B6ECA6B-44CD-43EC-BFA5-BF4B6682CABD}">
      <text>
        <r>
          <rPr>
            <b/>
            <sz val="9"/>
            <color indexed="81"/>
            <rFont val="Tahoma"/>
            <family val="2"/>
          </rPr>
          <t>Smith Pittman:</t>
        </r>
        <r>
          <rPr>
            <sz val="9"/>
            <color indexed="81"/>
            <rFont val="Tahoma"/>
            <family val="2"/>
          </rPr>
          <t xml:space="preserve">
https://www.bls.gov/regions/midwest/data/averageenergyprices_selectedareas_table.htm</t>
        </r>
      </text>
    </comment>
    <comment ref="G544" authorId="0" shapeId="0" xr:uid="{5D68C7EB-2695-4271-8277-D03934798D12}">
      <text>
        <r>
          <rPr>
            <b/>
            <sz val="9"/>
            <color indexed="81"/>
            <rFont val="Tahoma"/>
            <family val="2"/>
          </rPr>
          <t>Smith Pittman:</t>
        </r>
        <r>
          <rPr>
            <sz val="9"/>
            <color indexed="81"/>
            <rFont val="Tahoma"/>
            <family val="2"/>
          </rPr>
          <t xml:space="preserve">
https://www.bls.gov/regions/midwest/data/averageenergyprices_selectedareas_table.htm</t>
        </r>
      </text>
    </comment>
    <comment ref="G545" authorId="0" shapeId="0" xr:uid="{F4BD9CBB-6CC0-43A9-8B59-D0C20302D786}">
      <text>
        <r>
          <rPr>
            <b/>
            <sz val="9"/>
            <color indexed="81"/>
            <rFont val="Tahoma"/>
            <family val="2"/>
          </rPr>
          <t>Smith Pittman:</t>
        </r>
        <r>
          <rPr>
            <sz val="9"/>
            <color indexed="81"/>
            <rFont val="Tahoma"/>
            <family val="2"/>
          </rPr>
          <t xml:space="preserve">
https://www.nrel.gov/docs/fy15osti/62455.pdf</t>
        </r>
      </text>
    </comment>
    <comment ref="G564" authorId="0" shapeId="0" xr:uid="{63BEA212-72A2-4BE8-AAF3-662543CFA41B}">
      <text>
        <r>
          <rPr>
            <b/>
            <sz val="9"/>
            <color indexed="81"/>
            <rFont val="Tahoma"/>
            <family val="2"/>
          </rPr>
          <t>Smith Pittman:</t>
        </r>
        <r>
          <rPr>
            <sz val="9"/>
            <color indexed="81"/>
            <rFont val="Tahoma"/>
            <family val="2"/>
          </rPr>
          <t xml:space="preserve">
https://www.bls.gov/regions/midwest/data/averageenergyprices_selectedareas_table.htm</t>
        </r>
      </text>
    </comment>
    <comment ref="G565" authorId="0" shapeId="0" xr:uid="{C199D7CA-EB85-41FF-99CE-B008075A0794}">
      <text>
        <r>
          <rPr>
            <b/>
            <sz val="9"/>
            <color indexed="81"/>
            <rFont val="Tahoma"/>
            <family val="2"/>
          </rPr>
          <t>Smith Pittman:</t>
        </r>
        <r>
          <rPr>
            <sz val="9"/>
            <color indexed="81"/>
            <rFont val="Tahoma"/>
            <family val="2"/>
          </rPr>
          <t xml:space="preserve">
https://www.bls.gov/regions/midwest/data/averageenergyprices_selectedareas_table.htm</t>
        </r>
      </text>
    </comment>
    <comment ref="G566" authorId="0" shapeId="0" xr:uid="{0B5D99A7-1814-419B-9DD6-CEA74F9A6DAE}">
      <text>
        <r>
          <rPr>
            <b/>
            <sz val="9"/>
            <color indexed="81"/>
            <rFont val="Tahoma"/>
            <family val="2"/>
          </rPr>
          <t>Smith Pittman:</t>
        </r>
        <r>
          <rPr>
            <sz val="9"/>
            <color indexed="81"/>
            <rFont val="Tahoma"/>
            <family val="2"/>
          </rPr>
          <t xml:space="preserve">
https://www.bls.gov/regions/midwest/data/averageenergyprices_selectedareas_table.htm</t>
        </r>
      </text>
    </comment>
    <comment ref="G567" authorId="0" shapeId="0" xr:uid="{E084DD3A-89BC-4DD7-A9A7-B35EAF19E9FB}">
      <text>
        <r>
          <rPr>
            <b/>
            <sz val="9"/>
            <color indexed="81"/>
            <rFont val="Tahoma"/>
            <family val="2"/>
          </rPr>
          <t>Smith Pittman:</t>
        </r>
        <r>
          <rPr>
            <sz val="9"/>
            <color indexed="81"/>
            <rFont val="Tahoma"/>
            <family val="2"/>
          </rPr>
          <t xml:space="preserve">
https://www.bls.gov/regions/midwest/data/averageenergyprices_selectedareas_table.htm</t>
        </r>
      </text>
    </comment>
    <comment ref="G568" authorId="0" shapeId="0" xr:uid="{0C03DDF9-EA29-41C5-A6B8-9B4D2D44D8AF}">
      <text>
        <r>
          <rPr>
            <b/>
            <sz val="9"/>
            <color indexed="81"/>
            <rFont val="Tahoma"/>
            <family val="2"/>
          </rPr>
          <t>Smith Pittman:</t>
        </r>
        <r>
          <rPr>
            <sz val="9"/>
            <color indexed="81"/>
            <rFont val="Tahoma"/>
            <family val="2"/>
          </rPr>
          <t xml:space="preserve">
https://www.bls.gov/regions/midwest/data/averageenergyprices_selectedareas_table.htm</t>
        </r>
      </text>
    </comment>
    <comment ref="G627" authorId="0" shapeId="0" xr:uid="{2BCE71F3-AEFB-49B7-A81F-CB9758577F74}">
      <text>
        <r>
          <rPr>
            <b/>
            <sz val="9"/>
            <color indexed="81"/>
            <rFont val="Tahoma"/>
            <family val="2"/>
          </rPr>
          <t>Smith Pittman:</t>
        </r>
        <r>
          <rPr>
            <sz val="9"/>
            <color indexed="81"/>
            <rFont val="Tahoma"/>
            <family val="2"/>
          </rPr>
          <t xml:space="preserve">
https://www.bls.gov/regions/midwest/data/averageenergyprices_selectedareas_table.htm</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Smith Pittman</author>
  </authors>
  <commentList>
    <comment ref="B41" authorId="0" shapeId="0" xr:uid="{271F1222-7523-4F6E-B91E-07FD2CA9F4F7}">
      <text>
        <r>
          <rPr>
            <b/>
            <sz val="9"/>
            <color indexed="81"/>
            <rFont val="Tahoma"/>
            <family val="2"/>
          </rPr>
          <t>Smith Pittman:</t>
        </r>
        <r>
          <rPr>
            <sz val="9"/>
            <color indexed="81"/>
            <rFont val="Tahoma"/>
            <family val="2"/>
          </rPr>
          <t xml:space="preserve">
https://www.amazon.com/Ammonium-Sulfate-NH4-2SO4-5-Pounds/dp/B007ODQF5U</t>
        </r>
      </text>
    </comment>
    <comment ref="B42" authorId="0" shapeId="0" xr:uid="{5B78B6BD-46EE-4B7A-9E4A-872CE398EC67}">
      <text>
        <r>
          <rPr>
            <b/>
            <sz val="9"/>
            <color indexed="81"/>
            <rFont val="Tahoma"/>
            <family val="2"/>
          </rPr>
          <t>Smith Pittman:</t>
        </r>
        <r>
          <rPr>
            <sz val="9"/>
            <color indexed="81"/>
            <rFont val="Tahoma"/>
            <family val="2"/>
          </rPr>
          <t xml:space="preserve">
https://www.univarsolutions.com/mag-sulfate-epsom-salt-usp-501786?v=16152915&amp;utm_source=google&amp;utm_medium=cpc&amp;utm_campaign=21306168172&amp;utm_content=160466013497&amp;utm_term=&amp;gad_source=1&amp;gclid=CjwKCAjwl6-3BhBWEiwApN6_kr0kTA2Q0mI3dJH9xEw6XhNaUPlZVsS7eHduDIgNyMmfjyc7JHyJmBoCjkEQAvD_BwE</t>
        </r>
      </text>
    </comment>
    <comment ref="B139" authorId="0" shapeId="0" xr:uid="{2F09DDBF-2F08-49FC-980B-F732C5A88D58}">
      <text>
        <r>
          <rPr>
            <b/>
            <sz val="9"/>
            <color indexed="81"/>
            <rFont val="Tahoma"/>
            <family val="2"/>
          </rPr>
          <t>Smith Pittman:</t>
        </r>
        <r>
          <rPr>
            <sz val="9"/>
            <color indexed="81"/>
            <rFont val="Tahoma"/>
            <family val="2"/>
          </rPr>
          <t xml:space="preserve">
https://www.amazon.com/Ammonium-Sulfate-NH4-2SO4-5-Pounds/dp/B007ODQF5U</t>
        </r>
      </text>
    </comment>
    <comment ref="B140" authorId="0" shapeId="0" xr:uid="{9E32C15C-7466-4686-A83A-BC6906E44B09}">
      <text>
        <r>
          <rPr>
            <b/>
            <sz val="9"/>
            <color indexed="81"/>
            <rFont val="Tahoma"/>
            <family val="2"/>
          </rPr>
          <t>Smith Pittman:</t>
        </r>
        <r>
          <rPr>
            <sz val="9"/>
            <color indexed="81"/>
            <rFont val="Tahoma"/>
            <family val="2"/>
          </rPr>
          <t xml:space="preserve">
https://www.univarsolutions.com/mag-sulfate-epsom-salt-usp-501786?v=16152915&amp;utm_source=google&amp;utm_medium=cpc&amp;utm_campaign=21306168172&amp;utm_content=160466013497&amp;utm_term=&amp;gad_source=1&amp;gclid=CjwKCAjwl6-3BhBWEiwApN6_kr0kTA2Q0mI3dJH9xEw6XhNaUPlZVsS7eHduDIgNyMmfjyc7JHyJmBoCjkEQAvD_BwE</t>
        </r>
      </text>
    </comment>
    <comment ref="B147" authorId="0" shapeId="0" xr:uid="{23809B8F-F6BD-4E39-853B-C8A03678050B}">
      <text>
        <r>
          <rPr>
            <b/>
            <sz val="9"/>
            <color indexed="81"/>
            <rFont val="Tahoma"/>
            <family val="2"/>
          </rPr>
          <t>Smith Pittman:</t>
        </r>
        <r>
          <rPr>
            <sz val="9"/>
            <color indexed="81"/>
            <rFont val="Tahoma"/>
            <family val="2"/>
          </rPr>
          <t xml:space="preserve">
https://www.amazon.com/Ammonium-Sulfate-NH4-2SO4-5-Pounds/dp/B007ODQF5U</t>
        </r>
      </text>
    </comment>
    <comment ref="B148" authorId="0" shapeId="0" xr:uid="{7A1A66F4-0E8F-4068-9156-02AD807D5F21}">
      <text>
        <r>
          <rPr>
            <b/>
            <sz val="9"/>
            <color indexed="81"/>
            <rFont val="Tahoma"/>
            <family val="2"/>
          </rPr>
          <t>Smith Pittman:</t>
        </r>
        <r>
          <rPr>
            <sz val="9"/>
            <color indexed="81"/>
            <rFont val="Tahoma"/>
            <family val="2"/>
          </rPr>
          <t xml:space="preserve">
https://www.univarsolutions.com/mag-sulfate-epsom-salt-usp-501786?v=16152915&amp;utm_source=google&amp;utm_medium=cpc&amp;utm_campaign=21306168172&amp;utm_content=160466013497&amp;utm_term=&amp;gad_source=1&amp;gclid=CjwKCAjwl6-3BhBWEiwApN6_kr0kTA2Q0mI3dJH9xEw6XhNaUPlZVsS7eHduDIgNyMmfjyc7JHyJmBoCjkEQAvD_Bw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Smith Pittman</author>
  </authors>
  <commentList>
    <comment ref="B41" authorId="0" shapeId="0" xr:uid="{2706AAF8-D76C-4CDC-A947-249EE194C057}">
      <text>
        <r>
          <rPr>
            <b/>
            <sz val="9"/>
            <color indexed="81"/>
            <rFont val="Tahoma"/>
            <family val="2"/>
          </rPr>
          <t>Smith Pittman:</t>
        </r>
        <r>
          <rPr>
            <sz val="9"/>
            <color indexed="81"/>
            <rFont val="Tahoma"/>
            <family val="2"/>
          </rPr>
          <t xml:space="preserve">
https://www.amazon.com/Ammonium-Sulfate-NH4-2SO4-5-Pounds/dp/B007ODQF5U</t>
        </r>
      </text>
    </comment>
    <comment ref="B42" authorId="0" shapeId="0" xr:uid="{96D6B7EF-EA2D-4D11-8037-71ED59F1AAEA}">
      <text>
        <r>
          <rPr>
            <b/>
            <sz val="9"/>
            <color indexed="81"/>
            <rFont val="Tahoma"/>
            <family val="2"/>
          </rPr>
          <t>Smith Pittman:</t>
        </r>
        <r>
          <rPr>
            <sz val="9"/>
            <color indexed="81"/>
            <rFont val="Tahoma"/>
            <family val="2"/>
          </rPr>
          <t xml:space="preserve">
https://www.univarsolutions.com/mag-sulfate-epsom-salt-usp-501786?v=16152915&amp;utm_source=google&amp;utm_medium=cpc&amp;utm_campaign=21306168172&amp;utm_content=160466013497&amp;utm_term=&amp;gad_source=1&amp;gclid=CjwKCAjwl6-3BhBWEiwApN6_kr0kTA2Q0mI3dJH9xEw6XhNaUPlZVsS7eHduDIgNyMmfjyc7JHyJmBoCjkEQAvD_BwE</t>
        </r>
      </text>
    </comment>
    <comment ref="B139" authorId="0" shapeId="0" xr:uid="{E9BFFED3-84D0-430D-BF79-311EA4A9729C}">
      <text>
        <r>
          <rPr>
            <b/>
            <sz val="9"/>
            <color indexed="81"/>
            <rFont val="Tahoma"/>
            <family val="2"/>
          </rPr>
          <t>Smith Pittman:</t>
        </r>
        <r>
          <rPr>
            <sz val="9"/>
            <color indexed="81"/>
            <rFont val="Tahoma"/>
            <family val="2"/>
          </rPr>
          <t xml:space="preserve">
https://www.amazon.com/Ammonium-Sulfate-NH4-2SO4-5-Pounds/dp/B007ODQF5U</t>
        </r>
      </text>
    </comment>
    <comment ref="B140" authorId="0" shapeId="0" xr:uid="{4EDA78B1-2D19-4DF3-9823-32D36E1927D6}">
      <text>
        <r>
          <rPr>
            <b/>
            <sz val="9"/>
            <color indexed="81"/>
            <rFont val="Tahoma"/>
            <family val="2"/>
          </rPr>
          <t>Smith Pittman:</t>
        </r>
        <r>
          <rPr>
            <sz val="9"/>
            <color indexed="81"/>
            <rFont val="Tahoma"/>
            <family val="2"/>
          </rPr>
          <t xml:space="preserve">
https://www.univarsolutions.com/mag-sulfate-epsom-salt-usp-501786?v=16152915&amp;utm_source=google&amp;utm_medium=cpc&amp;utm_campaign=21306168172&amp;utm_content=160466013497&amp;utm_term=&amp;gad_source=1&amp;gclid=CjwKCAjwl6-3BhBWEiwApN6_kr0kTA2Q0mI3dJH9xEw6XhNaUPlZVsS7eHduDIgNyMmfjyc7JHyJmBoCjkEQAvD_BwE</t>
        </r>
      </text>
    </comment>
    <comment ref="B147" authorId="0" shapeId="0" xr:uid="{9331D49B-B80B-4396-94B5-9FF65AA203CB}">
      <text>
        <r>
          <rPr>
            <b/>
            <sz val="9"/>
            <color indexed="81"/>
            <rFont val="Tahoma"/>
            <family val="2"/>
          </rPr>
          <t>Smith Pittman:</t>
        </r>
        <r>
          <rPr>
            <sz val="9"/>
            <color indexed="81"/>
            <rFont val="Tahoma"/>
            <family val="2"/>
          </rPr>
          <t xml:space="preserve">
https://www.amazon.com/Ammonium-Sulfate-NH4-2SO4-5-Pounds/dp/B007ODQF5U</t>
        </r>
      </text>
    </comment>
    <comment ref="B148" authorId="0" shapeId="0" xr:uid="{1E5F5448-6B83-4CBC-9949-DFDECAB396B6}">
      <text>
        <r>
          <rPr>
            <b/>
            <sz val="9"/>
            <color indexed="81"/>
            <rFont val="Tahoma"/>
            <family val="2"/>
          </rPr>
          <t>Smith Pittman:</t>
        </r>
        <r>
          <rPr>
            <sz val="9"/>
            <color indexed="81"/>
            <rFont val="Tahoma"/>
            <family val="2"/>
          </rPr>
          <t xml:space="preserve">
https://www.univarsolutions.com/mag-sulfate-epsom-salt-usp-501786?v=16152915&amp;utm_source=google&amp;utm_medium=cpc&amp;utm_campaign=21306168172&amp;utm_content=160466013497&amp;utm_term=&amp;gad_source=1&amp;gclid=CjwKCAjwl6-3BhBWEiwApN6_kr0kTA2Q0mI3dJH9xEw6XhNaUPlZVsS7eHduDIgNyMmfjyc7JHyJmBoCjkEQAvD_Bw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Smith Pittman</author>
  </authors>
  <commentList>
    <comment ref="B43" authorId="0" shapeId="0" xr:uid="{046EC639-F04B-46B6-81F3-AC4CEE28EC02}">
      <text>
        <r>
          <rPr>
            <b/>
            <sz val="9"/>
            <color indexed="81"/>
            <rFont val="Tahoma"/>
            <family val="2"/>
          </rPr>
          <t>Smith Pittman:</t>
        </r>
        <r>
          <rPr>
            <sz val="9"/>
            <color indexed="81"/>
            <rFont val="Tahoma"/>
            <family val="2"/>
          </rPr>
          <t xml:space="preserve">
https://www.amazon.com/Ammonium-Sulfate-NH4-2SO4-5-Pounds/dp/B007ODQF5U</t>
        </r>
      </text>
    </comment>
    <comment ref="B44" authorId="0" shapeId="0" xr:uid="{BDED4E45-9801-45F6-8FC0-03F90056F410}">
      <text>
        <r>
          <rPr>
            <b/>
            <sz val="9"/>
            <color indexed="81"/>
            <rFont val="Tahoma"/>
            <family val="2"/>
          </rPr>
          <t>Smith Pittman:</t>
        </r>
        <r>
          <rPr>
            <sz val="9"/>
            <color indexed="81"/>
            <rFont val="Tahoma"/>
            <family val="2"/>
          </rPr>
          <t xml:space="preserve">
https://www.univarsolutions.com/mag-sulfate-epsom-salt-usp-501786?v=16152915&amp;utm_source=google&amp;utm_medium=cpc&amp;utm_campaign=21306168172&amp;utm_content=160466013497&amp;utm_term=&amp;gad_source=1&amp;gclid=CjwKCAjwl6-3BhBWEiwApN6_kr0kTA2Q0mI3dJH9xEw6XhNaUPlZVsS7eHduDIgNyMmfjyc7JHyJmBoCjkEQAvD_BwE</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Smith Pittman</author>
  </authors>
  <commentList>
    <comment ref="C3" authorId="0" shapeId="0" xr:uid="{58F28FD1-CDE0-41E2-BAA2-EB539E3C46C0}">
      <text>
        <r>
          <rPr>
            <b/>
            <sz val="9"/>
            <color indexed="81"/>
            <rFont val="Tahoma"/>
            <family val="2"/>
          </rPr>
          <t>Smith Pittman:</t>
        </r>
        <r>
          <rPr>
            <sz val="9"/>
            <color indexed="81"/>
            <rFont val="Tahoma"/>
            <family val="2"/>
          </rPr>
          <t xml:space="preserve">
All values on this page are static and represent values scaled from internal experimental data. To run the analysis with experimental baseline data, select the scenario on the inputs tab.</t>
        </r>
      </text>
    </comment>
    <comment ref="E3" authorId="0" shapeId="0" xr:uid="{8A66B116-CB32-4748-B55A-00A3358DE93D}">
      <text>
        <r>
          <rPr>
            <b/>
            <sz val="9"/>
            <color indexed="81"/>
            <rFont val="Tahoma"/>
            <family val="2"/>
          </rPr>
          <t>Smith Pittman:</t>
        </r>
        <r>
          <rPr>
            <sz val="9"/>
            <color indexed="81"/>
            <rFont val="Tahoma"/>
            <family val="2"/>
          </rPr>
          <t xml:space="preserve">
All values on this page are static and represent values scaled from internal experimental data. To run the analysis with experimental baseline data, select the scenario on the inputs tab.</t>
        </r>
      </text>
    </comment>
    <comment ref="A4" authorId="0" shapeId="0" xr:uid="{6E2847A8-D457-4E68-BD45-54C6A4038D85}">
      <text>
        <r>
          <rPr>
            <b/>
            <sz val="9"/>
            <color indexed="81"/>
            <rFont val="Tahoma"/>
            <family val="2"/>
          </rPr>
          <t>Smith Pittman:</t>
        </r>
        <r>
          <rPr>
            <sz val="9"/>
            <color indexed="81"/>
            <rFont val="Tahoma"/>
            <family val="2"/>
          </rPr>
          <t xml:space="preserve">
http://dx.doi.org/10.13031/2013.37068
https://elibrary.asabe.org/pdfviewer.asp?param1=s:/8y9u8/q8qu/tq9q/5tv/J/quqzIGHH/IN/J/iUOLNO.5tv&amp;param2=N/O/IGIK&amp;param3=HIP.OI.PK.JK&amp;param4=37068</t>
        </r>
      </text>
    </comment>
    <comment ref="A5" authorId="0" shapeId="0" xr:uid="{6C2E5D83-150A-40CA-8DA5-685C4A816281}">
      <text>
        <r>
          <rPr>
            <b/>
            <sz val="9"/>
            <color indexed="81"/>
            <rFont val="Tahoma"/>
            <family val="2"/>
          </rPr>
          <t>Smith Pittman:</t>
        </r>
        <r>
          <rPr>
            <sz val="9"/>
            <color indexed="81"/>
            <rFont val="Tahoma"/>
            <family val="2"/>
          </rPr>
          <t xml:space="preserve">
https://extension.okstate.edu/fact-sheets/anaerobic-digestion-of-animal-manures-methane-production-potential-of-waste-materials.html</t>
        </r>
      </text>
    </comment>
    <comment ref="A20" authorId="0" shapeId="0" xr:uid="{CBA42137-C3FA-4972-A0EF-1FA9CE45E020}">
      <text>
        <r>
          <rPr>
            <b/>
            <sz val="9"/>
            <color indexed="81"/>
            <rFont val="Tahoma"/>
            <family val="2"/>
          </rPr>
          <t>Smith Pittman:</t>
        </r>
        <r>
          <rPr>
            <sz val="9"/>
            <color indexed="81"/>
            <rFont val="Tahoma"/>
            <family val="2"/>
          </rPr>
          <t xml:space="preserve">
DOI: 10.1533/9780857097415.3.342</t>
        </r>
      </text>
    </comment>
    <comment ref="A21" authorId="0" shapeId="0" xr:uid="{4C37F1A6-D764-4ADF-902F-322DF815B153}">
      <text>
        <r>
          <rPr>
            <b/>
            <sz val="9"/>
            <color indexed="81"/>
            <rFont val="Tahoma"/>
            <family val="2"/>
          </rPr>
          <t>Smith Pittman:</t>
        </r>
        <r>
          <rPr>
            <sz val="9"/>
            <color indexed="81"/>
            <rFont val="Tahoma"/>
            <family val="2"/>
          </rPr>
          <t xml:space="preserve">
https://doi.org/10.1533/9780857097415.3.329</t>
        </r>
      </text>
    </comment>
    <comment ref="A22" authorId="0" shapeId="0" xr:uid="{D23231A5-12F9-48A8-8A83-18405051093B}">
      <text>
        <r>
          <rPr>
            <b/>
            <sz val="9"/>
            <color indexed="81"/>
            <rFont val="Tahoma"/>
            <family val="2"/>
          </rPr>
          <t>Smith Pittman:</t>
        </r>
        <r>
          <rPr>
            <sz val="9"/>
            <color indexed="81"/>
            <rFont val="Tahoma"/>
            <family val="2"/>
          </rPr>
          <t xml:space="preserve">
https://doi.org/10.1533/9780857097415.3.329
Chpt 14
</t>
        </r>
      </text>
    </comment>
    <comment ref="A23" authorId="0" shapeId="0" xr:uid="{431338E7-326B-4940-9E3B-688AFD9092F4}">
      <text>
        <r>
          <rPr>
            <b/>
            <sz val="9"/>
            <color indexed="81"/>
            <rFont val="Tahoma"/>
            <family val="2"/>
          </rPr>
          <t>Smith Pittman:</t>
        </r>
        <r>
          <rPr>
            <sz val="9"/>
            <color indexed="81"/>
            <rFont val="Tahoma"/>
            <family val="2"/>
          </rPr>
          <t xml:space="preserve">
https://doi.org/10.1533/9780857097415.3.329</t>
        </r>
      </text>
    </comment>
    <comment ref="A24" authorId="0" shapeId="0" xr:uid="{67F79C7C-D130-4472-AD44-A9957E15B6DF}">
      <text>
        <r>
          <rPr>
            <b/>
            <sz val="9"/>
            <color indexed="81"/>
            <rFont val="Tahoma"/>
            <family val="2"/>
          </rPr>
          <t>Smith Pittman:</t>
        </r>
        <r>
          <rPr>
            <sz val="9"/>
            <color indexed="81"/>
            <rFont val="Tahoma"/>
            <family val="2"/>
          </rPr>
          <t xml:space="preserve">
https://doi.org/10.1021%2Facs.est.9b03003</t>
        </r>
      </text>
    </comment>
    <comment ref="A25" authorId="0" shapeId="0" xr:uid="{818ED4A2-07D0-4133-B997-25AA51C7E582}">
      <text>
        <r>
          <rPr>
            <b/>
            <sz val="9"/>
            <color indexed="81"/>
            <rFont val="Tahoma"/>
            <family val="2"/>
          </rPr>
          <t>Smith Pittman:</t>
        </r>
        <r>
          <rPr>
            <sz val="9"/>
            <color indexed="81"/>
            <rFont val="Tahoma"/>
            <family val="2"/>
          </rPr>
          <t xml:space="preserve">
https://doi.org/10.1021%2Facs.est.9b03003</t>
        </r>
      </text>
    </comment>
    <comment ref="A26" authorId="0" shapeId="0" xr:uid="{CF8ED21D-397E-4EC6-997D-5782EA7C0C82}">
      <text>
        <r>
          <rPr>
            <b/>
            <sz val="9"/>
            <color indexed="81"/>
            <rFont val="Tahoma"/>
            <family val="2"/>
          </rPr>
          <t>Smith Pittman:</t>
        </r>
        <r>
          <rPr>
            <sz val="9"/>
            <color indexed="81"/>
            <rFont val="Tahoma"/>
            <family val="2"/>
          </rPr>
          <t xml:space="preserve">
https://doi.org/10.1021%2Facs.est.9b03003</t>
        </r>
      </text>
    </comment>
    <comment ref="C27" authorId="0" shapeId="0" xr:uid="{6BDC9656-719D-4852-8D32-FE92DF747250}">
      <text>
        <r>
          <rPr>
            <b/>
            <sz val="9"/>
            <color indexed="81"/>
            <rFont val="Tahoma"/>
            <family val="2"/>
          </rPr>
          <t>Smith Pittman:</t>
        </r>
        <r>
          <rPr>
            <sz val="9"/>
            <color indexed="81"/>
            <rFont val="Tahoma"/>
            <family val="2"/>
          </rPr>
          <t xml:space="preserve">
https://chemistry-europe.onlinelibrary.wiley.com/doi/10.1002/cssc.202400779
- Table 7 Specific Biogas Production</t>
        </r>
      </text>
    </comment>
    <comment ref="A40" authorId="0" shapeId="0" xr:uid="{20302871-BE03-4E4D-BDEB-267D25DB0B19}">
      <text>
        <r>
          <rPr>
            <b/>
            <sz val="9"/>
            <color indexed="81"/>
            <rFont val="Tahoma"/>
            <family val="2"/>
          </rPr>
          <t>Smith Pittman:</t>
        </r>
        <r>
          <rPr>
            <sz val="9"/>
            <color indexed="81"/>
            <rFont val="Tahoma"/>
            <family val="2"/>
          </rPr>
          <t xml:space="preserve">
DOI: 10.1533/9780857097415.3.342
Chapter 15 Biogas Handbook
</t>
        </r>
      </text>
    </comment>
    <comment ref="A81" authorId="0" shapeId="0" xr:uid="{4556529A-3D69-48BB-AB42-3D2654DAEF4D}">
      <text>
        <r>
          <rPr>
            <b/>
            <sz val="9"/>
            <color indexed="81"/>
            <rFont val="Tahoma"/>
            <family val="2"/>
          </rPr>
          <t>Smith Pittman:</t>
        </r>
        <r>
          <rPr>
            <sz val="9"/>
            <color indexed="81"/>
            <rFont val="Tahoma"/>
            <family val="2"/>
          </rPr>
          <t xml:space="preserve">
DOI: 10.1533/9780857097415.2.267
Chapter 12
Biogas Handbook
</t>
        </r>
      </text>
    </comment>
    <comment ref="C96" authorId="0" shapeId="0" xr:uid="{7177A107-C2A3-4BFB-A04C-FD5CFFF24460}">
      <text>
        <r>
          <rPr>
            <b/>
            <sz val="9"/>
            <color indexed="81"/>
            <rFont val="Tahoma"/>
            <family val="2"/>
          </rPr>
          <t>Smith Pittman:</t>
        </r>
        <r>
          <rPr>
            <sz val="9"/>
            <color indexed="81"/>
            <rFont val="Tahoma"/>
            <family val="2"/>
          </rPr>
          <t xml:space="preserve">
From internal experimental results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Smith Pittman</author>
  </authors>
  <commentList>
    <comment ref="J10" authorId="0" shapeId="0" xr:uid="{E7CF9DA9-6E58-44D9-93A0-098017F5D30A}">
      <text>
        <r>
          <rPr>
            <b/>
            <sz val="9"/>
            <color indexed="81"/>
            <rFont val="Tahoma"/>
            <family val="2"/>
          </rPr>
          <t>Smith Pittman:</t>
        </r>
        <r>
          <rPr>
            <sz val="9"/>
            <color indexed="81"/>
            <rFont val="Tahoma"/>
            <family val="2"/>
          </rPr>
          <t xml:space="preserve">
https://routereadytrucks.com/our-trucks/front-loaders/
2020 Peterbilt 520 Heil Half Pack 40yd FL W/ Curotto Can Miles 33,890
2020 Peterbilt 520 Heil Half Pack 40yd Front Load W/ Curotto Can Miles 33,890
Cummins ISX 350hp, Allison Automatic 4500RDS 
Front Axle 20,000lb, Rear Axle 46,000lb, HMX-460,
Dual Drive, Dual Controls, Camera System,
Roof A/C, Strobe System, Work Lights, Curotto Can,
New Federal DOT Certification, 
Miles 33,890, Hours 6,825,
$355,000 An Exceptional Unit, FOB T</t>
        </r>
      </text>
    </comment>
    <comment ref="J11" authorId="0" shapeId="0" xr:uid="{94113CFD-B97A-46F5-9005-6C652FBB320F}">
      <text>
        <r>
          <rPr>
            <b/>
            <sz val="9"/>
            <color indexed="81"/>
            <rFont val="Tahoma"/>
            <family val="2"/>
          </rPr>
          <t>Smith Pittman:</t>
        </r>
        <r>
          <rPr>
            <sz val="9"/>
            <color indexed="81"/>
            <rFont val="Tahoma"/>
            <family val="2"/>
          </rPr>
          <t xml:space="preserve">
https://www.nrel.gov/docs/fy15osti/62455.pdf</t>
        </r>
      </text>
    </comment>
    <comment ref="J20" authorId="0" shapeId="0" xr:uid="{5145C4AE-9248-4C8F-8493-47680A35C7C6}">
      <text>
        <r>
          <rPr>
            <b/>
            <sz val="9"/>
            <color indexed="81"/>
            <rFont val="Tahoma"/>
            <family val="2"/>
          </rPr>
          <t>Smith Pittman:</t>
        </r>
        <r>
          <rPr>
            <sz val="9"/>
            <color indexed="81"/>
            <rFont val="Tahoma"/>
            <family val="2"/>
          </rPr>
          <t xml:space="preserve">
https://ecommons.cornell.edu/server/api/core/bitstreams/d6f5bc54-7731-4c1d-a8c2-3ac2a73cd1d4/content</t>
        </r>
      </text>
    </comment>
    <comment ref="J23" authorId="0" shapeId="0" xr:uid="{EFBC80DB-D901-4C00-A79D-EBD5F381321B}">
      <text>
        <r>
          <rPr>
            <b/>
            <sz val="9"/>
            <color indexed="81"/>
            <rFont val="Tahoma"/>
            <family val="2"/>
          </rPr>
          <t>Smith Pittman:</t>
        </r>
        <r>
          <rPr>
            <sz val="9"/>
            <color indexed="81"/>
            <rFont val="Tahoma"/>
            <family val="2"/>
          </rPr>
          <t xml:space="preserve">
https://www.nrel.gov/docs/fy19osti/71949.pdf</t>
        </r>
      </text>
    </comment>
    <comment ref="J26" authorId="0" shapeId="0" xr:uid="{035E4895-98E0-4AFF-A3FD-235C016DB2EC}">
      <text>
        <r>
          <rPr>
            <b/>
            <sz val="9"/>
            <color indexed="81"/>
            <rFont val="Tahoma"/>
            <family val="2"/>
          </rPr>
          <t>Smith Pittman:</t>
        </r>
        <r>
          <rPr>
            <sz val="9"/>
            <color indexed="81"/>
            <rFont val="Tahoma"/>
            <family val="2"/>
          </rPr>
          <t xml:space="preserve">
https://www.nrel.gov/docs/fy19osti/71949.pdf</t>
        </r>
      </text>
    </comment>
    <comment ref="J27" authorId="0" shapeId="0" xr:uid="{C45EFF5E-C9FD-4E78-A67A-E59DAB6D0EC6}">
      <text>
        <r>
          <rPr>
            <b/>
            <sz val="9"/>
            <color indexed="81"/>
            <rFont val="Tahoma"/>
            <family val="2"/>
          </rPr>
          <t>Smith Pittman:</t>
        </r>
        <r>
          <rPr>
            <sz val="9"/>
            <color indexed="81"/>
            <rFont val="Tahoma"/>
            <family val="2"/>
          </rPr>
          <t xml:space="preserve">
https://www.nrel.gov/docs/fy15osti/62455.pdf
</t>
        </r>
      </text>
    </comment>
    <comment ref="J28" authorId="0" shapeId="0" xr:uid="{0A6CF095-5392-4934-B2BB-B105B44A05D5}">
      <text>
        <r>
          <rPr>
            <b/>
            <sz val="9"/>
            <color indexed="81"/>
            <rFont val="Tahoma"/>
            <family val="2"/>
          </rPr>
          <t>Smith Pittman:</t>
        </r>
        <r>
          <rPr>
            <sz val="9"/>
            <color indexed="81"/>
            <rFont val="Tahoma"/>
            <family val="2"/>
          </rPr>
          <t xml:space="preserve">
https://www.nrel.gov/docs/fy15osti/62455.pdf</t>
        </r>
      </text>
    </comment>
    <comment ref="J29" authorId="0" shapeId="0" xr:uid="{D1C5C334-A94E-494E-8C5B-D9B782806DD2}">
      <text>
        <r>
          <rPr>
            <b/>
            <sz val="9"/>
            <color indexed="81"/>
            <rFont val="Tahoma"/>
            <family val="2"/>
          </rPr>
          <t>Smith Pittman:</t>
        </r>
        <r>
          <rPr>
            <sz val="9"/>
            <color indexed="81"/>
            <rFont val="Tahoma"/>
            <family val="2"/>
          </rPr>
          <t xml:space="preserve">
https://www.nrel.gov/docs/fy15osti/62455.pdf</t>
        </r>
      </text>
    </comment>
    <comment ref="J30" authorId="0" shapeId="0" xr:uid="{C0769A62-3165-4309-925A-14EC948299B6}">
      <text>
        <r>
          <rPr>
            <b/>
            <sz val="9"/>
            <color indexed="81"/>
            <rFont val="Tahoma"/>
            <family val="2"/>
          </rPr>
          <t>Smith Pittman:</t>
        </r>
        <r>
          <rPr>
            <sz val="9"/>
            <color indexed="81"/>
            <rFont val="Tahoma"/>
            <family val="2"/>
          </rPr>
          <t xml:space="preserve">
Little Giant 16G-F151-20 - 1 HP Automatic Grinder Pump w/ Piggyback Tethered Float
Model:
509810</t>
        </r>
      </text>
    </comment>
    <comment ref="J31" authorId="0" shapeId="0" xr:uid="{B0966F35-D547-4382-87F3-31F71EE5244B}">
      <text>
        <r>
          <rPr>
            <b/>
            <sz val="9"/>
            <color indexed="81"/>
            <rFont val="Tahoma"/>
            <family val="2"/>
          </rPr>
          <t>Smith Pittman:</t>
        </r>
        <r>
          <rPr>
            <sz val="9"/>
            <color indexed="81"/>
            <rFont val="Tahoma"/>
            <family val="2"/>
          </rPr>
          <t xml:space="preserve">
Little Giant 16G-F151-20 - 1 HP Automatic Grinder Pump w/ Piggyback Tethered Float
Model:
509810</t>
        </r>
      </text>
    </comment>
    <comment ref="J42" authorId="0" shapeId="0" xr:uid="{40B7094E-D81F-4283-A713-4E89F9BCF837}">
      <text>
        <r>
          <rPr>
            <b/>
            <sz val="9"/>
            <color indexed="81"/>
            <rFont val="Tahoma"/>
            <family val="2"/>
          </rPr>
          <t>Smith Pittman:</t>
        </r>
        <r>
          <rPr>
            <sz val="9"/>
            <color indexed="81"/>
            <rFont val="Tahoma"/>
            <family val="2"/>
          </rPr>
          <t xml:space="preserve">
https://www.nrel.gov/docs/fy19osti/71949.pdf</t>
        </r>
      </text>
    </comment>
    <comment ref="J45" authorId="0" shapeId="0" xr:uid="{7D073819-54FC-431F-B199-CD70946E23D3}">
      <text>
        <r>
          <rPr>
            <b/>
            <sz val="9"/>
            <color indexed="81"/>
            <rFont val="Tahoma"/>
            <family val="2"/>
          </rPr>
          <t>Smith Pittman:</t>
        </r>
        <r>
          <rPr>
            <sz val="9"/>
            <color indexed="81"/>
            <rFont val="Tahoma"/>
            <family val="2"/>
          </rPr>
          <t xml:space="preserve">
https://mingshuo.en.made-in-china.com/product/GSLnXJVOHHYe/China-Double-Membrane-Digester-Cover-for-Biogas-Storage-Holder.html
Type: Gas Storage
Material: PVDF
Thickness Range: 0.8-1.5mm
Application: Gas Storage
Control System: Auto Control System
Service Life: 30 Years</t>
        </r>
      </text>
    </comment>
    <comment ref="J55" authorId="0" shapeId="0" xr:uid="{02CAA5C6-ED2F-4A4B-B379-3D040D632A6C}">
      <text>
        <r>
          <rPr>
            <b/>
            <sz val="9"/>
            <color indexed="81"/>
            <rFont val="Tahoma"/>
            <family val="2"/>
          </rPr>
          <t>Smith Pittman:</t>
        </r>
        <r>
          <rPr>
            <sz val="9"/>
            <color indexed="81"/>
            <rFont val="Tahoma"/>
            <family val="2"/>
          </rPr>
          <t xml:space="preserve">
https://www.nrel.gov/docs/fy19osti/71949.pdf</t>
        </r>
      </text>
    </comment>
    <comment ref="J56" authorId="0" shapeId="0" xr:uid="{682AFF28-010A-4A94-94E2-84581C1C9F2A}">
      <text>
        <r>
          <rPr>
            <b/>
            <sz val="9"/>
            <color indexed="81"/>
            <rFont val="Tahoma"/>
            <family val="2"/>
          </rPr>
          <t>https://www.nrel.gov/docs/fy02osti/32438.pdf
https://www.nrel.gov/docs/gen/fy03/34353.pdf</t>
        </r>
      </text>
    </comment>
    <comment ref="J57" authorId="0" shapeId="0" xr:uid="{16EC824C-3FCF-4C86-8ED1-3B870DFDF6C9}">
      <text>
        <r>
          <rPr>
            <b/>
            <sz val="9"/>
            <color indexed="81"/>
            <rFont val="Tahoma"/>
            <family val="2"/>
          </rPr>
          <t>Smith Pittman:</t>
        </r>
        <r>
          <rPr>
            <sz val="9"/>
            <color indexed="81"/>
            <rFont val="Tahoma"/>
            <family val="2"/>
          </rPr>
          <t xml:space="preserve">
https://www.nrel.gov/docs/fy19osti/71949.pdf</t>
        </r>
      </text>
    </comment>
    <comment ref="J67" authorId="0" shapeId="0" xr:uid="{B71F1163-0ED8-4552-ABB1-A7FD2E55A212}">
      <text>
        <r>
          <rPr>
            <b/>
            <sz val="9"/>
            <color indexed="81"/>
            <rFont val="Tahoma"/>
            <family val="2"/>
          </rPr>
          <t>Smith Pittman:</t>
        </r>
        <r>
          <rPr>
            <sz val="9"/>
            <color indexed="81"/>
            <rFont val="Tahoma"/>
            <family val="2"/>
          </rPr>
          <t xml:space="preserve">
https://www.nrel.gov/docs/fy19osti/71949.pdf</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Smith Pittman</author>
  </authors>
  <commentList>
    <comment ref="G11" authorId="0" shapeId="0" xr:uid="{544D167C-3EFC-42F5-821B-D8067E9286C6}">
      <text>
        <r>
          <rPr>
            <b/>
            <sz val="9"/>
            <color indexed="81"/>
            <rFont val="Tahoma"/>
            <family val="2"/>
          </rPr>
          <t>Smith Pittman:</t>
        </r>
        <r>
          <rPr>
            <sz val="9"/>
            <color indexed="81"/>
            <rFont val="Tahoma"/>
            <family val="2"/>
          </rPr>
          <t xml:space="preserve">
https://www.eia.gov/petroleum/gasdiesel/</t>
        </r>
      </text>
    </comment>
    <comment ref="G28" authorId="0" shapeId="0" xr:uid="{29425245-8F5C-42B2-9E4C-5275C6540A81}">
      <text>
        <r>
          <rPr>
            <b/>
            <sz val="9"/>
            <color indexed="81"/>
            <rFont val="Tahoma"/>
            <family val="2"/>
          </rPr>
          <t>Smith Pittman:</t>
        </r>
        <r>
          <rPr>
            <sz val="9"/>
            <color indexed="81"/>
            <rFont val="Tahoma"/>
            <family val="2"/>
          </rPr>
          <t xml:space="preserve">
https://www.bls.gov/regions/midwest/data/averageenergyprices_selectedareas_table.htm</t>
        </r>
      </text>
    </comment>
    <comment ref="G29" authorId="0" shapeId="0" xr:uid="{C49221A8-D719-46EC-9274-AD83896F4946}">
      <text>
        <r>
          <rPr>
            <b/>
            <sz val="9"/>
            <color indexed="81"/>
            <rFont val="Tahoma"/>
            <family val="2"/>
          </rPr>
          <t>Smith Pittman:</t>
        </r>
        <r>
          <rPr>
            <sz val="9"/>
            <color indexed="81"/>
            <rFont val="Tahoma"/>
            <family val="2"/>
          </rPr>
          <t xml:space="preserve">
https://www.bls.gov/regions/midwest/data/averageenergyprices_selectedareas_table.htm</t>
        </r>
      </text>
    </comment>
    <comment ref="G30" authorId="0" shapeId="0" xr:uid="{EE6526C8-5F26-47EC-85CC-C79377B8C345}">
      <text>
        <r>
          <rPr>
            <b/>
            <sz val="9"/>
            <color indexed="81"/>
            <rFont val="Tahoma"/>
            <family val="2"/>
          </rPr>
          <t>Smith Pittman:</t>
        </r>
        <r>
          <rPr>
            <sz val="9"/>
            <color indexed="81"/>
            <rFont val="Tahoma"/>
            <family val="2"/>
          </rPr>
          <t xml:space="preserve">
https://www.bls.gov/regions/midwest/data/averageenergyprices_selectedareas_table.htm</t>
        </r>
      </text>
    </comment>
    <comment ref="G31" authorId="0" shapeId="0" xr:uid="{79BA36A7-0E04-407E-8BE5-381430378D80}">
      <text>
        <r>
          <rPr>
            <b/>
            <sz val="9"/>
            <color indexed="81"/>
            <rFont val="Tahoma"/>
            <family val="2"/>
          </rPr>
          <t>Smith Pittman:</t>
        </r>
        <r>
          <rPr>
            <sz val="9"/>
            <color indexed="81"/>
            <rFont val="Tahoma"/>
            <family val="2"/>
          </rPr>
          <t xml:space="preserve">
https://www.bls.gov/regions/midwest/data/averageenergyprices_selectedareas_table.htm</t>
        </r>
      </text>
    </comment>
    <comment ref="G32" authorId="0" shapeId="0" xr:uid="{4DAAF70E-711F-4EF8-80FC-ED15E1954646}">
      <text>
        <r>
          <rPr>
            <b/>
            <sz val="9"/>
            <color indexed="81"/>
            <rFont val="Tahoma"/>
            <family val="2"/>
          </rPr>
          <t>Smith Pittman:</t>
        </r>
        <r>
          <rPr>
            <sz val="9"/>
            <color indexed="81"/>
            <rFont val="Tahoma"/>
            <family val="2"/>
          </rPr>
          <t xml:space="preserve">
https://www.bls.gov/regions/midwest/data/averageenergyprices_selectedareas_table.htm</t>
        </r>
      </text>
    </comment>
    <comment ref="G33" authorId="0" shapeId="0" xr:uid="{1D7E125A-C3A9-49D3-AE84-5F3FC1501B14}">
      <text>
        <r>
          <rPr>
            <b/>
            <sz val="9"/>
            <color indexed="81"/>
            <rFont val="Tahoma"/>
            <family val="2"/>
          </rPr>
          <t>Smith Pittman:</t>
        </r>
        <r>
          <rPr>
            <sz val="9"/>
            <color indexed="81"/>
            <rFont val="Tahoma"/>
            <family val="2"/>
          </rPr>
          <t xml:space="preserve">
https://www.bls.gov/regions/midwest/data/averageenergyprices_selectedareas_table.htm</t>
        </r>
      </text>
    </comment>
    <comment ref="G44" authorId="0" shapeId="0" xr:uid="{D39610E0-433F-45CA-9089-7AF5E253F3D3}">
      <text>
        <r>
          <rPr>
            <b/>
            <sz val="9"/>
            <color indexed="81"/>
            <rFont val="Tahoma"/>
            <family val="2"/>
          </rPr>
          <t>Smith Pittman:</t>
        </r>
        <r>
          <rPr>
            <sz val="9"/>
            <color indexed="81"/>
            <rFont val="Tahoma"/>
            <family val="2"/>
          </rPr>
          <t xml:space="preserve">
https://www.bls.gov/regions/midwest/data/averageenergyprices_selectedareas_table.htm</t>
        </r>
      </text>
    </comment>
    <comment ref="G45" authorId="0" shapeId="0" xr:uid="{2ED57B41-A4C8-4069-B9F3-CC4C262864FE}">
      <text>
        <r>
          <rPr>
            <b/>
            <sz val="9"/>
            <color indexed="81"/>
            <rFont val="Tahoma"/>
            <family val="2"/>
          </rPr>
          <t>Smith Pittman:</t>
        </r>
        <r>
          <rPr>
            <sz val="9"/>
            <color indexed="81"/>
            <rFont val="Tahoma"/>
            <family val="2"/>
          </rPr>
          <t xml:space="preserve">
https://www.bls.gov/regions/midwest/data/averageenergyprices_selectedareas_table.htm</t>
        </r>
      </text>
    </comment>
    <comment ref="G46" authorId="0" shapeId="0" xr:uid="{02C045E8-8A3D-4D85-BD91-5FF7AA141365}">
      <text>
        <r>
          <rPr>
            <b/>
            <sz val="9"/>
            <color rgb="FF000000"/>
            <rFont val="Tahoma"/>
            <family val="2"/>
          </rPr>
          <t>Smith Pittman:</t>
        </r>
        <r>
          <rPr>
            <sz val="9"/>
            <color rgb="FF000000"/>
            <rFont val="Tahoma"/>
            <family val="2"/>
          </rPr>
          <t xml:space="preserve">
</t>
        </r>
        <r>
          <rPr>
            <sz val="9"/>
            <color rgb="FF000000"/>
            <rFont val="Tahoma"/>
            <family val="2"/>
          </rPr>
          <t>https://www.laballey.com/products/sodium-hydroxide-pellet-acs?variant=43326844928155</t>
        </r>
      </text>
    </comment>
    <comment ref="G47" authorId="0" shapeId="0" xr:uid="{CE4AA354-E593-40C2-8BC3-BE69C046C089}">
      <text>
        <r>
          <rPr>
            <b/>
            <sz val="9"/>
            <color indexed="81"/>
            <rFont val="Tahoma"/>
            <family val="2"/>
          </rPr>
          <t>Smith Pittman:</t>
        </r>
        <r>
          <rPr>
            <sz val="9"/>
            <color indexed="81"/>
            <rFont val="Tahoma"/>
            <family val="2"/>
          </rPr>
          <t xml:space="preserve">
https://www.bls.gov/regions/midwest/data/averageenergyprices_selectedareas_table.htm</t>
        </r>
      </text>
    </comment>
    <comment ref="G66" authorId="0" shapeId="0" xr:uid="{16F6428A-AA31-4903-ADAB-CC1125EAA975}">
      <text>
        <r>
          <rPr>
            <b/>
            <sz val="9"/>
            <color indexed="81"/>
            <rFont val="Tahoma"/>
            <family val="2"/>
          </rPr>
          <t>Smith Pittman:</t>
        </r>
        <r>
          <rPr>
            <sz val="9"/>
            <color indexed="81"/>
            <rFont val="Tahoma"/>
            <family val="2"/>
          </rPr>
          <t xml:space="preserve">
https://www.bls.gov/regions/midwest/data/averageenergyprices_selectedareas_table.htm</t>
        </r>
      </text>
    </comment>
    <comment ref="G67" authorId="0" shapeId="0" xr:uid="{7B282969-3FC8-47BB-9F2F-8F04B5968DB6}">
      <text>
        <r>
          <rPr>
            <b/>
            <sz val="9"/>
            <color indexed="81"/>
            <rFont val="Tahoma"/>
            <family val="2"/>
          </rPr>
          <t>Smith Pittman:</t>
        </r>
        <r>
          <rPr>
            <sz val="9"/>
            <color indexed="81"/>
            <rFont val="Tahoma"/>
            <family val="2"/>
          </rPr>
          <t xml:space="preserve">
https://www.bls.gov/regions/midwest/data/averageenergyprices_selectedareas_table.htm</t>
        </r>
      </text>
    </comment>
    <comment ref="G68" authorId="0" shapeId="0" xr:uid="{F0CF1E4A-AC4D-4DB1-B438-0EDAAEE21644}">
      <text>
        <r>
          <rPr>
            <b/>
            <sz val="9"/>
            <color indexed="81"/>
            <rFont val="Tahoma"/>
            <family val="2"/>
          </rPr>
          <t>Smith Pittman:</t>
        </r>
        <r>
          <rPr>
            <sz val="9"/>
            <color indexed="81"/>
            <rFont val="Tahoma"/>
            <family val="2"/>
          </rPr>
          <t xml:space="preserve">
https://www.nrel.gov/docs/fy15osti/62402.pdf</t>
        </r>
      </text>
    </comment>
    <comment ref="G79" authorId="0" shapeId="0" xr:uid="{2C1E0774-B179-4FBB-9E59-D5BBF547E8B7}">
      <text>
        <r>
          <rPr>
            <b/>
            <sz val="9"/>
            <color indexed="81"/>
            <rFont val="Tahoma"/>
            <family val="2"/>
          </rPr>
          <t>Smith Pittman:</t>
        </r>
        <r>
          <rPr>
            <sz val="9"/>
            <color indexed="81"/>
            <rFont val="Tahoma"/>
            <family val="2"/>
          </rPr>
          <t xml:space="preserve">
https://www.energy.gov/femp/articles/water-and-wastewater-annual-price-escalation-rates-selected-cities-across-united</t>
        </r>
      </text>
    </comment>
    <comment ref="A80" authorId="0" shapeId="0" xr:uid="{0AFC66F8-E261-48C9-9376-27332B01EE2C}">
      <text>
        <r>
          <rPr>
            <b/>
            <sz val="9"/>
            <color indexed="81"/>
            <rFont val="Tahoma"/>
            <family val="2"/>
          </rPr>
          <t>Smith Pittman:</t>
        </r>
        <r>
          <rPr>
            <sz val="9"/>
            <color indexed="81"/>
            <rFont val="Tahoma"/>
            <family val="2"/>
          </rPr>
          <t xml:space="preserve">
Chapter 15 page 371 Biogas Handbook
</t>
        </r>
      </text>
    </comment>
    <comment ref="G109" authorId="0" shapeId="0" xr:uid="{9944709F-862F-410D-99A8-075E5771680E}">
      <text>
        <r>
          <rPr>
            <b/>
            <sz val="9"/>
            <color indexed="81"/>
            <rFont val="Tahoma"/>
            <family val="2"/>
          </rPr>
          <t>Smith Pittman:</t>
        </r>
        <r>
          <rPr>
            <sz val="9"/>
            <color indexed="81"/>
            <rFont val="Tahoma"/>
            <family val="2"/>
          </rPr>
          <t xml:space="preserve">
https://www.bls.gov/regions/midwest/data/averageenergyprices_selectedareas_table.htm</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Smith Pittman</author>
  </authors>
  <commentList>
    <comment ref="I43" authorId="0" shapeId="0" xr:uid="{60A63A5A-0866-438E-ACB8-801970428B55}">
      <text>
        <r>
          <rPr>
            <b/>
            <sz val="9"/>
            <color indexed="81"/>
            <rFont val="Tahoma"/>
            <family val="2"/>
          </rPr>
          <t>Smith Pittman:</t>
        </r>
        <r>
          <rPr>
            <sz val="9"/>
            <color indexed="81"/>
            <rFont val="Tahoma"/>
            <family val="2"/>
          </rPr>
          <t xml:space="preserve">
Validated by:
https://www.worldbiogasassociation.org/financial-calculator/</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Smith Pittman</author>
  </authors>
  <commentList>
    <comment ref="A46" authorId="0" shapeId="0" xr:uid="{E663E48B-B14F-4A98-B29C-E93A2C8CA28E}">
      <text>
        <r>
          <rPr>
            <b/>
            <sz val="9"/>
            <color indexed="81"/>
            <rFont val="Tahoma"/>
            <family val="2"/>
          </rPr>
          <t>Smith Pittman:</t>
        </r>
        <r>
          <rPr>
            <sz val="9"/>
            <color indexed="81"/>
            <rFont val="Tahoma"/>
            <family val="2"/>
          </rPr>
          <t xml:space="preserve">
Provides a tax credit for the sale or use of sustainable aviation fuel (SAF) that achieves a lifecycle greenhouse Sustainable Aviation Fuel gas emissions re duction of at least 50% as compared with petroleum-based jet fuel. Credit Credit Amount: $1.25/gallon of SAF. Bonus Credit Amount: Up to $0.50/gallon depending on lifecycle greenhouse (§ 40B) gas emissions of SAF relative to petroleum-based jet fuel</t>
        </r>
      </text>
    </comment>
    <comment ref="A68" authorId="0" shapeId="0" xr:uid="{B0059EEC-2150-48B8-A316-0F7E9ACDF032}">
      <text>
        <r>
          <rPr>
            <b/>
            <sz val="9"/>
            <color indexed="81"/>
            <rFont val="Tahoma"/>
            <family val="2"/>
          </rPr>
          <t>Smith Pittman:</t>
        </r>
        <r>
          <rPr>
            <sz val="9"/>
            <color indexed="81"/>
            <rFont val="Tahoma"/>
            <family val="2"/>
          </rPr>
          <t xml:space="preserve">
Retail price at fixed base operators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Smith Pittman</author>
  </authors>
  <commentList>
    <comment ref="A44" authorId="0" shapeId="0" xr:uid="{93911767-1BCD-4D3A-BBAB-A8B6A23AF432}">
      <text>
        <r>
          <rPr>
            <b/>
            <sz val="9"/>
            <color indexed="81"/>
            <rFont val="Tahoma"/>
            <family val="2"/>
          </rPr>
          <t>Smith Pittman:</t>
        </r>
        <r>
          <rPr>
            <sz val="9"/>
            <color indexed="81"/>
            <rFont val="Tahoma"/>
            <family val="2"/>
          </rPr>
          <t xml:space="preserve">
Provides a tax credit for the sale or use of sustainable aviation fuel (SAF) that achieves a lifecycle greenhouse Sustainable Aviation Fuel gas emissions re duction of at least 50% as compared with petroleum-based jet fuel. Credit Credit Amount: $1.25/gallon of SAF. Bonus Credit Amount: Up to $0.50/gallon depending on lifecycle greenhouse (§ 40B) gas emissions of SAF relative to petroleum-based jet fuel</t>
        </r>
      </text>
    </comment>
    <comment ref="A74" authorId="0" shapeId="0" xr:uid="{CA1EA12B-ACC2-4E1F-88CD-7315921D0011}">
      <text>
        <r>
          <rPr>
            <b/>
            <sz val="9"/>
            <color indexed="81"/>
            <rFont val="Tahoma"/>
            <family val="2"/>
          </rPr>
          <t>Smith Pittman:</t>
        </r>
        <r>
          <rPr>
            <sz val="9"/>
            <color indexed="81"/>
            <rFont val="Tahoma"/>
            <family val="2"/>
          </rPr>
          <t xml:space="preserve">
Retail price at fixed base operators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Smith Pittman</author>
  </authors>
  <commentList>
    <comment ref="D76" authorId="0" shapeId="0" xr:uid="{D41D0297-F481-421E-B8FB-089D0BD974E6}">
      <text>
        <r>
          <rPr>
            <b/>
            <sz val="9"/>
            <color indexed="81"/>
            <rFont val="Tahoma"/>
            <family val="2"/>
          </rPr>
          <t>Smith Pittman:</t>
        </r>
        <r>
          <rPr>
            <sz val="9"/>
            <color indexed="81"/>
            <rFont val="Tahoma"/>
            <family val="2"/>
          </rPr>
          <t xml:space="preserve">
assumption</t>
        </r>
      </text>
    </comment>
    <comment ref="D77" authorId="0" shapeId="0" xr:uid="{28F990B5-D439-45A5-9AB0-CB4050054930}">
      <text>
        <r>
          <rPr>
            <b/>
            <sz val="9"/>
            <color indexed="81"/>
            <rFont val="Tahoma"/>
            <family val="2"/>
          </rPr>
          <t>Smith Pittman:</t>
        </r>
        <r>
          <rPr>
            <sz val="9"/>
            <color indexed="81"/>
            <rFont val="Tahoma"/>
            <family val="2"/>
          </rPr>
          <t xml:space="preserve">
assumption</t>
        </r>
      </text>
    </comment>
    <comment ref="C322" authorId="0" shapeId="0" xr:uid="{1F1CC6B3-B484-4059-9650-77638754C226}">
      <text>
        <r>
          <rPr>
            <b/>
            <sz val="9"/>
            <color indexed="81"/>
            <rFont val="Tahoma"/>
            <family val="2"/>
          </rPr>
          <t>Smith Pittman:</t>
        </r>
        <r>
          <rPr>
            <sz val="9"/>
            <color indexed="81"/>
            <rFont val="Tahoma"/>
            <family val="2"/>
          </rPr>
          <t xml:space="preserve">
agitator assumption for TEFC induction motor
 1800 kg steel for 200 kW agitator
</t>
        </r>
      </text>
    </comment>
    <comment ref="C394" authorId="0" shapeId="0" xr:uid="{E05AD217-EB97-4290-8A93-DDCBC2034A8C}">
      <text>
        <r>
          <rPr>
            <b/>
            <sz val="9"/>
            <color indexed="81"/>
            <rFont val="Tahoma"/>
            <family val="2"/>
          </rPr>
          <t>Smith Pittman:</t>
        </r>
        <r>
          <rPr>
            <sz val="9"/>
            <color indexed="81"/>
            <rFont val="Tahoma"/>
            <family val="2"/>
          </rPr>
          <t xml:space="preserve">
assumption of size of mid-large industrial centrifuge/decanter unit</t>
        </r>
      </text>
    </comment>
    <comment ref="C454" authorId="0" shapeId="0" xr:uid="{9EF7F8A2-2A16-4A86-86A2-254D4C267B83}">
      <text>
        <r>
          <rPr>
            <b/>
            <sz val="9"/>
            <color indexed="81"/>
            <rFont val="Tahoma"/>
            <family val="2"/>
          </rPr>
          <t>Smith Pittman:</t>
        </r>
        <r>
          <rPr>
            <sz val="9"/>
            <color indexed="81"/>
            <rFont val="Tahoma"/>
            <family val="2"/>
          </rPr>
          <t xml:space="preserve">
agitator assumption for TEFC induction motor
 1800 kg steel for 200 kW agitator
</t>
        </r>
      </text>
    </comment>
    <comment ref="C490" authorId="0" shapeId="0" xr:uid="{350BF2AA-0BB5-4CAB-B643-F48ABC78A335}">
      <text>
        <r>
          <rPr>
            <b/>
            <sz val="9"/>
            <color indexed="81"/>
            <rFont val="Tahoma"/>
            <family val="2"/>
          </rPr>
          <t>Smith Pittman:</t>
        </r>
        <r>
          <rPr>
            <sz val="9"/>
            <color indexed="81"/>
            <rFont val="Tahoma"/>
            <family val="2"/>
          </rPr>
          <t xml:space="preserve">
assumed retention time</t>
        </r>
      </text>
    </comment>
    <comment ref="C526" authorId="0" shapeId="0" xr:uid="{5CC4D9A4-F51A-4FE3-9373-04BE595AA434}">
      <text>
        <r>
          <rPr>
            <b/>
            <sz val="9"/>
            <color indexed="81"/>
            <rFont val="Tahoma"/>
            <family val="2"/>
          </rPr>
          <t>Smith Pittman:</t>
        </r>
        <r>
          <rPr>
            <sz val="9"/>
            <color indexed="81"/>
            <rFont val="Tahoma"/>
            <family val="2"/>
          </rPr>
          <t xml:space="preserve">
specific activity for lactase enzyme</t>
        </r>
      </text>
    </comment>
    <comment ref="C546" authorId="0" shapeId="0" xr:uid="{B4569A33-552A-4684-8E5D-A72FFB7F3A53}">
      <text>
        <r>
          <rPr>
            <b/>
            <sz val="9"/>
            <color indexed="81"/>
            <rFont val="Tahoma"/>
            <family val="2"/>
          </rPr>
          <t>Smith Pittman:</t>
        </r>
        <r>
          <rPr>
            <sz val="9"/>
            <color indexed="81"/>
            <rFont val="Tahoma"/>
            <family val="2"/>
          </rPr>
          <t xml:space="preserve">
assumption</t>
        </r>
      </text>
    </comment>
    <comment ref="C828" authorId="0" shapeId="0" xr:uid="{710916CC-E62C-4E2B-BF92-FEAAB115C424}">
      <text>
        <r>
          <rPr>
            <b/>
            <sz val="9"/>
            <color indexed="81"/>
            <rFont val="Tahoma"/>
            <family val="2"/>
          </rPr>
          <t>Smith Pittman:</t>
        </r>
        <r>
          <rPr>
            <sz val="9"/>
            <color indexed="81"/>
            <rFont val="Tahoma"/>
            <family val="2"/>
          </rPr>
          <t xml:space="preserve">
assumption of size of mid-large industrial centrifuge/decanter unit</t>
        </r>
      </text>
    </comment>
    <comment ref="D890" authorId="0" shapeId="0" xr:uid="{29769039-010D-40D2-9FF6-24E58203C472}">
      <text>
        <r>
          <rPr>
            <b/>
            <sz val="9"/>
            <color indexed="81"/>
            <rFont val="Tahoma"/>
            <family val="2"/>
          </rPr>
          <t>Smith Pittman:</t>
        </r>
        <r>
          <rPr>
            <sz val="9"/>
            <color indexed="81"/>
            <rFont val="Tahoma"/>
            <family val="2"/>
          </rPr>
          <t xml:space="preserve">
assumption</t>
        </r>
      </text>
    </comment>
    <comment ref="D891" authorId="0" shapeId="0" xr:uid="{F1E2A50A-3644-4277-8F48-F897A71C890C}">
      <text>
        <r>
          <rPr>
            <b/>
            <sz val="9"/>
            <color indexed="81"/>
            <rFont val="Tahoma"/>
            <family val="2"/>
          </rPr>
          <t>Smith Pittman:</t>
        </r>
        <r>
          <rPr>
            <sz val="9"/>
            <color indexed="81"/>
            <rFont val="Tahoma"/>
            <family val="2"/>
          </rPr>
          <t xml:space="preserve">
assumption</t>
        </r>
      </text>
    </comment>
    <comment ref="C901" authorId="0" shapeId="0" xr:uid="{CBF88214-BA4B-4E57-88E3-BB899862FC84}">
      <text>
        <r>
          <rPr>
            <b/>
            <sz val="9"/>
            <color indexed="81"/>
            <rFont val="Tahoma"/>
            <family val="2"/>
          </rPr>
          <t>Smith Pittman:</t>
        </r>
        <r>
          <rPr>
            <sz val="9"/>
            <color indexed="81"/>
            <rFont val="Tahoma"/>
            <family val="2"/>
          </rPr>
          <t xml:space="preserve">
industrial assumption,
Pressure ratio of 1.2</t>
        </r>
      </text>
    </comment>
    <comment ref="C926" authorId="0" shapeId="0" xr:uid="{B410E0C8-0083-4D9A-956A-CEB05E044067}">
      <text>
        <r>
          <rPr>
            <b/>
            <sz val="9"/>
            <color indexed="81"/>
            <rFont val="Tahoma"/>
            <family val="2"/>
          </rPr>
          <t>Smith Pittman:</t>
        </r>
        <r>
          <rPr>
            <sz val="9"/>
            <color indexed="81"/>
            <rFont val="Tahoma"/>
            <family val="2"/>
          </rPr>
          <t xml:space="preserve">
for a 20 deg C drop in temperature</t>
        </r>
      </text>
    </comment>
    <comment ref="C938" authorId="0" shapeId="0" xr:uid="{CCFCCE1D-6951-4B35-8A77-BAA5E6D08B01}">
      <text>
        <r>
          <rPr>
            <b/>
            <sz val="9"/>
            <color indexed="81"/>
            <rFont val="Tahoma"/>
            <family val="2"/>
          </rPr>
          <t>Smith Pittman:</t>
        </r>
        <r>
          <rPr>
            <sz val="9"/>
            <color indexed="81"/>
            <rFont val="Tahoma"/>
            <family val="2"/>
          </rPr>
          <t xml:space="preserve">
assumption of size of mid-large industrial unit</t>
        </r>
      </text>
    </comment>
    <comment ref="C951" authorId="0" shapeId="0" xr:uid="{1D288930-7A7D-4B13-A453-3BD6C1881C58}">
      <text>
        <r>
          <rPr>
            <b/>
            <sz val="9"/>
            <color indexed="81"/>
            <rFont val="Tahoma"/>
            <family val="2"/>
          </rPr>
          <t>Smith Pittman:</t>
        </r>
        <r>
          <rPr>
            <sz val="9"/>
            <color indexed="81"/>
            <rFont val="Tahoma"/>
            <family val="2"/>
          </rPr>
          <t xml:space="preserve">
assumption of size of mid-large industrial unit</t>
        </r>
      </text>
    </comment>
    <comment ref="C986" authorId="0" shapeId="0" xr:uid="{0E0CC0D6-151C-4EC8-89F0-F31D2858697D}">
      <text>
        <r>
          <rPr>
            <b/>
            <sz val="9"/>
            <color indexed="81"/>
            <rFont val="Tahoma"/>
            <family val="2"/>
          </rPr>
          <t>Smith Pittman:</t>
        </r>
        <r>
          <rPr>
            <sz val="9"/>
            <color indexed="81"/>
            <rFont val="Tahoma"/>
            <family val="2"/>
          </rPr>
          <t xml:space="preserve">
assumption of size of mid-large industrial unit</t>
        </r>
      </text>
    </comment>
    <comment ref="C998" authorId="0" shapeId="0" xr:uid="{8F395C8D-AA28-410D-A546-CD68450C0024}">
      <text>
        <r>
          <rPr>
            <b/>
            <sz val="9"/>
            <color indexed="81"/>
            <rFont val="Tahoma"/>
            <family val="2"/>
          </rPr>
          <t>Smith Pittman:</t>
        </r>
        <r>
          <rPr>
            <sz val="9"/>
            <color indexed="81"/>
            <rFont val="Tahoma"/>
            <family val="2"/>
          </rPr>
          <t xml:space="preserve">
for a 20 deg C drop in temperature</t>
        </r>
      </text>
    </comment>
    <comment ref="C1010" authorId="0" shapeId="0" xr:uid="{D6BCA360-EE5D-45BD-9509-044572572B2A}">
      <text>
        <r>
          <rPr>
            <b/>
            <sz val="9"/>
            <color indexed="81"/>
            <rFont val="Tahoma"/>
            <family val="2"/>
          </rPr>
          <t>Smith Pittman:</t>
        </r>
        <r>
          <rPr>
            <sz val="9"/>
            <color indexed="81"/>
            <rFont val="Tahoma"/>
            <family val="2"/>
          </rPr>
          <t xml:space="preserve">
assumption of size of mid-large industrial centrifuge/decanter unit</t>
        </r>
      </text>
    </comment>
    <comment ref="C1022" authorId="0" shapeId="0" xr:uid="{F5E5FA0E-E26F-4B9F-AD11-73077ED18CDD}">
      <text>
        <r>
          <rPr>
            <b/>
            <sz val="9"/>
            <color indexed="81"/>
            <rFont val="Tahoma"/>
            <family val="2"/>
          </rPr>
          <t>Smith Pittman:</t>
        </r>
        <r>
          <rPr>
            <sz val="9"/>
            <color indexed="81"/>
            <rFont val="Tahoma"/>
            <family val="2"/>
          </rPr>
          <t xml:space="preserve">
assumption of size of mid-large industrial unit</t>
        </r>
      </text>
    </comment>
    <comment ref="C1170" authorId="0" shapeId="0" xr:uid="{8D34678D-AE32-4B7D-AC25-CFD86212DE5A}">
      <text>
        <r>
          <rPr>
            <b/>
            <sz val="9"/>
            <color indexed="81"/>
            <rFont val="Tahoma"/>
            <family val="2"/>
          </rPr>
          <t>Smith Pittman:</t>
        </r>
        <r>
          <rPr>
            <sz val="9"/>
            <color indexed="81"/>
            <rFont val="Tahoma"/>
            <family val="2"/>
          </rPr>
          <t xml:space="preserve">
assumption of size of mid-large industrial centrifuge/decanter unit</t>
        </r>
      </text>
    </comment>
    <comment ref="D1392" authorId="0" shapeId="0" xr:uid="{3B801423-9998-4909-A614-75780C965590}">
      <text>
        <r>
          <rPr>
            <b/>
            <sz val="9"/>
            <color indexed="81"/>
            <rFont val="Tahoma"/>
            <family val="2"/>
          </rPr>
          <t>Smith Pittman:</t>
        </r>
        <r>
          <rPr>
            <sz val="9"/>
            <color indexed="81"/>
            <rFont val="Tahoma"/>
            <family val="2"/>
          </rPr>
          <t xml:space="preserve">
assumption</t>
        </r>
      </text>
    </comment>
    <comment ref="D1393" authorId="0" shapeId="0" xr:uid="{8EAF4866-0778-44BD-A354-6A2356073B28}">
      <text>
        <r>
          <rPr>
            <b/>
            <sz val="9"/>
            <color indexed="81"/>
            <rFont val="Tahoma"/>
            <family val="2"/>
          </rPr>
          <t>Smith Pittman:</t>
        </r>
        <r>
          <rPr>
            <sz val="9"/>
            <color indexed="81"/>
            <rFont val="Tahoma"/>
            <family val="2"/>
          </rPr>
          <t xml:space="preserve">
assumption</t>
        </r>
      </text>
    </comment>
    <comment ref="D1404" authorId="0" shapeId="0" xr:uid="{DFB6AFF5-50D0-42BA-9FAA-2C45A5AEF743}">
      <text>
        <r>
          <rPr>
            <b/>
            <sz val="9"/>
            <color indexed="81"/>
            <rFont val="Tahoma"/>
            <family val="2"/>
          </rPr>
          <t>Smith Pittman:</t>
        </r>
        <r>
          <rPr>
            <sz val="9"/>
            <color indexed="81"/>
            <rFont val="Tahoma"/>
            <family val="2"/>
          </rPr>
          <t xml:space="preserve">
assumption</t>
        </r>
      </text>
    </comment>
    <comment ref="D1405" authorId="0" shapeId="0" xr:uid="{101B6B2A-2725-411A-B8D3-80902B843612}">
      <text>
        <r>
          <rPr>
            <b/>
            <sz val="9"/>
            <color indexed="81"/>
            <rFont val="Tahoma"/>
            <family val="2"/>
          </rPr>
          <t>Smith Pittman:</t>
        </r>
        <r>
          <rPr>
            <sz val="9"/>
            <color indexed="81"/>
            <rFont val="Tahoma"/>
            <family val="2"/>
          </rPr>
          <t xml:space="preserve">
assumption</t>
        </r>
      </text>
    </comment>
    <comment ref="C1429" authorId="0" shapeId="0" xr:uid="{04954EA8-7717-40DF-BC43-6DA8BDFE3A73}">
      <text>
        <r>
          <rPr>
            <b/>
            <sz val="9"/>
            <color indexed="81"/>
            <rFont val="Tahoma"/>
            <family val="2"/>
          </rPr>
          <t>Smith Pittman:</t>
        </r>
        <r>
          <rPr>
            <sz val="9"/>
            <color indexed="81"/>
            <rFont val="Tahoma"/>
            <family val="2"/>
          </rPr>
          <t xml:space="preserve">
agitator assumption for TEFC induction motor
 1800 kg steel for 200 kW agitator
</t>
        </r>
      </text>
    </comment>
    <comment ref="C1440" authorId="0" shapeId="0" xr:uid="{2A0B1F31-130B-4287-A2D6-A2E2BD64E827}">
      <text>
        <r>
          <rPr>
            <b/>
            <sz val="9"/>
            <color indexed="81"/>
            <rFont val="Tahoma"/>
            <family val="2"/>
          </rPr>
          <t>Smith Pittman:</t>
        </r>
        <r>
          <rPr>
            <sz val="9"/>
            <color indexed="81"/>
            <rFont val="Tahoma"/>
            <family val="2"/>
          </rPr>
          <t xml:space="preserve">
assumption of size of mid-large industrial centrifuge/decanter unit</t>
        </r>
      </text>
    </comment>
    <comment ref="C1452" authorId="0" shapeId="0" xr:uid="{5F0B5F51-77FE-452E-A648-7F2923EA4E38}">
      <text>
        <r>
          <rPr>
            <b/>
            <sz val="9"/>
            <color indexed="81"/>
            <rFont val="Tahoma"/>
            <family val="2"/>
          </rPr>
          <t>Smith Pittman:</t>
        </r>
        <r>
          <rPr>
            <sz val="9"/>
            <color indexed="81"/>
            <rFont val="Tahoma"/>
            <family val="2"/>
          </rPr>
          <t xml:space="preserve">
assumption of size of mid-large industrial unit</t>
        </r>
      </text>
    </comment>
    <comment ref="D1464" authorId="0" shapeId="0" xr:uid="{B7F0B3CE-429E-4803-818D-84ED10DFD6AF}">
      <text>
        <r>
          <rPr>
            <b/>
            <sz val="9"/>
            <color indexed="81"/>
            <rFont val="Tahoma"/>
            <family val="2"/>
          </rPr>
          <t>Smith Pittman:</t>
        </r>
        <r>
          <rPr>
            <sz val="9"/>
            <color indexed="81"/>
            <rFont val="Tahoma"/>
            <family val="2"/>
          </rPr>
          <t xml:space="preserve">
assumption</t>
        </r>
      </text>
    </comment>
    <comment ref="D1465" authorId="0" shapeId="0" xr:uid="{744D1AF8-FFEB-4C59-9A5E-A8B084E3FEC3}">
      <text>
        <r>
          <rPr>
            <b/>
            <sz val="9"/>
            <color indexed="81"/>
            <rFont val="Tahoma"/>
            <family val="2"/>
          </rPr>
          <t>Smith Pittman:</t>
        </r>
        <r>
          <rPr>
            <sz val="9"/>
            <color indexed="81"/>
            <rFont val="Tahoma"/>
            <family val="2"/>
          </rPr>
          <t xml:space="preserve">
assumption</t>
        </r>
      </text>
    </comment>
    <comment ref="D1558" authorId="0" shapeId="0" xr:uid="{05534C97-2ADC-402C-B5FA-CAF97207241F}">
      <text>
        <r>
          <rPr>
            <b/>
            <sz val="9"/>
            <color indexed="81"/>
            <rFont val="Tahoma"/>
            <family val="2"/>
          </rPr>
          <t>Smith Pittman:</t>
        </r>
        <r>
          <rPr>
            <sz val="9"/>
            <color indexed="81"/>
            <rFont val="Tahoma"/>
            <family val="2"/>
          </rPr>
          <t xml:space="preserve">
assumption</t>
        </r>
      </text>
    </comment>
    <comment ref="D1559" authorId="0" shapeId="0" xr:uid="{6F273704-460C-4141-8666-65EEC0E1D472}">
      <text>
        <r>
          <rPr>
            <b/>
            <sz val="9"/>
            <color indexed="81"/>
            <rFont val="Tahoma"/>
            <family val="2"/>
          </rPr>
          <t>Smith Pittman:</t>
        </r>
        <r>
          <rPr>
            <sz val="9"/>
            <color indexed="81"/>
            <rFont val="Tahoma"/>
            <family val="2"/>
          </rPr>
          <t xml:space="preserve">
assumption</t>
        </r>
      </text>
    </comment>
    <comment ref="D1673" authorId="0" shapeId="0" xr:uid="{91E71B01-E79D-41CB-8FEF-8B57FE52D052}">
      <text>
        <r>
          <rPr>
            <b/>
            <sz val="9"/>
            <color indexed="81"/>
            <rFont val="Tahoma"/>
            <family val="2"/>
          </rPr>
          <t>Smith Pittman:</t>
        </r>
        <r>
          <rPr>
            <sz val="9"/>
            <color indexed="81"/>
            <rFont val="Tahoma"/>
            <family val="2"/>
          </rPr>
          <t xml:space="preserve">
assumption</t>
        </r>
      </text>
    </comment>
    <comment ref="D1674" authorId="0" shapeId="0" xr:uid="{FA2F80CB-BFE1-4107-8897-BFFF06959FF8}">
      <text>
        <r>
          <rPr>
            <b/>
            <sz val="9"/>
            <color indexed="81"/>
            <rFont val="Tahoma"/>
            <family val="2"/>
          </rPr>
          <t>Smith Pittman:</t>
        </r>
        <r>
          <rPr>
            <sz val="9"/>
            <color indexed="81"/>
            <rFont val="Tahoma"/>
            <family val="2"/>
          </rPr>
          <t xml:space="preserve">
assumption</t>
        </r>
      </text>
    </comment>
    <comment ref="C1720" authorId="0" shapeId="0" xr:uid="{0A21EC31-4DFC-4712-AE23-5161649FB445}">
      <text>
        <r>
          <rPr>
            <b/>
            <sz val="9"/>
            <color indexed="81"/>
            <rFont val="Tahoma"/>
            <family val="2"/>
          </rPr>
          <t>Smith Pittman:</t>
        </r>
        <r>
          <rPr>
            <sz val="9"/>
            <color indexed="81"/>
            <rFont val="Tahoma"/>
            <family val="2"/>
          </rPr>
          <t xml:space="preserve">
industrial assumption,
Pressure ratio of 1.2</t>
        </r>
      </text>
    </comment>
    <comment ref="C1732" authorId="0" shapeId="0" xr:uid="{9A7632E6-ACA4-40B8-BA14-36554859B835}">
      <text>
        <r>
          <rPr>
            <b/>
            <sz val="9"/>
            <color indexed="81"/>
            <rFont val="Tahoma"/>
            <family val="2"/>
          </rPr>
          <t>Smith Pittman:</t>
        </r>
        <r>
          <rPr>
            <sz val="9"/>
            <color indexed="81"/>
            <rFont val="Tahoma"/>
            <family val="2"/>
          </rPr>
          <t xml:space="preserve">
industrial assumption,
Pressure ratio of 1.2</t>
        </r>
      </text>
    </comment>
    <comment ref="C1813" authorId="0" shapeId="0" xr:uid="{BBCD5A62-1967-4DC2-B736-A8084B82C118}">
      <text>
        <r>
          <rPr>
            <b/>
            <sz val="9"/>
            <color indexed="81"/>
            <rFont val="Tahoma"/>
            <family val="2"/>
          </rPr>
          <t>Smith Pittman:</t>
        </r>
        <r>
          <rPr>
            <sz val="9"/>
            <color indexed="81"/>
            <rFont val="Tahoma"/>
            <family val="2"/>
          </rPr>
          <t xml:space="preserve">
assumption of size of mid-large industrial unit</t>
        </r>
      </text>
    </comment>
    <comment ref="D1825" authorId="0" shapeId="0" xr:uid="{7D2E3E7C-E2AA-4D2D-9F32-C5F3CE544012}">
      <text>
        <r>
          <rPr>
            <b/>
            <sz val="9"/>
            <color indexed="81"/>
            <rFont val="Tahoma"/>
            <family val="2"/>
          </rPr>
          <t>Smith Pittman:</t>
        </r>
        <r>
          <rPr>
            <sz val="9"/>
            <color indexed="81"/>
            <rFont val="Tahoma"/>
            <family val="2"/>
          </rPr>
          <t xml:space="preserve">
assumption</t>
        </r>
      </text>
    </comment>
    <comment ref="D1826" authorId="0" shapeId="0" xr:uid="{77AD0DE2-E895-4832-B7A0-D3FD7C0DDD91}">
      <text>
        <r>
          <rPr>
            <b/>
            <sz val="9"/>
            <color indexed="81"/>
            <rFont val="Tahoma"/>
            <family val="2"/>
          </rPr>
          <t>Smith Pittman:</t>
        </r>
        <r>
          <rPr>
            <sz val="9"/>
            <color indexed="81"/>
            <rFont val="Tahoma"/>
            <family val="2"/>
          </rPr>
          <t xml:space="preserve">
assumption</t>
        </r>
      </text>
    </comment>
    <comment ref="D1898" authorId="0" shapeId="0" xr:uid="{DBF164C5-B66C-404A-8E77-CF4ED770AA85}">
      <text>
        <r>
          <rPr>
            <b/>
            <sz val="9"/>
            <color indexed="81"/>
            <rFont val="Tahoma"/>
            <family val="2"/>
          </rPr>
          <t>Smith Pittman:</t>
        </r>
        <r>
          <rPr>
            <sz val="9"/>
            <color indexed="81"/>
            <rFont val="Tahoma"/>
            <family val="2"/>
          </rPr>
          <t xml:space="preserve">
assumption</t>
        </r>
      </text>
    </comment>
    <comment ref="D1899" authorId="0" shapeId="0" xr:uid="{0EA3465E-9396-4A1C-B754-660E04F0C4E8}">
      <text>
        <r>
          <rPr>
            <b/>
            <sz val="9"/>
            <color indexed="81"/>
            <rFont val="Tahoma"/>
            <family val="2"/>
          </rPr>
          <t>Smith Pittman:</t>
        </r>
        <r>
          <rPr>
            <sz val="9"/>
            <color indexed="81"/>
            <rFont val="Tahoma"/>
            <family val="2"/>
          </rPr>
          <t xml:space="preserve">
assumption</t>
        </r>
      </text>
    </comment>
    <comment ref="D1910" authorId="0" shapeId="0" xr:uid="{7F850AF7-19B7-4AD1-B788-597BFDB280F6}">
      <text>
        <r>
          <rPr>
            <b/>
            <sz val="9"/>
            <color indexed="81"/>
            <rFont val="Tahoma"/>
            <family val="2"/>
          </rPr>
          <t>Smith Pittman:</t>
        </r>
        <r>
          <rPr>
            <sz val="9"/>
            <color indexed="81"/>
            <rFont val="Tahoma"/>
            <family val="2"/>
          </rPr>
          <t xml:space="preserve">
assumption</t>
        </r>
      </text>
    </comment>
    <comment ref="D1911" authorId="0" shapeId="0" xr:uid="{4DE5931D-4F3A-4EB5-BC38-CB1B692E08A5}">
      <text>
        <r>
          <rPr>
            <b/>
            <sz val="9"/>
            <color indexed="81"/>
            <rFont val="Tahoma"/>
            <family val="2"/>
          </rPr>
          <t>Smith Pittman:</t>
        </r>
        <r>
          <rPr>
            <sz val="9"/>
            <color indexed="81"/>
            <rFont val="Tahoma"/>
            <family val="2"/>
          </rPr>
          <t xml:space="preserve">
assumption</t>
        </r>
      </text>
    </comment>
    <comment ref="D1934" authorId="0" shapeId="0" xr:uid="{8A80C91E-1F93-41E8-AA92-B1F3449DB7C1}">
      <text>
        <r>
          <rPr>
            <b/>
            <sz val="9"/>
            <color indexed="81"/>
            <rFont val="Tahoma"/>
            <family val="2"/>
          </rPr>
          <t>Smith Pittman:</t>
        </r>
        <r>
          <rPr>
            <sz val="9"/>
            <color indexed="81"/>
            <rFont val="Tahoma"/>
            <family val="2"/>
          </rPr>
          <t xml:space="preserve">
assumption</t>
        </r>
      </text>
    </comment>
    <comment ref="D1935" authorId="0" shapeId="0" xr:uid="{2C8A270F-C09B-46CE-A984-63BB19F9F984}">
      <text>
        <r>
          <rPr>
            <b/>
            <sz val="9"/>
            <color indexed="81"/>
            <rFont val="Tahoma"/>
            <family val="2"/>
          </rPr>
          <t>Smith Pittman:</t>
        </r>
        <r>
          <rPr>
            <sz val="9"/>
            <color indexed="81"/>
            <rFont val="Tahoma"/>
            <family val="2"/>
          </rPr>
          <t xml:space="preserve">
assumption</t>
        </r>
      </text>
    </comment>
    <comment ref="D1946" authorId="0" shapeId="0" xr:uid="{8D089573-E189-494A-9483-3ECAA4E57EA6}">
      <text>
        <r>
          <rPr>
            <b/>
            <sz val="9"/>
            <color indexed="81"/>
            <rFont val="Tahoma"/>
            <family val="2"/>
          </rPr>
          <t>Smith Pittman:</t>
        </r>
        <r>
          <rPr>
            <sz val="9"/>
            <color indexed="81"/>
            <rFont val="Tahoma"/>
            <family val="2"/>
          </rPr>
          <t xml:space="preserve">
assumption</t>
        </r>
      </text>
    </comment>
    <comment ref="D1947" authorId="0" shapeId="0" xr:uid="{D878A2F7-6F25-4E21-953F-E2F5BE48480E}">
      <text>
        <r>
          <rPr>
            <b/>
            <sz val="9"/>
            <color indexed="81"/>
            <rFont val="Tahoma"/>
            <family val="2"/>
          </rPr>
          <t>Smith Pittman:</t>
        </r>
        <r>
          <rPr>
            <sz val="9"/>
            <color indexed="81"/>
            <rFont val="Tahoma"/>
            <family val="2"/>
          </rPr>
          <t xml:space="preserve">
assumption</t>
        </r>
      </text>
    </comment>
    <comment ref="D1970" authorId="0" shapeId="0" xr:uid="{E11DC416-F6E8-49E7-A20E-5CEB595ECCED}">
      <text>
        <r>
          <rPr>
            <b/>
            <sz val="9"/>
            <color indexed="81"/>
            <rFont val="Tahoma"/>
            <family val="2"/>
          </rPr>
          <t>Smith Pittman:</t>
        </r>
        <r>
          <rPr>
            <sz val="9"/>
            <color indexed="81"/>
            <rFont val="Tahoma"/>
            <family val="2"/>
          </rPr>
          <t xml:space="preserve">
assumption</t>
        </r>
      </text>
    </comment>
    <comment ref="D1971" authorId="0" shapeId="0" xr:uid="{917F5499-78F4-4510-8AEC-AD7399B1E09C}">
      <text>
        <r>
          <rPr>
            <b/>
            <sz val="9"/>
            <color indexed="81"/>
            <rFont val="Tahoma"/>
            <family val="2"/>
          </rPr>
          <t>Smith Pittman:</t>
        </r>
        <r>
          <rPr>
            <sz val="9"/>
            <color indexed="81"/>
            <rFont val="Tahoma"/>
            <family val="2"/>
          </rPr>
          <t xml:space="preserve">
assumption</t>
        </r>
      </text>
    </comment>
    <comment ref="D1982" authorId="0" shapeId="0" xr:uid="{249CEB07-AFA8-423E-BFFF-6D0CC259479A}">
      <text>
        <r>
          <rPr>
            <b/>
            <sz val="9"/>
            <color indexed="81"/>
            <rFont val="Tahoma"/>
            <family val="2"/>
          </rPr>
          <t>Smith Pittman:</t>
        </r>
        <r>
          <rPr>
            <sz val="9"/>
            <color indexed="81"/>
            <rFont val="Tahoma"/>
            <family val="2"/>
          </rPr>
          <t xml:space="preserve">
assumption</t>
        </r>
      </text>
    </comment>
    <comment ref="D1983" authorId="0" shapeId="0" xr:uid="{3231DCDC-A09D-489C-AAC8-C1ECDFDD9E22}">
      <text>
        <r>
          <rPr>
            <b/>
            <sz val="9"/>
            <color indexed="81"/>
            <rFont val="Tahoma"/>
            <family val="2"/>
          </rPr>
          <t>Smith Pittman:</t>
        </r>
        <r>
          <rPr>
            <sz val="9"/>
            <color indexed="81"/>
            <rFont val="Tahoma"/>
            <family val="2"/>
          </rPr>
          <t xml:space="preserve">
assumption</t>
        </r>
      </text>
    </comment>
    <comment ref="D2006" authorId="0" shapeId="0" xr:uid="{2FDA2CBC-1703-4791-A90D-C8CDAC0EC4DD}">
      <text>
        <r>
          <rPr>
            <b/>
            <sz val="9"/>
            <color indexed="81"/>
            <rFont val="Tahoma"/>
            <family val="2"/>
          </rPr>
          <t>Smith Pittman:</t>
        </r>
        <r>
          <rPr>
            <sz val="9"/>
            <color indexed="81"/>
            <rFont val="Tahoma"/>
            <family val="2"/>
          </rPr>
          <t xml:space="preserve">
assumption</t>
        </r>
      </text>
    </comment>
    <comment ref="D2007" authorId="0" shapeId="0" xr:uid="{8D1167BD-4EC3-48FE-B3DB-BE323B3EBD56}">
      <text>
        <r>
          <rPr>
            <b/>
            <sz val="9"/>
            <color indexed="81"/>
            <rFont val="Tahoma"/>
            <family val="2"/>
          </rPr>
          <t>Smith Pittman:</t>
        </r>
        <r>
          <rPr>
            <sz val="9"/>
            <color indexed="81"/>
            <rFont val="Tahoma"/>
            <family val="2"/>
          </rPr>
          <t xml:space="preserve">
assumption</t>
        </r>
      </text>
    </comment>
    <comment ref="D2296" authorId="0" shapeId="0" xr:uid="{53F4C803-8DAF-47C9-8C62-2F4FDEF6BA7C}">
      <text>
        <r>
          <rPr>
            <b/>
            <sz val="9"/>
            <color indexed="81"/>
            <rFont val="Tahoma"/>
            <family val="2"/>
          </rPr>
          <t>Smith Pittman:</t>
        </r>
        <r>
          <rPr>
            <sz val="9"/>
            <color indexed="81"/>
            <rFont val="Tahoma"/>
            <family val="2"/>
          </rPr>
          <t xml:space="preserve">
assumption</t>
        </r>
      </text>
    </comment>
    <comment ref="D2297" authorId="0" shapeId="0" xr:uid="{900E487A-4FC9-4C9E-A0DD-5D9F9AA3B113}">
      <text>
        <r>
          <rPr>
            <b/>
            <sz val="9"/>
            <color indexed="81"/>
            <rFont val="Tahoma"/>
            <family val="2"/>
          </rPr>
          <t>Smith Pittman:</t>
        </r>
        <r>
          <rPr>
            <sz val="9"/>
            <color indexed="81"/>
            <rFont val="Tahoma"/>
            <family val="2"/>
          </rPr>
          <t xml:space="preserve">
assumption</t>
        </r>
      </text>
    </comment>
    <comment ref="D2320" authorId="0" shapeId="0" xr:uid="{F589DADC-BFE1-4E8F-83DC-B632C6DADF81}">
      <text>
        <r>
          <rPr>
            <b/>
            <sz val="9"/>
            <color indexed="81"/>
            <rFont val="Tahoma"/>
            <family val="2"/>
          </rPr>
          <t>Smith Pittman:</t>
        </r>
        <r>
          <rPr>
            <sz val="9"/>
            <color indexed="81"/>
            <rFont val="Tahoma"/>
            <family val="2"/>
          </rPr>
          <t xml:space="preserve">
assumption</t>
        </r>
      </text>
    </comment>
    <comment ref="D2321" authorId="0" shapeId="0" xr:uid="{76ABFDC9-6975-448B-9BD6-F987F06689B6}">
      <text>
        <r>
          <rPr>
            <b/>
            <sz val="9"/>
            <color indexed="81"/>
            <rFont val="Tahoma"/>
            <family val="2"/>
          </rPr>
          <t>Smith Pittman:</t>
        </r>
        <r>
          <rPr>
            <sz val="9"/>
            <color indexed="81"/>
            <rFont val="Tahoma"/>
            <family val="2"/>
          </rPr>
          <t xml:space="preserve">
assumption</t>
        </r>
      </text>
    </comment>
    <comment ref="D2332" authorId="0" shapeId="0" xr:uid="{5312CC1A-3234-4BD5-8BB0-96BE56B4EA1D}">
      <text>
        <r>
          <rPr>
            <b/>
            <sz val="9"/>
            <color indexed="81"/>
            <rFont val="Tahoma"/>
            <family val="2"/>
          </rPr>
          <t>Smith Pittman:</t>
        </r>
        <r>
          <rPr>
            <sz val="9"/>
            <color indexed="81"/>
            <rFont val="Tahoma"/>
            <family val="2"/>
          </rPr>
          <t xml:space="preserve">
assumption</t>
        </r>
      </text>
    </comment>
    <comment ref="D2333" authorId="0" shapeId="0" xr:uid="{12451E1B-543E-47D9-8948-63D977F3D1C0}">
      <text>
        <r>
          <rPr>
            <b/>
            <sz val="9"/>
            <color indexed="81"/>
            <rFont val="Tahoma"/>
            <family val="2"/>
          </rPr>
          <t>Smith Pittman:</t>
        </r>
        <r>
          <rPr>
            <sz val="9"/>
            <color indexed="81"/>
            <rFont val="Tahoma"/>
            <family val="2"/>
          </rPr>
          <t xml:space="preserve">
assumption</t>
        </r>
      </text>
    </comment>
    <comment ref="D2435" authorId="0" shapeId="0" xr:uid="{CE15394F-8941-41FD-9012-6100DB6EC76D}">
      <text>
        <r>
          <rPr>
            <b/>
            <sz val="9"/>
            <color indexed="81"/>
            <rFont val="Tahoma"/>
            <family val="2"/>
          </rPr>
          <t>Smith Pittman:</t>
        </r>
        <r>
          <rPr>
            <sz val="9"/>
            <color indexed="81"/>
            <rFont val="Tahoma"/>
            <family val="2"/>
          </rPr>
          <t xml:space="preserve">
assumption</t>
        </r>
      </text>
    </comment>
    <comment ref="D2436" authorId="0" shapeId="0" xr:uid="{B4719F81-2F24-4A86-888C-E393945E6B11}">
      <text>
        <r>
          <rPr>
            <b/>
            <sz val="9"/>
            <color indexed="81"/>
            <rFont val="Tahoma"/>
            <family val="2"/>
          </rPr>
          <t>Smith Pittman:</t>
        </r>
        <r>
          <rPr>
            <sz val="9"/>
            <color indexed="81"/>
            <rFont val="Tahoma"/>
            <family val="2"/>
          </rPr>
          <t xml:space="preserve">
assumption</t>
        </r>
      </text>
    </comment>
    <comment ref="D2447" authorId="0" shapeId="0" xr:uid="{3E962FF3-214D-421B-81B7-4A8985A167DA}">
      <text>
        <r>
          <rPr>
            <b/>
            <sz val="9"/>
            <color indexed="81"/>
            <rFont val="Tahoma"/>
            <family val="2"/>
          </rPr>
          <t>Smith Pittman:</t>
        </r>
        <r>
          <rPr>
            <sz val="9"/>
            <color indexed="81"/>
            <rFont val="Tahoma"/>
            <family val="2"/>
          </rPr>
          <t xml:space="preserve">
assumption</t>
        </r>
      </text>
    </comment>
    <comment ref="D2448" authorId="0" shapeId="0" xr:uid="{774365BF-5027-4479-B0D7-24B7ECC74671}">
      <text>
        <r>
          <rPr>
            <b/>
            <sz val="9"/>
            <color indexed="81"/>
            <rFont val="Tahoma"/>
            <family val="2"/>
          </rPr>
          <t>Smith Pittman:</t>
        </r>
        <r>
          <rPr>
            <sz val="9"/>
            <color indexed="81"/>
            <rFont val="Tahoma"/>
            <family val="2"/>
          </rPr>
          <t xml:space="preserve">
assumption</t>
        </r>
      </text>
    </comment>
    <comment ref="C2472" authorId="0" shapeId="0" xr:uid="{55BA564C-6973-467D-B8AF-F54F1D48EB17}">
      <text>
        <r>
          <rPr>
            <b/>
            <sz val="9"/>
            <color indexed="81"/>
            <rFont val="Tahoma"/>
            <family val="2"/>
          </rPr>
          <t>Smith Pittman:</t>
        </r>
        <r>
          <rPr>
            <sz val="9"/>
            <color indexed="81"/>
            <rFont val="Tahoma"/>
            <family val="2"/>
          </rPr>
          <t xml:space="preserve">
agitator assumption for TEFC induction motor
 1800 kg steel for 200 kW agitator
</t>
        </r>
      </text>
    </comment>
    <comment ref="C2483" authorId="0" shapeId="0" xr:uid="{DEAF5696-9508-47DE-8283-CFB84A2FBDC5}">
      <text>
        <r>
          <rPr>
            <b/>
            <sz val="9"/>
            <color indexed="81"/>
            <rFont val="Tahoma"/>
            <family val="2"/>
          </rPr>
          <t>Smith Pittman:</t>
        </r>
        <r>
          <rPr>
            <sz val="9"/>
            <color indexed="81"/>
            <rFont val="Tahoma"/>
            <family val="2"/>
          </rPr>
          <t xml:space="preserve">
assumption of size of mid-large industrial centrifuge/decanter unit</t>
        </r>
      </text>
    </comment>
    <comment ref="C2495" authorId="0" shapeId="0" xr:uid="{CC55CDFB-47DE-41EF-9A0D-3749FEF68D9B}">
      <text>
        <r>
          <rPr>
            <b/>
            <sz val="9"/>
            <color indexed="81"/>
            <rFont val="Tahoma"/>
            <family val="2"/>
          </rPr>
          <t>Smith Pittman:</t>
        </r>
        <r>
          <rPr>
            <sz val="9"/>
            <color indexed="81"/>
            <rFont val="Tahoma"/>
            <family val="2"/>
          </rPr>
          <t xml:space="preserve">
assumption of size of mid-large industrial unit</t>
        </r>
      </text>
    </comment>
    <comment ref="D2507" authorId="0" shapeId="0" xr:uid="{0AE52A9A-FE89-4A9B-8A0A-2FF7B4B756E7}">
      <text>
        <r>
          <rPr>
            <b/>
            <sz val="9"/>
            <color indexed="81"/>
            <rFont val="Tahoma"/>
            <family val="2"/>
          </rPr>
          <t>Smith Pittman:</t>
        </r>
        <r>
          <rPr>
            <sz val="9"/>
            <color indexed="81"/>
            <rFont val="Tahoma"/>
            <family val="2"/>
          </rPr>
          <t xml:space="preserve">
assumption</t>
        </r>
      </text>
    </comment>
    <comment ref="D2508" authorId="0" shapeId="0" xr:uid="{A52A0245-0DBC-480D-929B-C058DAB1BDD0}">
      <text>
        <r>
          <rPr>
            <b/>
            <sz val="9"/>
            <color indexed="81"/>
            <rFont val="Tahoma"/>
            <family val="2"/>
          </rPr>
          <t>Smith Pittman:</t>
        </r>
        <r>
          <rPr>
            <sz val="9"/>
            <color indexed="81"/>
            <rFont val="Tahoma"/>
            <family val="2"/>
          </rPr>
          <t xml:space="preserve">
assumption</t>
        </r>
      </text>
    </comment>
    <comment ref="D2600" authorId="0" shapeId="0" xr:uid="{AB1911D8-C578-4232-9A17-F24188C2E18F}">
      <text>
        <r>
          <rPr>
            <b/>
            <sz val="9"/>
            <color indexed="81"/>
            <rFont val="Tahoma"/>
            <family val="2"/>
          </rPr>
          <t>Smith Pittman:</t>
        </r>
        <r>
          <rPr>
            <sz val="9"/>
            <color indexed="81"/>
            <rFont val="Tahoma"/>
            <family val="2"/>
          </rPr>
          <t xml:space="preserve">
assumption</t>
        </r>
      </text>
    </comment>
    <comment ref="D2601" authorId="0" shapeId="0" xr:uid="{45E0D839-A5A3-4C95-9F6C-A72B512B388D}">
      <text>
        <r>
          <rPr>
            <b/>
            <sz val="9"/>
            <color indexed="81"/>
            <rFont val="Tahoma"/>
            <family val="2"/>
          </rPr>
          <t>Smith Pittman:</t>
        </r>
        <r>
          <rPr>
            <sz val="9"/>
            <color indexed="81"/>
            <rFont val="Tahoma"/>
            <family val="2"/>
          </rPr>
          <t xml:space="preserve">
assumption</t>
        </r>
      </text>
    </comment>
    <comment ref="C2718" authorId="0" shapeId="0" xr:uid="{BB93C164-4D51-49FE-8D76-303D7379BDED}">
      <text>
        <r>
          <rPr>
            <b/>
            <sz val="9"/>
            <color indexed="81"/>
            <rFont val="Tahoma"/>
            <family val="2"/>
          </rPr>
          <t>Smith Pittman:</t>
        </r>
        <r>
          <rPr>
            <sz val="9"/>
            <color indexed="81"/>
            <rFont val="Tahoma"/>
            <family val="2"/>
          </rPr>
          <t xml:space="preserve">
assumption of size of mid-large industrial unit</t>
        </r>
      </text>
    </comment>
    <comment ref="C2730" authorId="0" shapeId="0" xr:uid="{0E2BB630-A4CE-4663-972B-5BEA4BCCAB37}">
      <text>
        <r>
          <rPr>
            <b/>
            <sz val="9"/>
            <color indexed="81"/>
            <rFont val="Tahoma"/>
            <family val="2"/>
          </rPr>
          <t>Smith Pittman:</t>
        </r>
        <r>
          <rPr>
            <sz val="9"/>
            <color indexed="81"/>
            <rFont val="Tahoma"/>
            <family val="2"/>
          </rPr>
          <t xml:space="preserve">
assumption of size of mid-large industrial unit</t>
        </r>
      </text>
    </comment>
    <comment ref="D2742" authorId="0" shapeId="0" xr:uid="{FD56CF68-B941-4163-A8A9-394C87E3BDC8}">
      <text>
        <r>
          <rPr>
            <b/>
            <sz val="9"/>
            <color indexed="81"/>
            <rFont val="Tahoma"/>
            <family val="2"/>
          </rPr>
          <t>Smith Pittman:</t>
        </r>
        <r>
          <rPr>
            <sz val="9"/>
            <color indexed="81"/>
            <rFont val="Tahoma"/>
            <family val="2"/>
          </rPr>
          <t xml:space="preserve">
assumption</t>
        </r>
      </text>
    </comment>
    <comment ref="D2743" authorId="0" shapeId="0" xr:uid="{464C299D-8137-4DFA-9830-668A6A09962B}">
      <text>
        <r>
          <rPr>
            <b/>
            <sz val="9"/>
            <color indexed="81"/>
            <rFont val="Tahoma"/>
            <family val="2"/>
          </rPr>
          <t>Smith Pittman:</t>
        </r>
        <r>
          <rPr>
            <sz val="9"/>
            <color indexed="81"/>
            <rFont val="Tahoma"/>
            <family val="2"/>
          </rPr>
          <t xml:space="preserve">
assumption</t>
        </r>
      </text>
    </comment>
    <comment ref="D2766" authorId="0" shapeId="0" xr:uid="{A2DFCF72-2537-41A5-B80B-D33B7F99B6A4}">
      <text>
        <r>
          <rPr>
            <b/>
            <sz val="9"/>
            <color indexed="81"/>
            <rFont val="Tahoma"/>
            <family val="2"/>
          </rPr>
          <t>Smith Pittman:</t>
        </r>
        <r>
          <rPr>
            <sz val="9"/>
            <color indexed="81"/>
            <rFont val="Tahoma"/>
            <family val="2"/>
          </rPr>
          <t xml:space="preserve">
assumption</t>
        </r>
      </text>
    </comment>
    <comment ref="D2767" authorId="0" shapeId="0" xr:uid="{9E7A2354-2653-4ED7-A242-30372E4BD171}">
      <text>
        <r>
          <rPr>
            <b/>
            <sz val="9"/>
            <color indexed="81"/>
            <rFont val="Tahoma"/>
            <family val="2"/>
          </rPr>
          <t>Smith Pittman:</t>
        </r>
        <r>
          <rPr>
            <sz val="9"/>
            <color indexed="81"/>
            <rFont val="Tahoma"/>
            <family val="2"/>
          </rPr>
          <t xml:space="preserve">
assumption</t>
        </r>
      </text>
    </comment>
    <comment ref="D2778" authorId="0" shapeId="0" xr:uid="{0429EFED-F12B-4009-ACF2-832A15267ED5}">
      <text>
        <r>
          <rPr>
            <b/>
            <sz val="9"/>
            <color indexed="81"/>
            <rFont val="Tahoma"/>
            <family val="2"/>
          </rPr>
          <t>Smith Pittman:</t>
        </r>
        <r>
          <rPr>
            <sz val="9"/>
            <color indexed="81"/>
            <rFont val="Tahoma"/>
            <family val="2"/>
          </rPr>
          <t xml:space="preserve">
assumption</t>
        </r>
      </text>
    </comment>
    <comment ref="D2779" authorId="0" shapeId="0" xr:uid="{E10B5EF6-2CA7-4073-BA41-658A569BDC6E}">
      <text>
        <r>
          <rPr>
            <b/>
            <sz val="9"/>
            <color indexed="81"/>
            <rFont val="Tahoma"/>
            <family val="2"/>
          </rPr>
          <t>Smith Pittman:</t>
        </r>
        <r>
          <rPr>
            <sz val="9"/>
            <color indexed="81"/>
            <rFont val="Tahoma"/>
            <family val="2"/>
          </rPr>
          <t xml:space="preserve">
assumption</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Smith Pittman</author>
  </authors>
  <commentList>
    <comment ref="E114" authorId="0" shapeId="0" xr:uid="{406D19CF-8C90-4881-956C-1B8B05B559CD}">
      <text>
        <r>
          <rPr>
            <b/>
            <sz val="9"/>
            <color indexed="81"/>
            <rFont val="Tahoma"/>
            <family val="2"/>
          </rPr>
          <t>Smith Pittman:</t>
        </r>
        <r>
          <rPr>
            <sz val="9"/>
            <color indexed="81"/>
            <rFont val="Tahoma"/>
            <family val="2"/>
          </rPr>
          <t xml:space="preserve">
Tank wall, insulation, agitation</t>
        </r>
      </text>
    </comment>
    <comment ref="G209" authorId="0" shapeId="0" xr:uid="{851B6B06-FF3C-4814-BCBF-019934539CCC}">
      <text>
        <r>
          <rPr>
            <b/>
            <sz val="9"/>
            <color indexed="81"/>
            <rFont val="Tahoma"/>
            <family val="2"/>
          </rPr>
          <t>Smith Pittman:</t>
        </r>
        <r>
          <rPr>
            <sz val="9"/>
            <color indexed="81"/>
            <rFont val="Tahoma"/>
            <family val="2"/>
          </rPr>
          <t xml:space="preserve">
Tank wall, insulation, agitation</t>
        </r>
      </text>
    </comment>
    <comment ref="G458" authorId="0" shapeId="0" xr:uid="{3A4F6224-6342-45BC-9D01-2B49E7C99598}">
      <text>
        <r>
          <rPr>
            <b/>
            <sz val="9"/>
            <color indexed="81"/>
            <rFont val="Tahoma"/>
            <family val="2"/>
          </rPr>
          <t>Smith Pittman:</t>
        </r>
        <r>
          <rPr>
            <sz val="9"/>
            <color indexed="81"/>
            <rFont val="Tahoma"/>
            <family val="2"/>
          </rPr>
          <t xml:space="preserve">
Tank wall, insulation, agitation</t>
        </r>
      </text>
    </comment>
    <comment ref="D692" authorId="0" shapeId="0" xr:uid="{9C28B8B0-A892-4391-82F7-DAD99CD0F6BB}">
      <text>
        <r>
          <rPr>
            <b/>
            <sz val="9"/>
            <color indexed="81"/>
            <rFont val="Tahoma"/>
            <family val="2"/>
          </rPr>
          <t>Smith Pittman:</t>
        </r>
        <r>
          <rPr>
            <sz val="9"/>
            <color indexed="81"/>
            <rFont val="Tahoma"/>
            <family val="2"/>
          </rPr>
          <t xml:space="preserve">
assume 1/3 m3 per tonne</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Smith Pittman</author>
  </authors>
  <commentList>
    <comment ref="J8" authorId="0" shapeId="0" xr:uid="{F29DD16B-BE7B-4E9B-92E1-A3006D8326E1}">
      <text>
        <r>
          <rPr>
            <b/>
            <sz val="9"/>
            <color indexed="81"/>
            <rFont val="Tahoma"/>
            <family val="2"/>
          </rPr>
          <t>Smith Pittman:</t>
        </r>
        <r>
          <rPr>
            <sz val="9"/>
            <color indexed="81"/>
            <rFont val="Tahoma"/>
            <family val="2"/>
          </rPr>
          <t xml:space="preserve">
https://www.nrel.gov/docs/fy19osti/71949.pdf</t>
        </r>
      </text>
    </comment>
    <comment ref="J22" authorId="0" shapeId="0" xr:uid="{B968921B-5EEE-4755-94BC-A27A44EE470A}">
      <text>
        <r>
          <rPr>
            <b/>
            <sz val="9"/>
            <color indexed="81"/>
            <rFont val="Tahoma"/>
            <family val="2"/>
          </rPr>
          <t>Smith Pittman:</t>
        </r>
        <r>
          <rPr>
            <sz val="9"/>
            <color indexed="81"/>
            <rFont val="Tahoma"/>
            <family val="2"/>
          </rPr>
          <t xml:space="preserve">
https://www.nrel.gov/docs/fy19osti/71949.pdf</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<sst xmlns="http://schemas.openxmlformats.org/spreadsheetml/2006/main" count="30688" uniqueCount="3617">
  <si>
    <t>Unit Conversions</t>
  </si>
  <si>
    <t>m3</t>
  </si>
  <si>
    <t>L</t>
  </si>
  <si>
    <t>pi</t>
  </si>
  <si>
    <t>BTU</t>
  </si>
  <si>
    <t>kJ</t>
  </si>
  <si>
    <t>acre</t>
  </si>
  <si>
    <t>m2</t>
  </si>
  <si>
    <t>ft</t>
  </si>
  <si>
    <t>in</t>
  </si>
  <si>
    <t>m</t>
  </si>
  <si>
    <t>hp</t>
  </si>
  <si>
    <t>W</t>
  </si>
  <si>
    <t>yd3</t>
  </si>
  <si>
    <t>ton</t>
  </si>
  <si>
    <t>kg</t>
  </si>
  <si>
    <t>psi</t>
  </si>
  <si>
    <t>bar</t>
  </si>
  <si>
    <t>year</t>
  </si>
  <si>
    <t>days</t>
  </si>
  <si>
    <t>months</t>
  </si>
  <si>
    <t>month</t>
  </si>
  <si>
    <t>day</t>
  </si>
  <si>
    <t>hr</t>
  </si>
  <si>
    <t>min</t>
  </si>
  <si>
    <t>sec</t>
  </si>
  <si>
    <t>gal</t>
  </si>
  <si>
    <t>2018 euro</t>
  </si>
  <si>
    <t>2018 $</t>
  </si>
  <si>
    <t>lb</t>
  </si>
  <si>
    <t>kg - water</t>
  </si>
  <si>
    <t>base</t>
  </si>
  <si>
    <t>micro(u)</t>
  </si>
  <si>
    <t>milli(m)</t>
  </si>
  <si>
    <t>centi(c)</t>
  </si>
  <si>
    <t>deci(d)</t>
  </si>
  <si>
    <t>kilo(k)</t>
  </si>
  <si>
    <t>mega(M)</t>
  </si>
  <si>
    <t>giga(G)</t>
  </si>
  <si>
    <t>kWp</t>
  </si>
  <si>
    <t>kWh/yr</t>
  </si>
  <si>
    <t>Units</t>
  </si>
  <si>
    <t>Value</t>
  </si>
  <si>
    <t>Experimental Value</t>
  </si>
  <si>
    <t>Value Used</t>
  </si>
  <si>
    <t>ANAEROBIC DIGESTION</t>
  </si>
  <si>
    <t>PLANT</t>
  </si>
  <si>
    <t>Operating Time</t>
  </si>
  <si>
    <t>hr/yr</t>
  </si>
  <si>
    <t>Variable</t>
  </si>
  <si>
    <t>Description</t>
  </si>
  <si>
    <t>fsIxc</t>
  </si>
  <si>
    <t>fxIxc</t>
  </si>
  <si>
    <t>fchxc</t>
  </si>
  <si>
    <t>fprxc</t>
  </si>
  <si>
    <t>flixc</t>
  </si>
  <si>
    <t>Nxc</t>
  </si>
  <si>
    <t>NI</t>
  </si>
  <si>
    <t>Naa</t>
  </si>
  <si>
    <t>Cxc</t>
  </si>
  <si>
    <t>CsI</t>
  </si>
  <si>
    <t>Cch</t>
  </si>
  <si>
    <t>Cpr</t>
  </si>
  <si>
    <t>Cli</t>
  </si>
  <si>
    <t>CxI</t>
  </si>
  <si>
    <t>Csu</t>
  </si>
  <si>
    <t>Caa</t>
  </si>
  <si>
    <t>ffali</t>
  </si>
  <si>
    <t>Cfa</t>
  </si>
  <si>
    <t>fh2su</t>
  </si>
  <si>
    <t>fbusu</t>
  </si>
  <si>
    <t>fprosu</t>
  </si>
  <si>
    <t>facsu</t>
  </si>
  <si>
    <t>Nbac</t>
  </si>
  <si>
    <t>Cbu</t>
  </si>
  <si>
    <t>Cpro</t>
  </si>
  <si>
    <t>Cac</t>
  </si>
  <si>
    <t>Cbac</t>
  </si>
  <si>
    <t>Ysu</t>
  </si>
  <si>
    <t>fh2aa</t>
  </si>
  <si>
    <t>fvaaa</t>
  </si>
  <si>
    <t>fbuaa</t>
  </si>
  <si>
    <t>fproaa</t>
  </si>
  <si>
    <t>facaa</t>
  </si>
  <si>
    <t>Cva</t>
  </si>
  <si>
    <t>Yaa</t>
  </si>
  <si>
    <t>Yfa</t>
  </si>
  <si>
    <t>Yc4</t>
  </si>
  <si>
    <t>Ypro</t>
  </si>
  <si>
    <t>Cch4</t>
  </si>
  <si>
    <t>Yac</t>
  </si>
  <si>
    <t>Yh2</t>
  </si>
  <si>
    <t>kdis</t>
  </si>
  <si>
    <t>khydch</t>
  </si>
  <si>
    <t>khydpr</t>
  </si>
  <si>
    <t>khydli</t>
  </si>
  <si>
    <t>Ksin</t>
  </si>
  <si>
    <t>kmsu</t>
  </si>
  <si>
    <t>Kssu</t>
  </si>
  <si>
    <t>pHULaa</t>
  </si>
  <si>
    <t>pHLLaa</t>
  </si>
  <si>
    <t>kmaa</t>
  </si>
  <si>
    <t>Ksaa</t>
  </si>
  <si>
    <t>kmfa</t>
  </si>
  <si>
    <t>Ksfa</t>
  </si>
  <si>
    <t>KIh2fa</t>
  </si>
  <si>
    <t>kmc4</t>
  </si>
  <si>
    <t>Ksc4</t>
  </si>
  <si>
    <t>KIh2c4</t>
  </si>
  <si>
    <t>kmpro</t>
  </si>
  <si>
    <t>Kspro</t>
  </si>
  <si>
    <t>KIh2pro</t>
  </si>
  <si>
    <t>kmac</t>
  </si>
  <si>
    <t>Ksac</t>
  </si>
  <si>
    <t>KInh3</t>
  </si>
  <si>
    <t>pHULac</t>
  </si>
  <si>
    <t>pHLLac</t>
  </si>
  <si>
    <t>kmh2</t>
  </si>
  <si>
    <t>Ksh2</t>
  </si>
  <si>
    <t>pHULh2</t>
  </si>
  <si>
    <t>pHLLh2</t>
  </si>
  <si>
    <t>kdecxsu</t>
  </si>
  <si>
    <t>kdecxaa</t>
  </si>
  <si>
    <t>kdecxfa</t>
  </si>
  <si>
    <t>kdecxc4</t>
  </si>
  <si>
    <t>kdecxpro</t>
  </si>
  <si>
    <t>kdecxac</t>
  </si>
  <si>
    <t>kdecxh2</t>
  </si>
  <si>
    <t>R</t>
  </si>
  <si>
    <t>Tbase</t>
  </si>
  <si>
    <t>Top</t>
  </si>
  <si>
    <t>Tad</t>
  </si>
  <si>
    <t>Kw</t>
  </si>
  <si>
    <t>Kava</t>
  </si>
  <si>
    <t>Kabu</t>
  </si>
  <si>
    <t>Kapro</t>
  </si>
  <si>
    <t>Kaac</t>
  </si>
  <si>
    <t>Kaco2</t>
  </si>
  <si>
    <t>Kain</t>
  </si>
  <si>
    <t>kaBva</t>
  </si>
  <si>
    <t>kaBbu</t>
  </si>
  <si>
    <t>kaBpro</t>
  </si>
  <si>
    <t>kaBac</t>
  </si>
  <si>
    <t>kaBco2</t>
  </si>
  <si>
    <t>kaBin</t>
  </si>
  <si>
    <t>Patm</t>
  </si>
  <si>
    <t>pgash2o</t>
  </si>
  <si>
    <t>kp</t>
  </si>
  <si>
    <t>kLa</t>
  </si>
  <si>
    <t>KHco2</t>
  </si>
  <si>
    <t>kHch4</t>
  </si>
  <si>
    <t>kHh2</t>
  </si>
  <si>
    <t>Vliq</t>
  </si>
  <si>
    <t>Vgas</t>
  </si>
  <si>
    <t>kmole N / kg COD</t>
  </si>
  <si>
    <t>kmole C / kg COD</t>
  </si>
  <si>
    <t>kg CODi / kg CODs</t>
  </si>
  <si>
    <t>1/d</t>
  </si>
  <si>
    <t>M</t>
  </si>
  <si>
    <t>kg COD / m3</t>
  </si>
  <si>
    <t>bar/M-K</t>
  </si>
  <si>
    <t>K</t>
  </si>
  <si>
    <t>1/M-d</t>
  </si>
  <si>
    <t>m3/d-bar</t>
  </si>
  <si>
    <t>Mliq / bar</t>
  </si>
  <si>
    <t>yield of soluble component from composite</t>
  </si>
  <si>
    <t>yield of particulate component from composite</t>
  </si>
  <si>
    <t>yield of carbohydrate component from composite</t>
  </si>
  <si>
    <t>yield of protein component from composite</t>
  </si>
  <si>
    <t>yield of lipid component from composite</t>
  </si>
  <si>
    <t>Nitrogen content of composite material</t>
  </si>
  <si>
    <t>Inorganic nitrogen</t>
  </si>
  <si>
    <t>Amino acid nitrogen content</t>
  </si>
  <si>
    <t>carbon component of composite material</t>
  </si>
  <si>
    <t>carbon component of soluble material</t>
  </si>
  <si>
    <t>carbon component of carboyhdrates</t>
  </si>
  <si>
    <t>carbon component proteins</t>
  </si>
  <si>
    <t>carbon component of lipids</t>
  </si>
  <si>
    <t>carbon component of particulate material</t>
  </si>
  <si>
    <t>carbon component of monosaccharide</t>
  </si>
  <si>
    <t>carbon component of amino acids</t>
  </si>
  <si>
    <t>yield of long chain fatty acid from lipids</t>
  </si>
  <si>
    <t>carbon component of fatty acids</t>
  </si>
  <si>
    <t>yield of hydrogen from monosaccharide</t>
  </si>
  <si>
    <t>yield of butyrate from monosaccharide</t>
  </si>
  <si>
    <t>yield of propionate from monosaccharide</t>
  </si>
  <si>
    <t>yield of acetate from monosaccharide</t>
  </si>
  <si>
    <t>nitrogen content of bacteria</t>
  </si>
  <si>
    <t>carbon content of butyrate</t>
  </si>
  <si>
    <t>carbon content of propionate</t>
  </si>
  <si>
    <t>carbon content of acetate</t>
  </si>
  <si>
    <t xml:space="preserve">carbon content of bacteria </t>
  </si>
  <si>
    <t>yield of biomas on monosaccharide</t>
  </si>
  <si>
    <t>yield of hydrogen from amino acids</t>
  </si>
  <si>
    <t>yield of valerate from amino acids</t>
  </si>
  <si>
    <t>yield of butyrate from amino acids</t>
  </si>
  <si>
    <t>yield of propionate from amino acids</t>
  </si>
  <si>
    <t>yield of acetate from amino acids</t>
  </si>
  <si>
    <t>carbon content of valerate</t>
  </si>
  <si>
    <t>yield of biomas on amino acids</t>
  </si>
  <si>
    <t>yield of biomass on fatty acids</t>
  </si>
  <si>
    <t>yield of biomass on butyrate and valerate</t>
  </si>
  <si>
    <t>yield of biomass on propionate</t>
  </si>
  <si>
    <t>carbon content of methane</t>
  </si>
  <si>
    <t>yield of biomass on acetate</t>
  </si>
  <si>
    <t>yield of biomas on hydrogen</t>
  </si>
  <si>
    <t>rate constant for disintegration of composite material</t>
  </si>
  <si>
    <t>rate constant for carbohydrate hydrolysis</t>
  </si>
  <si>
    <t>rate constant for protein hydrolysis</t>
  </si>
  <si>
    <t>rate constant for lipid hydrolysis</t>
  </si>
  <si>
    <t>Monod half saturation constant for inorganic nitrogen</t>
  </si>
  <si>
    <t>specific Monod maximum uptake rate for monnosaccharides</t>
  </si>
  <si>
    <t>Monod half saturation constant for monnosaccharides</t>
  </si>
  <si>
    <t>upper pH limit for amino acids</t>
  </si>
  <si>
    <t>lower pH limit for amino acids</t>
  </si>
  <si>
    <t>specific Monod maximum uptake rate for amino acids</t>
  </si>
  <si>
    <t>Monod half saturation constant for amino acids</t>
  </si>
  <si>
    <t>specific Monod maximum uptake rate for fatty acids</t>
  </si>
  <si>
    <t>Monod half saturation constant for fatty acids</t>
  </si>
  <si>
    <t>inhibition constant of hydrogen on fatty acids</t>
  </si>
  <si>
    <t>specific Monod maximum uptake rate on butyrate and valerate</t>
  </si>
  <si>
    <t>Monod half saturation constant for butyrate and valerate</t>
  </si>
  <si>
    <t>inhibition constant of hydrogen on butyrate and valerate</t>
  </si>
  <si>
    <t>specific Monod maximum uptake rate for propionate</t>
  </si>
  <si>
    <t>Monod half saturation constant for propionate</t>
  </si>
  <si>
    <t>inhibition constant of hydrogen on propionate</t>
  </si>
  <si>
    <t>specific Monod maximum uptake rate for acetate</t>
  </si>
  <si>
    <t>Monod half saturation constant for acetate</t>
  </si>
  <si>
    <t xml:space="preserve">inhibition constant for ammonia </t>
  </si>
  <si>
    <t>upper pH limit for acetate</t>
  </si>
  <si>
    <t>lower pH limit for acetate</t>
  </si>
  <si>
    <t>specific Monod maximum uptake rate for hydrogen</t>
  </si>
  <si>
    <t>Monod half saturation constant for hydrogen</t>
  </si>
  <si>
    <t>upper pH limit for hydrogen</t>
  </si>
  <si>
    <t>lower pH limit for hydrogen</t>
  </si>
  <si>
    <t>first-order decay rate for biomass death from monosaccharides</t>
  </si>
  <si>
    <t>first-order decay rate for biomass death from amino acids</t>
  </si>
  <si>
    <t>first-order decay rate for biomass death from fatty acids</t>
  </si>
  <si>
    <t>first-order decay rate for biomass death from butyrate and valerate</t>
  </si>
  <si>
    <t>first-order decay rate for biomass death from propionate</t>
  </si>
  <si>
    <t>first-order decay rate for biomass death from acetate</t>
  </si>
  <si>
    <t xml:space="preserve">first-order decay rate for biomass death from hydrogen </t>
  </si>
  <si>
    <t>universal gas constant</t>
  </si>
  <si>
    <t>initial temperature</t>
  </si>
  <si>
    <t>operating temperature</t>
  </si>
  <si>
    <t>equilibrium constant of pure water</t>
  </si>
  <si>
    <t>acid-base equilibrium constant for valerate</t>
  </si>
  <si>
    <t>acid-base equilibrium constant for butyrate</t>
  </si>
  <si>
    <t>acid-base equilibrium constant for propionate</t>
  </si>
  <si>
    <t>acid-base equilibrium constant for acetate</t>
  </si>
  <si>
    <t>acid-base equilibrium constant for carbon dioxide</t>
  </si>
  <si>
    <t xml:space="preserve">acid-base equilibrium constant for inorganic nitrogen </t>
  </si>
  <si>
    <t>acid-base rate constant for valerate</t>
  </si>
  <si>
    <t>acid-base rate constant for butyrate</t>
  </si>
  <si>
    <t>acid-base rate constant for propionate</t>
  </si>
  <si>
    <t>acid-base rate constant for acetate</t>
  </si>
  <si>
    <t>acid-base constant for carbon dioxide</t>
  </si>
  <si>
    <t>acid-base constant for inorganic carbon</t>
  </si>
  <si>
    <t>atmospheric pressure</t>
  </si>
  <si>
    <t>water vapor saturation pressure</t>
  </si>
  <si>
    <t xml:space="preserve">partial pressure equilibrium constant </t>
  </si>
  <si>
    <t xml:space="preserve">gas-liquid transfer coefficient </t>
  </si>
  <si>
    <t>Henry's law coefficient for carbon dioxide</t>
  </si>
  <si>
    <t>Henry's law coefficient for methane</t>
  </si>
  <si>
    <t>Henry's law coefficient for hydrogen</t>
  </si>
  <si>
    <t>liquid volume</t>
  </si>
  <si>
    <t xml:space="preserve">gas volume </t>
  </si>
  <si>
    <t>kg/hr</t>
  </si>
  <si>
    <t>hydraulic retention time in anaerobic digester</t>
  </si>
  <si>
    <t>d</t>
  </si>
  <si>
    <t>Feedstock Characteristics</t>
  </si>
  <si>
    <t>organic waste feedstock flow rate</t>
  </si>
  <si>
    <t>qow</t>
  </si>
  <si>
    <t>pfw</t>
  </si>
  <si>
    <t>percentage of food waste in feedstock</t>
  </si>
  <si>
    <t>%</t>
  </si>
  <si>
    <t>ADM1 Food Waste Characteristics</t>
  </si>
  <si>
    <t>ADM1 Manure Characteristics</t>
  </si>
  <si>
    <t>ppoo</t>
  </si>
  <si>
    <t>percentage of manure in feedstock</t>
  </si>
  <si>
    <t>mixing speed in the anaerobic digester</t>
  </si>
  <si>
    <t>rpm</t>
  </si>
  <si>
    <t>manure produced by cows on average</t>
  </si>
  <si>
    <t>kg/d-cow</t>
  </si>
  <si>
    <t>qcow</t>
  </si>
  <si>
    <t>g/L-d</t>
  </si>
  <si>
    <t>ELECTRODIALYSIS</t>
  </si>
  <si>
    <t>otp</t>
  </si>
  <si>
    <t>electrodialysis operating time</t>
  </si>
  <si>
    <t>pbs</t>
  </si>
  <si>
    <t>percentage of biosolids recycled</t>
  </si>
  <si>
    <t>vconst</t>
  </si>
  <si>
    <t>is the volatage applied constant? 1=yes 0=no</t>
  </si>
  <si>
    <t>vap</t>
  </si>
  <si>
    <t>V</t>
  </si>
  <si>
    <t>imax</t>
  </si>
  <si>
    <t>vmax</t>
  </si>
  <si>
    <t>imin</t>
  </si>
  <si>
    <t>A</t>
  </si>
  <si>
    <t>vmin</t>
  </si>
  <si>
    <t>celec</t>
  </si>
  <si>
    <t>electrolyte concentration</t>
  </si>
  <si>
    <t>g/L</t>
  </si>
  <si>
    <t>ldtc</t>
  </si>
  <si>
    <t>diluate to concentrate volume ratio</t>
  </si>
  <si>
    <t>L/L</t>
  </si>
  <si>
    <t>ldte</t>
  </si>
  <si>
    <t>dilute to electrolyte volume ratio</t>
  </si>
  <si>
    <t>msa</t>
  </si>
  <si>
    <t>membrane surface area</t>
  </si>
  <si>
    <t>mth</t>
  </si>
  <si>
    <t>membrane thickness</t>
  </si>
  <si>
    <t>electrodialysis operating temperature</t>
  </si>
  <si>
    <t>deed</t>
  </si>
  <si>
    <t>distance between electrodes</t>
  </si>
  <si>
    <t>mstack</t>
  </si>
  <si>
    <t>scenario 1, 2, 3, or 4 for membrane stack design</t>
  </si>
  <si>
    <t>CHAIN-ELONGATION</t>
  </si>
  <si>
    <t>retention time in chain elongation</t>
  </si>
  <si>
    <t>mixing speed in chain elongation</t>
  </si>
  <si>
    <t>CEM1 Inputs</t>
  </si>
  <si>
    <t>ALCOHOL CONVERSION</t>
  </si>
  <si>
    <t>achrt</t>
  </si>
  <si>
    <t>hydraulic retention time for alcohol conversion</t>
  </si>
  <si>
    <t>acmix</t>
  </si>
  <si>
    <t>mixing speed for alcohol conversion</t>
  </si>
  <si>
    <t>ACM1 Inputs</t>
  </si>
  <si>
    <t>MARKET PRODUCT CONVERSION</t>
  </si>
  <si>
    <t>vmpscen</t>
  </si>
  <si>
    <t>scenario 1, 2, or 3 for producing market product</t>
  </si>
  <si>
    <t>dcow</t>
  </si>
  <si>
    <t>distance to travel for manure collection</t>
  </si>
  <si>
    <t>mi</t>
  </si>
  <si>
    <t>dfw</t>
  </si>
  <si>
    <t>distance to travel for food waste collection</t>
  </si>
  <si>
    <t>scenario</t>
  </si>
  <si>
    <t>dfrc</t>
  </si>
  <si>
    <t>re</t>
  </si>
  <si>
    <t>$/ft2</t>
  </si>
  <si>
    <t>$/unit</t>
  </si>
  <si>
    <t>$/yd3</t>
  </si>
  <si>
    <t>$/m2</t>
  </si>
  <si>
    <t>market value of an incubator</t>
  </si>
  <si>
    <t>market value of a gas sparging ring</t>
  </si>
  <si>
    <t>$/hr</t>
  </si>
  <si>
    <t>mvkwh</t>
  </si>
  <si>
    <t>market value of a kiloWatt Hour of electricity</t>
  </si>
  <si>
    <t>$/kWh</t>
  </si>
  <si>
    <t>mvdf</t>
  </si>
  <si>
    <t>market value of deisel fuel</t>
  </si>
  <si>
    <t>$/gal</t>
  </si>
  <si>
    <t>tmpg</t>
  </si>
  <si>
    <t>transportation fuel consumption</t>
  </si>
  <si>
    <t>mi/gal</t>
  </si>
  <si>
    <t>mvtrk</t>
  </si>
  <si>
    <t>market value of a centrifuge decanter</t>
  </si>
  <si>
    <t>mvetoh</t>
  </si>
  <si>
    <t>mvnaoh</t>
  </si>
  <si>
    <t>$/ton</t>
  </si>
  <si>
    <t>mvnacl</t>
  </si>
  <si>
    <t>$/kg</t>
  </si>
  <si>
    <t>mveb</t>
  </si>
  <si>
    <t>$/mon</t>
  </si>
  <si>
    <t>maintrk</t>
  </si>
  <si>
    <t>maintenance cost for trucks</t>
  </si>
  <si>
    <t>maitenance cost for reactors</t>
  </si>
  <si>
    <t>mainreac</t>
  </si>
  <si>
    <t>$/mi</t>
  </si>
  <si>
    <t>mvmfac</t>
  </si>
  <si>
    <t>market value of microfiltration antiscalants</t>
  </si>
  <si>
    <t>mvmfc</t>
  </si>
  <si>
    <t>market value of microfiltration cleaning solution</t>
  </si>
  <si>
    <t>Unit</t>
  </si>
  <si>
    <t>kg COD/m3</t>
  </si>
  <si>
    <t>pH</t>
  </si>
  <si>
    <t>Operating Temperature</t>
  </si>
  <si>
    <t>mol/L</t>
  </si>
  <si>
    <t>USD</t>
  </si>
  <si>
    <t>kWh</t>
  </si>
  <si>
    <t>m3 sludge</t>
  </si>
  <si>
    <t>m3 water</t>
  </si>
  <si>
    <t>Volume</t>
  </si>
  <si>
    <t>Mass</t>
  </si>
  <si>
    <t>Length</t>
  </si>
  <si>
    <t>Time</t>
  </si>
  <si>
    <t>Pressure</t>
  </si>
  <si>
    <t>Energy</t>
  </si>
  <si>
    <t>Math</t>
  </si>
  <si>
    <t>Money</t>
  </si>
  <si>
    <t>psls</t>
  </si>
  <si>
    <t xml:space="preserve">percentage of solids separated by hydrocyclone </t>
  </si>
  <si>
    <t>L/hr</t>
  </si>
  <si>
    <t>Molar Mass</t>
  </si>
  <si>
    <t>Acetate</t>
  </si>
  <si>
    <t>Propionate</t>
  </si>
  <si>
    <t>Isobutyrate</t>
  </si>
  <si>
    <t>Butyrate</t>
  </si>
  <si>
    <t>Valerate</t>
  </si>
  <si>
    <t>Isovalerate</t>
  </si>
  <si>
    <t>Hexanoate</t>
  </si>
  <si>
    <t>Acetic Acid</t>
  </si>
  <si>
    <t>Propionic Acid</t>
  </si>
  <si>
    <t>Butyric Acid</t>
  </si>
  <si>
    <t>Isobutyric Acid</t>
  </si>
  <si>
    <t>Valeric Acid</t>
  </si>
  <si>
    <t>Isovaleric Acid</t>
  </si>
  <si>
    <t>Hexanoic Acid</t>
  </si>
  <si>
    <t>Heptanoate</t>
  </si>
  <si>
    <t>Heptanoate Acid</t>
  </si>
  <si>
    <t>Ethanol</t>
  </si>
  <si>
    <t>Propanol</t>
  </si>
  <si>
    <t>Isobutanol</t>
  </si>
  <si>
    <t>Butanol</t>
  </si>
  <si>
    <t>Pentanol</t>
  </si>
  <si>
    <t>Isopentanol</t>
  </si>
  <si>
    <t>Hexanol</t>
  </si>
  <si>
    <t>Heptanol</t>
  </si>
  <si>
    <t>g/mol</t>
  </si>
  <si>
    <t>Formic acid</t>
  </si>
  <si>
    <t>Acetic acid</t>
  </si>
  <si>
    <t>Caproic Acid</t>
  </si>
  <si>
    <t>Heptanoic Acid</t>
  </si>
  <si>
    <t>Ammonia NH3</t>
  </si>
  <si>
    <t>Ammonium NH4+</t>
  </si>
  <si>
    <t>H3PO4</t>
  </si>
  <si>
    <t>H2PO4</t>
  </si>
  <si>
    <t>PO4</t>
  </si>
  <si>
    <t>HPO4</t>
  </si>
  <si>
    <t>H2SO4</t>
  </si>
  <si>
    <t>SO4</t>
  </si>
  <si>
    <t>HSO4</t>
  </si>
  <si>
    <t>H2</t>
  </si>
  <si>
    <t>CO2</t>
  </si>
  <si>
    <t>CH4</t>
  </si>
  <si>
    <t>HCO3</t>
  </si>
  <si>
    <t>kg/m3</t>
  </si>
  <si>
    <t>Chemical Oxygen Demand</t>
  </si>
  <si>
    <t xml:space="preserve">Acetate Production </t>
  </si>
  <si>
    <t xml:space="preserve">Propionic Production </t>
  </si>
  <si>
    <t xml:space="preserve">Butyric Production </t>
  </si>
  <si>
    <t>Isobutyric Production</t>
  </si>
  <si>
    <t>Isovaleric Production</t>
  </si>
  <si>
    <t>Caproic Production</t>
  </si>
  <si>
    <t>Feedstock Flow</t>
  </si>
  <si>
    <t>m3/hr</t>
  </si>
  <si>
    <t>g COD/mol</t>
  </si>
  <si>
    <t>mol/m3</t>
  </si>
  <si>
    <t>acetate</t>
  </si>
  <si>
    <t>propionate</t>
  </si>
  <si>
    <t>butyrate</t>
  </si>
  <si>
    <t>isobutyrate</t>
  </si>
  <si>
    <t>isovalerate</t>
  </si>
  <si>
    <t>caproate</t>
  </si>
  <si>
    <t>acetic acid</t>
  </si>
  <si>
    <t>propionic acid</t>
  </si>
  <si>
    <t>butyric acid</t>
  </si>
  <si>
    <t>isobutyric acid</t>
  </si>
  <si>
    <t>isovaleric acid</t>
  </si>
  <si>
    <t>caproic acid</t>
  </si>
  <si>
    <t>g /m3</t>
  </si>
  <si>
    <t xml:space="preserve">pKa </t>
  </si>
  <si>
    <t>A/HA</t>
  </si>
  <si>
    <t>kg COD</t>
  </si>
  <si>
    <t>1000 g</t>
  </si>
  <si>
    <t>1kg</t>
  </si>
  <si>
    <t>mol</t>
  </si>
  <si>
    <t>g COD</t>
  </si>
  <si>
    <t>g</t>
  </si>
  <si>
    <t>1000 L</t>
  </si>
  <si>
    <t>kg COD/m3 sludge to g/L liquid digestate</t>
  </si>
  <si>
    <t>1050 L sludge</t>
  </si>
  <si>
    <t>L sludge</t>
  </si>
  <si>
    <t>L digestate</t>
  </si>
  <si>
    <t>pKa</t>
  </si>
  <si>
    <t>PO43</t>
  </si>
  <si>
    <t>HPO42</t>
  </si>
  <si>
    <t>Phosphorus</t>
  </si>
  <si>
    <t>Sulfur</t>
  </si>
  <si>
    <t>mol/L to kg/m3</t>
  </si>
  <si>
    <t>SO4_HSO4</t>
  </si>
  <si>
    <t>SO42</t>
  </si>
  <si>
    <t>L digest</t>
  </si>
  <si>
    <t>Ammonia</t>
  </si>
  <si>
    <t>Reactant</t>
  </si>
  <si>
    <t>Product</t>
  </si>
  <si>
    <t>C2H3O2-</t>
  </si>
  <si>
    <t>H2O</t>
  </si>
  <si>
    <t xml:space="preserve">Initial </t>
  </si>
  <si>
    <t>Change</t>
  </si>
  <si>
    <t>Equilibrium</t>
  </si>
  <si>
    <t>C4H7O2-</t>
  </si>
  <si>
    <t>C6H11O2-</t>
  </si>
  <si>
    <t>Even Reaction 1</t>
  </si>
  <si>
    <t>Even Reaction 2</t>
  </si>
  <si>
    <t>Odd Reaction 1</t>
  </si>
  <si>
    <t>Odd Reaction 2</t>
  </si>
  <si>
    <t>C3H5O2-</t>
  </si>
  <si>
    <t>C5H9O2-</t>
  </si>
  <si>
    <t>C7H13O2-</t>
  </si>
  <si>
    <t>Heptanoate:Propionate Conversion</t>
  </si>
  <si>
    <t>CE Percent Acetate Reacted</t>
  </si>
  <si>
    <t>CE Percent Butyrate Reacted</t>
  </si>
  <si>
    <t>CE Ethanol:Acetate</t>
  </si>
  <si>
    <t>CE Ethanol:Butyrate</t>
  </si>
  <si>
    <t>CE Percent Ethanol Reacted</t>
  </si>
  <si>
    <t>CE Caproate:Butyrate</t>
  </si>
  <si>
    <t>ALCOHOL CONVERSION EXPERIMENTAL RESULTS</t>
  </si>
  <si>
    <t>sludge to ld</t>
  </si>
  <si>
    <t>Waste Transportation</t>
  </si>
  <si>
    <t>Total Capital Investment</t>
  </si>
  <si>
    <t>Mechanical Equipment List</t>
  </si>
  <si>
    <t>Researched Values</t>
  </si>
  <si>
    <t>Scaled Installed in Current Year Factors</t>
  </si>
  <si>
    <t>Total Cost</t>
  </si>
  <si>
    <t>Equipment Name</t>
  </si>
  <si>
    <t>Size</t>
  </si>
  <si>
    <t>Number Required</t>
  </si>
  <si>
    <t>Material</t>
  </si>
  <si>
    <t>Cost</t>
  </si>
  <si>
    <t>Year</t>
  </si>
  <si>
    <t>Source</t>
  </si>
  <si>
    <t>Scaling Exponent</t>
  </si>
  <si>
    <t>Installation Factor</t>
  </si>
  <si>
    <t>Size Ratio</t>
  </si>
  <si>
    <t>PPI 2023</t>
  </si>
  <si>
    <t>Diesel Trucks</t>
  </si>
  <si>
    <t>Total:</t>
  </si>
  <si>
    <t>PPI</t>
  </si>
  <si>
    <t>Insulation</t>
  </si>
  <si>
    <t>Diameter</t>
  </si>
  <si>
    <t>Concrete</t>
  </si>
  <si>
    <t>Incubator</t>
  </si>
  <si>
    <t>Solid-Liquid Separation</t>
  </si>
  <si>
    <t>Microfiltration</t>
  </si>
  <si>
    <t>Electrodialysis</t>
  </si>
  <si>
    <t>ED Tank Membrane</t>
  </si>
  <si>
    <t>Flow Rate</t>
  </si>
  <si>
    <t>Chain-Elongation</t>
  </si>
  <si>
    <t>Reboiler</t>
  </si>
  <si>
    <t>Land Use</t>
  </si>
  <si>
    <t>Land</t>
  </si>
  <si>
    <t>Renewable Energy</t>
  </si>
  <si>
    <t>Solar Panels</t>
  </si>
  <si>
    <t>1/kWh</t>
  </si>
  <si>
    <t>Wind Turbines</t>
  </si>
  <si>
    <t>kW</t>
  </si>
  <si>
    <t>1/kW</t>
  </si>
  <si>
    <t>30,31</t>
  </si>
  <si>
    <t>Hybrid Charge Controllers</t>
  </si>
  <si>
    <t>Pumped Hydroelectric Storage</t>
  </si>
  <si>
    <t>MW</t>
  </si>
  <si>
    <t>MWh</t>
  </si>
  <si>
    <t>34,35</t>
  </si>
  <si>
    <t>Variable Operating Cost</t>
  </si>
  <si>
    <t>Input</t>
  </si>
  <si>
    <t>Value Required</t>
  </si>
  <si>
    <t>Scaled Cost</t>
  </si>
  <si>
    <t>Total Cost (per year)</t>
  </si>
  <si>
    <t>Fixed Operational Cost: Labor</t>
  </si>
  <si>
    <t>Position</t>
  </si>
  <si>
    <t>2023 Salary</t>
  </si>
  <si>
    <t>Driver</t>
  </si>
  <si>
    <t>Fixed Operational Cost: Maintenance</t>
  </si>
  <si>
    <t>Researched Costs</t>
  </si>
  <si>
    <t>Relevant Value</t>
  </si>
  <si>
    <t>Power</t>
  </si>
  <si>
    <t>kg/yr</t>
  </si>
  <si>
    <t>PhD</t>
  </si>
  <si>
    <t>person</t>
  </si>
  <si>
    <t>MS PE</t>
  </si>
  <si>
    <t>BS</t>
  </si>
  <si>
    <t>Operator</t>
  </si>
  <si>
    <t>Anaerobic Digestion</t>
  </si>
  <si>
    <t>Trained</t>
  </si>
  <si>
    <t>unk</t>
  </si>
  <si>
    <t>CE Percent Propionate Reacted</t>
  </si>
  <si>
    <t>CE Percent Valerate Reacted</t>
  </si>
  <si>
    <t>TOTAL</t>
  </si>
  <si>
    <t>Caproate</t>
  </si>
  <si>
    <t>INITIAL</t>
  </si>
  <si>
    <t>Parameter</t>
  </si>
  <si>
    <t>Size Required</t>
  </si>
  <si>
    <t>Researched Value</t>
  </si>
  <si>
    <t>Number</t>
  </si>
  <si>
    <t>Manure</t>
  </si>
  <si>
    <t>Food Waste</t>
  </si>
  <si>
    <t>Total</t>
  </si>
  <si>
    <t>Truck Size</t>
  </si>
  <si>
    <t>yd3/hr</t>
  </si>
  <si>
    <t>mi/round trip</t>
  </si>
  <si>
    <t>Distance</t>
  </si>
  <si>
    <t>tspd</t>
  </si>
  <si>
    <t>speed of transportation vehicle</t>
  </si>
  <si>
    <t>mi/hr</t>
  </si>
  <si>
    <t>Truck Speed</t>
  </si>
  <si>
    <t>Trips</t>
  </si>
  <si>
    <t>hr/trip</t>
  </si>
  <si>
    <t>Number of Trucks</t>
  </si>
  <si>
    <t>trip/day</t>
  </si>
  <si>
    <t>yd3/trip</t>
  </si>
  <si>
    <t>yd3/day</t>
  </si>
  <si>
    <t>truck</t>
  </si>
  <si>
    <t>gal/hr</t>
  </si>
  <si>
    <t xml:space="preserve"> </t>
  </si>
  <si>
    <t>kg - sludge</t>
  </si>
  <si>
    <t>Little Giant Pump</t>
  </si>
  <si>
    <t>Peterbilt Front Loader</t>
  </si>
  <si>
    <t>AD CSTR</t>
  </si>
  <si>
    <t>ft2</t>
  </si>
  <si>
    <t>Depth (cylinder)</t>
  </si>
  <si>
    <t>Depth (cone)</t>
  </si>
  <si>
    <t>Agitator Stainless Steel</t>
  </si>
  <si>
    <t>Thickness</t>
  </si>
  <si>
    <t>Gas Cover</t>
  </si>
  <si>
    <t>Diam/Depth</t>
  </si>
  <si>
    <t>Inner Surface Area</t>
  </si>
  <si>
    <t>$/hp</t>
  </si>
  <si>
    <t>Biogas Production</t>
  </si>
  <si>
    <t>ft3</t>
  </si>
  <si>
    <t>mv_graphite</t>
  </si>
  <si>
    <t>kg graphite</t>
  </si>
  <si>
    <t>Graphite</t>
  </si>
  <si>
    <t xml:space="preserve">Anode </t>
  </si>
  <si>
    <t xml:space="preserve">Cathode </t>
  </si>
  <si>
    <t>Anode</t>
  </si>
  <si>
    <t>Cathode</t>
  </si>
  <si>
    <t>Radius</t>
  </si>
  <si>
    <t>Total Depth</t>
  </si>
  <si>
    <t>Inner Diameter</t>
  </si>
  <si>
    <t>Mixing</t>
  </si>
  <si>
    <t>Economic Inputs</t>
  </si>
  <si>
    <t>Portion of MFSP</t>
  </si>
  <si>
    <t>Expenses</t>
  </si>
  <si>
    <t>Fraction of Cost</t>
  </si>
  <si>
    <t>Market Value</t>
  </si>
  <si>
    <t>Capital and Operational Costs</t>
  </si>
  <si>
    <t>Operating Costs</t>
  </si>
  <si>
    <t>Operational cost</t>
  </si>
  <si>
    <t>Equipment and Facilities</t>
  </si>
  <si>
    <t>per kg</t>
  </si>
  <si>
    <t>Equipment and facilities capital cost</t>
  </si>
  <si>
    <t>Taxes</t>
  </si>
  <si>
    <t>Land capital cost</t>
  </si>
  <si>
    <t>Working capital</t>
  </si>
  <si>
    <t>Loan</t>
  </si>
  <si>
    <t>Equity</t>
  </si>
  <si>
    <t>Loan interest</t>
  </si>
  <si>
    <t>Loan term</t>
  </si>
  <si>
    <t>OPEX</t>
  </si>
  <si>
    <t>CAPEX</t>
  </si>
  <si>
    <t>Ratio</t>
  </si>
  <si>
    <t>Annual loan payment</t>
  </si>
  <si>
    <t>Depreciation</t>
  </si>
  <si>
    <t>MACRS</t>
  </si>
  <si>
    <t>Years</t>
  </si>
  <si>
    <t>Construction Period</t>
  </si>
  <si>
    <t>Construciton period (years)</t>
  </si>
  <si>
    <t>% yr -2</t>
  </si>
  <si>
    <t>% yr -1</t>
  </si>
  <si>
    <t>% yr 0</t>
  </si>
  <si>
    <t>Productivity</t>
  </si>
  <si>
    <t>Start up time</t>
  </si>
  <si>
    <t>Start up production</t>
  </si>
  <si>
    <t>% of full production</t>
  </si>
  <si>
    <t>Naphtha</t>
  </si>
  <si>
    <t>Diesel Fuel</t>
  </si>
  <si>
    <t>Jet Fuel</t>
  </si>
  <si>
    <t>Waste Collection</t>
  </si>
  <si>
    <t>Internal Rate of Return and Tax Rate</t>
  </si>
  <si>
    <t>Internal rate of return</t>
  </si>
  <si>
    <t>Tax rate</t>
  </si>
  <si>
    <t>Results</t>
  </si>
  <si>
    <t>MSP Jet Fuel</t>
  </si>
  <si>
    <t>Net Present Value</t>
  </si>
  <si>
    <t>Cash flow analysis</t>
  </si>
  <si>
    <t xml:space="preserve">Equipment and facilities capital </t>
  </si>
  <si>
    <t>Land capital</t>
  </si>
  <si>
    <t>Loan Payment</t>
  </si>
  <si>
    <t>Loan interest payment</t>
  </si>
  <si>
    <t>Loan principle</t>
  </si>
  <si>
    <t>Product sales</t>
  </si>
  <si>
    <t>Total Sales</t>
  </si>
  <si>
    <t>Annual costs</t>
  </si>
  <si>
    <t>Net revenue</t>
  </si>
  <si>
    <t>Losses forward</t>
  </si>
  <si>
    <t>Taxable income</t>
  </si>
  <si>
    <t>NPV Land</t>
  </si>
  <si>
    <t>NPV Tax</t>
  </si>
  <si>
    <t>NPV Operating Costs</t>
  </si>
  <si>
    <t>NPV Equip and Facilities Capital Costs</t>
  </si>
  <si>
    <t>NPV Coproduct Sales</t>
  </si>
  <si>
    <t>Percent of Total</t>
  </si>
  <si>
    <t>NPV Naphtha Sales</t>
  </si>
  <si>
    <t>NPV Waste Collection Sales</t>
  </si>
  <si>
    <t>Capital Investment</t>
  </si>
  <si>
    <t>Tax</t>
  </si>
  <si>
    <t>Revenue</t>
  </si>
  <si>
    <t>Type</t>
  </si>
  <si>
    <t>Known Value</t>
  </si>
  <si>
    <t>Functional Unit</t>
  </si>
  <si>
    <t>Impact Result</t>
  </si>
  <si>
    <t>Acidification</t>
  </si>
  <si>
    <t>kg SO2 eq</t>
  </si>
  <si>
    <t>Carcinogenics</t>
  </si>
  <si>
    <t>CTUh</t>
  </si>
  <si>
    <t>Ecotoxicity</t>
  </si>
  <si>
    <t>CTUe</t>
  </si>
  <si>
    <t>kg N eq</t>
  </si>
  <si>
    <t>Global Warming</t>
  </si>
  <si>
    <t>kg CO2 eq</t>
  </si>
  <si>
    <t>Ozone Depletion</t>
  </si>
  <si>
    <t>kg O3 eq</t>
  </si>
  <si>
    <t>RoW</t>
  </si>
  <si>
    <t>pump</t>
  </si>
  <si>
    <t>Electricity</t>
  </si>
  <si>
    <t>kg/30 yr</t>
  </si>
  <si>
    <t>SOLID-LIQUID SEPARATION</t>
  </si>
  <si>
    <t>kWh/ 30 yr</t>
  </si>
  <si>
    <t>market for ultrafiltration module | ultrafiltration module | Cutoff, S</t>
  </si>
  <si>
    <t>module</t>
  </si>
  <si>
    <t>kWh/30 yr</t>
  </si>
  <si>
    <t>Water</t>
  </si>
  <si>
    <t>Products</t>
  </si>
  <si>
    <t>Inner Volume</t>
  </si>
  <si>
    <t>Outer Volume</t>
  </si>
  <si>
    <t>m diameter</t>
  </si>
  <si>
    <t>PPI         2024</t>
  </si>
  <si>
    <t>Double Membrane Polyvinylidene Fluoride 1.5 mm, Pressure and Volume Sensor</t>
  </si>
  <si>
    <t>mv_gascover</t>
  </si>
  <si>
    <t>$/m</t>
  </si>
  <si>
    <t>Plan View Area</t>
  </si>
  <si>
    <t>Surface Area</t>
  </si>
  <si>
    <t>Cross-Flow Velocity</t>
  </si>
  <si>
    <t>m/s</t>
  </si>
  <si>
    <t>m3/s</t>
  </si>
  <si>
    <t>Module Cost</t>
  </si>
  <si>
    <t>mv_hsls</t>
  </si>
  <si>
    <t>$-min/gal</t>
  </si>
  <si>
    <t>gal/min</t>
  </si>
  <si>
    <t>Sepro (USA) 0.45 um</t>
  </si>
  <si>
    <t>mv_mf</t>
  </si>
  <si>
    <t>Membrane Thickness</t>
  </si>
  <si>
    <t>um</t>
  </si>
  <si>
    <t>Separation Between</t>
  </si>
  <si>
    <t>Total Length</t>
  </si>
  <si>
    <t>Peristaltic Pump</t>
  </si>
  <si>
    <t>Electrolyte Tank</t>
  </si>
  <si>
    <t>Volume of Concrete Needed</t>
  </si>
  <si>
    <t>Liquid Digestate Compartment</t>
  </si>
  <si>
    <t>LD Tank Volume</t>
  </si>
  <si>
    <t xml:space="preserve">Mass Allocation </t>
  </si>
  <si>
    <t>Total Product</t>
  </si>
  <si>
    <t>COST</t>
  </si>
  <si>
    <t>Transportation</t>
  </si>
  <si>
    <t>Alcohol Conversion</t>
  </si>
  <si>
    <t>Esterification</t>
  </si>
  <si>
    <t>Oligomerization</t>
  </si>
  <si>
    <t>Hydrogenation</t>
  </si>
  <si>
    <t>msapd</t>
  </si>
  <si>
    <t>membrane surface area per volume diluate</t>
  </si>
  <si>
    <t>m2/m3</t>
  </si>
  <si>
    <t>mspu</t>
  </si>
  <si>
    <t>number of membrane stacks per electrodialysis unit</t>
  </si>
  <si>
    <t>#</t>
  </si>
  <si>
    <t>V/mp</t>
  </si>
  <si>
    <t>maximum applied voltage per membrane pair, if no</t>
  </si>
  <si>
    <t>maximum applied current per membrane pair, if yes</t>
  </si>
  <si>
    <t>minimum applied current per membrane pair, if yes</t>
  </si>
  <si>
    <t>minimum applied volate per membrane pair, if no</t>
  </si>
  <si>
    <t>A/mp</t>
  </si>
  <si>
    <t>constant applied voltage per membrane pair, if yes</t>
  </si>
  <si>
    <t>dms</t>
  </si>
  <si>
    <t>distance between membranes</t>
  </si>
  <si>
    <t>Total Membrane SA</t>
  </si>
  <si>
    <t>Number of Membranes</t>
  </si>
  <si>
    <t>number of membranes in a stack</t>
  </si>
  <si>
    <t>ms_scen1</t>
  </si>
  <si>
    <t>ma_scen1</t>
  </si>
  <si>
    <t>mc_scen1</t>
  </si>
  <si>
    <t>mbp_scen1</t>
  </si>
  <si>
    <t>number of cation-exchange membranes in a stack</t>
  </si>
  <si>
    <t>number of anion-exchange membranes in a stack</t>
  </si>
  <si>
    <t>number of bipolar-exchange membranes in a stack</t>
  </si>
  <si>
    <t>Membrane Stacks</t>
  </si>
  <si>
    <t>Anion Exchange Membrane</t>
  </si>
  <si>
    <t>Cation Exchange Membrane</t>
  </si>
  <si>
    <t>Bipolar Exchange Membrane</t>
  </si>
  <si>
    <t># ms</t>
  </si>
  <si>
    <t>#/ms</t>
  </si>
  <si>
    <t>Membrane Pairs</t>
  </si>
  <si>
    <t>Maximum Applied Voltage</t>
  </si>
  <si>
    <t>Maximum Applied Current</t>
  </si>
  <si>
    <t>Electrodialysis Units</t>
  </si>
  <si>
    <t>esa</t>
  </si>
  <si>
    <t>elecrode surface area</t>
  </si>
  <si>
    <t>eth</t>
  </si>
  <si>
    <t>electrode thickness</t>
  </si>
  <si>
    <t>mv_aem</t>
  </si>
  <si>
    <t xml:space="preserve">mv_cem </t>
  </si>
  <si>
    <t>Anion-Exchange Membrane</t>
  </si>
  <si>
    <t>Cation-Exchange Membrane</t>
  </si>
  <si>
    <t>Fumasep FKS-PET-130</t>
  </si>
  <si>
    <t>Bipolar-Exchange Membrane</t>
  </si>
  <si>
    <t>mv_bpem</t>
  </si>
  <si>
    <t>Fumasep FBM</t>
  </si>
  <si>
    <t>Fumasep FAS-PET-130</t>
  </si>
  <si>
    <t>CEM</t>
  </si>
  <si>
    <t>AEM</t>
  </si>
  <si>
    <t>BPEM</t>
  </si>
  <si>
    <t>CEM Surface Area</t>
  </si>
  <si>
    <t>AEM Surface Area</t>
  </si>
  <si>
    <t>BPEM Surface Area</t>
  </si>
  <si>
    <t>Electrodes</t>
  </si>
  <si>
    <t>oz</t>
  </si>
  <si>
    <t>electrodialysis flow rate within the compartments</t>
  </si>
  <si>
    <t>$-hr/L</t>
  </si>
  <si>
    <t>Knight Equipment PMP-8120B, 115V Fixed Speed, T-66E Squeeze Tube</t>
  </si>
  <si>
    <t>oz/min</t>
  </si>
  <si>
    <t>L/min</t>
  </si>
  <si>
    <t>number of tanks in electrodialysis system</t>
  </si>
  <si>
    <t xml:space="preserve"># </t>
  </si>
  <si>
    <t>Height</t>
  </si>
  <si>
    <t>volume of microbial innoculum in anaerobic digester</t>
  </si>
  <si>
    <t>maximum volume of an anaerobic digester tank</t>
  </si>
  <si>
    <t>m:m</t>
  </si>
  <si>
    <t>ed_ts1</t>
  </si>
  <si>
    <t>ed tank maximum volume</t>
  </si>
  <si>
    <t>ed_tank</t>
  </si>
  <si>
    <t>Cation Water Compartment</t>
  </si>
  <si>
    <t>Anion Water Compartment</t>
  </si>
  <si>
    <t>ed_tdiam</t>
  </si>
  <si>
    <t>ratio of tank height to diameter</t>
  </si>
  <si>
    <t>ad_h_d</t>
  </si>
  <si>
    <t xml:space="preserve">Agitator </t>
  </si>
  <si>
    <t>Diluate Tank Wall</t>
  </si>
  <si>
    <t>Electrolyte Tank Wall</t>
  </si>
  <si>
    <t>Concentrate Tank 1 Wall</t>
  </si>
  <si>
    <t>Concentrate Tank 2 Wall</t>
  </si>
  <si>
    <t xml:space="preserve">Digester Tank Wall </t>
  </si>
  <si>
    <t xml:space="preserve">Digester Insulation </t>
  </si>
  <si>
    <t xml:space="preserve">Digester Gas Cover </t>
  </si>
  <si>
    <t>Agitator</t>
  </si>
  <si>
    <t>Electrode</t>
  </si>
  <si>
    <t>Electrochemically-Enhanceded Chain-Elongation - CAPEX</t>
  </si>
  <si>
    <t>maximum tank volume for chain-elongation</t>
  </si>
  <si>
    <t>ce_h_d</t>
  </si>
  <si>
    <t>chain-elongation height to diameter ratio</t>
  </si>
  <si>
    <t>Alcohol Conversion - CAPEX</t>
  </si>
  <si>
    <t>ce_micro</t>
  </si>
  <si>
    <t>volume of microbial innoculum in chain elongation</t>
  </si>
  <si>
    <t>actank</t>
  </si>
  <si>
    <t>ac_h_d</t>
  </si>
  <si>
    <t>ac_micro</t>
  </si>
  <si>
    <t>maximum tank volume for alcohol conversion</t>
  </si>
  <si>
    <t>alcohol conversion height to diameter ratio</t>
  </si>
  <si>
    <t>volume of microbial innoculum in alcohol conversion</t>
  </si>
  <si>
    <t>Tank Wall</t>
  </si>
  <si>
    <t>Unfaced Fiberglass</t>
  </si>
  <si>
    <t>Stainless Steel, Fixed Propeller, 3 Impellers, 2 Blades, Motor, Gear drive</t>
  </si>
  <si>
    <t>AC CSTR</t>
  </si>
  <si>
    <t>CE CSTR</t>
  </si>
  <si>
    <t>SCENARIOS</t>
  </si>
  <si>
    <t>expbase</t>
  </si>
  <si>
    <t xml:space="preserve">recycle deisel fuel to transportation? </t>
  </si>
  <si>
    <t>yes = 1, no = 0</t>
  </si>
  <si>
    <t xml:space="preserve">renewable energy used to produce heat and electricity? </t>
  </si>
  <si>
    <t>yes =1, no = 0</t>
  </si>
  <si>
    <t>use experimental base values instead of math model values</t>
  </si>
  <si>
    <t>Operating Conditions</t>
  </si>
  <si>
    <t>Anaerobic Digestor Hydraulic Retention Time</t>
  </si>
  <si>
    <t>Anaerobic Digestor Mixing Speed</t>
  </si>
  <si>
    <t>Anaerobic Digestor pH</t>
  </si>
  <si>
    <t>Percentage of Food Waste in Feedstock</t>
  </si>
  <si>
    <t>Percentage of Manure in Feedstock</t>
  </si>
  <si>
    <t>AD C2 VFA Concentration</t>
  </si>
  <si>
    <t>AD C3 VFA Concentration</t>
  </si>
  <si>
    <t>AD C4 VFA Concentration</t>
  </si>
  <si>
    <t>AD Ci4 VFA Concentration</t>
  </si>
  <si>
    <t>AD Ci5 VFA Concentration</t>
  </si>
  <si>
    <t xml:space="preserve">AD C6 VFA Concentration </t>
  </si>
  <si>
    <t>AD Biogas Production</t>
  </si>
  <si>
    <t>L/m3 sludge</t>
  </si>
  <si>
    <t>H2 in Biogas</t>
  </si>
  <si>
    <t>CH4 in Biogas</t>
  </si>
  <si>
    <t>CO2 in Biogas</t>
  </si>
  <si>
    <t>Volatile Solids in Food Waste</t>
  </si>
  <si>
    <t>Theoretical VFA Yield</t>
  </si>
  <si>
    <t>g VFA / g VS</t>
  </si>
  <si>
    <t>Volatile Solids in Manure</t>
  </si>
  <si>
    <t>Scaling Factor</t>
  </si>
  <si>
    <t>Volatile Fatty Acids - Scaled to Input Flow Rate</t>
  </si>
  <si>
    <t>Acetate Produced</t>
  </si>
  <si>
    <t>Propionic Production</t>
  </si>
  <si>
    <t>Volatile Solid Influent</t>
  </si>
  <si>
    <t>Esterification - CAPEX</t>
  </si>
  <si>
    <t>ef_h_d</t>
  </si>
  <si>
    <t>hydraulic retention time for esterification</t>
  </si>
  <si>
    <t>mixing speed for esterification</t>
  </si>
  <si>
    <t>maximum tank volume for esterification</t>
  </si>
  <si>
    <t>esterification height to diameter ratio</t>
  </si>
  <si>
    <t>EF CSTR</t>
  </si>
  <si>
    <t>Condensor</t>
  </si>
  <si>
    <t>C</t>
  </si>
  <si>
    <t>Glass Lined Reactor</t>
  </si>
  <si>
    <t>mv_glassreac</t>
  </si>
  <si>
    <t>$/L</t>
  </si>
  <si>
    <t>Reactor</t>
  </si>
  <si>
    <t>Low Pressure Glass Lined Chemical Reactor, Motor, Agitator, Pressure Gauge, Insulation</t>
  </si>
  <si>
    <t>Liquid-Liquid Extraction - CAPEX</t>
  </si>
  <si>
    <t>LLE CSTR</t>
  </si>
  <si>
    <t>Liquid-Liquid Extraction</t>
  </si>
  <si>
    <t>ed_hrt</t>
  </si>
  <si>
    <t>L water</t>
  </si>
  <si>
    <t>1 m3</t>
  </si>
  <si>
    <t>lle_s_f</t>
  </si>
  <si>
    <t>L_sol:L_aq</t>
  </si>
  <si>
    <t>ETHANOL - WATER DISTILLATION</t>
  </si>
  <si>
    <t>lle_hrt</t>
  </si>
  <si>
    <t>retention time in liquid-liquid extraction</t>
  </si>
  <si>
    <t>lle_mix</t>
  </si>
  <si>
    <t>mixing speed in liquid-liquid extraction</t>
  </si>
  <si>
    <t>lle_tank</t>
  </si>
  <si>
    <t>maximum tank volume for liquid-liquid extraction</t>
  </si>
  <si>
    <t>lle_h_d</t>
  </si>
  <si>
    <t>height to diameter ratio liquid-liquid extraction</t>
  </si>
  <si>
    <t>dew_rb_temp</t>
  </si>
  <si>
    <t>dew_cd_temp</t>
  </si>
  <si>
    <t>dew_tray</t>
  </si>
  <si>
    <t>dew_hrt</t>
  </si>
  <si>
    <t>reboiler temperature for ethanol-water distillation</t>
  </si>
  <si>
    <t>condenser temperature for ethanol-water distillation</t>
  </si>
  <si>
    <t>number of trays for ethanol-water distillation</t>
  </si>
  <si>
    <t>retention time in distillation column</t>
  </si>
  <si>
    <t>ESTERIFICATION</t>
  </si>
  <si>
    <t>ESTER-WATER DISTILLATION</t>
  </si>
  <si>
    <t>desw_rb_temp</t>
  </si>
  <si>
    <t>desw_cd_temp</t>
  </si>
  <si>
    <t>desw_tray</t>
  </si>
  <si>
    <t>desw_hrt</t>
  </si>
  <si>
    <t>reboiler temperature for ester-water distillation</t>
  </si>
  <si>
    <t>condenser temperature for ester-water distillation</t>
  </si>
  <si>
    <t>number of trays for ester-water distillation</t>
  </si>
  <si>
    <t>minimum volumetric solvent to feed ratio</t>
  </si>
  <si>
    <t>OLIGOMERIZATION</t>
  </si>
  <si>
    <t>ef_temp</t>
  </si>
  <si>
    <t>ef_pres</t>
  </si>
  <si>
    <t>ef_cat</t>
  </si>
  <si>
    <t>og_tank</t>
  </si>
  <si>
    <t>og_h_d</t>
  </si>
  <si>
    <t>og_temp</t>
  </si>
  <si>
    <t>og_pres</t>
  </si>
  <si>
    <t>operating temperature in esterification</t>
  </si>
  <si>
    <t>operating pressure in esterification</t>
  </si>
  <si>
    <t>atm</t>
  </si>
  <si>
    <t>HYDROGENATION</t>
  </si>
  <si>
    <t>ef_hrt</t>
  </si>
  <si>
    <t>ef_mix</t>
  </si>
  <si>
    <t>ef_tank</t>
  </si>
  <si>
    <t>oligomerization height to diameter ratio</t>
  </si>
  <si>
    <t>operating temperature in oligomerization</t>
  </si>
  <si>
    <t>operating pressure in oligomerization</t>
  </si>
  <si>
    <t>catalyst loading in oligomerization</t>
  </si>
  <si>
    <t>HYDROCARBON DISTILLATION</t>
  </si>
  <si>
    <t>hd_tank</t>
  </si>
  <si>
    <t>hd_h_d</t>
  </si>
  <si>
    <t>hd_temp</t>
  </si>
  <si>
    <t>hd_pres</t>
  </si>
  <si>
    <t>hd_cat</t>
  </si>
  <si>
    <t>w:w</t>
  </si>
  <si>
    <t>catalyst loading in esterification (g acid : g catalyst)</t>
  </si>
  <si>
    <t>dhd_cd_temp</t>
  </si>
  <si>
    <t>dhd_tray</t>
  </si>
  <si>
    <t>dhd_hrt</t>
  </si>
  <si>
    <t>dhd_rb_temp</t>
  </si>
  <si>
    <t>mv_di</t>
  </si>
  <si>
    <t>mv_tap</t>
  </si>
  <si>
    <t>mv_discol</t>
  </si>
  <si>
    <t>$ -hr/kg</t>
  </si>
  <si>
    <t>mv_rb</t>
  </si>
  <si>
    <t>mv_cd</t>
  </si>
  <si>
    <t xml:space="preserve">Distillation Coloumn </t>
  </si>
  <si>
    <t>market value of trained labor</t>
  </si>
  <si>
    <t>mv_labor1</t>
  </si>
  <si>
    <t>mv_labor2</t>
  </si>
  <si>
    <t>mv_labor3</t>
  </si>
  <si>
    <t>mv_labor4</t>
  </si>
  <si>
    <t>market value of business/hr labor (average)</t>
  </si>
  <si>
    <t>market value of engineering labor (average)</t>
  </si>
  <si>
    <t>market value of doctorate labor (average)</t>
  </si>
  <si>
    <t>$/yr</t>
  </si>
  <si>
    <t>Distillation Feed Pump</t>
  </si>
  <si>
    <t>$ - hr/MMBTU</t>
  </si>
  <si>
    <t>mv_difp</t>
  </si>
  <si>
    <t>$ - hr/kg</t>
  </si>
  <si>
    <t>market value of a distillation collumn (per mass flow rate) (2007)</t>
  </si>
  <si>
    <t>market value of a reboiler (per heat transfer rate) (2007)</t>
  </si>
  <si>
    <t>market value of a condensor (per heat transfer rate) (2007)</t>
  </si>
  <si>
    <t>market value of a distillation feed pump (per mass flow rate) (1997)</t>
  </si>
  <si>
    <t>market value of a digester gas cover (per m diameter) (2024)</t>
  </si>
  <si>
    <t>MMBTU/hr</t>
  </si>
  <si>
    <t>EF Distillation</t>
  </si>
  <si>
    <t>Oligomerization  - CAPEX</t>
  </si>
  <si>
    <t>OG CSTR</t>
  </si>
  <si>
    <t>Hydrogenation  - CAPEX</t>
  </si>
  <si>
    <t>HD Distillation</t>
  </si>
  <si>
    <t>Ester - Water Distillation - CAPEX</t>
  </si>
  <si>
    <t>Hydrocarbon Distillation - CAPEX</t>
  </si>
  <si>
    <t>Methane</t>
  </si>
  <si>
    <t>Carbon Dioxide</t>
  </si>
  <si>
    <t>Hydrogen</t>
  </si>
  <si>
    <t>Nitrogen</t>
  </si>
  <si>
    <t>Hydrocarbon Distillation</t>
  </si>
  <si>
    <t xml:space="preserve">m3 </t>
  </si>
  <si>
    <t>kJ/kg*K</t>
  </si>
  <si>
    <t>Cp</t>
  </si>
  <si>
    <t>Mass Flow Rate</t>
  </si>
  <si>
    <t>Reboiler Heat Flow Rate</t>
  </si>
  <si>
    <t>kJ/hr</t>
  </si>
  <si>
    <t>Condensor Heat Flow Rate</t>
  </si>
  <si>
    <t>Na</t>
  </si>
  <si>
    <t>NaOH</t>
  </si>
  <si>
    <t>Cl</t>
  </si>
  <si>
    <t>HCl</t>
  </si>
  <si>
    <t>H</t>
  </si>
  <si>
    <t>OH</t>
  </si>
  <si>
    <t>Mixing Tank Wall</t>
  </si>
  <si>
    <t>Distillation Column</t>
  </si>
  <si>
    <t>Feed Pump</t>
  </si>
  <si>
    <t>Plate and frame</t>
  </si>
  <si>
    <t>ed_temp</t>
  </si>
  <si>
    <t>ed_flow</t>
  </si>
  <si>
    <t>maximum flowrate for distillation column</t>
  </si>
  <si>
    <t>dew_col</t>
  </si>
  <si>
    <t>dew_reb</t>
  </si>
  <si>
    <t>maximum flowrate for reboiler</t>
  </si>
  <si>
    <t>dew_cond</t>
  </si>
  <si>
    <t>maximum flowrate for condensor</t>
  </si>
  <si>
    <t>Temperature</t>
  </si>
  <si>
    <t>Celcius to Kelvin</t>
  </si>
  <si>
    <t>Reboiler Heat Flow</t>
  </si>
  <si>
    <t>Condensor Heat Flow</t>
  </si>
  <si>
    <t>g/g</t>
  </si>
  <si>
    <t>L ethanol</t>
  </si>
  <si>
    <t>m3 ethanol</t>
  </si>
  <si>
    <t>g/hr</t>
  </si>
  <si>
    <t>A2_carbon</t>
  </si>
  <si>
    <t>A2_phosphorus</t>
  </si>
  <si>
    <t>A2_sulfur</t>
  </si>
  <si>
    <t>A2_chlorine</t>
  </si>
  <si>
    <t>A2_nitrogen</t>
  </si>
  <si>
    <t>LD_carbon</t>
  </si>
  <si>
    <t>LD_phosphorus</t>
  </si>
  <si>
    <t>LD_sulfur</t>
  </si>
  <si>
    <t>LD_chlorine</t>
  </si>
  <si>
    <t>LD_nitrogen</t>
  </si>
  <si>
    <t>A1_carbon</t>
  </si>
  <si>
    <t>A1_phosphorus</t>
  </si>
  <si>
    <t>A1_sulfur</t>
  </si>
  <si>
    <t>A1_chlorine</t>
  </si>
  <si>
    <t>A1_nitrogen</t>
  </si>
  <si>
    <t>LD_pH</t>
  </si>
  <si>
    <t>A1_pH</t>
  </si>
  <si>
    <t>A2_pH</t>
  </si>
  <si>
    <t>C1_carbon</t>
  </si>
  <si>
    <t>C1_phosphorus</t>
  </si>
  <si>
    <t>C1_sulfur</t>
  </si>
  <si>
    <t>C1_chlorine</t>
  </si>
  <si>
    <t>C1_nitrogen</t>
  </si>
  <si>
    <t>C1_pH</t>
  </si>
  <si>
    <t>C2_carbon</t>
  </si>
  <si>
    <t>C2_phosphorus</t>
  </si>
  <si>
    <t>C2_sulfur</t>
  </si>
  <si>
    <t>C2_chlorine</t>
  </si>
  <si>
    <t>C2_nitrogen</t>
  </si>
  <si>
    <t>C2_pH</t>
  </si>
  <si>
    <t>EL_carbon</t>
  </si>
  <si>
    <t>EL_phosphorus</t>
  </si>
  <si>
    <t>EL_sulfur</t>
  </si>
  <si>
    <t>EL_chlorine</t>
  </si>
  <si>
    <t>EL_nitrogen</t>
  </si>
  <si>
    <t>EL_pH</t>
  </si>
  <si>
    <t>%/100</t>
  </si>
  <si>
    <t>iap</t>
  </si>
  <si>
    <t>constant applied current per membrane pair, if no</t>
  </si>
  <si>
    <t>constant applied current per membrane pair</t>
  </si>
  <si>
    <t>maximum applied voltage per membrane pair</t>
  </si>
  <si>
    <t>minimum applied volate per membrane pair</t>
  </si>
  <si>
    <t>Species by Compartment</t>
  </si>
  <si>
    <t>Heat Exchanger</t>
  </si>
  <si>
    <t>Knockout Drum</t>
  </si>
  <si>
    <t>Product Pump</t>
  </si>
  <si>
    <t>GPM</t>
  </si>
  <si>
    <t>H2 Makeup Compressor</t>
  </si>
  <si>
    <t>H2 Recycle Compressor</t>
  </si>
  <si>
    <t>High Pressure High Stage Separator</t>
  </si>
  <si>
    <t>MMkcal/hr</t>
  </si>
  <si>
    <t>5 Stage Reciprocating Compressor</t>
  </si>
  <si>
    <t>Centrifugal Compressor</t>
  </si>
  <si>
    <t>ad_wvol</t>
  </si>
  <si>
    <t>maximum working volume of anaerobic digester tank</t>
  </si>
  <si>
    <t>g/L:g/L</t>
  </si>
  <si>
    <t>ad_hrt</t>
  </si>
  <si>
    <t>ad_vol</t>
  </si>
  <si>
    <t>ad_micro</t>
  </si>
  <si>
    <t>ad_mix</t>
  </si>
  <si>
    <t>naoh_ph</t>
  </si>
  <si>
    <t>ece_fac</t>
  </si>
  <si>
    <t>ed_wvol</t>
  </si>
  <si>
    <t>maximum volume of electrodialysis tanks</t>
  </si>
  <si>
    <t>maximum working volume of electrodialysis tanks</t>
  </si>
  <si>
    <t>ce_hrt</t>
  </si>
  <si>
    <t>ce_mix</t>
  </si>
  <si>
    <t>ce_tank</t>
  </si>
  <si>
    <t>ce_wvol</t>
  </si>
  <si>
    <t>maximum working volume of chain-elongation tank</t>
  </si>
  <si>
    <t>ac_wvol</t>
  </si>
  <si>
    <t>maximum working volume of alcohol conversion tank</t>
  </si>
  <si>
    <t>ef_wvol</t>
  </si>
  <si>
    <t>maximum working volume of esterification tank</t>
  </si>
  <si>
    <t>og_wvol</t>
  </si>
  <si>
    <t>hd_wvol</t>
  </si>
  <si>
    <t>maximum working volume of hydrogenation tank</t>
  </si>
  <si>
    <t>og_whsv</t>
  </si>
  <si>
    <t>maximum working volume of oligomerization fixed bed tank</t>
  </si>
  <si>
    <t>weight hourly space velocity in oligomerization</t>
  </si>
  <si>
    <t>1/hr</t>
  </si>
  <si>
    <t>og_cat_life</t>
  </si>
  <si>
    <t>catalyst lifetime</t>
  </si>
  <si>
    <t>yr</t>
  </si>
  <si>
    <t>mv_amb36</t>
  </si>
  <si>
    <t>market value of Amberlyst-36 resin (2014)</t>
  </si>
  <si>
    <t>$/lb</t>
  </si>
  <si>
    <t>hd_h2</t>
  </si>
  <si>
    <t>hd_whsv</t>
  </si>
  <si>
    <t>weight hourly space velocity in hydrogenation</t>
  </si>
  <si>
    <t>maximum fixed bed reactor volume for oligomerization</t>
  </si>
  <si>
    <t>vessel height to diameter ratio</t>
  </si>
  <si>
    <t>operating temperature in hydrogenation</t>
  </si>
  <si>
    <t>operating pressure in hydrogenation</t>
  </si>
  <si>
    <t>catalyst loading in hydrogenation</t>
  </si>
  <si>
    <t>og_cat_type</t>
  </si>
  <si>
    <t>og_cat_load</t>
  </si>
  <si>
    <t>hd_cat_life</t>
  </si>
  <si>
    <t>hd_cat_type</t>
  </si>
  <si>
    <t>Amberlyst-36 resin catalyst = 1</t>
  </si>
  <si>
    <t xml:space="preserve">hydrogen molar feed ratio  </t>
  </si>
  <si>
    <t>mol H2/mol Feed</t>
  </si>
  <si>
    <t>317 Low Carbon Stainless Steel Clad, Including Pressure Factor</t>
  </si>
  <si>
    <t>psig</t>
  </si>
  <si>
    <t>PSIG</t>
  </si>
  <si>
    <t>Factor</t>
  </si>
  <si>
    <t>&gt;1000</t>
  </si>
  <si>
    <t>304 Stainless Steel</t>
  </si>
  <si>
    <t>Carbon Steel</t>
  </si>
  <si>
    <t>Palladium on Carbon</t>
  </si>
  <si>
    <t>maximum tank volume for hydrogenation</t>
  </si>
  <si>
    <t>ef_cat_type</t>
  </si>
  <si>
    <t>sulfuric acid catalyist  = 1</t>
  </si>
  <si>
    <t>High Pressure Vessel Factors</t>
  </si>
  <si>
    <t>Ethyl Butyrate</t>
  </si>
  <si>
    <t>Propyl Butyrate</t>
  </si>
  <si>
    <t>Butyl Butyrate</t>
  </si>
  <si>
    <t>Pentyl Butyrate</t>
  </si>
  <si>
    <t>Hexyl Butyrate</t>
  </si>
  <si>
    <t>Sulfuric Acid</t>
  </si>
  <si>
    <t>mv_cs</t>
  </si>
  <si>
    <t>mv_conc</t>
  </si>
  <si>
    <t>mv_insl</t>
  </si>
  <si>
    <t>mv_agit</t>
  </si>
  <si>
    <t>mv_cfd</t>
  </si>
  <si>
    <t>mv_spg</t>
  </si>
  <si>
    <t>mv_inc</t>
  </si>
  <si>
    <t>mv_gspr</t>
  </si>
  <si>
    <t>mv_peripmp</t>
  </si>
  <si>
    <t>$/GPM</t>
  </si>
  <si>
    <t>market value of a glass lined reactor with combined agitator (2023)</t>
  </si>
  <si>
    <t>market value of a peristaltic pump (2023)</t>
  </si>
  <si>
    <t>market value of anion exchange membrane (2024)</t>
  </si>
  <si>
    <t>market value of cation exchange membrane (2024)</t>
  </si>
  <si>
    <t>market value of bipolar exchange membrane (2024)</t>
  </si>
  <si>
    <t>euro/unit</t>
  </si>
  <si>
    <t>market value of a 3000 gal/hr slurry pump grinder (2024)</t>
  </si>
  <si>
    <t>market value of carbon steel (2022)</t>
  </si>
  <si>
    <t>market value of concrete (2022)</t>
  </si>
  <si>
    <t>market value of insulation (2022)</t>
  </si>
  <si>
    <t>market value of a tank reactor agitator (1998)</t>
  </si>
  <si>
    <t>market value of graphite electrode (2023)</t>
  </si>
  <si>
    <t>market value of a microfiltration module (per unit surface area) (2012)</t>
  </si>
  <si>
    <t>market value of 40 yd3 truck per unit of storage (2024)</t>
  </si>
  <si>
    <t>market value of ethanol (2024)</t>
  </si>
  <si>
    <t>market value of NaOH (2024)</t>
  </si>
  <si>
    <t>market value of NaCl (2024)</t>
  </si>
  <si>
    <t>market value of municiplal water (2024)</t>
  </si>
  <si>
    <t>market value of distilled water (2024)</t>
  </si>
  <si>
    <t>market value of electrode buffer (2024)</t>
  </si>
  <si>
    <t>market value of a 220 GPM hydrocyclone solid liquid separator (2023)</t>
  </si>
  <si>
    <t>mv_hx</t>
  </si>
  <si>
    <t>mv_ko</t>
  </si>
  <si>
    <t>market value of a heat exchanger (2007)</t>
  </si>
  <si>
    <t>market value of a knockout drum (2007)</t>
  </si>
  <si>
    <t>UNINSTALLED MARKET VALUE COSTS</t>
  </si>
  <si>
    <t>Fixed Bed Reactor</t>
  </si>
  <si>
    <t>market value of a reactor feed/product pump (2009)</t>
  </si>
  <si>
    <t>mv_oligoreac</t>
  </si>
  <si>
    <t>market value of oligomerization fixed bed reactor (2014)</t>
  </si>
  <si>
    <t>mv_hydroreac</t>
  </si>
  <si>
    <t>market value of hydrogenation fixed bed reactor (2011)</t>
  </si>
  <si>
    <t>$-hr/kg</t>
  </si>
  <si>
    <t>mv_h2rec</t>
  </si>
  <si>
    <t>mv_h2muc</t>
  </si>
  <si>
    <t>mv_hhps</t>
  </si>
  <si>
    <t>market value of a hydrogen makeup compressor (2011)</t>
  </si>
  <si>
    <t>market value of a hydrogen recycle compressor (2011)</t>
  </si>
  <si>
    <t>market value of a high pressure high stage separator (2011)</t>
  </si>
  <si>
    <t>Capital Costs</t>
  </si>
  <si>
    <t>Operational Costs</t>
  </si>
  <si>
    <t>mv_land</t>
  </si>
  <si>
    <t>$/acre</t>
  </si>
  <si>
    <t>market value of desolate land</t>
  </si>
  <si>
    <t>mv_aglans</t>
  </si>
  <si>
    <t>market value of agricultural land</t>
  </si>
  <si>
    <t>317 Low Carbon Stainless Steel Clad Fixed Bed Reactor, Internal Catalyst and Support</t>
  </si>
  <si>
    <t>mv_pump</t>
  </si>
  <si>
    <t>High Pressure Feed Pump</t>
  </si>
  <si>
    <t>mv_hpump</t>
  </si>
  <si>
    <t>market value of high pressure feed pump</t>
  </si>
  <si>
    <t>Cool Water Heat Exchanger</t>
  </si>
  <si>
    <t>mv_cwhx</t>
  </si>
  <si>
    <t>market value of a cool water heat exchanger (2011)</t>
  </si>
  <si>
    <t>$ - hr/MMkcal</t>
  </si>
  <si>
    <t>gpm</t>
  </si>
  <si>
    <t>Heat Flow Rate</t>
  </si>
  <si>
    <t>Volume Flow Rate</t>
  </si>
  <si>
    <t>Input Heat Flow Rate</t>
  </si>
  <si>
    <t>Heat Removal Flow Rate</t>
  </si>
  <si>
    <t>Water Specific Heat</t>
  </si>
  <si>
    <t>kcal</t>
  </si>
  <si>
    <t>Mmkcal/hr</t>
  </si>
  <si>
    <t>hd_cool</t>
  </si>
  <si>
    <t>effluent temperature after cooling</t>
  </si>
  <si>
    <t>Catalyst Loading</t>
  </si>
  <si>
    <t>Catalyst Volume</t>
  </si>
  <si>
    <t>m3 Amb-37</t>
  </si>
  <si>
    <t>mL Amb-37</t>
  </si>
  <si>
    <t>Feedstock Volume Flowrate</t>
  </si>
  <si>
    <t>Space Velocity</t>
  </si>
  <si>
    <t>Retention Time</t>
  </si>
  <si>
    <t>Tank Volume</t>
  </si>
  <si>
    <t>cm3 Pd/C</t>
  </si>
  <si>
    <t>m3 Pd/C</t>
  </si>
  <si>
    <t>Molar Feed Rate</t>
  </si>
  <si>
    <t>mol/hr</t>
  </si>
  <si>
    <t>Hydrogen Feed Rate</t>
  </si>
  <si>
    <t>ad_insitu</t>
  </si>
  <si>
    <t>factor of increase in VFA production due to continuous removal</t>
  </si>
  <si>
    <t>Applied Voltage</t>
  </si>
  <si>
    <t>cow_pH</t>
  </si>
  <si>
    <t>aqueous pH of cattle manure</t>
  </si>
  <si>
    <t>cow_ash</t>
  </si>
  <si>
    <t>ash content of cattle manure</t>
  </si>
  <si>
    <t>mg/g DM</t>
  </si>
  <si>
    <t>cow_oc</t>
  </si>
  <si>
    <t>organic carbon content of ash free cattle manure</t>
  </si>
  <si>
    <t>cow_on</t>
  </si>
  <si>
    <t>organic nitrogen content of ash free cattle manure</t>
  </si>
  <si>
    <t>cow_wsc</t>
  </si>
  <si>
    <t>water soluble carbon content of ash free cattle manure</t>
  </si>
  <si>
    <t>cow_wsn</t>
  </si>
  <si>
    <t>water soluble nitrogen content of ash free cattle manure</t>
  </si>
  <si>
    <t>cow_p</t>
  </si>
  <si>
    <t>phosphorus content of cattle manure</t>
  </si>
  <si>
    <t>cow_k</t>
  </si>
  <si>
    <t>pottassium content of cattle manure</t>
  </si>
  <si>
    <t>cow_ca</t>
  </si>
  <si>
    <t>calcium content of cattle manure</t>
  </si>
  <si>
    <t>cow_mg</t>
  </si>
  <si>
    <t>magnesium content of cattle manure</t>
  </si>
  <si>
    <t>cow_s</t>
  </si>
  <si>
    <t>sulfur content of cattle manure</t>
  </si>
  <si>
    <t>pig_pH</t>
  </si>
  <si>
    <t>aqueous pH of pig manure</t>
  </si>
  <si>
    <t>ash content of pig manure</t>
  </si>
  <si>
    <t>organic carbon content of ash free pig manure</t>
  </si>
  <si>
    <t>organic nitrogen content of ash free pig manure</t>
  </si>
  <si>
    <t>water soluble carbon content of ash free pig manure</t>
  </si>
  <si>
    <t>water soluble nitrogen content of ash free pig manure</t>
  </si>
  <si>
    <t>phosphorus content of pig manure</t>
  </si>
  <si>
    <t>pottassium content of pig manure</t>
  </si>
  <si>
    <t>calcium content of pig manure</t>
  </si>
  <si>
    <t>magnesium content of pig manure</t>
  </si>
  <si>
    <t>sulfur content of pig manure</t>
  </si>
  <si>
    <t>pig_ash</t>
  </si>
  <si>
    <t>pig_oc</t>
  </si>
  <si>
    <t>pig_on</t>
  </si>
  <si>
    <t>pig_wsc</t>
  </si>
  <si>
    <t>pig_wsn</t>
  </si>
  <si>
    <t>pig_p</t>
  </si>
  <si>
    <t>pig_k</t>
  </si>
  <si>
    <t>pig_ca</t>
  </si>
  <si>
    <t>pig_mg</t>
  </si>
  <si>
    <t>pig_s</t>
  </si>
  <si>
    <t>fw_tss</t>
  </si>
  <si>
    <t>fw_vss</t>
  </si>
  <si>
    <t>fw_tcod</t>
  </si>
  <si>
    <t>fw_scod</t>
  </si>
  <si>
    <t>fw_pcod</t>
  </si>
  <si>
    <t>fw_tbod</t>
  </si>
  <si>
    <t>fw_sbod</t>
  </si>
  <si>
    <t>fw_pbod</t>
  </si>
  <si>
    <t>fw_tn</t>
  </si>
  <si>
    <t>fw_pn</t>
  </si>
  <si>
    <t>fw_nh3_n</t>
  </si>
  <si>
    <t>fw_tp</t>
  </si>
  <si>
    <t>fw_sp</t>
  </si>
  <si>
    <t>fw_pp</t>
  </si>
  <si>
    <t>total suspended solids in mixed food waste</t>
  </si>
  <si>
    <t>mg/L</t>
  </si>
  <si>
    <t>total volatile suspended solids in mixed food waste</t>
  </si>
  <si>
    <t>total chemical oxygen demand in mixed food waste</t>
  </si>
  <si>
    <t>soluble chemical oxygen demand in mixed food waste</t>
  </si>
  <si>
    <t>particulate chemical oxygen demand in mixed food waste</t>
  </si>
  <si>
    <t>total biological oxygen demand in mixed food waste</t>
  </si>
  <si>
    <t>soluble biological oxygen demand in mixed food waste</t>
  </si>
  <si>
    <t>particulate biological oxygen demand in mixed food waste</t>
  </si>
  <si>
    <t>total nitrogen in mixed food waste</t>
  </si>
  <si>
    <t>amount of nitrogen present as ammonia in mixed food waste</t>
  </si>
  <si>
    <t>total soluble phosphorus in mixed food waste</t>
  </si>
  <si>
    <t>total phosphorus in mixed food waste</t>
  </si>
  <si>
    <t>particulate nitrogen in mixed food waste</t>
  </si>
  <si>
    <t>total particulate phosphorus in mixed food waste</t>
  </si>
  <si>
    <t>g/g DM</t>
  </si>
  <si>
    <t>fw_son</t>
  </si>
  <si>
    <t>soluble organic nitrogen in mixed food waste</t>
  </si>
  <si>
    <t>g/g TN</t>
  </si>
  <si>
    <t>g/g TP</t>
  </si>
  <si>
    <t>pcow</t>
  </si>
  <si>
    <t>percentage of manure from cattle in feedstock</t>
  </si>
  <si>
    <t>ppig</t>
  </si>
  <si>
    <t>percentage of manure from pigs in feedstock</t>
  </si>
  <si>
    <t>cow_tss</t>
  </si>
  <si>
    <t>cow_vss</t>
  </si>
  <si>
    <t>pig_tss</t>
  </si>
  <si>
    <t>pig_vss</t>
  </si>
  <si>
    <t>total suspended solids in manure</t>
  </si>
  <si>
    <t>volatile suspended solids in manure</t>
  </si>
  <si>
    <t>g TS / g FW</t>
  </si>
  <si>
    <t>g VS / g FW</t>
  </si>
  <si>
    <t>g TS / g M</t>
  </si>
  <si>
    <t>g VS / g M</t>
  </si>
  <si>
    <t>Food Waste Total Solids</t>
  </si>
  <si>
    <t>Cow Manure Total Solids</t>
  </si>
  <si>
    <t>Pig Manure Total Solids</t>
  </si>
  <si>
    <t>LIQUID-LIQUID EXTRACTION</t>
  </si>
  <si>
    <t>kg TS/m3</t>
  </si>
  <si>
    <t xml:space="preserve">g TS /L </t>
  </si>
  <si>
    <t>g TS/L</t>
  </si>
  <si>
    <t>g Ash/L</t>
  </si>
  <si>
    <t>g DM_af/L</t>
  </si>
  <si>
    <t>Dry Matter Calculations</t>
  </si>
  <si>
    <t>Total Phosphorus</t>
  </si>
  <si>
    <t>g TP/L</t>
  </si>
  <si>
    <t>Soluble Phosphorus</t>
  </si>
  <si>
    <t>g TS /L</t>
  </si>
  <si>
    <t>Digested Cattle Manure Characteristics</t>
  </si>
  <si>
    <t>Digested Pig Manure Characteristics</t>
  </si>
  <si>
    <t>Total Sulfur</t>
  </si>
  <si>
    <t>Soluble Nitrogen</t>
  </si>
  <si>
    <t>Ammonia Nitrogen</t>
  </si>
  <si>
    <t>NH3_NH4</t>
  </si>
  <si>
    <t>NH3</t>
  </si>
  <si>
    <t>NH4</t>
  </si>
  <si>
    <t>L/m3</t>
  </si>
  <si>
    <t>m3 CH4 gas</t>
  </si>
  <si>
    <t>Density at STP</t>
  </si>
  <si>
    <t>m3 CO2</t>
  </si>
  <si>
    <t>CH4 Methane Gas</t>
  </si>
  <si>
    <t>mg COD/mL</t>
  </si>
  <si>
    <t>Initial Values</t>
  </si>
  <si>
    <t>C_C2</t>
  </si>
  <si>
    <t>C_C3</t>
  </si>
  <si>
    <t>C_C4</t>
  </si>
  <si>
    <t>C_Ci4</t>
  </si>
  <si>
    <t>C_C5</t>
  </si>
  <si>
    <t>C_Ci5</t>
  </si>
  <si>
    <t>C_C6</t>
  </si>
  <si>
    <t>C_C7</t>
  </si>
  <si>
    <t>C_Cl</t>
  </si>
  <si>
    <t>C_S</t>
  </si>
  <si>
    <t>C_P</t>
  </si>
  <si>
    <t>C_N</t>
  </si>
  <si>
    <t>C_H</t>
  </si>
  <si>
    <t>C_OH</t>
  </si>
  <si>
    <t>Total Total Solids</t>
  </si>
  <si>
    <t>vfa_hvfa</t>
  </si>
  <si>
    <t>mol/L:mol/L</t>
  </si>
  <si>
    <t>cl_hcl</t>
  </si>
  <si>
    <t>pKa_VFA_HVFA</t>
  </si>
  <si>
    <t>pKa_Cl_HCl</t>
  </si>
  <si>
    <t>pKa_HSO4_H2SO4</t>
  </si>
  <si>
    <t>pKa_SO4_HSO4</t>
  </si>
  <si>
    <t>pKa_NH3_NH4</t>
  </si>
  <si>
    <t>pKa_H2PO4_H3PO4</t>
  </si>
  <si>
    <t>pKa_HPO4_H2PO4</t>
  </si>
  <si>
    <t>pKa_PO4_HPO4</t>
  </si>
  <si>
    <t>hso4_h2so4</t>
  </si>
  <si>
    <t>so4_hso4</t>
  </si>
  <si>
    <t>h2po4_h3po4</t>
  </si>
  <si>
    <t>hpo4_h2po4</t>
  </si>
  <si>
    <t>po4_hpo4</t>
  </si>
  <si>
    <t>nh3_nh4</t>
  </si>
  <si>
    <t>Species Concentration in Liquid Digestate</t>
  </si>
  <si>
    <t>Electrochemically-Enhanced Chain-Elongation</t>
  </si>
  <si>
    <t>Inoculum Development</t>
  </si>
  <si>
    <t>Food Waste Electrochemically-Enhanced Anaerobic Digestion</t>
  </si>
  <si>
    <t>Manure Electrochemically-Enhanced Anaerobic Digestion</t>
  </si>
  <si>
    <t>Feedstock Preparation</t>
  </si>
  <si>
    <t>Ketonization</t>
  </si>
  <si>
    <t>Hydrodeoxygenation</t>
  </si>
  <si>
    <t>PATH A</t>
  </si>
  <si>
    <t>PATH B</t>
  </si>
  <si>
    <t>Feedstock Preparation - CAPEX</t>
  </si>
  <si>
    <t>Manure Flowrate</t>
  </si>
  <si>
    <t>Food Waste Flowrate</t>
  </si>
  <si>
    <t>AD C5 VFA Concentration</t>
  </si>
  <si>
    <t>AD C1 VFA Concentration</t>
  </si>
  <si>
    <t>Lactate Produced</t>
  </si>
  <si>
    <t>Valerate Production</t>
  </si>
  <si>
    <t>Heptanoate Production</t>
  </si>
  <si>
    <t>AD C7 VFA Concentration</t>
  </si>
  <si>
    <t>Lactate Production</t>
  </si>
  <si>
    <t>g/m3</t>
  </si>
  <si>
    <t>Lactate</t>
  </si>
  <si>
    <t>Lactic Acid</t>
  </si>
  <si>
    <t>Dissociation Calculations</t>
  </si>
  <si>
    <t>Operating pH</t>
  </si>
  <si>
    <t>Acid Dissociation constant for VFAs</t>
  </si>
  <si>
    <t>Acid Dissociation constant for Lactate</t>
  </si>
  <si>
    <t>lactate</t>
  </si>
  <si>
    <t>valerate</t>
  </si>
  <si>
    <t>heptanoate</t>
  </si>
  <si>
    <t>lactic acid</t>
  </si>
  <si>
    <t>valeric acid</t>
  </si>
  <si>
    <t>heptanoic acid</t>
  </si>
  <si>
    <t>Lactic acid</t>
  </si>
  <si>
    <t>pKa_LA_HLA</t>
  </si>
  <si>
    <t>Electrodialysis Effluent</t>
  </si>
  <si>
    <t>Diluate Liquid Digestate</t>
  </si>
  <si>
    <t>Base 1</t>
  </si>
  <si>
    <t>Base 2</t>
  </si>
  <si>
    <t>Acid 1</t>
  </si>
  <si>
    <t>Acid 2</t>
  </si>
  <si>
    <t>Electrolyte</t>
  </si>
  <si>
    <t>Henderson-Haselbaach Dissociation Ratios</t>
  </si>
  <si>
    <t>ace</t>
  </si>
  <si>
    <t>hace</t>
  </si>
  <si>
    <t>pro</t>
  </si>
  <si>
    <t>hpro</t>
  </si>
  <si>
    <t>but</t>
  </si>
  <si>
    <t>hbut</t>
  </si>
  <si>
    <t>ibut</t>
  </si>
  <si>
    <t>hibut</t>
  </si>
  <si>
    <t>val</t>
  </si>
  <si>
    <t>hval</t>
  </si>
  <si>
    <t>ival</t>
  </si>
  <si>
    <t>hival</t>
  </si>
  <si>
    <t>cap</t>
  </si>
  <si>
    <t>hep</t>
  </si>
  <si>
    <t>hhep</t>
  </si>
  <si>
    <t>cl</t>
  </si>
  <si>
    <t>hcl</t>
  </si>
  <si>
    <t>h2so4</t>
  </si>
  <si>
    <t>hso4</t>
  </si>
  <si>
    <t>so4</t>
  </si>
  <si>
    <t>h3po4</t>
  </si>
  <si>
    <t>h2po4</t>
  </si>
  <si>
    <t>hpo4</t>
  </si>
  <si>
    <t>po4</t>
  </si>
  <si>
    <t>nh4</t>
  </si>
  <si>
    <t>nh3</t>
  </si>
  <si>
    <t>Diluate</t>
  </si>
  <si>
    <t>HSO4_H2SO4</t>
  </si>
  <si>
    <t>Stoichiometry Calculations</t>
  </si>
  <si>
    <t>Total Volume</t>
  </si>
  <si>
    <t>KETONIZATION</t>
  </si>
  <si>
    <t>kt_whsv</t>
  </si>
  <si>
    <t>kt_tank</t>
  </si>
  <si>
    <t>maximum tank volume for ketonization</t>
  </si>
  <si>
    <t>kt_h_d</t>
  </si>
  <si>
    <t>ketonization height to diameter ratio</t>
  </si>
  <si>
    <t>kt_wvol</t>
  </si>
  <si>
    <t>maximum working volume of ketonization tank</t>
  </si>
  <si>
    <t>kt_temp</t>
  </si>
  <si>
    <t>operating temperature in ketonization</t>
  </si>
  <si>
    <t>kt_pres</t>
  </si>
  <si>
    <t>operating pressure in ketonization</t>
  </si>
  <si>
    <t>kt_cat</t>
  </si>
  <si>
    <t>catalyst loading in ketonization (catalyst:VFA)</t>
  </si>
  <si>
    <t>g/ton</t>
  </si>
  <si>
    <t>kt_cat_life</t>
  </si>
  <si>
    <t xml:space="preserve">catalyst lifetime </t>
  </si>
  <si>
    <t>kt_conv</t>
  </si>
  <si>
    <t>percentage of conversion in ketonization</t>
  </si>
  <si>
    <t>ESTER-KETONE DISTILLATION</t>
  </si>
  <si>
    <t>HYDRODEOXYGENATION</t>
  </si>
  <si>
    <t>weight hourly space velocity in hydrodeoxygenation</t>
  </si>
  <si>
    <t>maximum tank volume for hydrodeoxygenation</t>
  </si>
  <si>
    <t>maximum working volume of hydrodeoxygenation tank</t>
  </si>
  <si>
    <t>operating temperature in hydrodeoxygenation</t>
  </si>
  <si>
    <t>operating pressure in hydrodeoxygenation</t>
  </si>
  <si>
    <t>catalyst loading in hydrodeoxygenation</t>
  </si>
  <si>
    <t>hd_conv</t>
  </si>
  <si>
    <t>percentage of conversion in hydrodeoxygenation</t>
  </si>
  <si>
    <t>ton/day</t>
  </si>
  <si>
    <t>compost collected</t>
  </si>
  <si>
    <t>kg/d</t>
  </si>
  <si>
    <t>Harris Ranch</t>
  </si>
  <si>
    <t>number of cows</t>
  </si>
  <si>
    <t>Coalinga, CA 93210</t>
  </si>
  <si>
    <t>29475 Fresno Coalinga Road, Coalinga CA</t>
  </si>
  <si>
    <t>Distance Between FW and Manure</t>
  </si>
  <si>
    <t>Austin, TX</t>
  </si>
  <si>
    <t>San Francisco, CA</t>
  </si>
  <si>
    <t>ton/yr</t>
  </si>
  <si>
    <t>population of austin</t>
  </si>
  <si>
    <t>population of san francisco</t>
  </si>
  <si>
    <t>ton/mon</t>
  </si>
  <si>
    <t>kg/mon</t>
  </si>
  <si>
    <t>population of berkeley</t>
  </si>
  <si>
    <t>Berkeley, CA</t>
  </si>
  <si>
    <t>food waste per person</t>
  </si>
  <si>
    <t>m3/hr-cap</t>
  </si>
  <si>
    <t>Fort Collins, CO</t>
  </si>
  <si>
    <t>theoretical compost collected</t>
  </si>
  <si>
    <t>population of fort collins area</t>
  </si>
  <si>
    <t>AVERAGE</t>
  </si>
  <si>
    <t>avg_fwc</t>
  </si>
  <si>
    <t>average food waste production per capita</t>
  </si>
  <si>
    <t>US_pop</t>
  </si>
  <si>
    <t>population of the US</t>
  </si>
  <si>
    <t>US_fw</t>
  </si>
  <si>
    <t>theoretical food waste in the US</t>
  </si>
  <si>
    <t>US_cow</t>
  </si>
  <si>
    <t>number of cows in the US</t>
  </si>
  <si>
    <t>cow</t>
  </si>
  <si>
    <t>US_poo</t>
  </si>
  <si>
    <t>amount of cattle manure in the US</t>
  </si>
  <si>
    <t>US_fwm</t>
  </si>
  <si>
    <t>food waste to cow manure ratio in the US</t>
  </si>
  <si>
    <t>sd_fwc</t>
  </si>
  <si>
    <t>standard deviation of fw production per cap</t>
  </si>
  <si>
    <t>g COD/L</t>
  </si>
  <si>
    <t>COD Loading</t>
  </si>
  <si>
    <t>Henderson-Hasselbaach Ratio</t>
  </si>
  <si>
    <t>total acetate</t>
  </si>
  <si>
    <t>total propionate</t>
  </si>
  <si>
    <t>total butyrate</t>
  </si>
  <si>
    <t>total isobutyrate</t>
  </si>
  <si>
    <t>total valerate</t>
  </si>
  <si>
    <t>total isovalerate</t>
  </si>
  <si>
    <t>total caproate</t>
  </si>
  <si>
    <t>total heptanoate</t>
  </si>
  <si>
    <t>Nitrogen Removal</t>
  </si>
  <si>
    <t>Stripper</t>
  </si>
  <si>
    <t>Absorber</t>
  </si>
  <si>
    <t>Manure Slurry Pump Grinder</t>
  </si>
  <si>
    <t>Food Waste Slurry Pump Grinder</t>
  </si>
  <si>
    <t>Liquid - Liquid Extraction</t>
  </si>
  <si>
    <t>Nonyl Acetate</t>
  </si>
  <si>
    <t>Zirconium Dioxide</t>
  </si>
  <si>
    <t>Platinum on Aluminum Oxide</t>
  </si>
  <si>
    <t>Food Waste Pre-Fermentation and Electrochemically-Enhanceded Anaerobic Digestion - CAPEX</t>
  </si>
  <si>
    <t>Manure Anaerobic Digestion and Separation - CAPEX</t>
  </si>
  <si>
    <t>Nitrogen Removal - CAPEX</t>
  </si>
  <si>
    <t>Air Compressor</t>
  </si>
  <si>
    <t>Syngas Makeup Compressor</t>
  </si>
  <si>
    <t>Syngas Recycle Compressor</t>
  </si>
  <si>
    <t>Raw Food Waste Characteristics</t>
  </si>
  <si>
    <t>fw_ad_an</t>
  </si>
  <si>
    <t>factor of TAN increase from raw to digested food waste</t>
  </si>
  <si>
    <t>g COD / L</t>
  </si>
  <si>
    <t>g VFA / g COD</t>
  </si>
  <si>
    <t>L BG / g COD</t>
  </si>
  <si>
    <t>Chemical Oxygen Demand in Manure</t>
  </si>
  <si>
    <t>Chemical Oxygen Demand in Food Waste</t>
  </si>
  <si>
    <t>Manure Digestate</t>
  </si>
  <si>
    <t>Food Waste Digestate</t>
  </si>
  <si>
    <t xml:space="preserve">VFA Production </t>
  </si>
  <si>
    <t>Food Waste , Electrochemical Enhancement</t>
  </si>
  <si>
    <t>Manure , Electrochemical Enhancement, Cont Removal</t>
  </si>
  <si>
    <t>cow_cod</t>
  </si>
  <si>
    <t>chemical oxygen demand in cattle manure</t>
  </si>
  <si>
    <t>mg COD/L</t>
  </si>
  <si>
    <t>pig_cod</t>
  </si>
  <si>
    <t>chemical oxygen demand in pig manure</t>
  </si>
  <si>
    <t>fw_dil</t>
  </si>
  <si>
    <t>g FW /g H20</t>
  </si>
  <si>
    <t>dilution factor of the raw food waste sample measurements (1:132)</t>
  </si>
  <si>
    <t>VS Manure / VS Food Waste Correction Factor</t>
  </si>
  <si>
    <t>Manure COD / Experimental COD</t>
  </si>
  <si>
    <t>Food Waste COD / Experimental COD</t>
  </si>
  <si>
    <t>PREFERMENTED:</t>
  </si>
  <si>
    <t>RAW:</t>
  </si>
  <si>
    <t>operating pH in the manure anaerobic digester</t>
  </si>
  <si>
    <t>ad_poo_ph</t>
  </si>
  <si>
    <t>ad_fw_ph</t>
  </si>
  <si>
    <t>operating pH in the food waste anaerobic digester</t>
  </si>
  <si>
    <t>L BG /hr</t>
  </si>
  <si>
    <t>L BG / hr</t>
  </si>
  <si>
    <t>NITROGEN REMOVAL</t>
  </si>
  <si>
    <t>STANDARD ANAEROBIC DIGESTION FOR METHANE PRODUCTION</t>
  </si>
  <si>
    <t>316 Stainless Steel</t>
  </si>
  <si>
    <t>Specific Methane Yield of Sewage Sludge</t>
  </si>
  <si>
    <t>L CH4 / g VS</t>
  </si>
  <si>
    <t>Specific Methane Yield of Plant Matter</t>
  </si>
  <si>
    <t>Specific Methane Yield of Cattle Manure</t>
  </si>
  <si>
    <t>Specific Methane Yield of Swine Manure</t>
  </si>
  <si>
    <t>Specific Methane Yield of Dairy Manure</t>
  </si>
  <si>
    <t>Specific Methane Yield of Co-Digested Food Grease</t>
  </si>
  <si>
    <t>Specific Methane Yield of Co-Digestated Food Waste 1</t>
  </si>
  <si>
    <t>Specific Methane Yield of Co-Digestated Food Waste 2</t>
  </si>
  <si>
    <t>Specific Methane Yield of Co-Digestated Food Waste 3</t>
  </si>
  <si>
    <t>Specific Methane Yield of Co-Digestated Food Processing Waste 1</t>
  </si>
  <si>
    <t>Specific Methane Yield of Co-Digestated Food Processing Waste 2</t>
  </si>
  <si>
    <t>str_temp</t>
  </si>
  <si>
    <t>operating temperature of the stripper column</t>
  </si>
  <si>
    <t>abs_temp</t>
  </si>
  <si>
    <t>Acid-Dissocation Constants at 25 C</t>
  </si>
  <si>
    <t>Acid-Dissocation Constants at 50 C</t>
  </si>
  <si>
    <t>str_pH</t>
  </si>
  <si>
    <t>operating pH of the stripper column</t>
  </si>
  <si>
    <t>sup_liq_v</t>
  </si>
  <si>
    <t>superficial liquid velocity (volumetric flow / cross-sec area)</t>
  </si>
  <si>
    <t>sup_gas_v</t>
  </si>
  <si>
    <t>superficial gas velocity (volumetric flow / cross-sec area)</t>
  </si>
  <si>
    <t>nit_h_d</t>
  </si>
  <si>
    <t>ratio of column height to internal diameter</t>
  </si>
  <si>
    <t>nit_hmax</t>
  </si>
  <si>
    <t xml:space="preserve">maximum column height </t>
  </si>
  <si>
    <t>nit_pack</t>
  </si>
  <si>
    <t>maximum nominal packing size</t>
  </si>
  <si>
    <t>abs_pH</t>
  </si>
  <si>
    <t>Manure Filtration</t>
  </si>
  <si>
    <t xml:space="preserve">electrochemical enhancement factor </t>
  </si>
  <si>
    <t>Influent Flow Rate of  Manure Sludge</t>
  </si>
  <si>
    <t>Total Solids in Manure Digestate</t>
  </si>
  <si>
    <t>Effluent Flow Rate of Manure Liquid Digestate</t>
  </si>
  <si>
    <t>Effluent Manure Liquid Digestate pH</t>
  </si>
  <si>
    <t>Influent Manure Liquid Digestate pH</t>
  </si>
  <si>
    <t>m3 Biosolids</t>
  </si>
  <si>
    <t>NaOH addition for pH of 9</t>
  </si>
  <si>
    <t>NaOH Addition to Raise pH 5 to 9</t>
  </si>
  <si>
    <t>g/L-unit pH</t>
  </si>
  <si>
    <t xml:space="preserve">Acetate  </t>
  </si>
  <si>
    <t>Dissociation Calculation in Manure Liquid Digestate</t>
  </si>
  <si>
    <t xml:space="preserve">Acetic Acid </t>
  </si>
  <si>
    <t xml:space="preserve">Propionic Acid </t>
  </si>
  <si>
    <t xml:space="preserve">Butyric Acid </t>
  </si>
  <si>
    <t xml:space="preserve">Isobutyric Acid </t>
  </si>
  <si>
    <t xml:space="preserve">Valeric Acid </t>
  </si>
  <si>
    <t xml:space="preserve">Heptanoic Acid </t>
  </si>
  <si>
    <t>Henderson-Hasselbalch VFA</t>
  </si>
  <si>
    <t>Henderson-Hasselbalch Dissociation Ratios</t>
  </si>
  <si>
    <t>Henderson-Haselbalch Ratio for VFAs</t>
  </si>
  <si>
    <t>Henderson-Haselbalch Ratio for Lactate</t>
  </si>
  <si>
    <t>Henderson-Hasselbalch Phosphate</t>
  </si>
  <si>
    <t>HA/H2A</t>
  </si>
  <si>
    <t>H2A/H3A</t>
  </si>
  <si>
    <t>Henderson-Hasselbalch Sulfate</t>
  </si>
  <si>
    <t>Henderson-Hasselbalch Nitrogen</t>
  </si>
  <si>
    <t>nh3_strip</t>
  </si>
  <si>
    <t>percent of ammonia stripped at base values</t>
  </si>
  <si>
    <t>nh3_abs</t>
  </si>
  <si>
    <t>percent of ammonia absorped at base values</t>
  </si>
  <si>
    <t>spec_loss</t>
  </si>
  <si>
    <t>percent of other volatile species lost</t>
  </si>
  <si>
    <t>Stripping Column</t>
  </si>
  <si>
    <t>g NH4 /L</t>
  </si>
  <si>
    <t>g NH3 /L</t>
  </si>
  <si>
    <t>Ammonium</t>
  </si>
  <si>
    <t>Volatilized</t>
  </si>
  <si>
    <t>Aqueous</t>
  </si>
  <si>
    <t>Stripper-Absorber</t>
  </si>
  <si>
    <t>Influent Flow Rate of Sludge</t>
  </si>
  <si>
    <t>Total Solids in Sludge</t>
  </si>
  <si>
    <t>Effluent Continuing Stream</t>
  </si>
  <si>
    <t>Effluent Flow Rate of Liquid Digestate</t>
  </si>
  <si>
    <t>Chloride</t>
  </si>
  <si>
    <t>Hydrochloric Acid</t>
  </si>
  <si>
    <t>Hydrogen Sulfate</t>
  </si>
  <si>
    <t>Sulfate</t>
  </si>
  <si>
    <t>Phosphoric Acid</t>
  </si>
  <si>
    <t>Dihydrogen Phosphate</t>
  </si>
  <si>
    <t>Hydrogen Phosphate</t>
  </si>
  <si>
    <t>Phosphate</t>
  </si>
  <si>
    <t>Extractor 1</t>
  </si>
  <si>
    <t>IN</t>
  </si>
  <si>
    <t>OUT</t>
  </si>
  <si>
    <t>Distillation 1</t>
  </si>
  <si>
    <t>Solvent Recycle 1</t>
  </si>
  <si>
    <t>OUT TOP</t>
  </si>
  <si>
    <t>OUT  BOTTOM</t>
  </si>
  <si>
    <t>REPORTED EXTRACTION</t>
  </si>
  <si>
    <t>Overhead Temperature</t>
  </si>
  <si>
    <t>Bottom Temperature</t>
  </si>
  <si>
    <t>Reflux</t>
  </si>
  <si>
    <t>Vapor Boil</t>
  </si>
  <si>
    <t>Reboiler Duty</t>
  </si>
  <si>
    <t>Cooler Duty</t>
  </si>
  <si>
    <t>MPa</t>
  </si>
  <si>
    <t>Cooling Duty</t>
  </si>
  <si>
    <t>Nac / H2O</t>
  </si>
  <si>
    <t>RATIOS</t>
  </si>
  <si>
    <t>EX out/in</t>
  </si>
  <si>
    <t>Ac/H2O</t>
  </si>
  <si>
    <t>THEORETICAL EXTRACTION</t>
  </si>
  <si>
    <t>Extractor 1 IN</t>
  </si>
  <si>
    <t>Extractor OUT</t>
  </si>
  <si>
    <t>SR IN</t>
  </si>
  <si>
    <t>SR OUT</t>
  </si>
  <si>
    <t>Dist IN</t>
  </si>
  <si>
    <t>Dist TOP</t>
  </si>
  <si>
    <t>Dist BOTTOM</t>
  </si>
  <si>
    <t>BOT/IN</t>
  </si>
  <si>
    <t>Total Influent Flow Rate</t>
  </si>
  <si>
    <t>Ketone</t>
  </si>
  <si>
    <t xml:space="preserve">LIQUID-LIQUID EXTRACTION </t>
  </si>
  <si>
    <t>Acetate Reactions</t>
  </si>
  <si>
    <t>Rate Constant of Cross Ketonization</t>
  </si>
  <si>
    <t>Rate Constant of Self Ketonization</t>
  </si>
  <si>
    <t>Reaction Rate Matrix</t>
  </si>
  <si>
    <t>molar basis</t>
  </si>
  <si>
    <t>Ace</t>
  </si>
  <si>
    <t>Pro</t>
  </si>
  <si>
    <t>But</t>
  </si>
  <si>
    <t>Ibut</t>
  </si>
  <si>
    <t>Val</t>
  </si>
  <si>
    <t>Ival</t>
  </si>
  <si>
    <t>Cap</t>
  </si>
  <si>
    <t>Hep</t>
  </si>
  <si>
    <t>C4 Ketone</t>
  </si>
  <si>
    <t>C5 Ketone</t>
  </si>
  <si>
    <t>C6 Ketone</t>
  </si>
  <si>
    <t>iC6 Ketone</t>
  </si>
  <si>
    <t>C7 Ketone</t>
  </si>
  <si>
    <t>iC7 Ketone</t>
  </si>
  <si>
    <t>C8 Ketone</t>
  </si>
  <si>
    <t>iBut</t>
  </si>
  <si>
    <t>iC8 Ketone</t>
  </si>
  <si>
    <t>C9 Ketone</t>
  </si>
  <si>
    <t>C10 Ketone</t>
  </si>
  <si>
    <t>IBut</t>
  </si>
  <si>
    <t>iC9 Ketone</t>
  </si>
  <si>
    <t>C11 Ketone</t>
  </si>
  <si>
    <t>IsoButyrate</t>
  </si>
  <si>
    <t>iC10 Ketone</t>
  </si>
  <si>
    <t>iC11 Ketone</t>
  </si>
  <si>
    <t>IVal</t>
  </si>
  <si>
    <t>C12 Ketone</t>
  </si>
  <si>
    <t>IsoValerate</t>
  </si>
  <si>
    <t>iC12 Ketone</t>
  </si>
  <si>
    <t>C13 Ketone</t>
  </si>
  <si>
    <t>C14 Ketone</t>
  </si>
  <si>
    <t>Rate Constant Correction Caproate</t>
  </si>
  <si>
    <t>Effluent</t>
  </si>
  <si>
    <t>Total Flow Rate</t>
  </si>
  <si>
    <t>Ketones</t>
  </si>
  <si>
    <t>Reaction Extent</t>
  </si>
  <si>
    <t>2 H2</t>
  </si>
  <si>
    <t>HydroC</t>
  </si>
  <si>
    <t>Stoichiometric H2</t>
  </si>
  <si>
    <t>C4 n-Paraffin</t>
  </si>
  <si>
    <t>C5 n-Paraffin</t>
  </si>
  <si>
    <t>C6 n-Paraffin</t>
  </si>
  <si>
    <t>C7 n-Paraffin</t>
  </si>
  <si>
    <t>C8 n-Paraffin</t>
  </si>
  <si>
    <t>C9 n-Paraffin</t>
  </si>
  <si>
    <t>C10 n-Paraffin</t>
  </si>
  <si>
    <t>C11 n-Paraffin</t>
  </si>
  <si>
    <t>C12 n-Paraffin</t>
  </si>
  <si>
    <t>C13 n-Paraffin</t>
  </si>
  <si>
    <t>C14 n-Paraffin</t>
  </si>
  <si>
    <t>C6 iso-Paraffin</t>
  </si>
  <si>
    <t>C7 iso-Paraffin</t>
  </si>
  <si>
    <t>C8 iso-Paraffin</t>
  </si>
  <si>
    <t>C9 iso-Paraffin</t>
  </si>
  <si>
    <t>C10 iso-Paraffin</t>
  </si>
  <si>
    <t>C11 iso-Paraffin</t>
  </si>
  <si>
    <t>C12 iso-Paraffin</t>
  </si>
  <si>
    <t>Hydrogenation Effluent</t>
  </si>
  <si>
    <t>H2 Required</t>
  </si>
  <si>
    <t>C5 n-Pentane</t>
  </si>
  <si>
    <t>C6 n-Hexane</t>
  </si>
  <si>
    <t>C7 n-Heptane</t>
  </si>
  <si>
    <t>C8 n-Octane</t>
  </si>
  <si>
    <t>C9 n-Nonane</t>
  </si>
  <si>
    <t>C10 n-Decane</t>
  </si>
  <si>
    <t>C11 n-Undecane</t>
  </si>
  <si>
    <t>C12 n-Dodecane</t>
  </si>
  <si>
    <t>C13 n-Tridecane</t>
  </si>
  <si>
    <t>C14 n-Tetradecane</t>
  </si>
  <si>
    <t>Acid</t>
  </si>
  <si>
    <t>DIGESTATE FIGURE</t>
  </si>
  <si>
    <t>Chain-Elongation Digestate</t>
  </si>
  <si>
    <t>SEPARATIONS FIGURE</t>
  </si>
  <si>
    <t>Percent Loss</t>
  </si>
  <si>
    <t>1+%/100</t>
  </si>
  <si>
    <t>Distillation Effluent</t>
  </si>
  <si>
    <t>Total Naphtha</t>
  </si>
  <si>
    <t>Total Jet Fuel</t>
  </si>
  <si>
    <t>wt%</t>
  </si>
  <si>
    <t>Hydrocarbon Figure</t>
  </si>
  <si>
    <t>n-C4</t>
  </si>
  <si>
    <t>n-C5</t>
  </si>
  <si>
    <t>n-C6</t>
  </si>
  <si>
    <t>i-C6</t>
  </si>
  <si>
    <t>n-C7</t>
  </si>
  <si>
    <t>i-C7</t>
  </si>
  <si>
    <t>n-C8</t>
  </si>
  <si>
    <t>i-C8</t>
  </si>
  <si>
    <t>n-C9</t>
  </si>
  <si>
    <t>i-C9</t>
  </si>
  <si>
    <t>n-C10</t>
  </si>
  <si>
    <t>i-C10</t>
  </si>
  <si>
    <t>n-C11</t>
  </si>
  <si>
    <t>i-C11</t>
  </si>
  <si>
    <t>n-C12</t>
  </si>
  <si>
    <t>i-C12</t>
  </si>
  <si>
    <t>n-C13</t>
  </si>
  <si>
    <t>n-C14</t>
  </si>
  <si>
    <t>Naphtha Flow Rate</t>
  </si>
  <si>
    <t>Jet Fuel Flow Rate</t>
  </si>
  <si>
    <t>Total g/L</t>
  </si>
  <si>
    <t>Total kg/hr</t>
  </si>
  <si>
    <t>Total Volatile Solids Influent Flow Rate</t>
  </si>
  <si>
    <t>Expected Methane Yield Based on Feedstock</t>
  </si>
  <si>
    <t>g VS /hr</t>
  </si>
  <si>
    <t>g VS/g</t>
  </si>
  <si>
    <t>Total Methane Flow Rate</t>
  </si>
  <si>
    <t>L CH4 / hr</t>
  </si>
  <si>
    <t>Percent Methane in Biogas</t>
  </si>
  <si>
    <t>Percent Carbon Dioxide in Biogas</t>
  </si>
  <si>
    <t>Percent Nitrogen in Biogas</t>
  </si>
  <si>
    <t xml:space="preserve">L/hr </t>
  </si>
  <si>
    <t>Total Carbon Dioxide Flow Rate</t>
  </si>
  <si>
    <t>Total Nitrogen Flow Rate</t>
  </si>
  <si>
    <t>m3 N2 gas</t>
  </si>
  <si>
    <t>m3 H2S</t>
  </si>
  <si>
    <t>Total Main Biogas Flow Rate</t>
  </si>
  <si>
    <t>TOTAL Biogas Flow Rate</t>
  </si>
  <si>
    <t>Liquid Digestate Production</t>
  </si>
  <si>
    <t>Methane Production</t>
  </si>
  <si>
    <t>Digested Food Waste Total Solids</t>
  </si>
  <si>
    <t>Digested Cattle Manure Total Solids</t>
  </si>
  <si>
    <t>Digested Pig Manure Total Solids</t>
  </si>
  <si>
    <t>CAPITAL EXPENSE</t>
  </si>
  <si>
    <t>Biogas Purification</t>
  </si>
  <si>
    <t>Feedstock Transportation</t>
  </si>
  <si>
    <t xml:space="preserve"> Anaerobic Digestion</t>
  </si>
  <si>
    <t>OPERATIONAL EXPENSE</t>
  </si>
  <si>
    <t>Standard Capital Expense:</t>
  </si>
  <si>
    <t>H2S Concentration in Biogas</t>
  </si>
  <si>
    <t>Ammonia Concentration in Biogas</t>
  </si>
  <si>
    <t>mg/m3</t>
  </si>
  <si>
    <t>Total Chlorine Concentration in Biogas</t>
  </si>
  <si>
    <t>Total Fluorine Concentration in Biogas</t>
  </si>
  <si>
    <t>Ammonia Flow Rate</t>
  </si>
  <si>
    <t>Hydrogen Sulfide Flow Rate</t>
  </si>
  <si>
    <t>Total Chlorine Flow Rate</t>
  </si>
  <si>
    <t>Total Fluorine Flow Rate</t>
  </si>
  <si>
    <t>Total Total Solids in Sludge</t>
  </si>
  <si>
    <t>Influent Flow Rate of Total Solids</t>
  </si>
  <si>
    <t>kg TS / hr</t>
  </si>
  <si>
    <t>Food Waste Pre-Treatment (Ensiling)</t>
  </si>
  <si>
    <t>Pump Energy</t>
  </si>
  <si>
    <t>Electrochemically-Enhanced Chain Elongation</t>
  </si>
  <si>
    <t>TOTAL PLANT</t>
  </si>
  <si>
    <t>Land and Office Management</t>
  </si>
  <si>
    <t>Standard Operational Expense:</t>
  </si>
  <si>
    <t>A1 Capital Expense: Fuel Scenario A, Carbon Donor Scenario 1,  No Renewable Energy Total:</t>
  </si>
  <si>
    <t>RE-A1 Baseline Capital Expense: Fuel Scenario A, Carbon Donor Scenario 1, with Renewable Energy Total:</t>
  </si>
  <si>
    <t>B1 Capital Expense: Fuel Scenario B, Carbon Donor Scenario 1, No Renewable Energy Total:</t>
  </si>
  <si>
    <t>RE-B1 Capital Expense: Fuel Scenario B, Carbon Donor Scenario 1, with Renewable Energy Total:</t>
  </si>
  <si>
    <t>SCENARIO A: ketonization, hydroxygenation, distillation</t>
  </si>
  <si>
    <t>SCENARIO B: esterification, distillation, hydrogenation, distillation</t>
  </si>
  <si>
    <t>A2 Capital Expense: Fuel Scenario A, Carbon Donor Scenario 2,  No Renewable Energy Total:</t>
  </si>
  <si>
    <t>RE-A2 Baseline Capital Expense: Fuel Scenario A, Carbon Donor Scenario 2, with Renewable Energy Total:</t>
  </si>
  <si>
    <t>B2 Capital Expense: Fuel Scenario B, Carbon Donor Scenario 2, No Renewable Energy Total:</t>
  </si>
  <si>
    <t>RE-B2 Capital Expense: Fuel Scenario B, Carbon Donor Scenario 2, with Renewable Energy Total:</t>
  </si>
  <si>
    <t>A1 Operational Expense: Fuel Scenario A, Carbon Donor Scenario 1, No Renewable Energy:</t>
  </si>
  <si>
    <t>RE-A1 Operational Expense: Fuel Scenario A, Carbon Donor Scenario 1, with Renewable Energy:</t>
  </si>
  <si>
    <t>B1 Operational Expense: Fuel Scenario B, Carbon Donor Scenario 1, No Renewable Energy:</t>
  </si>
  <si>
    <t>RE-B1 Operational Expense: Fuel Scenario B, Carbon Donor Scenario 1, with Renewable Energy:</t>
  </si>
  <si>
    <t>A2 Operational Expense: Fuel Scenario A, Carbon Donor Scenario 2, No Renewable Energy:</t>
  </si>
  <si>
    <t>RE-A2 Operational Expense: Fuel Scenario A, Carbon Donor Scenario 2, with Renewable Energy:</t>
  </si>
  <si>
    <t>B2 Operational Expense: Fuel Scenario B, Carbon Donor Scenario 2, No Renewable Energy:</t>
  </si>
  <si>
    <t>RE-B2 Operational Expense: Fuel Scenario B, Carbon Donor Scenario 2, with Renewable Energy:</t>
  </si>
  <si>
    <t>Scenario A1 CAPEX</t>
  </si>
  <si>
    <t>VFAs in Flow</t>
  </si>
  <si>
    <t>Input Digestate</t>
  </si>
  <si>
    <t>Liquid Output</t>
  </si>
  <si>
    <t>Solid Output</t>
  </si>
  <si>
    <t>Total Solids</t>
  </si>
  <si>
    <t>Ash Content</t>
  </si>
  <si>
    <t>Volatile Solids</t>
  </si>
  <si>
    <t>Suspended Solids</t>
  </si>
  <si>
    <t>Total Nitrogen</t>
  </si>
  <si>
    <t>Ammonium Nitrogen</t>
  </si>
  <si>
    <t>Organic Nitrogen</t>
  </si>
  <si>
    <t>ppm</t>
  </si>
  <si>
    <t>kg/mt</t>
  </si>
  <si>
    <t>Researched Decanter Centrifuge Performance</t>
  </si>
  <si>
    <t xml:space="preserve"> Researched Water Scrubber Parameters</t>
  </si>
  <si>
    <t>Electricity Demand</t>
  </si>
  <si>
    <t>Operation Pressure</t>
  </si>
  <si>
    <t>Methane Recovery Rate</t>
  </si>
  <si>
    <t>kWh/m3 BG</t>
  </si>
  <si>
    <t>Water Demand</t>
  </si>
  <si>
    <t>L/d-m3 BG</t>
  </si>
  <si>
    <t>Total Acids</t>
  </si>
  <si>
    <t>Total Alcohols</t>
  </si>
  <si>
    <t xml:space="preserve">FINAL </t>
  </si>
  <si>
    <t>Yield Calculations</t>
  </si>
  <si>
    <t>mol:mol</t>
  </si>
  <si>
    <t>Hexanol:Hexanoic conversion Yield</t>
  </si>
  <si>
    <t>Isopentanol:Isovalerate Yield</t>
  </si>
  <si>
    <t>Pentanol:Valerate Yield</t>
  </si>
  <si>
    <t>Isobutanol:Butanol Yield</t>
  </si>
  <si>
    <t>n-Butanol:Butyrate conversion ratio Yield</t>
  </si>
  <si>
    <t>Propanol:Propionate Yield</t>
  </si>
  <si>
    <t>Ethanol:Acetate Yield</t>
  </si>
  <si>
    <t>ac_pH</t>
  </si>
  <si>
    <t>operating pH of alcohol conversion</t>
  </si>
  <si>
    <t>pro conc waste</t>
  </si>
  <si>
    <t>ace conc waste</t>
  </si>
  <si>
    <t>ac_dil</t>
  </si>
  <si>
    <t>dilution of liquid digestate</t>
  </si>
  <si>
    <t>x</t>
  </si>
  <si>
    <t>ac_gluc</t>
  </si>
  <si>
    <t>concentration of glucose added</t>
  </si>
  <si>
    <t>Chain-Elongation Liquid Digestate</t>
  </si>
  <si>
    <t>Alcohol Conversion Water Addition</t>
  </si>
  <si>
    <t>Alcohol Conversion Influent</t>
  </si>
  <si>
    <t>SUPERCRITICAL CO2 EXTRACTION</t>
  </si>
  <si>
    <t>Percent Phosphorus in Solid Fraction</t>
  </si>
  <si>
    <t>Percent Carbon in Solid Fraction</t>
  </si>
  <si>
    <t>%/100 (w/v)</t>
  </si>
  <si>
    <t>ac_naoh</t>
  </si>
  <si>
    <t>average FW production in US</t>
  </si>
  <si>
    <t>standard deviation FW production in US</t>
  </si>
  <si>
    <t xml:space="preserve">barrels </t>
  </si>
  <si>
    <t>barrel/d</t>
  </si>
  <si>
    <t>Percent of National Demand</t>
  </si>
  <si>
    <t>US_tot_poo</t>
  </si>
  <si>
    <t>total amount of  all manure produced in US</t>
  </si>
  <si>
    <t>total flow rate of food waste and cattle manure</t>
  </si>
  <si>
    <t>US_TOTAL</t>
  </si>
  <si>
    <t>total amount of all manure and foodwaste in US</t>
  </si>
  <si>
    <t>percent foodwaste in total</t>
  </si>
  <si>
    <t>Alcohol Conversion Glucose Addition</t>
  </si>
  <si>
    <t>m3 Glucose</t>
  </si>
  <si>
    <t>Effluent Volatile Fatty Acid Stream</t>
  </si>
  <si>
    <t>Effluent Alcohol Stream</t>
  </si>
  <si>
    <t>Alcohols in Flow</t>
  </si>
  <si>
    <t>Reported Values</t>
  </si>
  <si>
    <t>Acetone</t>
  </si>
  <si>
    <t>Initital Feed</t>
  </si>
  <si>
    <t>Raffinate</t>
  </si>
  <si>
    <t>Selectivity</t>
  </si>
  <si>
    <t>Operating Pressure</t>
  </si>
  <si>
    <t>Solvent to Feed Ratio</t>
  </si>
  <si>
    <t>Feed Solution Flow Rate</t>
  </si>
  <si>
    <t>mL/min</t>
  </si>
  <si>
    <t>col_pack</t>
  </si>
  <si>
    <t>ratio of packing volume to total column volume</t>
  </si>
  <si>
    <t>col_void</t>
  </si>
  <si>
    <t>ratio of void volume to column volume</t>
  </si>
  <si>
    <t>col_h_d</t>
  </si>
  <si>
    <t>column height to internal diameter ratio</t>
  </si>
  <si>
    <t>L:L</t>
  </si>
  <si>
    <t>ext_temp</t>
  </si>
  <si>
    <t>extraction temperature</t>
  </si>
  <si>
    <t>COUNTER CURRENT SUPERCRITICAL CO2 EXTRACTION</t>
  </si>
  <si>
    <t>ext_pres</t>
  </si>
  <si>
    <t>extraction pressure</t>
  </si>
  <si>
    <t>influent solution feed rate</t>
  </si>
  <si>
    <t>liquid CO2 flow rate</t>
  </si>
  <si>
    <t>col_rt</t>
  </si>
  <si>
    <t>retention time of solution and CO2 in column</t>
  </si>
  <si>
    <t>solvent to feed ratio</t>
  </si>
  <si>
    <t>ext_feed</t>
  </si>
  <si>
    <t>ext_co2</t>
  </si>
  <si>
    <t>co2_sol</t>
  </si>
  <si>
    <t>g:g</t>
  </si>
  <si>
    <t>Influent Characteristics</t>
  </si>
  <si>
    <t>UPSTREAM FIGURE</t>
  </si>
  <si>
    <t>Alc in Flow</t>
  </si>
  <si>
    <t>Total Acids and Alcohols</t>
  </si>
  <si>
    <t>v:v% VFAs</t>
  </si>
  <si>
    <t>v:v% Alc</t>
  </si>
  <si>
    <t>Effluent Characteristics</t>
  </si>
  <si>
    <t xml:space="preserve">Ethanol </t>
  </si>
  <si>
    <t>kPa</t>
  </si>
  <si>
    <t>Vapor Pressures at 35 degrees C</t>
  </si>
  <si>
    <t>Polarity Rating: Dipole Moments</t>
  </si>
  <si>
    <t>D</t>
  </si>
  <si>
    <t>Species Selectivity Calculation</t>
  </si>
  <si>
    <t>Difference in Selectivity between Ethanol and Butanol</t>
  </si>
  <si>
    <t>Difference in Dipole Moment between Ethanol and Butanol</t>
  </si>
  <si>
    <t>g:g (B-E)</t>
  </si>
  <si>
    <t>D (B-E)</t>
  </si>
  <si>
    <t>Difference in Vapor Pressure between Ethanol and Butanol</t>
  </si>
  <si>
    <t>kPa (B-E)</t>
  </si>
  <si>
    <t>Difference in Molecular Weight Between Ethanol and Butanol</t>
  </si>
  <si>
    <t>g/mol (B-E)</t>
  </si>
  <si>
    <t>%/100 (B-E/B)</t>
  </si>
  <si>
    <t>Weight given to each Difference Factor</t>
  </si>
  <si>
    <t>Dipole Moment Difference Factor</t>
  </si>
  <si>
    <t>Vapor Pressure Difference Factor</t>
  </si>
  <si>
    <t>Molecular Weight Difference Factor</t>
  </si>
  <si>
    <t>Reported Value Calculations</t>
  </si>
  <si>
    <t>L butanol</t>
  </si>
  <si>
    <t>L acetone</t>
  </si>
  <si>
    <t>L acetic acid</t>
  </si>
  <si>
    <t>L butyric acid</t>
  </si>
  <si>
    <t>Neat Fraction in Product</t>
  </si>
  <si>
    <t>Pure Density</t>
  </si>
  <si>
    <t>Influent Flow Rate</t>
  </si>
  <si>
    <t>Product Flows</t>
  </si>
  <si>
    <t>Total Flow</t>
  </si>
  <si>
    <t>Raffinate Flows</t>
  </si>
  <si>
    <t>Ratio of Product Flow to Total Flow</t>
  </si>
  <si>
    <t>Ratio of Raffintae Flow to Total Flow</t>
  </si>
  <si>
    <t>g/hr:g/hr</t>
  </si>
  <si>
    <t>%/D</t>
  </si>
  <si>
    <t>%/kPa</t>
  </si>
  <si>
    <t>%/g/mol</t>
  </si>
  <si>
    <t>Ratio of Butanol Product Flow to Feed Flow</t>
  </si>
  <si>
    <t>Ratio of Butanol Raffinate Flow to Feed Flow</t>
  </si>
  <si>
    <t>na</t>
  </si>
  <si>
    <t>Total Aqeous Species</t>
  </si>
  <si>
    <t>TOTAL FLOW</t>
  </si>
  <si>
    <t>Dipole Moment Selectivity</t>
  </si>
  <si>
    <t>Vapor Pressure Selectivity</t>
  </si>
  <si>
    <t>MW Selectivity</t>
  </si>
  <si>
    <t>Total Selectivity</t>
  </si>
  <si>
    <t>%/Dbe * (Db-D)</t>
  </si>
  <si>
    <t>%/Pbe *(Pb-P)</t>
  </si>
  <si>
    <t>%/Mbe*(Mb-M)</t>
  </si>
  <si>
    <t>%/100 (B/E)</t>
  </si>
  <si>
    <t>Practical Selectivity</t>
  </si>
  <si>
    <t>Scaling Variable</t>
  </si>
  <si>
    <t>TOTAL Mass Fraction of Species</t>
  </si>
  <si>
    <t>kg/hr:kg/hr</t>
  </si>
  <si>
    <t>Product 1</t>
  </si>
  <si>
    <t>Raffinate 1</t>
  </si>
  <si>
    <t>Product 2</t>
  </si>
  <si>
    <t>Raffinate 2</t>
  </si>
  <si>
    <t>Mass Fraction in Product 1</t>
  </si>
  <si>
    <t>Mass Fraction in Product 2</t>
  </si>
  <si>
    <t>Final Effluent Characteristics</t>
  </si>
  <si>
    <t xml:space="preserve">Final Product </t>
  </si>
  <si>
    <t>Final Raffinate</t>
  </si>
  <si>
    <t>Electrodialysis Acid Stream</t>
  </si>
  <si>
    <t>Electrodialysis Digestate Stream</t>
  </si>
  <si>
    <r>
      <t>Supercritical CO</t>
    </r>
    <r>
      <rPr>
        <vertAlign val="subscript"/>
        <sz val="11"/>
        <color theme="1"/>
        <rFont val="Aptos Narrow"/>
        <family val="2"/>
        <scheme val="minor"/>
      </rPr>
      <t>2</t>
    </r>
    <r>
      <rPr>
        <sz val="11"/>
        <color theme="1"/>
        <rFont val="Aptos Narrow"/>
        <family val="2"/>
        <scheme val="minor"/>
      </rPr>
      <t xml:space="preserve"> Extraction</t>
    </r>
  </si>
  <si>
    <t>Total Aqueous Species</t>
  </si>
  <si>
    <t>Total VFA</t>
  </si>
  <si>
    <t>Rate Constant of Lower Alcohol Esterification</t>
  </si>
  <si>
    <t>Rate Constant of Higher Alchol Esterification</t>
  </si>
  <si>
    <t>Rate Constant of Medium Alcohol Esterification</t>
  </si>
  <si>
    <t>Stoichiometric Calculations</t>
  </si>
  <si>
    <t>Reactants</t>
  </si>
  <si>
    <t>EtOH</t>
  </si>
  <si>
    <t>Ethyl Acetate</t>
  </si>
  <si>
    <t>Propyl Acetate</t>
  </si>
  <si>
    <t>PrOH</t>
  </si>
  <si>
    <t>C4 Est</t>
  </si>
  <si>
    <t>C5 Est</t>
  </si>
  <si>
    <t>Butyl Acetate</t>
  </si>
  <si>
    <t>BtOH</t>
  </si>
  <si>
    <t>C6 Est</t>
  </si>
  <si>
    <t>i-Butyl Acetate</t>
  </si>
  <si>
    <t>i-BtOH</t>
  </si>
  <si>
    <t>i-C6 Est</t>
  </si>
  <si>
    <t>Pentyl Acetate</t>
  </si>
  <si>
    <t>PtOH</t>
  </si>
  <si>
    <t>C7 Est</t>
  </si>
  <si>
    <t>i-Pentyl Acetate</t>
  </si>
  <si>
    <t>i-PtOH</t>
  </si>
  <si>
    <t>i-C7 Est</t>
  </si>
  <si>
    <t>Hexyl Acetate</t>
  </si>
  <si>
    <t>HxOH</t>
  </si>
  <si>
    <t>C8 Est</t>
  </si>
  <si>
    <t>Ethyl Propionate</t>
  </si>
  <si>
    <t>Propyl Propionate</t>
  </si>
  <si>
    <t>Butyl Propionate</t>
  </si>
  <si>
    <t>i-Butyl Propionate</t>
  </si>
  <si>
    <t>Pentyl Propionate</t>
  </si>
  <si>
    <t>i-Pentyl Propionate</t>
  </si>
  <si>
    <t>Hexyl Propionate</t>
  </si>
  <si>
    <t>i-C8 Est</t>
  </si>
  <si>
    <t>C9 Est</t>
  </si>
  <si>
    <t>i-Butyl Butyrate</t>
  </si>
  <si>
    <t>i-Pentyl Butyrate</t>
  </si>
  <si>
    <t>i-C9 Est</t>
  </si>
  <si>
    <t>C10 Est</t>
  </si>
  <si>
    <t>Ethyl Valerate</t>
  </si>
  <si>
    <t>Propyl Valerate</t>
  </si>
  <si>
    <t>Butyl Valerate</t>
  </si>
  <si>
    <t>i-Butyl Valerate</t>
  </si>
  <si>
    <t>Pentyl Valerate</t>
  </si>
  <si>
    <t>i-Pentyl Valerate</t>
  </si>
  <si>
    <t>Hexyl Valerate</t>
  </si>
  <si>
    <t>i-C10 Est</t>
  </si>
  <si>
    <t>C11 Est</t>
  </si>
  <si>
    <t>i-But</t>
  </si>
  <si>
    <t>Ethyl Iso-Butyrate</t>
  </si>
  <si>
    <t>Propyl Iso-Butyrate</t>
  </si>
  <si>
    <t>Butyl Iso-Butyrate</t>
  </si>
  <si>
    <t>i-Butyl Iso-Butyrate</t>
  </si>
  <si>
    <t>Pentyl Iso-Butyrate</t>
  </si>
  <si>
    <t>i-Pentyl Iso-Butyrate</t>
  </si>
  <si>
    <t>Hexyl Iso-Butyrate</t>
  </si>
  <si>
    <t>i-Val</t>
  </si>
  <si>
    <t>i-C11 Est</t>
  </si>
  <si>
    <t>Ethyl Iso-Valerate</t>
  </si>
  <si>
    <t>Propyl Iso-Valerate</t>
  </si>
  <si>
    <t>Butyl Iso-Valerate</t>
  </si>
  <si>
    <t>i-Butyl Iso-Valerate</t>
  </si>
  <si>
    <t>Pentyl Iso-Valerate</t>
  </si>
  <si>
    <t>i-Pentyl Iso-Valerate</t>
  </si>
  <si>
    <t>Hexyl Iso-Valerate</t>
  </si>
  <si>
    <t>Ethyl Caproate</t>
  </si>
  <si>
    <t>Propyl Caproate</t>
  </si>
  <si>
    <t>Butyl Caproate</t>
  </si>
  <si>
    <t>i-Butyl Caproate</t>
  </si>
  <si>
    <t>Pentyl Caproate</t>
  </si>
  <si>
    <t>i-Pentyl Caproate</t>
  </si>
  <si>
    <t>Hexyl Caproate</t>
  </si>
  <si>
    <t>C12 Est</t>
  </si>
  <si>
    <t>Ethyl Heptanoate</t>
  </si>
  <si>
    <t>Propyl Heptanoate</t>
  </si>
  <si>
    <t>Butyl Heptanoate</t>
  </si>
  <si>
    <t>i-Butyl Heptanoate</t>
  </si>
  <si>
    <t>Pentyl Heptanoate</t>
  </si>
  <si>
    <t>i-Pentyl Heptanoate</t>
  </si>
  <si>
    <t>Hexyl Heptanoate</t>
  </si>
  <si>
    <t>i-C12 Est</t>
  </si>
  <si>
    <t>C13 Est</t>
  </si>
  <si>
    <t>C4 Ester</t>
  </si>
  <si>
    <t>C5 Ester</t>
  </si>
  <si>
    <t>C6 Ester</t>
  </si>
  <si>
    <t>i-C6 Ester</t>
  </si>
  <si>
    <t>C7 Ester</t>
  </si>
  <si>
    <t>C8 Ester</t>
  </si>
  <si>
    <t>i-C8 Ester</t>
  </si>
  <si>
    <t>i-C7 Ester</t>
  </si>
  <si>
    <t>C9 Ester</t>
  </si>
  <si>
    <t>i-C9 Ester</t>
  </si>
  <si>
    <t>C10 Ester</t>
  </si>
  <si>
    <t>i-C10 Ester</t>
  </si>
  <si>
    <t>C11 Ester</t>
  </si>
  <si>
    <t>i-C11 Ester</t>
  </si>
  <si>
    <t>C12 Ester</t>
  </si>
  <si>
    <t>i-C12 Ester</t>
  </si>
  <si>
    <t>C13 Ester</t>
  </si>
  <si>
    <t>Product  Stream</t>
  </si>
  <si>
    <t>Product Stream Flow Rate</t>
  </si>
  <si>
    <t>Water Stream Flow Rate</t>
  </si>
  <si>
    <t>mol/L (reac)</t>
  </si>
  <si>
    <t>Ethanol Added to Complete Reaction</t>
  </si>
  <si>
    <t>Propanol Added to Complete Reaction</t>
  </si>
  <si>
    <t>Butanol Added to Complete Reaction</t>
  </si>
  <si>
    <t>Total Flow Rate with Additions</t>
  </si>
  <si>
    <t># Ester Carbon</t>
  </si>
  <si>
    <t>MW g/mol</t>
  </si>
  <si>
    <t>SLOPE</t>
  </si>
  <si>
    <t>INTERCEPT</t>
  </si>
  <si>
    <t>Absorption Column 1</t>
  </si>
  <si>
    <t>Absorption Column 2</t>
  </si>
  <si>
    <t xml:space="preserve">Total Absorption Aqueous Streams </t>
  </si>
  <si>
    <t>Grams</t>
  </si>
  <si>
    <t>Moles</t>
  </si>
  <si>
    <t>mol NH3 /L</t>
  </si>
  <si>
    <t>mol NH4 /L</t>
  </si>
  <si>
    <t>ESTER DISTILLATION</t>
  </si>
  <si>
    <t>Rate Adjustment for Branched Species</t>
  </si>
  <si>
    <t>Rate Constant for Acetic Acid</t>
  </si>
  <si>
    <t>Rate Constant for Propionic Acid</t>
  </si>
  <si>
    <t>Rate Constant for Butyric Acid</t>
  </si>
  <si>
    <t>Rate Constant for Valeric Acid</t>
  </si>
  <si>
    <t>Rate Constant for Caproic Acid</t>
  </si>
  <si>
    <t>Rate Constant for Heptanoic Acid</t>
  </si>
  <si>
    <t>Rate Constant for IsoButyric Acid</t>
  </si>
  <si>
    <t>Percentage Loss in Distillation</t>
  </si>
  <si>
    <t>Boiling Points</t>
  </si>
  <si>
    <t>Ethyl propionate</t>
  </si>
  <si>
    <t>Ethyl butyrate</t>
  </si>
  <si>
    <t>Ethyl isobutyrate</t>
  </si>
  <si>
    <t>Ethyl valerate</t>
  </si>
  <si>
    <t>Ethyl isovalerate</t>
  </si>
  <si>
    <t>Ethyl caproate</t>
  </si>
  <si>
    <t>Ethyl heptanoate</t>
  </si>
  <si>
    <t>Propyl acetate</t>
  </si>
  <si>
    <t>Propyl propionate</t>
  </si>
  <si>
    <t>Propyl butyrate</t>
  </si>
  <si>
    <t>Propyl isobutyrate</t>
  </si>
  <si>
    <t>Propyl valerate</t>
  </si>
  <si>
    <t>Propyl isovalerate</t>
  </si>
  <si>
    <t>Propyl caproate</t>
  </si>
  <si>
    <t>Propyl heptanoate</t>
  </si>
  <si>
    <t>Butyl acetate</t>
  </si>
  <si>
    <t>Butyl propionate</t>
  </si>
  <si>
    <t>Butyl butyrate</t>
  </si>
  <si>
    <t>Butyl isobutyrate</t>
  </si>
  <si>
    <t>Butyl valerate</t>
  </si>
  <si>
    <t>Butyl isovalerate</t>
  </si>
  <si>
    <t>Butyl caproate</t>
  </si>
  <si>
    <t>Butyl heptanoate</t>
  </si>
  <si>
    <t>Isobutyl acetate</t>
  </si>
  <si>
    <t>Isobutyl propionate</t>
  </si>
  <si>
    <t>Isobutyl butyrate</t>
  </si>
  <si>
    <t>Isobutyl isobutyrate</t>
  </si>
  <si>
    <t>Isobutyl valerate</t>
  </si>
  <si>
    <t>Isobutyl isovalerate</t>
  </si>
  <si>
    <t>Isobutyl caproate</t>
  </si>
  <si>
    <t>Isobutyl heptanoate</t>
  </si>
  <si>
    <t>Pentyl acetate</t>
  </si>
  <si>
    <t>Pentyl propionate</t>
  </si>
  <si>
    <t>Pentyl butyrate</t>
  </si>
  <si>
    <t>Pentyl isobutyrate</t>
  </si>
  <si>
    <t>Pentyl valerate</t>
  </si>
  <si>
    <t>Pentyl isovalerate</t>
  </si>
  <si>
    <t>Pentyl caproate</t>
  </si>
  <si>
    <t>Pentyl heptanoate</t>
  </si>
  <si>
    <t>Isopentyl acetate</t>
  </si>
  <si>
    <t>Isopentyl propionate</t>
  </si>
  <si>
    <t>Isopentyl butyrate</t>
  </si>
  <si>
    <t>Isopentyl isobutyrate</t>
  </si>
  <si>
    <t>Isopentyl valerate</t>
  </si>
  <si>
    <t>Isopentyl isovalerate</t>
  </si>
  <si>
    <t>Isopentyl caproate</t>
  </si>
  <si>
    <t>Isopentyl heptanoate</t>
  </si>
  <si>
    <t>Hexyl acetate</t>
  </si>
  <si>
    <t>Hexyl propionate</t>
  </si>
  <si>
    <t>Hexyl butyrate</t>
  </si>
  <si>
    <t>Hexyl isobutyrate</t>
  </si>
  <si>
    <t>Hexyl valerate</t>
  </si>
  <si>
    <t>Hexyl isovalerate</t>
  </si>
  <si>
    <t>Hexyl caproate</t>
  </si>
  <si>
    <t>Hexyl heptanoate</t>
  </si>
  <si>
    <t>Effluent Flow Rate</t>
  </si>
  <si>
    <t>C #</t>
  </si>
  <si>
    <t>Isobutyl Acetate</t>
  </si>
  <si>
    <t>Ethyl Isobutyrate</t>
  </si>
  <si>
    <t>Isopentyl Acetate</t>
  </si>
  <si>
    <t>Isobutyl Propionate</t>
  </si>
  <si>
    <t>Propyl Isovalerate</t>
  </si>
  <si>
    <t>Butyl Isobutyrate</t>
  </si>
  <si>
    <t>Isobutyl Isobutyrate</t>
  </si>
  <si>
    <t>Isobutyl Butyrate</t>
  </si>
  <si>
    <t>Isopentyl Propionate</t>
  </si>
  <si>
    <t>Isopentyl Butyrate</t>
  </si>
  <si>
    <t>Pentyl Isobutyrate</t>
  </si>
  <si>
    <t>Isopentyl Isobutyrate</t>
  </si>
  <si>
    <t>Isobutyl Valerate</t>
  </si>
  <si>
    <t>Butyl Isovalerate</t>
  </si>
  <si>
    <t>Isobutyl Isovalerate</t>
  </si>
  <si>
    <t>Hexyl Isobutyrate</t>
  </si>
  <si>
    <t>Isopentyl Valerate</t>
  </si>
  <si>
    <t>Pentyl Isovalerate</t>
  </si>
  <si>
    <t>Isopentyl Isovalerate</t>
  </si>
  <si>
    <t>Isobutyl Caproate</t>
  </si>
  <si>
    <t>Hexyl Isovalerate</t>
  </si>
  <si>
    <t>Isopentyl Caproate</t>
  </si>
  <si>
    <t>Isobutyl Heptanoate</t>
  </si>
  <si>
    <t>Isopentyl Heptanoate</t>
  </si>
  <si>
    <t>Ethyl Isovalerate</t>
  </si>
  <si>
    <t>Propyl Isobutyrate</t>
  </si>
  <si>
    <t>total</t>
  </si>
  <si>
    <t>Adjust pH -NaOH</t>
  </si>
  <si>
    <t>Adjust pH - Electrolyte Solution</t>
  </si>
  <si>
    <t>Influent Manure Liquid Digestate Flow Rate</t>
  </si>
  <si>
    <t>Influent Electrodialysis Base 2 Flow Rate</t>
  </si>
  <si>
    <t>Influent Electrodialysis Base 1 Flow Rate</t>
  </si>
  <si>
    <t>Base 2 pH</t>
  </si>
  <si>
    <t>Base 1 pH</t>
  </si>
  <si>
    <t>Flow Rate from Combination</t>
  </si>
  <si>
    <t>pH from Combination</t>
  </si>
  <si>
    <t>Species in Electrodialysis Solution at Electodialysis pH</t>
  </si>
  <si>
    <t>Aqueous (Cont to CE)</t>
  </si>
  <si>
    <t>Absorption Fluid</t>
  </si>
  <si>
    <t>INFLUENT</t>
  </si>
  <si>
    <t>Absorption Column</t>
  </si>
  <si>
    <t>Henry's Law</t>
  </si>
  <si>
    <t>Air Flow Rate</t>
  </si>
  <si>
    <t>Air to Stripper Liquid Volume Ratio</t>
  </si>
  <si>
    <t>Ammonia (NH3) Flow Rate</t>
  </si>
  <si>
    <t>L-atm/mol-k</t>
  </si>
  <si>
    <t>Ideal Gas Constant</t>
  </si>
  <si>
    <t>Partial Pressure of Ammonia</t>
  </si>
  <si>
    <t>Henry's Law Constant for Ammonia at 15 C</t>
  </si>
  <si>
    <t>mol/L-atm</t>
  </si>
  <si>
    <t>Concentration of NH3 in Liquid Phase</t>
  </si>
  <si>
    <t>OCEAN H+ Cl-</t>
  </si>
  <si>
    <t>g NH4Cl /L</t>
  </si>
  <si>
    <t>Nitrogen Removal Graph</t>
  </si>
  <si>
    <t>NH4Cl</t>
  </si>
  <si>
    <t>Treated Manure Liquid Digestate</t>
  </si>
  <si>
    <t>Treated Manure Digestate</t>
  </si>
  <si>
    <t xml:space="preserve">Total Flow Rate  </t>
  </si>
  <si>
    <t>Total Lactic Acid Required</t>
  </si>
  <si>
    <t>Lactic Acid Concentration</t>
  </si>
  <si>
    <t>Estimated Alcohol Conversion Influent</t>
  </si>
  <si>
    <t xml:space="preserve">m:m% VFAs </t>
  </si>
  <si>
    <t>m:m% VFAs</t>
  </si>
  <si>
    <t>m:m% Alc</t>
  </si>
  <si>
    <t>Ocean Water Processing</t>
  </si>
  <si>
    <t>Cheese Whey Processing</t>
  </si>
  <si>
    <t>Supercritical CO2 Extraction</t>
  </si>
  <si>
    <t>Ester Separations</t>
  </si>
  <si>
    <t>Diesel Trucks - Organic Waste</t>
  </si>
  <si>
    <t xml:space="preserve"> Transportation</t>
  </si>
  <si>
    <t xml:space="preserve">Diesel - Waste </t>
  </si>
  <si>
    <t>Manager</t>
  </si>
  <si>
    <t>Diesel Trucks - Cheese Whey</t>
  </si>
  <si>
    <t>Crystallizer</t>
  </si>
  <si>
    <t>pH Adjustment Tank Wall</t>
  </si>
  <si>
    <t>pH Adjustment Insulation</t>
  </si>
  <si>
    <t>pH Adjustment Agitator</t>
  </si>
  <si>
    <r>
      <t xml:space="preserve">Feed Pump - </t>
    </r>
    <r>
      <rPr>
        <i/>
        <sz val="11"/>
        <color theme="1"/>
        <rFont val="Aptos Narrow"/>
        <family val="2"/>
        <scheme val="minor"/>
      </rPr>
      <t>Caprociproducens</t>
    </r>
  </si>
  <si>
    <r>
      <t>Tank Wall -</t>
    </r>
    <r>
      <rPr>
        <i/>
        <sz val="11"/>
        <color theme="1"/>
        <rFont val="Aptos Narrow"/>
        <family val="2"/>
        <scheme val="minor"/>
      </rPr>
      <t xml:space="preserve"> Caprociproducens</t>
    </r>
  </si>
  <si>
    <r>
      <t xml:space="preserve">Insulation - </t>
    </r>
    <r>
      <rPr>
        <i/>
        <sz val="11"/>
        <color theme="1"/>
        <rFont val="Aptos Narrow"/>
        <family val="2"/>
        <scheme val="minor"/>
      </rPr>
      <t>Caprociproducens</t>
    </r>
  </si>
  <si>
    <r>
      <t xml:space="preserve">Gas Cover - </t>
    </r>
    <r>
      <rPr>
        <i/>
        <sz val="11"/>
        <color theme="1"/>
        <rFont val="Aptos Narrow"/>
        <family val="2"/>
        <scheme val="minor"/>
      </rPr>
      <t>Caprociproducens</t>
    </r>
  </si>
  <si>
    <t>Agitator - Caprociproducens</t>
  </si>
  <si>
    <t>Feed Pump - Lignocellulose</t>
  </si>
  <si>
    <r>
      <t>Tank Wall -</t>
    </r>
    <r>
      <rPr>
        <i/>
        <sz val="11"/>
        <color theme="1"/>
        <rFont val="Aptos Narrow"/>
        <family val="2"/>
        <scheme val="minor"/>
      </rPr>
      <t xml:space="preserve"> </t>
    </r>
    <r>
      <rPr>
        <sz val="11"/>
        <color theme="1"/>
        <rFont val="Aptos Narrow"/>
        <family val="2"/>
        <scheme val="minor"/>
      </rPr>
      <t>Lignocellulose</t>
    </r>
  </si>
  <si>
    <t>Insulation - Lignocellulose</t>
  </si>
  <si>
    <t>Gas Cover - Lignocellulose</t>
  </si>
  <si>
    <t>Agitator - Lignocellulose</t>
  </si>
  <si>
    <r>
      <t>Tank Wall -</t>
    </r>
    <r>
      <rPr>
        <i/>
        <sz val="11"/>
        <color theme="1"/>
        <rFont val="Aptos Narrow"/>
        <family val="2"/>
        <scheme val="minor"/>
      </rPr>
      <t xml:space="preserve"> Cl. Klu</t>
    </r>
  </si>
  <si>
    <r>
      <t xml:space="preserve">Insulation - </t>
    </r>
    <r>
      <rPr>
        <i/>
        <sz val="11"/>
        <color theme="1"/>
        <rFont val="Aptos Narrow"/>
        <family val="2"/>
        <scheme val="minor"/>
      </rPr>
      <t>Cl. Klu</t>
    </r>
  </si>
  <si>
    <r>
      <t xml:space="preserve">Gas Cover - </t>
    </r>
    <r>
      <rPr>
        <i/>
        <sz val="11"/>
        <color theme="1"/>
        <rFont val="Aptos Narrow"/>
        <family val="2"/>
        <scheme val="minor"/>
      </rPr>
      <t>Cl. Klu</t>
    </r>
  </si>
  <si>
    <r>
      <t xml:space="preserve">Feed Pump - </t>
    </r>
    <r>
      <rPr>
        <i/>
        <sz val="11"/>
        <color theme="1"/>
        <rFont val="Aptos Narrow"/>
        <family val="2"/>
        <scheme val="minor"/>
      </rPr>
      <t>Cl. Klu</t>
    </r>
  </si>
  <si>
    <r>
      <t xml:space="preserve">Agitator - </t>
    </r>
    <r>
      <rPr>
        <i/>
        <sz val="11"/>
        <color theme="1"/>
        <rFont val="Aptos Narrow"/>
        <family val="2"/>
        <scheme val="minor"/>
      </rPr>
      <t>Cl. Lj</t>
    </r>
  </si>
  <si>
    <r>
      <t xml:space="preserve">Feed Pump - </t>
    </r>
    <r>
      <rPr>
        <i/>
        <sz val="11"/>
        <color theme="1"/>
        <rFont val="Aptos Narrow"/>
        <family val="2"/>
        <scheme val="minor"/>
      </rPr>
      <t>Cl. Lj</t>
    </r>
  </si>
  <si>
    <r>
      <t>Tank Wall -</t>
    </r>
    <r>
      <rPr>
        <i/>
        <sz val="11"/>
        <color theme="1"/>
        <rFont val="Aptos Narrow"/>
        <family val="2"/>
        <scheme val="minor"/>
      </rPr>
      <t xml:space="preserve"> Cl. Lj</t>
    </r>
  </si>
  <si>
    <r>
      <t xml:space="preserve">Insulation - </t>
    </r>
    <r>
      <rPr>
        <i/>
        <sz val="11"/>
        <color theme="1"/>
        <rFont val="Aptos Narrow"/>
        <family val="2"/>
        <scheme val="minor"/>
      </rPr>
      <t>Cl. Lj</t>
    </r>
  </si>
  <si>
    <r>
      <t xml:space="preserve">Gas Cover - </t>
    </r>
    <r>
      <rPr>
        <i/>
        <sz val="11"/>
        <color theme="1"/>
        <rFont val="Aptos Narrow"/>
        <family val="2"/>
        <scheme val="minor"/>
      </rPr>
      <t>Cl. Lj</t>
    </r>
  </si>
  <si>
    <r>
      <t xml:space="preserve">Agitator - </t>
    </r>
    <r>
      <rPr>
        <i/>
        <sz val="11"/>
        <color theme="1"/>
        <rFont val="Aptos Narrow"/>
        <family val="2"/>
        <scheme val="minor"/>
      </rPr>
      <t>Cl. Klu</t>
    </r>
  </si>
  <si>
    <r>
      <t xml:space="preserve">Feed Pump - </t>
    </r>
    <r>
      <rPr>
        <i/>
        <sz val="11"/>
        <color theme="1"/>
        <rFont val="Aptos Narrow"/>
        <family val="2"/>
        <scheme val="minor"/>
      </rPr>
      <t>E. Coli</t>
    </r>
  </si>
  <si>
    <r>
      <t xml:space="preserve">Tank Wall </t>
    </r>
    <r>
      <rPr>
        <i/>
        <sz val="11"/>
        <color theme="1"/>
        <rFont val="Aptos Narrow"/>
        <family val="2"/>
        <scheme val="minor"/>
      </rPr>
      <t>- E. Coli</t>
    </r>
  </si>
  <si>
    <r>
      <t xml:space="preserve">Insulation - </t>
    </r>
    <r>
      <rPr>
        <i/>
        <sz val="11"/>
        <color theme="1"/>
        <rFont val="Aptos Narrow"/>
        <family val="2"/>
        <scheme val="minor"/>
      </rPr>
      <t>E. Coli</t>
    </r>
  </si>
  <si>
    <r>
      <t xml:space="preserve">Gas Cover - </t>
    </r>
    <r>
      <rPr>
        <i/>
        <sz val="11"/>
        <color theme="1"/>
        <rFont val="Aptos Narrow"/>
        <family val="2"/>
        <scheme val="minor"/>
      </rPr>
      <t>E. Coli</t>
    </r>
  </si>
  <si>
    <r>
      <t>Agitator -</t>
    </r>
    <r>
      <rPr>
        <i/>
        <sz val="11"/>
        <color theme="1"/>
        <rFont val="Aptos Narrow"/>
        <family val="2"/>
        <scheme val="minor"/>
      </rPr>
      <t xml:space="preserve"> E. Coli</t>
    </r>
  </si>
  <si>
    <t>Tangential Flow Microfilter</t>
  </si>
  <si>
    <t>Feed Pump - Conversion</t>
  </si>
  <si>
    <t>Tank Wall - Conversion</t>
  </si>
  <si>
    <t>Insulation - Conversion</t>
  </si>
  <si>
    <t>Feed Pump - Suspension</t>
  </si>
  <si>
    <t>Tank Wall - Suspension</t>
  </si>
  <si>
    <t>Insulation - Suspension</t>
  </si>
  <si>
    <t>Feed Pump - Formation</t>
  </si>
  <si>
    <t>Tank Wall - Formation</t>
  </si>
  <si>
    <t>Insulation - Formation</t>
  </si>
  <si>
    <t>Feed Pump - Recovery</t>
  </si>
  <si>
    <t>Tank Wall - Recovery</t>
  </si>
  <si>
    <t>Insulation - Recovery</t>
  </si>
  <si>
    <t>Packed Bed Column</t>
  </si>
  <si>
    <t>CO2 Storage Tank</t>
  </si>
  <si>
    <t>Compressor Pump</t>
  </si>
  <si>
    <t>Recirculating Pump</t>
  </si>
  <si>
    <t>Exraction Vessle</t>
  </si>
  <si>
    <t>Separator Vessle</t>
  </si>
  <si>
    <t>Feed Pump - Solvent</t>
  </si>
  <si>
    <t>Feed Pump - Feed</t>
  </si>
  <si>
    <t>Decanter - Settler</t>
  </si>
  <si>
    <t>Feed Storage Tank</t>
  </si>
  <si>
    <t>Ester Storage Tank</t>
  </si>
  <si>
    <t>Storage Tank</t>
  </si>
  <si>
    <t>Electrolyte Storage Tank</t>
  </si>
  <si>
    <t>Acid Storage Tank</t>
  </si>
  <si>
    <t>Base Storage Tank</t>
  </si>
  <si>
    <t>Desalinated Water Storage Tank</t>
  </si>
  <si>
    <t>Lactate Storage Tank</t>
  </si>
  <si>
    <t>Desalinated Water Tank</t>
  </si>
  <si>
    <t>Heat - CSTR</t>
  </si>
  <si>
    <t>Power - Feed Pump</t>
  </si>
  <si>
    <t>Heat - Crystallizer</t>
  </si>
  <si>
    <t>Diesel - Lactate Concentrate</t>
  </si>
  <si>
    <t>Heat - Cumulative</t>
  </si>
  <si>
    <t>Pump Power - Cumulative</t>
  </si>
  <si>
    <t>Mixing Power - Cumulative</t>
  </si>
  <si>
    <t>Culture Broth - Lignocellulose</t>
  </si>
  <si>
    <t>Overall</t>
  </si>
  <si>
    <t>Overhead and Benefits</t>
  </si>
  <si>
    <t>of Employment Cost</t>
  </si>
  <si>
    <t>Plant Maintenance</t>
  </si>
  <si>
    <t>of FCI</t>
  </si>
  <si>
    <t>Insurance and Taxes</t>
  </si>
  <si>
    <t>Fixed Operating Cost</t>
  </si>
  <si>
    <t>Waste - Biosolids</t>
  </si>
  <si>
    <t>Power - Centrifuge Decanter</t>
  </si>
  <si>
    <t>Power - Microfiltration</t>
  </si>
  <si>
    <t>Heat</t>
  </si>
  <si>
    <t>Power - Grit Removal</t>
  </si>
  <si>
    <t>Power - Mixing</t>
  </si>
  <si>
    <t>Power - Lactate Feed Pump</t>
  </si>
  <si>
    <t>Power - Digestate Feed Pump</t>
  </si>
  <si>
    <t>Power - Liquid Digestate Feed Pump</t>
  </si>
  <si>
    <t>Heat - Stripper</t>
  </si>
  <si>
    <t>Power - Air Pump</t>
  </si>
  <si>
    <t>Power - LD Feed Pump</t>
  </si>
  <si>
    <t>Power - Acid Feed Pump</t>
  </si>
  <si>
    <t>Power - Crystiallizer Pump</t>
  </si>
  <si>
    <t>Power - Output Pump</t>
  </si>
  <si>
    <t>Power - Water Pump</t>
  </si>
  <si>
    <t>Power - Manure Pump</t>
  </si>
  <si>
    <t>Power - Food Waste Pump</t>
  </si>
  <si>
    <t>Power - Manure Grinder</t>
  </si>
  <si>
    <t>Power - Food Waste Grinder</t>
  </si>
  <si>
    <t>Waste Biosolids Disposal</t>
  </si>
  <si>
    <t>PPI 2024</t>
  </si>
  <si>
    <t>2024 Salary</t>
  </si>
  <si>
    <t>Power - Applied Voltage</t>
  </si>
  <si>
    <t>Power - Electrolyte Pump</t>
  </si>
  <si>
    <t>Power - Acid 1 Pump</t>
  </si>
  <si>
    <t>Power - Acid 2 Pump</t>
  </si>
  <si>
    <t>Power - Base 1 Pump</t>
  </si>
  <si>
    <t>Power - Base 2 Pump</t>
  </si>
  <si>
    <t>Heat - Distillation</t>
  </si>
  <si>
    <t>Power - Recovery Pump</t>
  </si>
  <si>
    <t>Power - Distillation Pump</t>
  </si>
  <si>
    <t>Wastewater Treatment</t>
  </si>
  <si>
    <t>Power - Acid Pump</t>
  </si>
  <si>
    <t>Power - Base Pump</t>
  </si>
  <si>
    <t>Power - KO Drum Pump</t>
  </si>
  <si>
    <t>Heat - FBR</t>
  </si>
  <si>
    <t>Power - OR Air Pump</t>
  </si>
  <si>
    <t>Heat - OR</t>
  </si>
  <si>
    <t>Power - Hydrogen Pump</t>
  </si>
  <si>
    <t>Power - KO Pump</t>
  </si>
  <si>
    <t>Power - Jet Fuel Pump</t>
  </si>
  <si>
    <t>Power - Naphtha Pump</t>
  </si>
  <si>
    <t>Catalyst Regeneration Air Blower</t>
  </si>
  <si>
    <t>BTU/hr</t>
  </si>
  <si>
    <t>Compressed Carbon Dioxide</t>
  </si>
  <si>
    <t>Heat - Extraction</t>
  </si>
  <si>
    <t>Pump - Recovery</t>
  </si>
  <si>
    <t>Power - CO2 Input Pump</t>
  </si>
  <si>
    <t>Power - CO2 Recycle Pump</t>
  </si>
  <si>
    <t>Cell Immobilization</t>
  </si>
  <si>
    <t>Glucose</t>
  </si>
  <si>
    <t>Power - Tangential Microfiltration</t>
  </si>
  <si>
    <t>Alginate Solution</t>
  </si>
  <si>
    <t>Calcium Chloride</t>
  </si>
  <si>
    <t>Power - Suspension Pump</t>
  </si>
  <si>
    <t>Power - Formation Pump</t>
  </si>
  <si>
    <t>Power - Suspension Mixing</t>
  </si>
  <si>
    <t xml:space="preserve">Heat - Inoculum </t>
  </si>
  <si>
    <t>Power - Mixing Inoculum</t>
  </si>
  <si>
    <t>Power - Mixing Formation</t>
  </si>
  <si>
    <t>Heat - Formation</t>
  </si>
  <si>
    <t>Power - CaCl2 Pump</t>
  </si>
  <si>
    <t>Power - Saline Pump</t>
  </si>
  <si>
    <t>Power - Immobilized Cell Pump</t>
  </si>
  <si>
    <t>Cell Imobilization &amp; Alcohol Conversion</t>
  </si>
  <si>
    <t>Microfilter</t>
  </si>
  <si>
    <t>MS / PE</t>
  </si>
  <si>
    <t>Heat - Seive Regeneration</t>
  </si>
  <si>
    <t>Power - MS Feed Pumps</t>
  </si>
  <si>
    <t>Power - MS Product Pumps</t>
  </si>
  <si>
    <t>Power - Distillation Feed Pump</t>
  </si>
  <si>
    <t>Digestion</t>
  </si>
  <si>
    <t>Pathway A</t>
  </si>
  <si>
    <t>Pathway B</t>
  </si>
  <si>
    <t>MBA</t>
  </si>
  <si>
    <t>BS / BA</t>
  </si>
  <si>
    <t>PhD MBA</t>
  </si>
  <si>
    <t>Waste Disposal</t>
  </si>
  <si>
    <t>Chemical Inputs</t>
  </si>
  <si>
    <t>Labor</t>
  </si>
  <si>
    <t>Boats - Ocean Water</t>
  </si>
  <si>
    <t>Diesel Trucks - Ocean Water</t>
  </si>
  <si>
    <t>Sulfuric Acid Tank</t>
  </si>
  <si>
    <t>Sulfuric Acid Pump</t>
  </si>
  <si>
    <t>Feed Pump - Manure</t>
  </si>
  <si>
    <t>Feed Pump - Food Waste</t>
  </si>
  <si>
    <t>Feed Pump - Water</t>
  </si>
  <si>
    <t>Concentrated wastewater pump</t>
  </si>
  <si>
    <t>Clean water pump</t>
  </si>
  <si>
    <t>Clean water tank</t>
  </si>
  <si>
    <t>Reverse osmosis unit</t>
  </si>
  <si>
    <t>Reverse Osmosis Filtration</t>
  </si>
  <si>
    <t>lb/hr</t>
  </si>
  <si>
    <t>Caustic storage tank</t>
  </si>
  <si>
    <t>Hydraulic Truck Dump with Scale</t>
  </si>
  <si>
    <t>GPD</t>
  </si>
  <si>
    <t>Crystallizer and feed pump</t>
  </si>
  <si>
    <t>Sulfuric acid tank</t>
  </si>
  <si>
    <t>Sulfuric acid pump</t>
  </si>
  <si>
    <t>Caustic Pump</t>
  </si>
  <si>
    <t>Acid Pump</t>
  </si>
  <si>
    <t>Ammonia Pump</t>
  </si>
  <si>
    <t>304 Stainless Steel, Fixed Propeller, 3 Impellers, 2 Blades, Motor, Gear drive</t>
  </si>
  <si>
    <t>Tank Wall - Manure</t>
  </si>
  <si>
    <t>Insulation - Manure</t>
  </si>
  <si>
    <t>Agitator - Manure</t>
  </si>
  <si>
    <t>Tank Wall - Food Waste</t>
  </si>
  <si>
    <t>Insulation - Food Waste</t>
  </si>
  <si>
    <t>Agitator - Food Waste</t>
  </si>
  <si>
    <t>Sand Removal - Manure</t>
  </si>
  <si>
    <t>20'' by 22' Sand-Manure Separtor, 5 hp electric motor</t>
  </si>
  <si>
    <t>304 Stainless Steel, 9841 gallon vessel</t>
  </si>
  <si>
    <t>Centrifuge Separator</t>
  </si>
  <si>
    <t>Biosolids Drier</t>
  </si>
  <si>
    <t>Fluidixed bed drier parallel</t>
  </si>
  <si>
    <t>Feed Pump - Digestate</t>
  </si>
  <si>
    <t>Feed Pump - Lactate</t>
  </si>
  <si>
    <t>Feed Pump - Other</t>
  </si>
  <si>
    <t>Absorber Pre-Cooler</t>
  </si>
  <si>
    <t>Absorber Column</t>
  </si>
  <si>
    <t>GMP</t>
  </si>
  <si>
    <t>Flash Drum</t>
  </si>
  <si>
    <t>Solvent Circulation Pump</t>
  </si>
  <si>
    <t>Lean-rich Heat Exchanger</t>
  </si>
  <si>
    <t>Stripper Column</t>
  </si>
  <si>
    <t>Stripper Reboiler</t>
  </si>
  <si>
    <t>Stripper OH Condenser</t>
  </si>
  <si>
    <t>Stripper Acculumator</t>
  </si>
  <si>
    <t>Misc. Tanks, Filters</t>
  </si>
  <si>
    <t>Stainless Steel, 14' d x 12' h</t>
  </si>
  <si>
    <t>Molecular Sieve Separator System</t>
  </si>
  <si>
    <t>Superheater, twin mole sieve columns, product cooler, condensor, pumps, vacuum source</t>
  </si>
  <si>
    <t>Duty = 33.4 MMBtu/Hr; LMTD = 30 F; U = 150 Btu/hr‐ft^2‐F; Surface Area = 7,480 Ft^2; U‐Tube Kettle Reboiler; Design Pressure = 50 PSIG; SS304</t>
  </si>
  <si>
    <t>Duty = 36.0 MMBtu/Hr; Bare Tube Surface Area = 8,406 Ft^2; Design Pressure = 50 PSIG</t>
  </si>
  <si>
    <t>60 Theoretical Stages at 60% Efficiency = 100 Trays; 24 in Tray Spacing; Diameter = 9 ft; T‐T Height = 230 ft; Design Pressure = 50 PSIG</t>
  </si>
  <si>
    <t>Reflux Pump</t>
  </si>
  <si>
    <t>Bottoms Pump</t>
  </si>
  <si>
    <t>Overhead Accumulator</t>
  </si>
  <si>
    <t>Flow Rate = 200 gpm; Liquid Head = 50 ft; Carbon Steel</t>
  </si>
  <si>
    <t>Flow Rate = 300 gpm; Liquid Head = 70 ft; Carbon Steel</t>
  </si>
  <si>
    <t>Reflux Flow = 200 gpm; 10 Minute Liquid Inventory; 2,000 Gallon Liquid Inventory; Vapor Space Factor = 3; 6,000 Gallon Total Vessel Volume</t>
  </si>
  <si>
    <t>Horizontal Drum; Diameter = 5 ft; T‐T Length = 10 ft; Design Pressure = 3,300 PSIG</t>
  </si>
  <si>
    <t>Mol-Sieve Heat Exchanger</t>
  </si>
  <si>
    <t>Duty (MMBtu / Hr) = 4.81; LMTD (°F) = 30.18; U (Btu / Hr‐ft^2‐°F)=90; A (ft^2) = 1770</t>
  </si>
  <si>
    <t>Site Developmemt</t>
  </si>
  <si>
    <t>4% of ISBL</t>
  </si>
  <si>
    <t>Yeast Extract</t>
  </si>
  <si>
    <t>Cellulose</t>
  </si>
  <si>
    <t>Phosphate Buffer</t>
  </si>
  <si>
    <r>
      <t xml:space="preserve">Culture Broth - </t>
    </r>
    <r>
      <rPr>
        <b/>
        <i/>
        <sz val="11"/>
        <color theme="1"/>
        <rFont val="Aptos Narrow"/>
        <family val="2"/>
        <scheme val="minor"/>
      </rPr>
      <t>Caprociproducens</t>
    </r>
  </si>
  <si>
    <r>
      <t xml:space="preserve">Culture Broth - </t>
    </r>
    <r>
      <rPr>
        <b/>
        <i/>
        <sz val="11"/>
        <color theme="1"/>
        <rFont val="Aptos Narrow"/>
        <family val="2"/>
        <scheme val="minor"/>
      </rPr>
      <t>Clostridium</t>
    </r>
  </si>
  <si>
    <t>MT</t>
  </si>
  <si>
    <t>Trace Minerals - KH2PO4</t>
  </si>
  <si>
    <t>Trace Minerals - MgSO4</t>
  </si>
  <si>
    <t>Trace Minerals - NaHCO3</t>
  </si>
  <si>
    <t>Trace Minerals - NaCl</t>
  </si>
  <si>
    <t>kg (180 kg)</t>
  </si>
  <si>
    <t>L (2.5 L)</t>
  </si>
  <si>
    <t>kg (5 kg)</t>
  </si>
  <si>
    <t>kg (25 kg)</t>
  </si>
  <si>
    <t>kg (5kg)</t>
  </si>
  <si>
    <t>g (10 kg)</t>
  </si>
  <si>
    <t>M9 Minimal Salts</t>
  </si>
  <si>
    <t>g (2.5 kg)</t>
  </si>
  <si>
    <t>g (5000 g)</t>
  </si>
  <si>
    <t>Buffered Saline Solution</t>
  </si>
  <si>
    <t>mL (6 L)</t>
  </si>
  <si>
    <t>Water Added For Grinding</t>
  </si>
  <si>
    <t>Water Addition</t>
  </si>
  <si>
    <t xml:space="preserve">kg/hr </t>
  </si>
  <si>
    <t>Manure Flow Rate</t>
  </si>
  <si>
    <t xml:space="preserve"> Food Waste Flow Rate</t>
  </si>
  <si>
    <t>Before</t>
  </si>
  <si>
    <t>After</t>
  </si>
  <si>
    <t>Water Added</t>
  </si>
  <si>
    <t>Ocean Water Characteristics</t>
  </si>
  <si>
    <t>oc_na</t>
  </si>
  <si>
    <t>oc_cl</t>
  </si>
  <si>
    <t>oc_k</t>
  </si>
  <si>
    <t>sodium ion concentration in the ocean (+1)</t>
  </si>
  <si>
    <t>oc_mg</t>
  </si>
  <si>
    <t>magnesium ion concentration in the ocean (+2)</t>
  </si>
  <si>
    <t>oc_ca</t>
  </si>
  <si>
    <t>calcium ion concentration in the ocean (+2)</t>
  </si>
  <si>
    <t>oc_so4</t>
  </si>
  <si>
    <t>sulfate ion concentration in the ocean (-2)</t>
  </si>
  <si>
    <t xml:space="preserve">chloride ion concentration in the ocean (-1) </t>
  </si>
  <si>
    <t>Ocean Water</t>
  </si>
  <si>
    <t>LD_sodium</t>
  </si>
  <si>
    <t>LD_magnesium</t>
  </si>
  <si>
    <t>LD_calcium</t>
  </si>
  <si>
    <t>potassium ion concentration in the ocean (+1)</t>
  </si>
  <si>
    <t>LD_potassium</t>
  </si>
  <si>
    <t>A1_magnesium</t>
  </si>
  <si>
    <t>A1_sodium</t>
  </si>
  <si>
    <t>A1_calcium</t>
  </si>
  <si>
    <t>A1_potassium</t>
  </si>
  <si>
    <t>EL_sodium</t>
  </si>
  <si>
    <t>EL_magnesium</t>
  </si>
  <si>
    <t>EL_calcium</t>
  </si>
  <si>
    <t>EL_potassium</t>
  </si>
  <si>
    <t>C_Na</t>
  </si>
  <si>
    <t>C_SO4</t>
  </si>
  <si>
    <t>C_Mg</t>
  </si>
  <si>
    <t>C_Ca</t>
  </si>
  <si>
    <t>C_K</t>
  </si>
  <si>
    <t>B1_sodium</t>
  </si>
  <si>
    <t>B1_chlorine</t>
  </si>
  <si>
    <t>B1_sulfur</t>
  </si>
  <si>
    <t>B1_magnesium</t>
  </si>
  <si>
    <t>B1_calcium</t>
  </si>
  <si>
    <t>B1_potassium</t>
  </si>
  <si>
    <t>B1_pH</t>
  </si>
  <si>
    <t>Mg</t>
  </si>
  <si>
    <t>Ca</t>
  </si>
  <si>
    <t>Chesse Whey Fermentation</t>
  </si>
  <si>
    <t>C3H6O3</t>
  </si>
  <si>
    <t>operating pH of the absobtion column</t>
  </si>
  <si>
    <t>operating temperature of the absorbtion column</t>
  </si>
  <si>
    <t>Rate Constant for IsoValeric Acid</t>
  </si>
  <si>
    <t>q_Na</t>
  </si>
  <si>
    <t>q_Cl</t>
  </si>
  <si>
    <t>q_SO4</t>
  </si>
  <si>
    <t>q_Mg</t>
  </si>
  <si>
    <t>q_Ca</t>
  </si>
  <si>
    <t>q_K</t>
  </si>
  <si>
    <t>e</t>
  </si>
  <si>
    <t>Crystals Formed</t>
  </si>
  <si>
    <t>MgSO4</t>
  </si>
  <si>
    <t>Initial</t>
  </si>
  <si>
    <t>KCl</t>
  </si>
  <si>
    <t>CaSO4</t>
  </si>
  <si>
    <t xml:space="preserve"> KCl</t>
  </si>
  <si>
    <t>NaCl</t>
  </si>
  <si>
    <t xml:space="preserve"> NaCl</t>
  </si>
  <si>
    <t>Ocean Water Figure</t>
  </si>
  <si>
    <t>Species</t>
  </si>
  <si>
    <t>Base</t>
  </si>
  <si>
    <t>Na+</t>
  </si>
  <si>
    <t>Cl-</t>
  </si>
  <si>
    <t>SO4--</t>
  </si>
  <si>
    <t>Mg++</t>
  </si>
  <si>
    <t>Ca++</t>
  </si>
  <si>
    <t>K+</t>
  </si>
  <si>
    <t>H+</t>
  </si>
  <si>
    <t>OH-</t>
  </si>
  <si>
    <t>Enzymatic Hydrolysis</t>
  </si>
  <si>
    <t>Substrate (Cheese Whey Powder) Concentration</t>
  </si>
  <si>
    <t>% w/v</t>
  </si>
  <si>
    <t>Lactose Concentration in Substrate</t>
  </si>
  <si>
    <t>Cheese Whey</t>
  </si>
  <si>
    <t>m3 CW / L H2O</t>
  </si>
  <si>
    <t>Beta-galactosidase (Lactase)</t>
  </si>
  <si>
    <t>U/g CW</t>
  </si>
  <si>
    <t>U/L</t>
  </si>
  <si>
    <t xml:space="preserve">Yield (Glucose / Lactose) </t>
  </si>
  <si>
    <t xml:space="preserve">Yield (Galactose / Lactose) </t>
  </si>
  <si>
    <t>Glucose Concentration</t>
  </si>
  <si>
    <t>Galactose Concentration</t>
  </si>
  <si>
    <t>Homolactic Fermentation</t>
  </si>
  <si>
    <t>Yield (Lactic Acid / Glucose)</t>
  </si>
  <si>
    <t xml:space="preserve">Yield (Lactic Acid / Galactose) </t>
  </si>
  <si>
    <t>Lactose Concentration</t>
  </si>
  <si>
    <t>Biosolids</t>
  </si>
  <si>
    <t>Recycle Rate</t>
  </si>
  <si>
    <t>Cheese Whey Concentration in Liquid</t>
  </si>
  <si>
    <t>Microbial Concentration in Liquid</t>
  </si>
  <si>
    <t>Fementation</t>
  </si>
  <si>
    <t>Lactate Required</t>
  </si>
  <si>
    <t>Solids Flow Rate</t>
  </si>
  <si>
    <t>Desired Cheese Whey Concentration</t>
  </si>
  <si>
    <t xml:space="preserve">Reverse Osmosis </t>
  </si>
  <si>
    <t>Fermentation pH</t>
  </si>
  <si>
    <t>Recycle Stream Flow Rate</t>
  </si>
  <si>
    <t>Influent Volumetric Flow Rate</t>
  </si>
  <si>
    <t>Fermentation Effluent Flow Rate</t>
  </si>
  <si>
    <t>H+ Molar Flow Rate</t>
  </si>
  <si>
    <t>mol H/L</t>
  </si>
  <si>
    <t>pKa Lactate_Lactic Acid</t>
  </si>
  <si>
    <t>[A/HA]</t>
  </si>
  <si>
    <t>at pH</t>
  </si>
  <si>
    <t>OH- Concentration at pH 9</t>
  </si>
  <si>
    <t>mol OH/L</t>
  </si>
  <si>
    <t>mol OH/hr</t>
  </si>
  <si>
    <t>OH - Flow Rate Required</t>
  </si>
  <si>
    <t>g OH /hr</t>
  </si>
  <si>
    <t>Ocean Base OH- Concentration</t>
  </si>
  <si>
    <t>Ocean Base OH- Volume Flow Rate Required</t>
  </si>
  <si>
    <t xml:space="preserve">pH-Adjust </t>
  </si>
  <si>
    <t>With Reycle</t>
  </si>
  <si>
    <t>Non - Water Percent Separation</t>
  </si>
  <si>
    <t xml:space="preserve">Pure Water Percent Separation </t>
  </si>
  <si>
    <t>Energy Required</t>
  </si>
  <si>
    <t>kWh/m3</t>
  </si>
  <si>
    <t>Concentrate</t>
  </si>
  <si>
    <t>TOTAL FLOW RATE</t>
  </si>
  <si>
    <t xml:space="preserve">Lactic Acid </t>
  </si>
  <si>
    <t xml:space="preserve">Glucose </t>
  </si>
  <si>
    <t xml:space="preserve">Galactose </t>
  </si>
  <si>
    <t xml:space="preserve">Lactose </t>
  </si>
  <si>
    <t>Chesse Whey Fermentation Figure</t>
  </si>
  <si>
    <t>Microbe</t>
  </si>
  <si>
    <t xml:space="preserve">Solids Recycled </t>
  </si>
  <si>
    <t xml:space="preserve">Cheese Whey Recycled </t>
  </si>
  <si>
    <t>Biosolids Recycle</t>
  </si>
  <si>
    <t>Total Solids Flow Rate</t>
  </si>
  <si>
    <t>Sulfur Concentration</t>
  </si>
  <si>
    <t>Ammonia Concentration</t>
  </si>
  <si>
    <t>Phosphorus Rate</t>
  </si>
  <si>
    <t>Desired Phosphorus Concentration</t>
  </si>
  <si>
    <t>Total Volume Required</t>
  </si>
  <si>
    <t>Total Water Addition Required</t>
  </si>
  <si>
    <t>VS Flow Rate</t>
  </si>
  <si>
    <t>Biogas FIGURE</t>
  </si>
  <si>
    <t>m3 H2</t>
  </si>
  <si>
    <t>Biosolids Recycle Percentage</t>
  </si>
  <si>
    <t>OH Flow Rate Requried to Raise pH</t>
  </si>
  <si>
    <t>Ocean Base OH Concentration</t>
  </si>
  <si>
    <t>Ocean Base OH Flow Rate</t>
  </si>
  <si>
    <t>Before Ocean Base Addition</t>
  </si>
  <si>
    <t>After Base Addition</t>
  </si>
  <si>
    <t>mol NH3 /hr</t>
  </si>
  <si>
    <t>mol NH4 /hr</t>
  </si>
  <si>
    <t>Molar Flow Rate NH3</t>
  </si>
  <si>
    <t>H+ Molar Flow Rate Required</t>
  </si>
  <si>
    <t>H+ Molar Concentration in Ocean Water</t>
  </si>
  <si>
    <t>Ocean Acid Flow Required</t>
  </si>
  <si>
    <t>(m3/hr)</t>
  </si>
  <si>
    <t>(g/L)</t>
  </si>
  <si>
    <t xml:space="preserve">After Absorption </t>
  </si>
  <si>
    <t>Na-Ace</t>
  </si>
  <si>
    <t>Na-But</t>
  </si>
  <si>
    <t>Na-Ibut</t>
  </si>
  <si>
    <t>Na_val</t>
  </si>
  <si>
    <t>Na-Ival</t>
  </si>
  <si>
    <t>Na-cap</t>
  </si>
  <si>
    <t>Na-hep</t>
  </si>
  <si>
    <t>Na-Pro</t>
  </si>
  <si>
    <t>Chaine Elongation Influent</t>
  </si>
  <si>
    <t>mol 2NH4SO4 /hr</t>
  </si>
  <si>
    <t>NH4_2SO4</t>
  </si>
  <si>
    <t>Enthalpy Change of Dissolution</t>
  </si>
  <si>
    <t>kJ/mol</t>
  </si>
  <si>
    <t>After Crystallization</t>
  </si>
  <si>
    <t>Na2SO4</t>
  </si>
  <si>
    <t>crys_temp</t>
  </si>
  <si>
    <t>T1</t>
  </si>
  <si>
    <t xml:space="preserve">T2 </t>
  </si>
  <si>
    <t>kJ/mo-L-K</t>
  </si>
  <si>
    <t>K2</t>
  </si>
  <si>
    <t>NaSO4</t>
  </si>
  <si>
    <t>Final Solubility</t>
  </si>
  <si>
    <t>Final Crystals</t>
  </si>
  <si>
    <t xml:space="preserve">Final Crystals </t>
  </si>
  <si>
    <t>Ammonium Sulfate</t>
  </si>
  <si>
    <t>Sodium Acetate Trihydrate</t>
  </si>
  <si>
    <t>Sodium Propionate</t>
  </si>
  <si>
    <t>Sodium Butyrate</t>
  </si>
  <si>
    <t>Sodium Isobutyrate</t>
  </si>
  <si>
    <t>Sodium Valerate</t>
  </si>
  <si>
    <t>Sodium Isovalerate</t>
  </si>
  <si>
    <t>Sodium Caproate</t>
  </si>
  <si>
    <t>Sodium Heptanoate</t>
  </si>
  <si>
    <t>Calcium Sulfate Dihydrate</t>
  </si>
  <si>
    <t>Potassium Chloride</t>
  </si>
  <si>
    <t>Sodium Sulfate Decahydrate</t>
  </si>
  <si>
    <t>CaSO4*2H2O</t>
  </si>
  <si>
    <t>MgSO4*7H2O</t>
  </si>
  <si>
    <t>Magnesium Sulfate Heptahydrate</t>
  </si>
  <si>
    <t xml:space="preserve"> ACE/ Na-Ace</t>
  </si>
  <si>
    <t>Pro / Na-Pro</t>
  </si>
  <si>
    <t>But / Na-But</t>
  </si>
  <si>
    <t xml:space="preserve">Alcohol Conversion </t>
  </si>
  <si>
    <t>Cooling - 32 C</t>
  </si>
  <si>
    <t>Cooling - 2C</t>
  </si>
  <si>
    <t>Heating - 100 C</t>
  </si>
  <si>
    <t>Amount of Electrolyte Required</t>
  </si>
  <si>
    <t>CaSO4*10H2O</t>
  </si>
  <si>
    <t>Ocean Water Electrodialysis</t>
  </si>
  <si>
    <t>Path A Electrodialysis</t>
  </si>
  <si>
    <t>Path B Electrodialysis</t>
  </si>
  <si>
    <t>Total Sodium Sulfate Decahydrate</t>
  </si>
  <si>
    <t>Ocean Water Crystal Flow</t>
  </si>
  <si>
    <t>Volume of Water Flow</t>
  </si>
  <si>
    <t xml:space="preserve">PPI   </t>
  </si>
  <si>
    <t>Oceanographic Research Vessel, 100 ft</t>
  </si>
  <si>
    <t>boat</t>
  </si>
  <si>
    <t>Diesel - Ocean Water</t>
  </si>
  <si>
    <t>Diesel - Cheese Whey</t>
  </si>
  <si>
    <t>Manure Treatment</t>
  </si>
  <si>
    <t>Food Waste Digestion</t>
  </si>
  <si>
    <t>Path A Separations</t>
  </si>
  <si>
    <t>Fuel Upgrading</t>
  </si>
  <si>
    <t>Path B Separations</t>
  </si>
  <si>
    <t>Ester Production</t>
  </si>
  <si>
    <t>Flow Rate - Ocean Water</t>
  </si>
  <si>
    <t xml:space="preserve">Electrodialysis - PATH A </t>
  </si>
  <si>
    <t>Caustic Storage Tank</t>
  </si>
  <si>
    <t>Flow rate</t>
  </si>
  <si>
    <t>Water Storage Tank</t>
  </si>
  <si>
    <t>Power - Applied Voltage/Current</t>
  </si>
  <si>
    <t>Gravitational acceleration</t>
  </si>
  <si>
    <t>m/s2</t>
  </si>
  <si>
    <t>pump_efficiency</t>
  </si>
  <si>
    <t>effeciency of the pumps</t>
  </si>
  <si>
    <t>Base Pump</t>
  </si>
  <si>
    <t>Electrolyte Pump</t>
  </si>
  <si>
    <t xml:space="preserve">Applied Voltage/Current </t>
  </si>
  <si>
    <t>J</t>
  </si>
  <si>
    <t>kWh/hr</t>
  </si>
  <si>
    <t>Bipolar-Exchange Membranes</t>
  </si>
  <si>
    <t>Centrifuge Decanter</t>
  </si>
  <si>
    <t xml:space="preserve">Ocean Water Processing </t>
  </si>
  <si>
    <t>Diluate Tanks</t>
  </si>
  <si>
    <t>eh_sub</t>
  </si>
  <si>
    <t>Cheese Whey Powder concentration in enzymatic hydrolysis</t>
  </si>
  <si>
    <t>Beta-galactosidase (Lactase) in enzymatic hydrolysis</t>
  </si>
  <si>
    <t>enzymatic hydrolysis retention time</t>
  </si>
  <si>
    <t>enzymatic hydrolysis operating temperature</t>
  </si>
  <si>
    <t>eh_vol</t>
  </si>
  <si>
    <t>eh_h_d</t>
  </si>
  <si>
    <t>eh_wvol</t>
  </si>
  <si>
    <t>eh_mix</t>
  </si>
  <si>
    <t>maximum volume of an enzymatic hydrolysis tank</t>
  </si>
  <si>
    <t>maximum working volume of enzymatic hydrolysis tank</t>
  </si>
  <si>
    <t>mixing speed in the enzymatic hydrolysis</t>
  </si>
  <si>
    <t>hf_sub</t>
  </si>
  <si>
    <t>Glucose concentration in homolactic fermentation</t>
  </si>
  <si>
    <t>hf_pH</t>
  </si>
  <si>
    <t>operating pH in homolactic fermentation</t>
  </si>
  <si>
    <t>hf_rt</t>
  </si>
  <si>
    <t>retention time in homolactic fermentation</t>
  </si>
  <si>
    <t>hr_ot</t>
  </si>
  <si>
    <t>operating temperature in homolactic fermentation</t>
  </si>
  <si>
    <t>hf_vol</t>
  </si>
  <si>
    <t>hf_h_d</t>
  </si>
  <si>
    <t>hf_wvol</t>
  </si>
  <si>
    <t>hf_mix</t>
  </si>
  <si>
    <t>Feed Pump - CW+H2O</t>
  </si>
  <si>
    <t xml:space="preserve">Feed Pump </t>
  </si>
  <si>
    <t>Feed Pump - Recycle</t>
  </si>
  <si>
    <t>Power - Recycle Pump</t>
  </si>
  <si>
    <t>Lactase</t>
  </si>
  <si>
    <t>U/yr</t>
  </si>
  <si>
    <t>Power - pH Mixing</t>
  </si>
  <si>
    <t xml:space="preserve">Power - Reverse Osmosis </t>
  </si>
  <si>
    <t>ro_p</t>
  </si>
  <si>
    <t>osmotic pressure of the reverse osmosis system</t>
  </si>
  <si>
    <t>Pa</t>
  </si>
  <si>
    <t>Flow Rate - CW+H2O</t>
  </si>
  <si>
    <t xml:space="preserve">Hydrolysis Tank Wall </t>
  </si>
  <si>
    <t xml:space="preserve">Hydrolysis Insulation </t>
  </si>
  <si>
    <t xml:space="preserve">Hydrolysis Agitator </t>
  </si>
  <si>
    <t xml:space="preserve">Fermenter Tank Wall </t>
  </si>
  <si>
    <t xml:space="preserve">Fermenter Insulation </t>
  </si>
  <si>
    <t xml:space="preserve">Fermenter Agitator </t>
  </si>
  <si>
    <t>Enzymatic Hydrolysis /Fermentation</t>
  </si>
  <si>
    <t>maximum volume of an  homolactic fermentation tank</t>
  </si>
  <si>
    <t>maximum working volume of  homolactic fermentation tank</t>
  </si>
  <si>
    <t>mixing speed in the  homolactic fermentation</t>
  </si>
  <si>
    <t>pH_vol</t>
  </si>
  <si>
    <t>pH_h_d</t>
  </si>
  <si>
    <t>pH_wvol</t>
  </si>
  <si>
    <t>pH_mix</t>
  </si>
  <si>
    <t>maximum volume of pH tank</t>
  </si>
  <si>
    <t>maximum working volume of pH tank</t>
  </si>
  <si>
    <t>mixing speed in pH tank</t>
  </si>
  <si>
    <t>pH_rt</t>
  </si>
  <si>
    <t>retention time in pH tank</t>
  </si>
  <si>
    <t>Reverse Osmosis</t>
  </si>
  <si>
    <t>Water Tank</t>
  </si>
  <si>
    <t>U (1500 U)</t>
  </si>
  <si>
    <t>Lactase Enzyme</t>
  </si>
  <si>
    <t>Lactase Concentration</t>
  </si>
  <si>
    <t>Recycle Pump</t>
  </si>
  <si>
    <t>ro_n</t>
  </si>
  <si>
    <t>efficiency of the reverse osmosis system</t>
  </si>
  <si>
    <t>Heat: Q (W)= mcdT</t>
  </si>
  <si>
    <t>Heat - Hydrolysis</t>
  </si>
  <si>
    <t>Heat - Fermentation</t>
  </si>
  <si>
    <t xml:space="preserve">Hydrolysis </t>
  </si>
  <si>
    <t>J/hr</t>
  </si>
  <si>
    <t>Fermentation</t>
  </si>
  <si>
    <t>Beta-Galactosidase</t>
  </si>
  <si>
    <t>pH Mixing</t>
  </si>
  <si>
    <t>Fermentation Mixing</t>
  </si>
  <si>
    <t>Hydrolysis Mixing</t>
  </si>
  <si>
    <t>Decanter</t>
  </si>
  <si>
    <t>Purified Water Tank</t>
  </si>
  <si>
    <t>Operational Costs - Digestion</t>
  </si>
  <si>
    <t>Operational Costs - Treatment</t>
  </si>
  <si>
    <t>After Water</t>
  </si>
  <si>
    <t>Sand Removal</t>
  </si>
  <si>
    <t>kg/hr-cow</t>
  </si>
  <si>
    <t>Manure+Water Tank</t>
  </si>
  <si>
    <t>FEEDSTOCK PREPARATION</t>
  </si>
  <si>
    <t>retention time in manure tank</t>
  </si>
  <si>
    <t>mw_rt</t>
  </si>
  <si>
    <t>mw_vol</t>
  </si>
  <si>
    <t>mw_h_d</t>
  </si>
  <si>
    <t>mw_wvol</t>
  </si>
  <si>
    <t>mw_mix</t>
  </si>
  <si>
    <t>maximum volume of manure tank</t>
  </si>
  <si>
    <t>maximum working volume of manure tank</t>
  </si>
  <si>
    <t>mixing speed in manure tank</t>
  </si>
  <si>
    <t>fw_rt</t>
  </si>
  <si>
    <t>fw_vol</t>
  </si>
  <si>
    <t>fw_h_d</t>
  </si>
  <si>
    <t>fw_wvol</t>
  </si>
  <si>
    <t>fw_mix</t>
  </si>
  <si>
    <t>retention time in food waste tank</t>
  </si>
  <si>
    <t>maximum volume of food waste tank</t>
  </si>
  <si>
    <t>maximum working volume of food waste tank</t>
  </si>
  <si>
    <t>mixing speed in food waste tank</t>
  </si>
  <si>
    <t>Grit Removal</t>
  </si>
  <si>
    <t>grit</t>
  </si>
  <si>
    <t>motor power</t>
  </si>
  <si>
    <t>time</t>
  </si>
  <si>
    <t>min/cow-d</t>
  </si>
  <si>
    <t>hp-min/d</t>
  </si>
  <si>
    <t>Water Pump</t>
  </si>
  <si>
    <t>Food Waste +Water Tank</t>
  </si>
  <si>
    <t>Manure Pump</t>
  </si>
  <si>
    <t>Food Waste Pump</t>
  </si>
  <si>
    <t>Manure Grinder</t>
  </si>
  <si>
    <t>Food Waste Grinder</t>
  </si>
  <si>
    <t>Grinder</t>
  </si>
  <si>
    <t>Power - Sand Removal</t>
  </si>
  <si>
    <t>ad_ot</t>
  </si>
  <si>
    <t>operating temperature in AD</t>
  </si>
  <si>
    <t>gal/d</t>
  </si>
  <si>
    <t xml:space="preserve">Heat- Crystiallizer </t>
  </si>
  <si>
    <t>Air Pump</t>
  </si>
  <si>
    <t>Output Pump</t>
  </si>
  <si>
    <t xml:space="preserve">Sand Removal </t>
  </si>
  <si>
    <t>Centrifuge</t>
  </si>
  <si>
    <t>Capital Costs -       Digestion</t>
  </si>
  <si>
    <t>Capital Cost -      Treatment</t>
  </si>
  <si>
    <t xml:space="preserve">Ensiling Insulation </t>
  </si>
  <si>
    <t xml:space="preserve">Digester Agitator </t>
  </si>
  <si>
    <t>Pretreatment Agitator</t>
  </si>
  <si>
    <t>Ensiling Pump</t>
  </si>
  <si>
    <t>Digester Pump</t>
  </si>
  <si>
    <t>Digester Heat</t>
  </si>
  <si>
    <t>Power - Ensiling Pump</t>
  </si>
  <si>
    <t>Power - Digester Pump</t>
  </si>
  <si>
    <t>Lactate Feed Pump</t>
  </si>
  <si>
    <t>Digestate Feed Pump</t>
  </si>
  <si>
    <t>LD Feed Pump</t>
  </si>
  <si>
    <t xml:space="preserve">Centrifuge Decanter </t>
  </si>
  <si>
    <t>Power - Centrifuge</t>
  </si>
  <si>
    <t>Applied Volts</t>
  </si>
  <si>
    <t>Acid 1 Pump</t>
  </si>
  <si>
    <t>Acid 2 Pump</t>
  </si>
  <si>
    <t>Base 2 Pump</t>
  </si>
  <si>
    <t>Base 1 Pump</t>
  </si>
  <si>
    <t>Wastewater Treatement</t>
  </si>
  <si>
    <t>lb/yr</t>
  </si>
  <si>
    <t>m3 CW/hr</t>
  </si>
  <si>
    <t>Hydraulic Truck Dump w/ Scale</t>
  </si>
  <si>
    <t>gal/yr</t>
  </si>
  <si>
    <t xml:space="preserve">Cumulative Miles </t>
  </si>
  <si>
    <t>Waste</t>
  </si>
  <si>
    <t>Ketonization - CAPEX</t>
  </si>
  <si>
    <t>Reboiler/Condensor</t>
  </si>
  <si>
    <t>kWh/h</t>
  </si>
  <si>
    <t>Wastewater</t>
  </si>
  <si>
    <t>Recovery Pump</t>
  </si>
  <si>
    <t>Distillation Pump</t>
  </si>
  <si>
    <t>catalyst loading</t>
  </si>
  <si>
    <t>g/ton VFA</t>
  </si>
  <si>
    <t>KO Drum Pump</t>
  </si>
  <si>
    <t>Loading</t>
  </si>
  <si>
    <t>H2 Pump</t>
  </si>
  <si>
    <t>Fixed Bed Reactor - Hydrodeoxygenation</t>
  </si>
  <si>
    <t>Fixed Bed Reactor - Ketonization</t>
  </si>
  <si>
    <t>Food Waste Ensiling</t>
  </si>
  <si>
    <t>Manure Digestion</t>
  </si>
  <si>
    <t>$</t>
  </si>
  <si>
    <t>Insurance</t>
  </si>
  <si>
    <t>&gt;90% Ammonia Sulfate</t>
  </si>
  <si>
    <t>&gt;90% Magnesium Sulfate</t>
  </si>
  <si>
    <t>kg CW/hr</t>
  </si>
  <si>
    <t>Jet Fuel Market Value</t>
  </si>
  <si>
    <t>PC Jet Fuel Low</t>
  </si>
  <si>
    <t>OUTPUTS</t>
  </si>
  <si>
    <t>Baseline Value</t>
  </si>
  <si>
    <t>NPV Operational Cost</t>
  </si>
  <si>
    <t>NPV Capital Cost</t>
  </si>
  <si>
    <t xml:space="preserve">Minimum Selling Price </t>
  </si>
  <si>
    <t xml:space="preserve">Results Analysis </t>
  </si>
  <si>
    <t>SUM(Tax, OPEX, CAPEX)</t>
  </si>
  <si>
    <t>as MSP</t>
  </si>
  <si>
    <t>Total MSP</t>
  </si>
  <si>
    <t>Ammonia Sulfate</t>
  </si>
  <si>
    <t>Magnesium Sulfate</t>
  </si>
  <si>
    <t>Minimum Selling Price</t>
  </si>
  <si>
    <t>Total Loan Payent</t>
  </si>
  <si>
    <t>Facility</t>
  </si>
  <si>
    <t>Total Production Cost</t>
  </si>
  <si>
    <t>Income Tax</t>
  </si>
  <si>
    <t>Discount Factor</t>
  </si>
  <si>
    <t>Annual Cash Income</t>
  </si>
  <si>
    <t>Anuual Present Value</t>
  </si>
  <si>
    <t>Total Capital Investment + Interest</t>
  </si>
  <si>
    <t>NPV  Total Product Sales</t>
  </si>
  <si>
    <t>Distillation</t>
  </si>
  <si>
    <t>L/yr</t>
  </si>
  <si>
    <t>g/yr</t>
  </si>
  <si>
    <t>mL/yr</t>
  </si>
  <si>
    <t>Agitators</t>
  </si>
  <si>
    <t>Conversion Tank</t>
  </si>
  <si>
    <t>Packed Bed Column -CO2</t>
  </si>
  <si>
    <t>Heat -FBR</t>
  </si>
  <si>
    <t>Molecular Sieve Heat Exchanger</t>
  </si>
  <si>
    <t>Scenario B1 CAPEX</t>
  </si>
  <si>
    <t>ton/hr</t>
  </si>
  <si>
    <t>ton/d</t>
  </si>
  <si>
    <t>Condenser</t>
  </si>
  <si>
    <t>Agitator - Conversion</t>
  </si>
  <si>
    <t>Extraction Vessel</t>
  </si>
  <si>
    <t>Separator Vessel</t>
  </si>
  <si>
    <t>Carbon Flow Rate</t>
  </si>
  <si>
    <t>Carbon</t>
  </si>
  <si>
    <t xml:space="preserve"> Price</t>
  </si>
  <si>
    <t>GRAPH VALUES</t>
  </si>
  <si>
    <t>Base Coproduct Price</t>
  </si>
  <si>
    <t>High Coproduct Price</t>
  </si>
  <si>
    <t>Low Coproduct Price</t>
  </si>
  <si>
    <t xml:space="preserve">Base </t>
  </si>
  <si>
    <t xml:space="preserve">High </t>
  </si>
  <si>
    <t>Low</t>
  </si>
  <si>
    <t>Milestone</t>
  </si>
  <si>
    <t>High Flow</t>
  </si>
  <si>
    <t>Other Pure Esters</t>
  </si>
  <si>
    <t>MSP Pentyl Caproate</t>
  </si>
  <si>
    <t>Extractions</t>
  </si>
  <si>
    <t>Purification</t>
  </si>
  <si>
    <t>Base (50 kg)</t>
  </si>
  <si>
    <t>High (1 kg)</t>
  </si>
  <si>
    <t>Low (1 MT)</t>
  </si>
  <si>
    <t>Other Esters</t>
  </si>
  <si>
    <t>Pentyl Caproate Market Value</t>
  </si>
  <si>
    <t>Glucose Flow Rate</t>
  </si>
  <si>
    <t>Galactose Flow Rate</t>
  </si>
  <si>
    <t>Lactose Flow Rate</t>
  </si>
  <si>
    <t>Lactic Acid Flow Rate</t>
  </si>
  <si>
    <t>C6H12O6</t>
  </si>
  <si>
    <t>Carbon %</t>
  </si>
  <si>
    <t xml:space="preserve">Carbon </t>
  </si>
  <si>
    <t>Galactose</t>
  </si>
  <si>
    <t>% C / 100</t>
  </si>
  <si>
    <t>Lactose in Substrate</t>
  </si>
  <si>
    <t>Lactose</t>
  </si>
  <si>
    <t>C12H22O11</t>
  </si>
  <si>
    <t xml:space="preserve">IN </t>
  </si>
  <si>
    <t>Separation</t>
  </si>
  <si>
    <t>MT/hr</t>
  </si>
  <si>
    <t>Total Carbon Flow</t>
  </si>
  <si>
    <t xml:space="preserve">OUT </t>
  </si>
  <si>
    <t>WASTE</t>
  </si>
  <si>
    <t>TYPE</t>
  </si>
  <si>
    <t>Biosolid Recycle</t>
  </si>
  <si>
    <t>mg/hr</t>
  </si>
  <si>
    <t>BIOGAS</t>
  </si>
  <si>
    <t>ACIDS</t>
  </si>
  <si>
    <t>C4H8O2</t>
  </si>
  <si>
    <t>C5H10O2</t>
  </si>
  <si>
    <t>C6H12O2</t>
  </si>
  <si>
    <t>C7H14O2</t>
  </si>
  <si>
    <t>WASTE WATER</t>
  </si>
  <si>
    <t>CHEESE WHEY</t>
  </si>
  <si>
    <t>FERMENTATION BROTH</t>
  </si>
  <si>
    <t>WASTE WHEY</t>
  </si>
  <si>
    <t>CONCENTRATED LACTATE</t>
  </si>
  <si>
    <t>VFAS</t>
  </si>
  <si>
    <t>FEED</t>
  </si>
  <si>
    <t>Sludge</t>
  </si>
  <si>
    <t>SLUDGE</t>
  </si>
  <si>
    <t>Liquid Digestate</t>
  </si>
  <si>
    <t>VFAs</t>
  </si>
  <si>
    <t>LIQUID VFAs</t>
  </si>
  <si>
    <t>Treated Liquid Digestate</t>
  </si>
  <si>
    <t>Biosolid Waste</t>
  </si>
  <si>
    <t>BIOSOLID WASTE</t>
  </si>
  <si>
    <t>BIOSOLID RECYCLE</t>
  </si>
  <si>
    <t>TREATED LIQUID VFAs</t>
  </si>
  <si>
    <t>VFA LOSS</t>
  </si>
  <si>
    <t>fw_C</t>
  </si>
  <si>
    <t>the percentage of carbon in food waste (m:m)</t>
  </si>
  <si>
    <t>Treated Manure LD</t>
  </si>
  <si>
    <t>Liquid Digestate Acids</t>
  </si>
  <si>
    <t>Cheese Whey Lactate</t>
  </si>
  <si>
    <t>LACTATE</t>
  </si>
  <si>
    <t>CONTINUES</t>
  </si>
  <si>
    <t>AQUEOUS WASTE</t>
  </si>
  <si>
    <t>NONYL ACETATE RECYCLE</t>
  </si>
  <si>
    <t>NONYL ACETATE IN</t>
  </si>
  <si>
    <t>C11H22O2</t>
  </si>
  <si>
    <t>EXTRACTION WASTE</t>
  </si>
  <si>
    <t>Extraction Recycle</t>
  </si>
  <si>
    <t>EXTRACTION RECYCLE</t>
  </si>
  <si>
    <t>CO2 WASTE</t>
  </si>
  <si>
    <t>IN = OUT</t>
  </si>
  <si>
    <t>IN AND OUT</t>
  </si>
  <si>
    <t>JET FUEL</t>
  </si>
  <si>
    <t>NAPHTHA</t>
  </si>
  <si>
    <t>SOURCE</t>
  </si>
  <si>
    <t>TARGET</t>
  </si>
  <si>
    <t>VALUE</t>
  </si>
  <si>
    <t>Cheese Fermentation Broth</t>
  </si>
  <si>
    <t>Waste Whey</t>
  </si>
  <si>
    <t>Concentrated Lactate</t>
  </si>
  <si>
    <t>Aqueous Waste</t>
  </si>
  <si>
    <t>Manure Feed</t>
  </si>
  <si>
    <t>Biogas</t>
  </si>
  <si>
    <t>Food Waste Feed</t>
  </si>
  <si>
    <t>FW Digestate</t>
  </si>
  <si>
    <t>Liquid Manure Digestate</t>
  </si>
  <si>
    <t>Crystal Formation</t>
  </si>
  <si>
    <t>FOOD WASTE</t>
  </si>
  <si>
    <t xml:space="preserve">TREATED LIQUID </t>
  </si>
  <si>
    <t>Treated Manure Liquid</t>
  </si>
  <si>
    <t>Manure Biosolid Recycle</t>
  </si>
  <si>
    <t>Chain-Elongation Biosolid Recycle</t>
  </si>
  <si>
    <t>VFA Concentrate</t>
  </si>
  <si>
    <t>Neat VFAs</t>
  </si>
  <si>
    <t>Extraction Waste</t>
  </si>
  <si>
    <t>Nonyl Acetate Waste</t>
  </si>
  <si>
    <t>CO2 Waste</t>
  </si>
  <si>
    <t>Manure Biosolids Recycle</t>
  </si>
  <si>
    <t>Biosolids Waste</t>
  </si>
  <si>
    <t>Chain-Elongation Biosolids Recycle</t>
  </si>
  <si>
    <t>LIST</t>
  </si>
  <si>
    <t>w/recycle</t>
  </si>
  <si>
    <t>w/ no recycle</t>
  </si>
  <si>
    <t>AB</t>
  </si>
  <si>
    <t xml:space="preserve"> MATRIX</t>
  </si>
  <si>
    <t>IN = chain elongation liquid digestate</t>
  </si>
  <si>
    <t>CHAIN-ELONGATION LD</t>
  </si>
  <si>
    <t>ALCOHOL CONVERSION OUT</t>
  </si>
  <si>
    <t>VFA Stream</t>
  </si>
  <si>
    <t>Alcohol Stream</t>
  </si>
  <si>
    <t>GLUCOSE</t>
  </si>
  <si>
    <t>NEAT VFA</t>
  </si>
  <si>
    <t>ALCOHOL STREAM</t>
  </si>
  <si>
    <t>NEAT STREAM</t>
  </si>
  <si>
    <t>Neat VFA</t>
  </si>
  <si>
    <t>Neat Stream</t>
  </si>
  <si>
    <t>VFA NEAT</t>
  </si>
  <si>
    <t>NEAT</t>
  </si>
  <si>
    <t>ESTERIFICATION CONT</t>
  </si>
  <si>
    <t>PURE ESTERS</t>
  </si>
  <si>
    <t>Chain-elongation LD to Alcohol conversion D</t>
  </si>
  <si>
    <t>Alcohol Conversion Effluent</t>
  </si>
  <si>
    <t>Glucose to AC</t>
  </si>
  <si>
    <t>AC to VFA Stream</t>
  </si>
  <si>
    <t>AC to Alcohol Stream</t>
  </si>
  <si>
    <t>AC to Aqueous Waste</t>
  </si>
  <si>
    <t>VFA stream to neat vfa</t>
  </si>
  <si>
    <t>VFA stream to aqueous waste</t>
  </si>
  <si>
    <t>Alcohol stream to neat stream</t>
  </si>
  <si>
    <t>alcohol stream to aqueous waste</t>
  </si>
  <si>
    <t>neat stream to esters</t>
  </si>
  <si>
    <t>esters to pure esters</t>
  </si>
  <si>
    <t>esters to aqueos waste</t>
  </si>
  <si>
    <t>Alcohol stream</t>
  </si>
  <si>
    <t>neat vfa to esters</t>
  </si>
  <si>
    <t>Esters</t>
  </si>
  <si>
    <t>Pure Esters</t>
  </si>
  <si>
    <t>KG PER HOUR</t>
  </si>
  <si>
    <t xml:space="preserve">GGE </t>
  </si>
  <si>
    <t>amount of leachate in manure and foodwaste</t>
  </si>
  <si>
    <t>amount of leachate in AD biosolids</t>
  </si>
  <si>
    <t>emissions of stabilized sludge</t>
  </si>
  <si>
    <t>Tipping Fee</t>
  </si>
  <si>
    <t>Investment Cost</t>
  </si>
  <si>
    <t>Accourding to Franhofer IWES, 2012</t>
  </si>
  <si>
    <t>m3/hr raw biogas</t>
  </si>
  <si>
    <t>euro/m3 capacity</t>
  </si>
  <si>
    <t>Upgrading Capacity</t>
  </si>
  <si>
    <t>Specific Investment</t>
  </si>
  <si>
    <t>Equation of Best Fit</t>
  </si>
  <si>
    <t>x2</t>
  </si>
  <si>
    <t>c</t>
  </si>
  <si>
    <t>euro cent / kWh</t>
  </si>
  <si>
    <t>euro/m3/hr</t>
  </si>
  <si>
    <t>Assume</t>
  </si>
  <si>
    <t>kWh/m3 biogas</t>
  </si>
  <si>
    <t>Cost of kWh</t>
  </si>
  <si>
    <t>cent/kWh</t>
  </si>
  <si>
    <t>Specific Upgrading Cost</t>
  </si>
  <si>
    <t>USD/m3/hr</t>
  </si>
  <si>
    <t>Specific Cost</t>
  </si>
  <si>
    <t>n</t>
  </si>
  <si>
    <t>OPERATIONAL EXPENSE - BIOMETHANE</t>
  </si>
  <si>
    <t>CAPITAL EXPENSE - BIOMETHANE</t>
  </si>
  <si>
    <t>Total Energy Demand</t>
  </si>
  <si>
    <t>Biomethane</t>
  </si>
  <si>
    <t>Fertilizer (?)</t>
  </si>
  <si>
    <t>MSP BioMethane</t>
  </si>
  <si>
    <t>per m3</t>
  </si>
  <si>
    <t>Fertilizer</t>
  </si>
  <si>
    <t>Bio-Methane Purification</t>
  </si>
  <si>
    <t>Energy Density of Hydrocarbon Mixture</t>
  </si>
  <si>
    <t>Jet Fuel (Hydrocarbon C8-C16)</t>
  </si>
  <si>
    <t>Naphtha (Hydrocarbon &lt;C8)</t>
  </si>
  <si>
    <t>Heat of Combustion</t>
  </si>
  <si>
    <t>MJ/mol</t>
  </si>
  <si>
    <t>J/kg</t>
  </si>
  <si>
    <t>Discounted Energy</t>
  </si>
  <si>
    <t>Total Discounted Energy</t>
  </si>
  <si>
    <t>Discounted Capital Costs</t>
  </si>
  <si>
    <t>Land Capital - Discounted</t>
  </si>
  <si>
    <t>Working Capital - Discounted</t>
  </si>
  <si>
    <t>Sustainable Aviation Fuel Credit</t>
  </si>
  <si>
    <t>kg - jet fuel</t>
  </si>
  <si>
    <t>Total Discounted Cost</t>
  </si>
  <si>
    <t>net Levelized Cost of Energy - SAF</t>
  </si>
  <si>
    <t xml:space="preserve">Energy Generated </t>
  </si>
  <si>
    <t>SUSTAINABLE AVIATION FUEL</t>
  </si>
  <si>
    <t>BIO-METHANE PRODUCTION</t>
  </si>
  <si>
    <t>net Levelized Cost of Energy - BM</t>
  </si>
  <si>
    <t>m3/yr</t>
  </si>
  <si>
    <t>USD/kWh</t>
  </si>
  <si>
    <t>PETROCHEMICAL JET FUEL</t>
  </si>
  <si>
    <t>Energy Content of Jet Fuel</t>
  </si>
  <si>
    <t>Price of Jet A Fuel</t>
  </si>
  <si>
    <t>per gal</t>
  </si>
  <si>
    <t>kWh/gal</t>
  </si>
  <si>
    <t>Cost of Energy</t>
  </si>
  <si>
    <t>USD/kWH</t>
  </si>
  <si>
    <t>Capital Cost</t>
  </si>
  <si>
    <t>Operation Cost</t>
  </si>
  <si>
    <t>Tax Credits</t>
  </si>
  <si>
    <t>NaOH Addition</t>
  </si>
  <si>
    <t>Sodium Hydroxide Addition</t>
  </si>
  <si>
    <t>NaOH Addition pH 5 to pH 9</t>
  </si>
  <si>
    <t>NaOH Addition to raise pH by 1</t>
  </si>
  <si>
    <t>mL CH4 / g VS</t>
  </si>
  <si>
    <t>kg (2 ton)</t>
  </si>
  <si>
    <t>Cheese whey to fermentation broth</t>
  </si>
  <si>
    <t>cheese whey to waste whey</t>
  </si>
  <si>
    <t>Fermentation broth to concentrated lactate</t>
  </si>
  <si>
    <t>fermentation broth to aquous waste</t>
  </si>
  <si>
    <t>Manure Feed to Manure Digestate</t>
  </si>
  <si>
    <t>Manure feed to biogas</t>
  </si>
  <si>
    <t>food waste feed to food waste digestate</t>
  </si>
  <si>
    <t>recycle stream</t>
  </si>
  <si>
    <t>food waste feed to biogas</t>
  </si>
  <si>
    <t>Manure Digestate to Liquid Manure Digestate</t>
  </si>
  <si>
    <t>Manure Digestate to Biosolids Waste</t>
  </si>
  <si>
    <t>Liquid Manure Digestate to Treated Manure Digestate</t>
  </si>
  <si>
    <t>Carbon Calculations</t>
  </si>
  <si>
    <t>g VS/hr</t>
  </si>
  <si>
    <t xml:space="preserve"> Volatile Solid Flow Rate</t>
  </si>
  <si>
    <t>Methane Carbon</t>
  </si>
  <si>
    <t>CO2 Carbon</t>
  </si>
  <si>
    <t>L CH4/hr</t>
  </si>
  <si>
    <t>L Biogas/hr</t>
  </si>
  <si>
    <t>L CO2/hr</t>
  </si>
  <si>
    <t>L Ideal Gas STP</t>
  </si>
  <si>
    <t>Biogas Carbon</t>
  </si>
  <si>
    <t>Food Waste Biogas</t>
  </si>
  <si>
    <t>Manure Biogas</t>
  </si>
  <si>
    <t>Off Gas Carbon</t>
  </si>
  <si>
    <t>L/ g VS</t>
  </si>
  <si>
    <t>Methane Yield</t>
  </si>
  <si>
    <t>Carbon Dioxide Yield</t>
  </si>
  <si>
    <t>Nitrogen Yield</t>
  </si>
  <si>
    <t>Hydrogen Sulfide Yield</t>
  </si>
  <si>
    <t>Percent</t>
  </si>
  <si>
    <t>Scenario AB1 CAPEX</t>
  </si>
  <si>
    <t>Percentage</t>
  </si>
  <si>
    <t>Scenario A</t>
  </si>
  <si>
    <t>Scenario B</t>
  </si>
  <si>
    <t>Scenario AB</t>
  </si>
  <si>
    <t>Total Discounted CoProduct Revenue</t>
  </si>
  <si>
    <t>J/s</t>
  </si>
  <si>
    <t>MJ/kg</t>
  </si>
  <si>
    <t xml:space="preserve">SCALE </t>
  </si>
  <si>
    <t>ton C/hr</t>
  </si>
  <si>
    <t>Jet Market Value</t>
  </si>
  <si>
    <t>Harris Ranch, CA</t>
  </si>
  <si>
    <t xml:space="preserve">Total Plant Flow Rates </t>
  </si>
  <si>
    <t>Path A</t>
  </si>
  <si>
    <t>Path AB</t>
  </si>
  <si>
    <t>% Magnesium Sulfate</t>
  </si>
  <si>
    <t>% Ammonium Sulfate</t>
  </si>
  <si>
    <t>Total Alcohol</t>
  </si>
  <si>
    <t>Ethanol Ratio</t>
  </si>
  <si>
    <t>CARBON FLOW RATES</t>
  </si>
  <si>
    <t>PATH A start here</t>
  </si>
  <si>
    <t>CALCULATIONS - CAPEX</t>
  </si>
  <si>
    <t>LOCATION ANALYSIS</t>
  </si>
  <si>
    <t>fw_cap</t>
  </si>
  <si>
    <t>FW/M</t>
  </si>
  <si>
    <t>Ratio food waste to manure</t>
  </si>
  <si>
    <t>capita</t>
  </si>
  <si>
    <t>fw_capita</t>
  </si>
  <si>
    <t>April 2026  PPI</t>
  </si>
  <si>
    <t>Net Present Values</t>
  </si>
  <si>
    <t>Total Net Present Value</t>
  </si>
  <si>
    <t>DCFROR GRAPH</t>
  </si>
  <si>
    <t>MINIMUM SELLING PRICE AS NET PRESENT VALUE</t>
  </si>
  <si>
    <t>CONVERSION</t>
  </si>
  <si>
    <t>MSP Jet Fuel - 50k kg/hr</t>
  </si>
  <si>
    <t>Pilot Scale Flow Rate - 50,000 kg/hr</t>
  </si>
  <si>
    <t>Commercial Scale Flow Rate - 150,000 kg/hr</t>
  </si>
  <si>
    <t>NET PRESENT VALUES</t>
  </si>
  <si>
    <t>Operational Expenses</t>
  </si>
  <si>
    <t>STORAGE - COMMERCIAL SCALE</t>
  </si>
  <si>
    <t>STORAGE - PILOT SCALE</t>
  </si>
  <si>
    <t>Base Co-product Price</t>
  </si>
  <si>
    <t>High Co-product Price</t>
  </si>
  <si>
    <t>Low Co-product Price</t>
  </si>
  <si>
    <t>32°C Crystals</t>
  </si>
  <si>
    <t>2°C Crystals</t>
  </si>
  <si>
    <t>100°C Crystals</t>
  </si>
  <si>
    <t>Pilot Scale - 50,000 kg/hr (25,000 input value)</t>
  </si>
  <si>
    <t>Commercial Scale - 150,000 kg/hr (75,000 input value)</t>
  </si>
  <si>
    <t>Convert</t>
  </si>
  <si>
    <t>Electrodialysis A</t>
  </si>
  <si>
    <t>Electrodialysis B</t>
  </si>
  <si>
    <t>Liquid-Liquid Extraction A</t>
  </si>
  <si>
    <t>Liquid-Liquid Extraction B</t>
  </si>
  <si>
    <t>Pilot Scale Values Storage</t>
  </si>
  <si>
    <t>Commercial Scale Value Storage</t>
  </si>
  <si>
    <t>Path A - Jet Only</t>
  </si>
  <si>
    <t>Path AB - Jet &amp; Esters</t>
  </si>
  <si>
    <t>Store Commercial Scale Values</t>
  </si>
  <si>
    <t>Store Pilot Scale Values</t>
  </si>
  <si>
    <t>Triethanolamine</t>
  </si>
  <si>
    <t>Market Value:</t>
  </si>
  <si>
    <t>1 MT [USD]</t>
  </si>
  <si>
    <t>1 kg [USD]</t>
  </si>
  <si>
    <t>Caproic Acid *</t>
  </si>
  <si>
    <t>Pentanol *</t>
  </si>
  <si>
    <t>Pentyl Caproate *</t>
  </si>
  <si>
    <t>Kilograms</t>
  </si>
  <si>
    <t>Figure</t>
  </si>
  <si>
    <t>Waste Collected (kg/yr)</t>
  </si>
  <si>
    <t>Waste Collected - 0.48 M Scale</t>
  </si>
  <si>
    <t>Discounted Waste</t>
  </si>
  <si>
    <t>Total Discounted Waste</t>
  </si>
  <si>
    <t>net Levelized Cost of Disposal - SAF</t>
  </si>
  <si>
    <t>USD/kg</t>
  </si>
  <si>
    <t>net Levelized Cost of Disposal - DM</t>
  </si>
  <si>
    <t>BM - Energy</t>
  </si>
  <si>
    <t>BM - Disposal</t>
  </si>
  <si>
    <t>OSAF - Energy</t>
  </si>
  <si>
    <t>OWAF - Disposal</t>
  </si>
  <si>
    <t>Coproducts</t>
  </si>
  <si>
    <t>Costs</t>
  </si>
  <si>
    <t>USD/kg Waste</t>
  </si>
  <si>
    <t>net Levelized Cost of Disposal - BM</t>
  </si>
  <si>
    <t xml:space="preserve">BM </t>
  </si>
  <si>
    <t xml:space="preserve">SAF </t>
  </si>
  <si>
    <t>BM</t>
  </si>
  <si>
    <t>SAF</t>
  </si>
  <si>
    <t>Ecoinvent 391 Cutoff Process</t>
  </si>
  <si>
    <t>Associated TRACI 2.2 Emissions</t>
  </si>
  <si>
    <t>transport, freight, sea, tanker for liquid goods other than petroleum and liquefied natural gas | transport, freight, sea, tanker for liquid goods other than petroleum and liquefied natural gas | Cutoff, S</t>
  </si>
  <si>
    <t>tonne*km</t>
  </si>
  <si>
    <t>km</t>
  </si>
  <si>
    <t>kg SO2 eq / 30 yr</t>
  </si>
  <si>
    <t>CTUh / 30 yr</t>
  </si>
  <si>
    <t>tonne/yr</t>
  </si>
  <si>
    <t>CTUe / 30 yr</t>
  </si>
  <si>
    <t>tonne*km/30 yr</t>
  </si>
  <si>
    <t xml:space="preserve">Eutrophication: Freshwater </t>
  </si>
  <si>
    <t>kg P eq</t>
  </si>
  <si>
    <t>kg P eq / 30 yr</t>
  </si>
  <si>
    <t>Eutrophication: Marine</t>
  </si>
  <si>
    <t>kg N eq / 30 yr</t>
  </si>
  <si>
    <t>kg CO2 eq / 30 yr</t>
  </si>
  <si>
    <t>Non carcinogenics</t>
  </si>
  <si>
    <t>CFC-11</t>
  </si>
  <si>
    <t>CFC-11 / 30 yr</t>
  </si>
  <si>
    <t>Respiratory Effects (Particulate)</t>
  </si>
  <si>
    <t>PM 2.5</t>
  </si>
  <si>
    <t>PM 2.5 / 30 yr</t>
  </si>
  <si>
    <t>Smog (Photochemical Oxidation Formation)</t>
  </si>
  <si>
    <t>kg O3 eq / 30 yr</t>
  </si>
  <si>
    <t>transport, freight, lorry 16-32 metric ton, unregulated | transport, freight, lorry 16-32 metric ton, unregulated | Cutoff, S</t>
  </si>
  <si>
    <t>mi/trip</t>
  </si>
  <si>
    <t>market for pump, 40W | pump, 40W | Cutoff, S</t>
  </si>
  <si>
    <t xml:space="preserve">316 Stainless Steel </t>
  </si>
  <si>
    <t>pump head</t>
  </si>
  <si>
    <t>pump efficiency</t>
  </si>
  <si>
    <t>pumps</t>
  </si>
  <si>
    <t>market for steel, unalloyed | steel, unalloyed | Cutoff, S</t>
  </si>
  <si>
    <t xml:space="preserve">kg steel </t>
  </si>
  <si>
    <t>per kg/hr flow</t>
  </si>
  <si>
    <t>filter</t>
  </si>
  <si>
    <t>m2 SA</t>
  </si>
  <si>
    <t>per m3/hr</t>
  </si>
  <si>
    <t>market for carbon black | carbon black | Cutoff, S</t>
  </si>
  <si>
    <t>market for concrete, 30MPa | concrete, 30MPa | Cutoff, S</t>
  </si>
  <si>
    <t>sulfuric acid tank</t>
  </si>
  <si>
    <t>caustic storage tank</t>
  </si>
  <si>
    <t xml:space="preserve">Electricity Used </t>
  </si>
  <si>
    <t>market for electricity, medium voltage | electricity, medium voltage | Cutoff, S</t>
  </si>
  <si>
    <t>FU</t>
  </si>
  <si>
    <t>stone wool production | stone wool | Cutoff, S</t>
  </si>
  <si>
    <t>m thick</t>
  </si>
  <si>
    <t>kg per kW</t>
  </si>
  <si>
    <t>items</t>
  </si>
  <si>
    <t>kg steel/item</t>
  </si>
  <si>
    <t>kg steel</t>
  </si>
  <si>
    <t>seawater reverse osmosis module production, 8-inch spiral wound, enhanced | seawater reverse osmosis module | Cutoff, S</t>
  </si>
  <si>
    <t>market for whey | whey | Cutoff, S - Glo</t>
  </si>
  <si>
    <t>kg/ 30 yr</t>
  </si>
  <si>
    <t>enzymes production | enzymes | Cutoff, S</t>
  </si>
  <si>
    <t>U/30yr</t>
  </si>
  <si>
    <t>row</t>
  </si>
  <si>
    <t>U/kg</t>
  </si>
  <si>
    <t>market for agricultural machinery, unspecified | agricultural machinery, unspecified | Cutoff, S</t>
  </si>
  <si>
    <t>cow/machine</t>
  </si>
  <si>
    <t>kg machine</t>
  </si>
  <si>
    <t>Anaerobic Digester - Manure</t>
  </si>
  <si>
    <t>anaerobic digestion plant construction, agriculture, with methane recovery | anaerobic digestion plant, agriculture, with methane recovery | Cutoff, S - RoW</t>
  </si>
  <si>
    <t>digestor</t>
  </si>
  <si>
    <t>m3 capacity</t>
  </si>
  <si>
    <t>Anaerobic Digester - Food Waste</t>
  </si>
  <si>
    <t>market for electronic component machinery, unspecified | electronic component machinery, unspecified | Cutoff, S</t>
  </si>
  <si>
    <t>machine</t>
  </si>
  <si>
    <t>item</t>
  </si>
  <si>
    <t>kWh/30yr</t>
  </si>
  <si>
    <t>Anaerobic Digester</t>
  </si>
  <si>
    <t>market for pump, 40W | pump, 40W | Cutoff, S -Glo</t>
  </si>
  <si>
    <t>air compressor production, screw-type compressor, 300kW | air compressor, screw-type compressor, 300kW | Cutoff, S - RoW</t>
  </si>
  <si>
    <t>kg/hr / 300 kW</t>
  </si>
  <si>
    <t>absorption chiller production, 100kW | absorption chiller, 100kW | Cutoff, S - Row</t>
  </si>
  <si>
    <t>kW / m3/hr</t>
  </si>
  <si>
    <t>market for blower and heat exchange unit, central, 600-1200 m3/h | blower and heat exchange unit, central, 600-1200 m3/h | Cutoff, S - GLO</t>
  </si>
  <si>
    <t>m3/h</t>
  </si>
  <si>
    <t>market for gas boiler | gas boiler | Cutoff, S - Glo</t>
  </si>
  <si>
    <t>Biosolids Land Application</t>
  </si>
  <si>
    <t>ton/30 yr</t>
  </si>
  <si>
    <t>treatment of sewage sludge, 97% water, WWT, WW, average, landfarming | sewage sludge, 97% water, WWT, WW, average | Cutoff, S</t>
  </si>
  <si>
    <t>kg/30yr</t>
  </si>
  <si>
    <t>treatment of wastewater, average, wastewater treatment | wastewater, average | Cutoff, S</t>
  </si>
  <si>
    <t>m3/30yr</t>
  </si>
  <si>
    <t>kWh / 30 yr</t>
  </si>
  <si>
    <t>butyl acetate production | butyl acetate | Cutoff, S</t>
  </si>
  <si>
    <t xml:space="preserve">600-1200 </t>
  </si>
  <si>
    <t>Zirconium Dioxide Catalyst</t>
  </si>
  <si>
    <t>market for zirconium oxide | zirconium oxide | Cutoff, S</t>
  </si>
  <si>
    <t>Glo</t>
  </si>
  <si>
    <t>market for platinum | platinum | Cutoff, S</t>
  </si>
  <si>
    <t>esterification of soybean oil | fatty acid methyl ester | Cutoff, S</t>
  </si>
  <si>
    <t xml:space="preserve">m2 </t>
  </si>
  <si>
    <t>reactors</t>
  </si>
  <si>
    <t>filters</t>
  </si>
  <si>
    <t>market for glucose | glucose | Cutoff, S</t>
  </si>
  <si>
    <t>kg / 30 yr</t>
  </si>
  <si>
    <t>sodium phosphate production | sodium phosphate | Cutoff, S</t>
  </si>
  <si>
    <t>L/30 yr</t>
  </si>
  <si>
    <t>market for calcium chloride | calcium chloride | Cutoff, S</t>
  </si>
  <si>
    <t>mL/30yr</t>
  </si>
  <si>
    <t>reactor</t>
  </si>
  <si>
    <t>market for carbon dioxide, liquid | carbon dioxide, liquid | Cutoff, S</t>
  </si>
  <si>
    <t>sulfuric acid production | sulfuric acid | Cutoff, S</t>
  </si>
  <si>
    <t>molecular sieve separation of naphtha | methylcyclopentane | Cutoff, S</t>
  </si>
  <si>
    <t>product</t>
  </si>
  <si>
    <t>land use change, annual crop | land use change, annual crop | Cutoff, S</t>
  </si>
  <si>
    <t>ha</t>
  </si>
  <si>
    <t xml:space="preserve">Category </t>
  </si>
  <si>
    <t>Boat Transport</t>
  </si>
  <si>
    <t>Truck Transport</t>
  </si>
  <si>
    <t>ALLOCATION</t>
  </si>
  <si>
    <t>Desalinated Water</t>
  </si>
  <si>
    <t>$/30yr</t>
  </si>
  <si>
    <t>Sodium Hydroxide</t>
  </si>
  <si>
    <t xml:space="preserve">kg / 30 yr </t>
  </si>
  <si>
    <t>kg SO2 eq / m3</t>
  </si>
  <si>
    <t>CTUh / m3</t>
  </si>
  <si>
    <t>CTUe / m3</t>
  </si>
  <si>
    <t>kg P eq / m3</t>
  </si>
  <si>
    <t>kg N eq / m3</t>
  </si>
  <si>
    <t>kg CO2 eq / m3</t>
  </si>
  <si>
    <t>CFC-11 / m3</t>
  </si>
  <si>
    <t>PM 2.5 / m3</t>
  </si>
  <si>
    <t>kg O3 eq / m3</t>
  </si>
  <si>
    <t>tap water production, conventional treatment | tap water | Cutoff, S</t>
  </si>
  <si>
    <t>market for sodium hydroxide, without water, in 50% solution state | sodium hydroxide, without water, in 50% solution state | Cutoff, S</t>
  </si>
  <si>
    <t>kg SO2 eq / kg</t>
  </si>
  <si>
    <t>CTUh / kg</t>
  </si>
  <si>
    <t>CTUe / kg</t>
  </si>
  <si>
    <t>kg P eq / kg</t>
  </si>
  <si>
    <t>kg N eq / kg</t>
  </si>
  <si>
    <t>kg CO2 eq / kg</t>
  </si>
  <si>
    <t>CFC-11 / kg</t>
  </si>
  <si>
    <t>PM 2.5 / kg</t>
  </si>
  <si>
    <t>kg O3 eq / kg</t>
  </si>
  <si>
    <t>Tank Walls</t>
  </si>
  <si>
    <t xml:space="preserve">Insulation </t>
  </si>
  <si>
    <t xml:space="preserve"> Agitators</t>
  </si>
  <si>
    <t>Lactic Acid Produced</t>
  </si>
  <si>
    <t>lactic acid production | lactic acid | Cutoff, S</t>
  </si>
  <si>
    <t>Digestion Processes</t>
  </si>
  <si>
    <t>Grinders &amp; Feed Pumps</t>
  </si>
  <si>
    <t>Bioconversion Equipment</t>
  </si>
  <si>
    <t>Filtration</t>
  </si>
  <si>
    <t>Separation Columns and Equipment</t>
  </si>
  <si>
    <t>Electricity &amp; Biogas</t>
  </si>
  <si>
    <t>Biosolid Land Application</t>
  </si>
  <si>
    <t>Organic Waste Processed</t>
  </si>
  <si>
    <t>m3/ 30 yr</t>
  </si>
  <si>
    <t>anaerobic digestion | biowaste | Cutoff, S</t>
  </si>
  <si>
    <t>Fertilizer Production</t>
  </si>
  <si>
    <t>Ion Exchange Membranes</t>
  </si>
  <si>
    <t>Reactor Equipment</t>
  </si>
  <si>
    <t>Seperation Columns and Equipment</t>
  </si>
  <si>
    <t>$/30 yr</t>
  </si>
  <si>
    <t>Sodium Sulfate</t>
  </si>
  <si>
    <t>Allocate</t>
  </si>
  <si>
    <t>sodium sulfate production, from natural sources | sodium sulfate, anhydrite | Cutoff, S</t>
  </si>
  <si>
    <t>Heat Exchangers</t>
  </si>
  <si>
    <t>Catalysts</t>
  </si>
  <si>
    <t>Other Operations</t>
  </si>
  <si>
    <t>Fuel Combustion</t>
  </si>
  <si>
    <t>Sum</t>
  </si>
  <si>
    <t>Grinders and Feed Pumps</t>
  </si>
  <si>
    <t xml:space="preserve"> Filtration</t>
  </si>
  <si>
    <t>Separation Columns &amp; Equipment</t>
  </si>
  <si>
    <t>GGE / 30 yr</t>
  </si>
  <si>
    <t>Gal Deisel used per year</t>
  </si>
  <si>
    <t>kg / 30yr</t>
  </si>
  <si>
    <t>Gal Deisel produced per year</t>
  </si>
  <si>
    <t>Proposed Jet Fuel</t>
  </si>
  <si>
    <t>W/O Credits</t>
  </si>
  <si>
    <t>kg SO2 eq / GGE</t>
  </si>
  <si>
    <t>CTUh / GGE</t>
  </si>
  <si>
    <t>CTUe / GGE</t>
  </si>
  <si>
    <t>kg P eq / GGE</t>
  </si>
  <si>
    <t>kg N eq / GGE</t>
  </si>
  <si>
    <t>kg CO2 eq / GGE</t>
  </si>
  <si>
    <t>CFC-11 / GGE</t>
  </si>
  <si>
    <t>PM 2.5 / GGE</t>
  </si>
  <si>
    <t>kg O3 eq / GGE</t>
  </si>
  <si>
    <t>production of fuel</t>
  </si>
  <si>
    <t>market for diesel | diesel | Cutoff, S</t>
  </si>
  <si>
    <t>ROW</t>
  </si>
  <si>
    <t>production and combustion of fuel</t>
  </si>
  <si>
    <t>market for diesel, burned in diesel-electric generating set, 10MW | diesel, burned in diesel-electric generating set, 10MW | Cutoff, S</t>
  </si>
  <si>
    <t>kg SO2 eq / MJ</t>
  </si>
  <si>
    <t>CTUh / MJ</t>
  </si>
  <si>
    <t>CTUe / MJ</t>
  </si>
  <si>
    <t>kg P eq / MJ</t>
  </si>
  <si>
    <t>kg N eq / MJ</t>
  </si>
  <si>
    <t>kg CO2 eq / MJ</t>
  </si>
  <si>
    <t>CFC-11 / MJ</t>
  </si>
  <si>
    <t>PM 2.5 / MJ</t>
  </si>
  <si>
    <t>kg O3 eq / MJ</t>
  </si>
  <si>
    <t>combustion of diesel fuel</t>
  </si>
  <si>
    <t>Conventional Fuel Cradel to Grave</t>
  </si>
  <si>
    <t>treatment of biowaste, industrial composting | biowaste | Cutoff, S</t>
  </si>
  <si>
    <t>APPLY CREDITS</t>
  </si>
  <si>
    <t>Proposed - Open Pit Landfill</t>
  </si>
  <si>
    <t>Proposed - Industrial Composting</t>
  </si>
  <si>
    <t>Proposed - Anaerobic Digestion</t>
  </si>
  <si>
    <t>Proposed - Municipal Incineration</t>
  </si>
  <si>
    <t>Standard Fuel</t>
  </si>
  <si>
    <t>Proposed - No Credits</t>
  </si>
  <si>
    <t>Proposed - Industrial Composting Credit</t>
  </si>
  <si>
    <t>Proposed - Anaerobic Digestion Credit</t>
  </si>
  <si>
    <t>Proposed - Municipal Incineration Credit</t>
  </si>
  <si>
    <t>Proposed - Open Pit Landfill Credit</t>
  </si>
  <si>
    <t>PATH AB</t>
  </si>
  <si>
    <t>Operational Inputs</t>
  </si>
  <si>
    <t>$ / 30 yr</t>
  </si>
  <si>
    <t>treatment of biowaste, open dump | biowaste | Cutoff, S</t>
  </si>
  <si>
    <t>https://doi.org/10.1021/acs.est.0c00364</t>
  </si>
  <si>
    <t>kg CO2 eq / tonn waste</t>
  </si>
  <si>
    <t>Conventional Fuel =</t>
  </si>
  <si>
    <t>Proposed - No Credits =</t>
  </si>
  <si>
    <t>Proposed - Industrial Composting Credit =</t>
  </si>
  <si>
    <t>Proposed - Anaerobic Digestion Credit =</t>
  </si>
  <si>
    <t>Proposed - Municipal Incineration Credit =</t>
  </si>
  <si>
    <t>Proposed - Sanitary Landfill =</t>
  </si>
  <si>
    <t>Proposed - Open Pit Landfill Credit =</t>
  </si>
  <si>
    <t>Proposed Fuel</t>
  </si>
  <si>
    <t>Carbon Credit</t>
  </si>
  <si>
    <t>Total Potential</t>
  </si>
  <si>
    <t>DO NOT DELETE THIS SHEET</t>
  </si>
  <si>
    <t>DO NOT MAKE ANY CHANGES TO THIS SHEET</t>
  </si>
  <si>
    <t>Disposal</t>
  </si>
  <si>
    <t>Commercial Scale with Co-Products</t>
  </si>
  <si>
    <t>Pilot Scale</t>
  </si>
  <si>
    <t>Commercial Scale</t>
  </si>
  <si>
    <t>Lactic Acid Total</t>
  </si>
  <si>
    <t>Lactic Acid Flow</t>
  </si>
  <si>
    <t>USD/GGE</t>
  </si>
  <si>
    <t>USD/MJ</t>
  </si>
  <si>
    <t>PATH A ECONOMIC ALLOCATION</t>
  </si>
  <si>
    <t>Conventional Petrochemical Fuel LCA</t>
  </si>
  <si>
    <t>Conventional Petrochemical Fuels LCA</t>
  </si>
  <si>
    <t>PATH AB ECONOMIC ALLOCATION</t>
  </si>
  <si>
    <t>GWP SCENARIO ANALYSIS</t>
  </si>
  <si>
    <t>Interpolating Ester MW</t>
  </si>
  <si>
    <t>SEA WATER BIPOLAR MEMBRANE ELECTRODIALYSIS</t>
  </si>
  <si>
    <t xml:space="preserve">ANAEROBIC DIGESTION </t>
  </si>
  <si>
    <t xml:space="preserve">Baseline Operating Conditions and Results - 2000L South Dakota School of Mines </t>
  </si>
  <si>
    <t>Alcohol Conversion Experimental Results</t>
  </si>
  <si>
    <t>ECONOMIES OF SCALE FIGURE</t>
  </si>
  <si>
    <t>Market Value Analysis Figure</t>
  </si>
  <si>
    <t>Specific Cost Analysis</t>
  </si>
  <si>
    <t>kg NaOH</t>
  </si>
  <si>
    <t xml:space="preserve">USD </t>
  </si>
  <si>
    <t>NaOH Market Value Analysis</t>
  </si>
  <si>
    <t>Net Levelized Cost of Energy and Disposal - Including Coproducts</t>
  </si>
  <si>
    <t>Levelized Cost of Energy and Disposal - Excluding Coproducts</t>
  </si>
  <si>
    <t>It will break the circular references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</si>
</sst>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3" formatCode="_(* #,##0.00_);_(* \(#,##0.00\);_(* &quot;-&quot;??_);_(@_)"/>
    <numFmt numFmtId="164" formatCode="&quot;$&quot;#,##0_);[Red]\(&quot;$&quot;#,##0\)"/>
    <numFmt numFmtId="165" formatCode="&quot;$&quot;#,##0.00_);\(&quot;$&quot;#,##0.00\)"/>
    <numFmt numFmtId="166" formatCode="&quot;$&quot;#,##0.00_);[Red]\(&quot;$&quot;#,##0.00\)"/>
    <numFmt numFmtId="167" formatCode="_(&quot;$&quot;* #,##0.00_);_(&quot;$&quot;* \(#,##0.00\);_(&quot;$&quot;* &quot;-&quot;??_);_(@_)"/>
    <numFmt numFmtId="168" formatCode="_(* #,##0.000_);_(* \(#,##0.000\);_(* &quot;-&quot;??_);_(@_)"/>
    <numFmt numFmtId="169" formatCode="_(* #,##0_);_(* \(#,##0\);_(* &quot;-&quot;??_);_(@_)"/>
    <numFmt numFmtId="170" formatCode="_(&quot;$&quot;* #,##0_);_(&quot;$&quot;* \(#,##0\);_(&quot;$&quot;* &quot;-&quot;??_);_(@_)"/>
    <numFmt numFmtId="171" formatCode="0.0"/>
    <numFmt numFmtId="172" formatCode="_(* #,##0.0000_);_(* \(#,##0.0000\);_(* &quot;-&quot;??_);_(@_)"/>
    <numFmt numFmtId="173" formatCode="_(* #,##0.00000_);_(* \(#,##0.00000\);_(* &quot;-&quot;??_);_(@_)"/>
    <numFmt numFmtId="174" formatCode="_(* #,##0.000000_);_(* \(#,##0.000000\);_(* &quot;-&quot;??_);_(@_)"/>
    <numFmt numFmtId="175" formatCode="0.000%"/>
    <numFmt numFmtId="176" formatCode="0.0%"/>
    <numFmt numFmtId="177" formatCode="_(&quot;$&quot;* #,##0.000_);_(&quot;$&quot;* \(#,##0.000\);_(&quot;$&quot;* &quot;-&quot;??_);_(@_)"/>
    <numFmt numFmtId="178" formatCode="&quot;$&quot;#,##0"/>
    <numFmt numFmtId="179" formatCode="#,##0.0"/>
    <numFmt numFmtId="180" formatCode="0.0000"/>
    <numFmt numFmtId="181" formatCode="_(&quot;$&quot;* #,##0.0000_);_(&quot;$&quot;* \(#,##0.0000\);_(&quot;$&quot;* &quot;-&quot;??_);_(@_)"/>
    <numFmt numFmtId="182" formatCode="_(* #,##0.00000_);_(* \(#,##0.00000\);_(* &quot;-&quot;?????_);_(@_)"/>
    <numFmt numFmtId="183" formatCode="0.0E+00"/>
    <numFmt numFmtId="184" formatCode="_(* #,##0.000_);_(* \(#,##0.000\);_(* &quot;-&quot;???_);_(@_)"/>
  </numFmts>
  <fonts count="59" x14ac:knownFonts="1">
    <font>
      <sz val="11"/>
      <color theme="1"/>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
      <b/>
      <sz val="11"/>
      <name val="Aptos Narrow"/>
      <family val="2"/>
      <scheme val="minor"/>
    </font>
    <font>
      <sz val="8"/>
      <name val="Aptos Narrow"/>
      <family val="2"/>
      <scheme val="minor"/>
    </font>
    <font>
      <b/>
      <sz val="9"/>
      <color indexed="81"/>
      <name val="Tahoma"/>
      <family val="2"/>
    </font>
    <font>
      <sz val="9"/>
      <color indexed="81"/>
      <name val="Tahoma"/>
      <family val="2"/>
    </font>
    <font>
      <b/>
      <sz val="16"/>
      <color theme="1"/>
      <name val="Aptos Narrow"/>
      <family val="2"/>
      <scheme val="minor"/>
    </font>
    <font>
      <b/>
      <sz val="20"/>
      <color theme="1"/>
      <name val="Aptos Narrow"/>
      <family val="2"/>
      <scheme val="minor"/>
    </font>
    <font>
      <b/>
      <sz val="17"/>
      <color theme="1"/>
      <name val="Aptos Narrow"/>
      <family val="2"/>
      <scheme val="minor"/>
    </font>
    <font>
      <b/>
      <sz val="20"/>
      <color theme="0"/>
      <name val="Aptos Narrow"/>
      <family val="2"/>
      <scheme val="minor"/>
    </font>
    <font>
      <sz val="10"/>
      <name val="Verdana"/>
      <family val="2"/>
    </font>
    <font>
      <b/>
      <sz val="11"/>
      <color theme="0"/>
      <name val="Aptos Narrow"/>
      <family val="2"/>
      <scheme val="minor"/>
    </font>
    <font>
      <b/>
      <sz val="11"/>
      <color theme="7" tint="0.59999389629810485"/>
      <name val="Aptos Narrow"/>
      <family val="2"/>
      <scheme val="minor"/>
    </font>
    <font>
      <b/>
      <sz val="18"/>
      <color theme="0"/>
      <name val="Aptos Narrow"/>
      <family val="2"/>
      <scheme val="minor"/>
    </font>
    <font>
      <sz val="11"/>
      <color rgb="FFFFFFFF"/>
      <name val="Arial"/>
      <family val="2"/>
    </font>
    <font>
      <sz val="11"/>
      <color rgb="FFFF0000"/>
      <name val="Aptos Narrow"/>
      <family val="2"/>
      <scheme val="minor"/>
    </font>
    <font>
      <b/>
      <sz val="16"/>
      <color theme="0"/>
      <name val="Aptos Narrow"/>
      <family val="2"/>
      <scheme val="minor"/>
    </font>
    <font>
      <b/>
      <sz val="22"/>
      <color theme="0"/>
      <name val="Aptos Narrow"/>
      <family val="2"/>
      <scheme val="minor"/>
    </font>
    <font>
      <b/>
      <sz val="16"/>
      <name val="Aptos Narrow"/>
      <family val="2"/>
      <scheme val="minor"/>
    </font>
    <font>
      <vertAlign val="subscript"/>
      <sz val="11"/>
      <color theme="1"/>
      <name val="Aptos Narrow"/>
      <family val="2"/>
      <scheme val="minor"/>
    </font>
    <font>
      <sz val="11"/>
      <color theme="7" tint="-0.249977111117893"/>
      <name val="Aptos Narrow"/>
      <family val="2"/>
      <scheme val="minor"/>
    </font>
    <font>
      <i/>
      <sz val="11"/>
      <color theme="1"/>
      <name val="Aptos Narrow"/>
      <family val="2"/>
      <scheme val="minor"/>
    </font>
    <font>
      <b/>
      <i/>
      <sz val="11"/>
      <color theme="1"/>
      <name val="Aptos Narrow"/>
      <family val="2"/>
      <scheme val="minor"/>
    </font>
    <font>
      <sz val="11"/>
      <color theme="0"/>
      <name val="Aptos Narrow"/>
      <family val="2"/>
      <scheme val="minor"/>
    </font>
    <font>
      <b/>
      <sz val="18"/>
      <color theme="1"/>
      <name val="Aptos Narrow"/>
      <family val="2"/>
      <scheme val="minor"/>
    </font>
    <font>
      <sz val="11"/>
      <color theme="7" tint="0.79998168889431442"/>
      <name val="Aptos Narrow"/>
      <family val="2"/>
      <scheme val="minor"/>
    </font>
    <font>
      <b/>
      <sz val="14"/>
      <color theme="1"/>
      <name val="Aptos Narrow"/>
      <family val="2"/>
      <scheme val="minor"/>
    </font>
    <font>
      <sz val="11"/>
      <color rgb="FFFF9933"/>
      <name val="Aptos Narrow"/>
      <family val="2"/>
      <scheme val="minor"/>
    </font>
    <font>
      <sz val="11"/>
      <color rgb="FF00CC99"/>
      <name val="Aptos Narrow"/>
      <family val="2"/>
      <scheme val="minor"/>
    </font>
    <font>
      <sz val="11"/>
      <color rgb="FF0099CC"/>
      <name val="Aptos Narrow"/>
      <family val="2"/>
      <scheme val="minor"/>
    </font>
    <font>
      <b/>
      <sz val="11"/>
      <color rgb="FFCC66FF"/>
      <name val="Aptos Narrow"/>
      <family val="2"/>
      <scheme val="minor"/>
    </font>
    <font>
      <b/>
      <sz val="11"/>
      <color rgb="FF9900FF"/>
      <name val="Aptos Narrow"/>
      <family val="2"/>
      <scheme val="minor"/>
    </font>
    <font>
      <b/>
      <sz val="11"/>
      <color rgb="FF6600CC"/>
      <name val="Aptos Narrow"/>
      <family val="2"/>
      <scheme val="minor"/>
    </font>
    <font>
      <sz val="11"/>
      <color theme="9"/>
      <name val="Aptos Narrow"/>
      <family val="2"/>
      <scheme val="minor"/>
    </font>
    <font>
      <sz val="11"/>
      <color theme="1" tint="0.249977111117893"/>
      <name val="Aptos Narrow"/>
      <family val="2"/>
      <scheme val="minor"/>
    </font>
    <font>
      <b/>
      <sz val="12"/>
      <color theme="1"/>
      <name val="Aptos Narrow"/>
      <family val="2"/>
      <scheme val="minor"/>
    </font>
    <font>
      <b/>
      <sz val="11"/>
      <color theme="1"/>
      <name val="Aptos Narrow"/>
      <scheme val="minor"/>
    </font>
    <font>
      <b/>
      <sz val="9"/>
      <color rgb="FF000000"/>
      <name val="Tahoma"/>
      <family val="2"/>
    </font>
    <font>
      <sz val="9"/>
      <color rgb="FF000000"/>
      <name val="Tahoma"/>
      <family val="2"/>
    </font>
    <font>
      <b/>
      <sz val="26"/>
      <color theme="0"/>
      <name val="Aptos Narrow"/>
      <scheme val="minor"/>
    </font>
    <font>
      <sz val="22"/>
      <color theme="0"/>
      <name val="Aptos Narrow"/>
      <family val="2"/>
      <scheme val="minor"/>
    </font>
    <font>
      <b/>
      <sz val="26"/>
      <name val="Aptos Narrow"/>
      <family val="2"/>
      <scheme val="minor"/>
    </font>
    <font>
      <b/>
      <sz val="22"/>
      <color theme="1"/>
      <name val="Aptos Narrow"/>
      <family val="2"/>
      <scheme val="minor"/>
    </font>
    <font>
      <b/>
      <sz val="24"/>
      <color theme="1"/>
      <name val="Aptos Narrow"/>
      <family val="2"/>
      <scheme val="minor"/>
    </font>
    <font>
      <b/>
      <sz val="26"/>
      <color theme="1"/>
      <name val="Aptos Narrow"/>
      <family val="2"/>
      <scheme val="minor"/>
    </font>
    <font>
      <b/>
      <sz val="24"/>
      <color theme="0"/>
      <name val="Aptos Narrow"/>
      <family val="2"/>
      <scheme val="minor"/>
    </font>
    <font>
      <b/>
      <sz val="36"/>
      <color theme="0"/>
      <name val="Aptos Narrow"/>
      <family val="2"/>
      <scheme val="minor"/>
    </font>
    <font>
      <sz val="16"/>
      <name val="Aptos Narrow"/>
      <family val="2"/>
      <scheme val="minor"/>
    </font>
    <font>
      <b/>
      <sz val="28"/>
      <name val="Aptos Narrow"/>
      <family val="2"/>
      <scheme val="minor"/>
    </font>
    <font>
      <b/>
      <sz val="48"/>
      <color theme="0"/>
      <name val="Aptos Narrow"/>
      <family val="2"/>
      <scheme val="minor"/>
    </font>
    <font>
      <sz val="48"/>
      <name val="Aptos Narrow"/>
      <family val="2"/>
      <scheme val="minor"/>
    </font>
    <font>
      <sz val="16"/>
      <color theme="1"/>
      <name val="Aptos Narrow"/>
      <family val="2"/>
      <scheme val="minor"/>
    </font>
    <font>
      <b/>
      <sz val="72"/>
      <color theme="0"/>
      <name val="Aptos Narrow"/>
      <family val="2"/>
      <scheme val="minor"/>
    </font>
    <font>
      <b/>
      <sz val="28"/>
      <color theme="1"/>
      <name val="Aptos Narrow"/>
      <family val="2"/>
      <scheme val="minor"/>
    </font>
    <font>
      <b/>
      <sz val="48"/>
      <color theme="1"/>
      <name val="Aptos Narrow"/>
      <family val="2"/>
      <scheme val="minor"/>
    </font>
    <font>
      <b/>
      <sz val="24"/>
      <color theme="1"/>
      <name val="Aptos Narrow"/>
      <scheme val="minor"/>
    </font>
    <font>
      <b/>
      <sz val="26"/>
      <color theme="1"/>
      <name val="Aptos Narrow"/>
      <scheme val="minor"/>
    </font>
  </fonts>
  <fills count="81">
    <fill>
      <patternFill patternType="none"/>
    </fill>
    <fill>
      <patternFill patternType="gray125"/>
    </fill>
    <fill>
      <patternFill patternType="solid">
        <fgColor theme="9" tint="0.79998168889431442"/>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FFC000"/>
        <bgColor indexed="64"/>
      </patternFill>
    </fill>
    <fill>
      <patternFill patternType="solid">
        <fgColor theme="9"/>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00B050"/>
        <bgColor indexed="64"/>
      </patternFill>
    </fill>
    <fill>
      <patternFill patternType="solid">
        <fgColor rgb="FFCCCCFF"/>
        <bgColor indexed="64"/>
      </patternFill>
    </fill>
    <fill>
      <patternFill patternType="solid">
        <fgColor rgb="FF33CCCC"/>
        <bgColor indexed="64"/>
      </patternFill>
    </fill>
    <fill>
      <patternFill patternType="solid">
        <fgColor rgb="FFFFCCCC"/>
        <bgColor indexed="64"/>
      </patternFill>
    </fill>
    <fill>
      <patternFill patternType="solid">
        <fgColor rgb="FFC0C0C0"/>
        <bgColor indexed="64"/>
      </patternFill>
    </fill>
    <fill>
      <patternFill patternType="solid">
        <fgColor rgb="FF8FE5E3"/>
        <bgColor indexed="64"/>
      </patternFill>
    </fill>
    <fill>
      <patternFill patternType="solid">
        <fgColor theme="5" tint="0.59999389629810485"/>
        <bgColor indexed="64"/>
      </patternFill>
    </fill>
    <fill>
      <patternFill patternType="solid">
        <fgColor rgb="FFFFDA65"/>
        <bgColor indexed="64"/>
      </patternFill>
    </fill>
    <fill>
      <patternFill patternType="solid">
        <fgColor theme="1" tint="0.499984740745262"/>
        <bgColor indexed="64"/>
      </patternFill>
    </fill>
    <fill>
      <patternFill patternType="solid">
        <fgColor rgb="FFD3F5F4"/>
        <bgColor indexed="64"/>
      </patternFill>
    </fill>
    <fill>
      <patternFill patternType="solid">
        <fgColor theme="2"/>
        <bgColor indexed="64"/>
      </patternFill>
    </fill>
    <fill>
      <patternFill patternType="solid">
        <fgColor theme="2" tint="-9.9978637043366805E-2"/>
        <bgColor indexed="64"/>
      </patternFill>
    </fill>
    <fill>
      <patternFill patternType="solid">
        <fgColor rgb="FF92D050"/>
        <bgColor indexed="64"/>
      </patternFill>
    </fill>
    <fill>
      <patternFill patternType="solid">
        <fgColor rgb="FFCC9900"/>
        <bgColor indexed="64"/>
      </patternFill>
    </fill>
    <fill>
      <patternFill patternType="solid">
        <fgColor theme="0"/>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5"/>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rgb="FFFFD765"/>
        <bgColor indexed="64"/>
      </patternFill>
    </fill>
    <fill>
      <patternFill patternType="solid">
        <fgColor rgb="FFFFEAAF"/>
        <bgColor indexed="64"/>
      </patternFill>
    </fill>
    <fill>
      <patternFill patternType="solid">
        <fgColor rgb="FF87E3E1"/>
        <bgColor indexed="64"/>
      </patternFill>
    </fill>
    <fill>
      <patternFill patternType="solid">
        <fgColor rgb="FFC1F1F0"/>
        <bgColor indexed="64"/>
      </patternFill>
    </fill>
    <fill>
      <patternFill patternType="solid">
        <fgColor rgb="FFCCFF99"/>
        <bgColor indexed="64"/>
      </patternFill>
    </fill>
    <fill>
      <patternFill patternType="solid">
        <fgColor rgb="FFFFDDDD"/>
        <bgColor indexed="64"/>
      </patternFill>
    </fill>
    <fill>
      <patternFill patternType="solid">
        <fgColor rgb="FFFFFF99"/>
        <bgColor indexed="64"/>
      </patternFill>
    </fill>
    <fill>
      <patternFill patternType="solid">
        <fgColor rgb="FFFFA7A7"/>
        <bgColor indexed="64"/>
      </patternFill>
    </fill>
    <fill>
      <patternFill patternType="solid">
        <fgColor rgb="FFED9DBF"/>
        <bgColor indexed="64"/>
      </patternFill>
    </fill>
    <fill>
      <patternFill patternType="solid">
        <fgColor rgb="FF29FF8A"/>
        <bgColor indexed="64"/>
      </patternFill>
    </fill>
    <fill>
      <patternFill patternType="solid">
        <fgColor rgb="FFFFE89F"/>
        <bgColor indexed="64"/>
      </patternFill>
    </fill>
    <fill>
      <patternFill patternType="solid">
        <fgColor rgb="FF99CC00"/>
        <bgColor indexed="64"/>
      </patternFill>
    </fill>
    <fill>
      <patternFill patternType="solid">
        <fgColor rgb="FF669900"/>
        <bgColor indexed="64"/>
      </patternFill>
    </fill>
    <fill>
      <patternFill patternType="solid">
        <fgColor rgb="FF996600"/>
        <bgColor indexed="64"/>
      </patternFill>
    </fill>
    <fill>
      <patternFill patternType="solid">
        <fgColor theme="6" tint="0.59999389629810485"/>
        <bgColor indexed="64"/>
      </patternFill>
    </fill>
    <fill>
      <patternFill patternType="solid">
        <fgColor theme="1"/>
        <bgColor indexed="64"/>
      </patternFill>
    </fill>
    <fill>
      <patternFill patternType="solid">
        <fgColor rgb="FF00CC99"/>
        <bgColor indexed="64"/>
      </patternFill>
    </fill>
    <fill>
      <patternFill patternType="solid">
        <fgColor rgb="FF9999FF"/>
        <bgColor indexed="64"/>
      </patternFill>
    </fill>
    <fill>
      <patternFill patternType="solid">
        <fgColor theme="3" tint="0.89999084444715716"/>
        <bgColor indexed="64"/>
      </patternFill>
    </fill>
    <fill>
      <patternFill patternType="solid">
        <fgColor rgb="FFE49EDD"/>
        <bgColor indexed="64"/>
      </patternFill>
    </fill>
    <fill>
      <patternFill patternType="solid">
        <fgColor rgb="FFF2CEEF"/>
        <bgColor indexed="64"/>
      </patternFill>
    </fill>
    <fill>
      <patternFill patternType="solid">
        <fgColor rgb="FF339966"/>
        <bgColor indexed="64"/>
      </patternFill>
    </fill>
    <fill>
      <patternFill patternType="solid">
        <fgColor rgb="FF74D2A3"/>
        <bgColor indexed="64"/>
      </patternFill>
    </fill>
    <fill>
      <patternFill patternType="solid">
        <fgColor rgb="FF69DD7F"/>
        <bgColor indexed="64"/>
      </patternFill>
    </fill>
    <fill>
      <patternFill patternType="solid">
        <fgColor rgb="FF76D0C5"/>
        <bgColor indexed="64"/>
      </patternFill>
    </fill>
    <fill>
      <patternFill patternType="solid">
        <fgColor theme="7" tint="0.59999389629810485"/>
        <bgColor indexed="64"/>
      </patternFill>
    </fill>
    <fill>
      <patternFill patternType="solid">
        <fgColor rgb="FFDDDDDD"/>
        <bgColor indexed="64"/>
      </patternFill>
    </fill>
    <fill>
      <patternFill patternType="solid">
        <fgColor rgb="FFFFFFCC"/>
        <bgColor indexed="64"/>
      </patternFill>
    </fill>
    <fill>
      <patternFill patternType="solid">
        <fgColor rgb="FF99FF66"/>
        <bgColor indexed="64"/>
      </patternFill>
    </fill>
    <fill>
      <patternFill patternType="solid">
        <fgColor rgb="FF83E28E"/>
        <bgColor indexed="64"/>
      </patternFill>
    </fill>
    <fill>
      <patternFill patternType="solid">
        <fgColor rgb="FF00FFCC"/>
        <bgColor indexed="64"/>
      </patternFill>
    </fill>
    <fill>
      <patternFill patternType="solid">
        <fgColor rgb="FFFFCC99"/>
        <bgColor indexed="64"/>
      </patternFill>
    </fill>
    <fill>
      <patternFill patternType="solid">
        <fgColor rgb="FF99FFCC"/>
        <bgColor indexed="64"/>
      </patternFill>
    </fill>
    <fill>
      <patternFill patternType="solid">
        <fgColor rgb="FF4D93D9"/>
        <bgColor indexed="64"/>
      </patternFill>
    </fill>
    <fill>
      <patternFill patternType="solid">
        <fgColor theme="6" tint="0.39997558519241921"/>
        <bgColor indexed="64"/>
      </patternFill>
    </fill>
    <fill>
      <patternFill patternType="solid">
        <fgColor rgb="FF00B0F0"/>
        <bgColor indexed="64"/>
      </patternFill>
    </fill>
    <fill>
      <patternFill patternType="solid">
        <fgColor rgb="FFFF9900"/>
        <bgColor indexed="64"/>
      </patternFill>
    </fill>
    <fill>
      <patternFill patternType="solid">
        <fgColor rgb="FF00FF99"/>
        <bgColor indexed="64"/>
      </patternFill>
    </fill>
    <fill>
      <patternFill patternType="solid">
        <fgColor rgb="FF9966FF"/>
        <bgColor indexed="64"/>
      </patternFill>
    </fill>
    <fill>
      <patternFill patternType="solid">
        <fgColor rgb="FF6699FF"/>
        <bgColor indexed="64"/>
      </patternFill>
    </fill>
    <fill>
      <patternFill patternType="solid">
        <fgColor rgb="FF009999"/>
        <bgColor indexed="64"/>
      </patternFill>
    </fill>
    <fill>
      <patternFill patternType="solid">
        <fgColor rgb="FF97DDBA"/>
        <bgColor indexed="64"/>
      </patternFill>
    </fill>
    <fill>
      <patternFill patternType="solid">
        <fgColor rgb="FFF8E708"/>
        <bgColor indexed="64"/>
      </patternFill>
    </fill>
    <fill>
      <patternFill patternType="solid">
        <fgColor rgb="FFCCECFF"/>
        <bgColor indexed="64"/>
      </patternFill>
    </fill>
    <fill>
      <patternFill patternType="solid">
        <fgColor rgb="FF6666FF"/>
        <bgColor indexed="64"/>
      </patternFill>
    </fill>
    <fill>
      <patternFill patternType="solid">
        <fgColor theme="8" tint="-0.499984740745262"/>
        <bgColor indexed="64"/>
      </patternFill>
    </fill>
    <fill>
      <patternFill patternType="solid">
        <fgColor rgb="FFCAF2D0"/>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style="thin">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thin">
        <color indexed="64"/>
      </top>
      <bottom style="thin">
        <color indexed="64"/>
      </bottom>
      <diagonal/>
    </border>
  </borders>
  <cellStyleXfs count="4">
    <xf numFmtId="0" fontId="0" fillId="0" borderId="0"/>
    <xf numFmtId="167"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2112">
    <xf numFmtId="0" fontId="0" fillId="0" borderId="0" xfId="0"/>
    <xf numFmtId="167" fontId="0" fillId="0" borderId="0" xfId="1" applyFont="1"/>
    <xf numFmtId="0" fontId="0" fillId="3" borderId="0" xfId="0" applyFill="1"/>
    <xf numFmtId="0" fontId="0" fillId="4" borderId="0" xfId="0" applyFill="1"/>
    <xf numFmtId="0" fontId="2" fillId="0" borderId="2" xfId="0" applyFont="1" applyBorder="1"/>
    <xf numFmtId="0" fontId="2" fillId="0" borderId="2" xfId="0" applyFont="1" applyBorder="1" applyAlignment="1">
      <alignment horizontal="center"/>
    </xf>
    <xf numFmtId="0" fontId="2" fillId="0" borderId="0" xfId="0" applyFont="1"/>
    <xf numFmtId="0" fontId="2" fillId="0" borderId="3" xfId="0" applyFont="1" applyBorder="1"/>
    <xf numFmtId="0" fontId="0" fillId="0" borderId="0" xfId="0" applyAlignment="1">
      <alignment wrapText="1"/>
    </xf>
    <xf numFmtId="0" fontId="0" fillId="0" borderId="1" xfId="0" applyBorder="1"/>
    <xf numFmtId="0" fontId="0" fillId="5" borderId="0" xfId="0" applyFill="1"/>
    <xf numFmtId="0" fontId="0" fillId="6" borderId="0" xfId="0" applyFill="1"/>
    <xf numFmtId="0" fontId="3" fillId="7" borderId="0" xfId="0" applyFont="1" applyFill="1"/>
    <xf numFmtId="0" fontId="0" fillId="8" borderId="0" xfId="0" applyFill="1"/>
    <xf numFmtId="0" fontId="0" fillId="2" borderId="0" xfId="0" applyFill="1"/>
    <xf numFmtId="0" fontId="0" fillId="9" borderId="0" xfId="0" applyFill="1"/>
    <xf numFmtId="0" fontId="0" fillId="10" borderId="0" xfId="0" applyFill="1"/>
    <xf numFmtId="0" fontId="0" fillId="12" borderId="0" xfId="0" applyFill="1"/>
    <xf numFmtId="0" fontId="0" fillId="13" borderId="0" xfId="0" applyFill="1"/>
    <xf numFmtId="0" fontId="0" fillId="16" borderId="0" xfId="0" applyFill="1"/>
    <xf numFmtId="0" fontId="0" fillId="17" borderId="0" xfId="0" applyFill="1"/>
    <xf numFmtId="0" fontId="0" fillId="0" borderId="4" xfId="0" applyBorder="1"/>
    <xf numFmtId="0" fontId="4" fillId="18" borderId="0" xfId="0" applyFont="1" applyFill="1"/>
    <xf numFmtId="0" fontId="0" fillId="21" borderId="0" xfId="0" applyFill="1"/>
    <xf numFmtId="0" fontId="0" fillId="0" borderId="0" xfId="0" applyAlignment="1">
      <alignment horizontal="left"/>
    </xf>
    <xf numFmtId="0" fontId="0" fillId="0" borderId="0" xfId="0" applyAlignment="1">
      <alignment horizontal="left" vertical="center"/>
    </xf>
    <xf numFmtId="0" fontId="0" fillId="0" borderId="1" xfId="0" applyBorder="1" applyAlignment="1">
      <alignment horizontal="right"/>
    </xf>
    <xf numFmtId="43" fontId="0" fillId="0" borderId="1" xfId="2" applyFont="1" applyBorder="1"/>
    <xf numFmtId="0" fontId="2" fillId="4" borderId="0" xfId="0" applyFont="1" applyFill="1"/>
    <xf numFmtId="0" fontId="2" fillId="0" borderId="1" xfId="0" applyFont="1" applyBorder="1"/>
    <xf numFmtId="0" fontId="0" fillId="0" borderId="7" xfId="0" applyBorder="1"/>
    <xf numFmtId="0" fontId="0" fillId="0" borderId="8" xfId="0" applyBorder="1"/>
    <xf numFmtId="0" fontId="0" fillId="0" borderId="9" xfId="0" applyBorder="1"/>
    <xf numFmtId="11" fontId="0" fillId="0" borderId="0" xfId="0" applyNumberFormat="1"/>
    <xf numFmtId="0" fontId="0" fillId="0" borderId="16" xfId="0" applyBorder="1" applyAlignment="1">
      <alignment horizontal="center" vertical="center" wrapText="1"/>
    </xf>
    <xf numFmtId="0" fontId="0" fillId="0" borderId="16" xfId="0" applyBorder="1" applyAlignment="1">
      <alignment vertical="center" wrapText="1"/>
    </xf>
    <xf numFmtId="0" fontId="0" fillId="0" borderId="17" xfId="0" applyBorder="1" applyAlignment="1">
      <alignment vertical="center" wrapText="1"/>
    </xf>
    <xf numFmtId="167" fontId="0" fillId="0" borderId="17" xfId="0" applyNumberFormat="1" applyBorder="1" applyAlignment="1">
      <alignment vertical="center" wrapText="1"/>
    </xf>
    <xf numFmtId="0" fontId="0" fillId="0" borderId="0" xfId="0" applyAlignment="1">
      <alignment horizontal="right" vertical="center" wrapText="1"/>
    </xf>
    <xf numFmtId="0" fontId="0" fillId="0" borderId="0" xfId="0" applyAlignment="1">
      <alignment vertical="center" wrapText="1"/>
    </xf>
    <xf numFmtId="0" fontId="0" fillId="0" borderId="18" xfId="0" applyBorder="1" applyAlignment="1">
      <alignment horizontal="center" vertical="center" wrapText="1"/>
    </xf>
    <xf numFmtId="0" fontId="0" fillId="0" borderId="17" xfId="0" applyBorder="1" applyAlignment="1">
      <alignment horizontal="center" vertical="center" wrapText="1"/>
    </xf>
    <xf numFmtId="2" fontId="0" fillId="0" borderId="17" xfId="0" applyNumberFormat="1" applyBorder="1" applyAlignment="1">
      <alignment vertical="center" wrapText="1"/>
    </xf>
    <xf numFmtId="167" fontId="0" fillId="0" borderId="17" xfId="1" applyFont="1" applyBorder="1" applyAlignment="1">
      <alignment vertical="center" wrapText="1"/>
    </xf>
    <xf numFmtId="43" fontId="0" fillId="0" borderId="17" xfId="0" applyNumberFormat="1" applyBorder="1" applyAlignment="1">
      <alignment vertical="center" wrapText="1"/>
    </xf>
    <xf numFmtId="165" fontId="0" fillId="0" borderId="17" xfId="0" applyNumberFormat="1" applyBorder="1" applyAlignment="1">
      <alignment vertical="center" wrapText="1"/>
    </xf>
    <xf numFmtId="0" fontId="0" fillId="0" borderId="16" xfId="0" applyBorder="1" applyAlignment="1">
      <alignment horizontal="left" vertical="center" wrapText="1"/>
    </xf>
    <xf numFmtId="0" fontId="0" fillId="0" borderId="17" xfId="0" applyBorder="1" applyAlignment="1">
      <alignment horizontal="right" vertical="center" wrapText="1"/>
    </xf>
    <xf numFmtId="0" fontId="0" fillId="0" borderId="17" xfId="0" applyBorder="1" applyAlignment="1">
      <alignment horizontal="left" vertical="center" wrapText="1"/>
    </xf>
    <xf numFmtId="167" fontId="0" fillId="0" borderId="17" xfId="0" applyNumberFormat="1" applyBorder="1" applyAlignment="1">
      <alignment horizontal="center" vertical="center" wrapText="1"/>
    </xf>
    <xf numFmtId="167" fontId="0" fillId="0" borderId="17" xfId="1" applyFont="1" applyBorder="1" applyAlignment="1">
      <alignment horizontal="center" vertical="center" wrapText="1"/>
    </xf>
    <xf numFmtId="0" fontId="0" fillId="0" borderId="2" xfId="0" applyBorder="1" applyAlignment="1">
      <alignment vertical="center" wrapText="1"/>
    </xf>
    <xf numFmtId="0" fontId="0" fillId="0" borderId="10" xfId="0" applyBorder="1" applyAlignment="1">
      <alignment vertical="center" wrapText="1"/>
    </xf>
    <xf numFmtId="0" fontId="0" fillId="0" borderId="2" xfId="0" applyBorder="1" applyAlignment="1">
      <alignment horizontal="right" vertical="center" wrapText="1"/>
    </xf>
    <xf numFmtId="0" fontId="0" fillId="0" borderId="10" xfId="0" applyBorder="1" applyAlignment="1">
      <alignment horizontal="right" vertical="center" wrapText="1"/>
    </xf>
    <xf numFmtId="0" fontId="0" fillId="0" borderId="19" xfId="0" applyBorder="1" applyAlignment="1">
      <alignment horizontal="left" vertical="center" wrapText="1"/>
    </xf>
    <xf numFmtId="0" fontId="0" fillId="0" borderId="10" xfId="0" applyBorder="1" applyAlignment="1">
      <alignment horizontal="center" vertical="center" wrapText="1"/>
    </xf>
    <xf numFmtId="0" fontId="0" fillId="0" borderId="16" xfId="0" applyBorder="1" applyAlignment="1">
      <alignment horizontal="right" vertical="center" wrapText="1"/>
    </xf>
    <xf numFmtId="43" fontId="0" fillId="0" borderId="17" xfId="0" applyNumberFormat="1" applyBorder="1" applyAlignment="1">
      <alignment horizontal="center" vertical="center" wrapText="1"/>
    </xf>
    <xf numFmtId="0" fontId="0" fillId="0" borderId="20" xfId="0" applyBorder="1"/>
    <xf numFmtId="0" fontId="0" fillId="0" borderId="21" xfId="0" applyBorder="1"/>
    <xf numFmtId="167" fontId="0" fillId="0" borderId="14" xfId="0" applyNumberFormat="1" applyBorder="1"/>
    <xf numFmtId="0" fontId="0" fillId="0" borderId="14" xfId="0" applyBorder="1"/>
    <xf numFmtId="0" fontId="0" fillId="0" borderId="14" xfId="0" applyBorder="1" applyAlignment="1">
      <alignment horizontal="right"/>
    </xf>
    <xf numFmtId="0" fontId="0" fillId="0" borderId="2" xfId="0" applyBorder="1"/>
    <xf numFmtId="167" fontId="0" fillId="0" borderId="2" xfId="0" applyNumberFormat="1" applyBorder="1"/>
    <xf numFmtId="0" fontId="0" fillId="0" borderId="2" xfId="0" applyBorder="1" applyAlignment="1">
      <alignment horizontal="right"/>
    </xf>
    <xf numFmtId="0" fontId="0" fillId="0" borderId="16" xfId="0" applyBorder="1"/>
    <xf numFmtId="167" fontId="0" fillId="0" borderId="16" xfId="0" applyNumberFormat="1" applyBorder="1"/>
    <xf numFmtId="0" fontId="0" fillId="0" borderId="10" xfId="0" applyBorder="1"/>
    <xf numFmtId="0" fontId="0" fillId="0" borderId="16" xfId="0" applyBorder="1" applyAlignment="1">
      <alignment horizontal="right"/>
    </xf>
    <xf numFmtId="43" fontId="0" fillId="0" borderId="17" xfId="2" applyFont="1" applyBorder="1"/>
    <xf numFmtId="43" fontId="0" fillId="0" borderId="17" xfId="2" applyFont="1" applyBorder="1" applyAlignment="1">
      <alignment horizontal="center" vertical="center" wrapText="1"/>
    </xf>
    <xf numFmtId="0" fontId="0" fillId="0" borderId="19" xfId="0" applyBorder="1" applyAlignment="1">
      <alignment horizontal="center" vertical="center" wrapText="1"/>
    </xf>
    <xf numFmtId="0" fontId="0" fillId="0" borderId="11" xfId="0" applyBorder="1"/>
    <xf numFmtId="167" fontId="2" fillId="0" borderId="2" xfId="0" applyNumberFormat="1" applyFont="1" applyBorder="1"/>
    <xf numFmtId="0" fontId="0" fillId="0" borderId="0" xfId="0" applyAlignment="1">
      <alignment vertical="center"/>
    </xf>
    <xf numFmtId="0" fontId="0" fillId="0" borderId="2" xfId="0" applyBorder="1" applyAlignment="1">
      <alignment horizontal="center" vertical="center" wrapText="1"/>
    </xf>
    <xf numFmtId="167" fontId="2" fillId="0" borderId="2" xfId="0" applyNumberFormat="1" applyFont="1" applyBorder="1" applyAlignment="1">
      <alignment vertical="center" wrapText="1"/>
    </xf>
    <xf numFmtId="39" fontId="0" fillId="0" borderId="17" xfId="1" applyNumberFormat="1" applyFont="1" applyBorder="1" applyAlignment="1">
      <alignment horizontal="center" vertical="center" wrapText="1"/>
    </xf>
    <xf numFmtId="0" fontId="2" fillId="0" borderId="16" xfId="0" applyFont="1" applyBorder="1" applyAlignment="1">
      <alignment horizontal="center" vertical="center" wrapText="1"/>
    </xf>
    <xf numFmtId="167" fontId="0" fillId="0" borderId="0" xfId="0" applyNumberFormat="1" applyAlignment="1">
      <alignment vertical="center" wrapText="1"/>
    </xf>
    <xf numFmtId="43" fontId="0" fillId="0" borderId="18" xfId="2" applyFont="1" applyBorder="1" applyAlignment="1">
      <alignment horizontal="center" vertical="center" wrapText="1"/>
    </xf>
    <xf numFmtId="0" fontId="0" fillId="0" borderId="0" xfId="0" applyAlignment="1">
      <alignment horizontal="center" vertical="center" wrapText="1"/>
    </xf>
    <xf numFmtId="43" fontId="0" fillId="0" borderId="2" xfId="2" applyFont="1" applyBorder="1" applyAlignment="1">
      <alignment horizontal="center" vertical="center" wrapText="1"/>
    </xf>
    <xf numFmtId="0" fontId="0" fillId="0" borderId="21" xfId="0" applyBorder="1" applyAlignment="1">
      <alignment horizontal="center" vertical="center" wrapText="1"/>
    </xf>
    <xf numFmtId="167" fontId="0" fillId="0" borderId="2" xfId="0" applyNumberFormat="1" applyBorder="1" applyAlignment="1">
      <alignment horizontal="center" vertical="center" wrapText="1"/>
    </xf>
    <xf numFmtId="167" fontId="0" fillId="0" borderId="2" xfId="1" applyFont="1" applyBorder="1" applyAlignment="1">
      <alignment horizontal="center" vertical="center" wrapText="1"/>
    </xf>
    <xf numFmtId="167" fontId="0" fillId="0" borderId="0" xfId="1" applyFont="1" applyBorder="1" applyAlignment="1">
      <alignment horizontal="center" vertical="center" wrapText="1"/>
    </xf>
    <xf numFmtId="167" fontId="2" fillId="0" borderId="0" xfId="0" applyNumberFormat="1" applyFont="1" applyAlignment="1">
      <alignment horizontal="center" vertical="center" wrapText="1"/>
    </xf>
    <xf numFmtId="43" fontId="0" fillId="27" borderId="17" xfId="2" applyFont="1" applyFill="1" applyBorder="1" applyAlignment="1">
      <alignment horizontal="center" vertical="center" wrapText="1"/>
    </xf>
    <xf numFmtId="0" fontId="0" fillId="27" borderId="17" xfId="0" applyFill="1" applyBorder="1" applyAlignment="1">
      <alignment horizontal="center" vertical="center" wrapText="1"/>
    </xf>
    <xf numFmtId="167" fontId="2" fillId="0" borderId="17" xfId="1" applyFont="1" applyBorder="1" applyAlignment="1">
      <alignment vertical="center" wrapText="1"/>
    </xf>
    <xf numFmtId="167" fontId="0" fillId="0" borderId="2" xfId="1" applyFont="1" applyBorder="1"/>
    <xf numFmtId="167" fontId="2" fillId="0" borderId="2" xfId="1" applyFont="1" applyBorder="1"/>
    <xf numFmtId="167" fontId="0" fillId="0" borderId="10" xfId="0" applyNumberFormat="1" applyBorder="1" applyAlignment="1">
      <alignment horizontal="center" vertical="center" wrapText="1"/>
    </xf>
    <xf numFmtId="167" fontId="2" fillId="0" borderId="17" xfId="0" applyNumberFormat="1" applyFont="1" applyBorder="1" applyAlignment="1">
      <alignment horizontal="center" vertical="center" wrapText="1"/>
    </xf>
    <xf numFmtId="0" fontId="8" fillId="0" borderId="0" xfId="0" applyFont="1" applyAlignment="1">
      <alignment vertical="center"/>
    </xf>
    <xf numFmtId="43" fontId="0" fillId="0" borderId="1" xfId="0" applyNumberFormat="1" applyBorder="1"/>
    <xf numFmtId="0" fontId="2" fillId="8" borderId="0" xfId="0" applyFont="1" applyFill="1"/>
    <xf numFmtId="43" fontId="0" fillId="0" borderId="0" xfId="0" applyNumberFormat="1"/>
    <xf numFmtId="167" fontId="0" fillId="0" borderId="0" xfId="0" applyNumberFormat="1"/>
    <xf numFmtId="4" fontId="0" fillId="0" borderId="17" xfId="0" applyNumberFormat="1" applyBorder="1" applyAlignment="1">
      <alignment vertical="center" wrapText="1"/>
    </xf>
    <xf numFmtId="0" fontId="0" fillId="0" borderId="0" xfId="0" applyAlignment="1">
      <alignment horizontal="center"/>
    </xf>
    <xf numFmtId="2" fontId="0" fillId="0" borderId="0" xfId="0" applyNumberFormat="1"/>
    <xf numFmtId="0" fontId="3" fillId="0" borderId="0" xfId="0" applyFont="1"/>
    <xf numFmtId="0" fontId="0" fillId="0" borderId="22" xfId="0" applyBorder="1"/>
    <xf numFmtId="167" fontId="0" fillId="0" borderId="1" xfId="1" applyFont="1" applyBorder="1"/>
    <xf numFmtId="170" fontId="0" fillId="0" borderId="1" xfId="0" applyNumberFormat="1" applyBorder="1"/>
    <xf numFmtId="0" fontId="0" fillId="0" borderId="24" xfId="0" applyBorder="1"/>
    <xf numFmtId="0" fontId="0" fillId="0" borderId="25" xfId="0" applyBorder="1"/>
    <xf numFmtId="167" fontId="0" fillId="0" borderId="25" xfId="1" applyFont="1" applyBorder="1"/>
    <xf numFmtId="0" fontId="0" fillId="0" borderId="26" xfId="0" applyBorder="1"/>
    <xf numFmtId="0" fontId="0" fillId="24" borderId="3" xfId="0" applyFill="1" applyBorder="1"/>
    <xf numFmtId="0" fontId="0" fillId="24" borderId="0" xfId="0" applyFill="1"/>
    <xf numFmtId="167" fontId="0" fillId="24" borderId="18" xfId="1" applyFont="1" applyFill="1" applyBorder="1"/>
    <xf numFmtId="167" fontId="0" fillId="0" borderId="1" xfId="0" applyNumberFormat="1" applyBorder="1"/>
    <xf numFmtId="0" fontId="0" fillId="0" borderId="27" xfId="0" applyBorder="1"/>
    <xf numFmtId="0" fontId="0" fillId="0" borderId="28" xfId="0" applyBorder="1"/>
    <xf numFmtId="167" fontId="0" fillId="0" borderId="28" xfId="0" applyNumberFormat="1" applyBorder="1"/>
    <xf numFmtId="0" fontId="0" fillId="0" borderId="29" xfId="0" applyBorder="1"/>
    <xf numFmtId="170" fontId="0" fillId="24" borderId="18" xfId="0" applyNumberFormat="1" applyFill="1" applyBorder="1"/>
    <xf numFmtId="9" fontId="0" fillId="0" borderId="0" xfId="3" applyFont="1"/>
    <xf numFmtId="0" fontId="0" fillId="0" borderId="3" xfId="0" applyBorder="1"/>
    <xf numFmtId="170" fontId="0" fillId="0" borderId="18" xfId="0" applyNumberFormat="1" applyBorder="1"/>
    <xf numFmtId="170" fontId="0" fillId="0" borderId="0" xfId="1" applyNumberFormat="1" applyFont="1"/>
    <xf numFmtId="0" fontId="0" fillId="0" borderId="23" xfId="0" applyBorder="1"/>
    <xf numFmtId="0" fontId="0" fillId="0" borderId="30" xfId="0" applyBorder="1"/>
    <xf numFmtId="0" fontId="3" fillId="29" borderId="3" xfId="0" applyFont="1" applyFill="1" applyBorder="1"/>
    <xf numFmtId="0" fontId="0" fillId="29" borderId="0" xfId="0" applyFill="1"/>
    <xf numFmtId="9" fontId="3" fillId="29" borderId="18" xfId="0" applyNumberFormat="1" applyFont="1" applyFill="1" applyBorder="1"/>
    <xf numFmtId="9" fontId="0" fillId="0" borderId="0" xfId="0" applyNumberFormat="1"/>
    <xf numFmtId="170" fontId="0" fillId="0" borderId="0" xfId="0" applyNumberFormat="1"/>
    <xf numFmtId="0" fontId="0" fillId="0" borderId="0" xfId="0" applyAlignment="1">
      <alignment horizontal="right"/>
    </xf>
    <xf numFmtId="0" fontId="3" fillId="29" borderId="18" xfId="0" applyFont="1" applyFill="1" applyBorder="1"/>
    <xf numFmtId="0" fontId="0" fillId="0" borderId="6" xfId="0" applyBorder="1"/>
    <xf numFmtId="166" fontId="3" fillId="29" borderId="18" xfId="1" applyNumberFormat="1" applyFont="1" applyFill="1" applyBorder="1"/>
    <xf numFmtId="167" fontId="0" fillId="0" borderId="18" xfId="1" applyFont="1" applyBorder="1"/>
    <xf numFmtId="0" fontId="0" fillId="6" borderId="3" xfId="0" applyFill="1" applyBorder="1" applyAlignment="1">
      <alignment horizontal="left"/>
    </xf>
    <xf numFmtId="0" fontId="0" fillId="6" borderId="18" xfId="0" applyFill="1" applyBorder="1"/>
    <xf numFmtId="0" fontId="0" fillId="0" borderId="18" xfId="0" applyBorder="1"/>
    <xf numFmtId="167" fontId="0" fillId="0" borderId="0" xfId="1" applyFont="1" applyBorder="1"/>
    <xf numFmtId="0" fontId="0" fillId="30" borderId="0" xfId="0" applyFill="1"/>
    <xf numFmtId="167" fontId="0" fillId="0" borderId="18" xfId="1" applyFont="1" applyFill="1" applyBorder="1"/>
    <xf numFmtId="0" fontId="0" fillId="2" borderId="3" xfId="0" applyFill="1" applyBorder="1"/>
    <xf numFmtId="9" fontId="0" fillId="2" borderId="18" xfId="0" applyNumberFormat="1" applyFill="1" applyBorder="1"/>
    <xf numFmtId="0" fontId="0" fillId="2" borderId="19" xfId="0" applyFill="1" applyBorder="1"/>
    <xf numFmtId="0" fontId="0" fillId="2" borderId="10" xfId="0" applyFill="1" applyBorder="1"/>
    <xf numFmtId="9" fontId="0" fillId="2" borderId="17" xfId="0" applyNumberFormat="1" applyFill="1" applyBorder="1"/>
    <xf numFmtId="167" fontId="1" fillId="0" borderId="18" xfId="1" applyFont="1" applyFill="1" applyBorder="1"/>
    <xf numFmtId="167" fontId="0" fillId="0" borderId="18" xfId="0" applyNumberFormat="1" applyBorder="1"/>
    <xf numFmtId="167" fontId="2" fillId="0" borderId="18" xfId="0" applyNumberFormat="1" applyFont="1" applyBorder="1"/>
    <xf numFmtId="0" fontId="0" fillId="0" borderId="19" xfId="0" applyBorder="1"/>
    <xf numFmtId="170" fontId="0" fillId="0" borderId="0" xfId="1" applyNumberFormat="1" applyFont="1" applyBorder="1"/>
    <xf numFmtId="164" fontId="0" fillId="0" borderId="0" xfId="0" applyNumberFormat="1"/>
    <xf numFmtId="170" fontId="0" fillId="0" borderId="18" xfId="1" applyNumberFormat="1" applyFont="1" applyBorder="1"/>
    <xf numFmtId="9" fontId="12" fillId="0" borderId="0" xfId="3" applyFont="1" applyBorder="1" applyAlignment="1">
      <alignment vertical="center"/>
    </xf>
    <xf numFmtId="10" fontId="12" fillId="0" borderId="0" xfId="3" applyNumberFormat="1" applyFont="1" applyBorder="1" applyAlignment="1">
      <alignment vertical="center"/>
    </xf>
    <xf numFmtId="9" fontId="0" fillId="0" borderId="18" xfId="0" applyNumberFormat="1" applyBorder="1"/>
    <xf numFmtId="0" fontId="0" fillId="0" borderId="25" xfId="0" applyBorder="1" applyAlignment="1">
      <alignment wrapText="1"/>
    </xf>
    <xf numFmtId="43" fontId="0" fillId="0" borderId="25" xfId="0" applyNumberFormat="1" applyBorder="1"/>
    <xf numFmtId="0" fontId="0" fillId="31" borderId="0" xfId="0" applyFill="1"/>
    <xf numFmtId="0" fontId="0" fillId="0" borderId="31" xfId="0" applyBorder="1"/>
    <xf numFmtId="0" fontId="0" fillId="6" borderId="28" xfId="0" applyFill="1" applyBorder="1"/>
    <xf numFmtId="0" fontId="0" fillId="6" borderId="29" xfId="0" applyFill="1" applyBorder="1"/>
    <xf numFmtId="0" fontId="0" fillId="0" borderId="33" xfId="0" applyBorder="1"/>
    <xf numFmtId="43" fontId="0" fillId="0" borderId="0" xfId="2" applyFont="1" applyBorder="1"/>
    <xf numFmtId="0" fontId="0" fillId="0" borderId="32" xfId="0" applyBorder="1"/>
    <xf numFmtId="43" fontId="0" fillId="0" borderId="28" xfId="0" applyNumberFormat="1" applyBorder="1"/>
    <xf numFmtId="0" fontId="0" fillId="0" borderId="34" xfId="0" applyBorder="1"/>
    <xf numFmtId="43" fontId="0" fillId="0" borderId="8" xfId="0" applyNumberFormat="1" applyBorder="1"/>
    <xf numFmtId="3" fontId="0" fillId="0" borderId="17" xfId="0" applyNumberFormat="1" applyBorder="1" applyAlignment="1">
      <alignment vertical="center" wrapText="1"/>
    </xf>
    <xf numFmtId="0" fontId="0" fillId="0" borderId="0" xfId="0" applyAlignment="1">
      <alignment horizontal="center" vertical="center"/>
    </xf>
    <xf numFmtId="39" fontId="0" fillId="0" borderId="25" xfId="0" applyNumberFormat="1" applyBorder="1"/>
    <xf numFmtId="167" fontId="1" fillId="0" borderId="25" xfId="1" applyFont="1" applyBorder="1"/>
    <xf numFmtId="0" fontId="2" fillId="0" borderId="23" xfId="0" applyFont="1" applyBorder="1"/>
    <xf numFmtId="0" fontId="2" fillId="0" borderId="27" xfId="0" applyFont="1" applyBorder="1"/>
    <xf numFmtId="0" fontId="2" fillId="0" borderId="28" xfId="0" applyFont="1" applyBorder="1"/>
    <xf numFmtId="0" fontId="0" fillId="0" borderId="28" xfId="0" applyBorder="1" applyAlignment="1">
      <alignment horizontal="center" vertical="center"/>
    </xf>
    <xf numFmtId="0" fontId="2" fillId="0" borderId="25" xfId="0" applyFont="1" applyBorder="1"/>
    <xf numFmtId="0" fontId="2" fillId="0" borderId="0" xfId="0" applyFont="1" applyAlignment="1">
      <alignment horizontal="center"/>
    </xf>
    <xf numFmtId="167" fontId="2" fillId="0" borderId="0" xfId="0" applyNumberFormat="1" applyFont="1"/>
    <xf numFmtId="0" fontId="2" fillId="0" borderId="30" xfId="0" applyFont="1" applyBorder="1"/>
    <xf numFmtId="0" fontId="0" fillId="0" borderId="28" xfId="0" applyBorder="1" applyAlignment="1">
      <alignment horizontal="center"/>
    </xf>
    <xf numFmtId="39" fontId="0" fillId="0" borderId="0" xfId="0" applyNumberFormat="1"/>
    <xf numFmtId="4" fontId="0" fillId="0" borderId="25" xfId="0" applyNumberFormat="1" applyBorder="1"/>
    <xf numFmtId="167" fontId="0" fillId="0" borderId="25" xfId="0" applyNumberFormat="1" applyBorder="1"/>
    <xf numFmtId="4" fontId="0" fillId="0" borderId="28" xfId="0" applyNumberFormat="1" applyBorder="1"/>
    <xf numFmtId="0" fontId="2" fillId="0" borderId="24" xfId="0" applyFont="1" applyBorder="1"/>
    <xf numFmtId="167" fontId="2" fillId="0" borderId="25" xfId="1" applyFont="1" applyBorder="1"/>
    <xf numFmtId="0" fontId="2" fillId="0" borderId="26" xfId="0" applyFont="1" applyBorder="1"/>
    <xf numFmtId="169" fontId="0" fillId="0" borderId="0" xfId="2" applyNumberFormat="1" applyFont="1"/>
    <xf numFmtId="0" fontId="0" fillId="0" borderId="25" xfId="0" applyBorder="1" applyAlignment="1">
      <alignment horizontal="center"/>
    </xf>
    <xf numFmtId="0" fontId="0" fillId="0" borderId="17" xfId="0" applyBorder="1"/>
    <xf numFmtId="167" fontId="0" fillId="0" borderId="3" xfId="1" applyFont="1" applyBorder="1"/>
    <xf numFmtId="167" fontId="0" fillId="0" borderId="19" xfId="1" applyFont="1" applyBorder="1"/>
    <xf numFmtId="167" fontId="0" fillId="0" borderId="10" xfId="1" applyFont="1" applyBorder="1"/>
    <xf numFmtId="0" fontId="2" fillId="0" borderId="0" xfId="0" applyFont="1" applyAlignment="1">
      <alignment horizontal="right" vertical="center" wrapText="1"/>
    </xf>
    <xf numFmtId="167" fontId="0" fillId="0" borderId="0" xfId="1" applyFont="1" applyBorder="1" applyAlignment="1">
      <alignment vertical="center" wrapText="1"/>
    </xf>
    <xf numFmtId="2" fontId="0" fillId="0" borderId="17" xfId="0" applyNumberFormat="1" applyBorder="1" applyAlignment="1">
      <alignment horizontal="right" vertical="center" wrapText="1"/>
    </xf>
    <xf numFmtId="43" fontId="2" fillId="0" borderId="25" xfId="0" applyNumberFormat="1" applyFont="1" applyBorder="1"/>
    <xf numFmtId="172" fontId="0" fillId="0" borderId="0" xfId="0" applyNumberFormat="1"/>
    <xf numFmtId="0" fontId="8" fillId="0" borderId="19" xfId="0" applyFont="1" applyBorder="1" applyAlignment="1">
      <alignment horizontal="center" vertical="center"/>
    </xf>
    <xf numFmtId="0" fontId="8" fillId="0" borderId="10" xfId="0" applyFont="1" applyBorder="1" applyAlignment="1">
      <alignment horizontal="center" vertical="center"/>
    </xf>
    <xf numFmtId="0" fontId="8" fillId="0" borderId="17" xfId="0" applyFont="1" applyBorder="1" applyAlignment="1">
      <alignment horizontal="center" vertical="center"/>
    </xf>
    <xf numFmtId="0" fontId="2" fillId="11" borderId="0" xfId="0" applyFont="1" applyFill="1"/>
    <xf numFmtId="0" fontId="2" fillId="12" borderId="0" xfId="0" applyFont="1" applyFill="1"/>
    <xf numFmtId="0" fontId="0" fillId="19" borderId="0" xfId="0" applyFill="1"/>
    <xf numFmtId="0" fontId="2" fillId="0" borderId="0" xfId="0" applyFont="1" applyAlignment="1">
      <alignment vertical="center"/>
    </xf>
    <xf numFmtId="0" fontId="2" fillId="0" borderId="0" xfId="0" applyFont="1" applyAlignment="1">
      <alignment horizontal="center" vertical="center"/>
    </xf>
    <xf numFmtId="0" fontId="0" fillId="35" borderId="3" xfId="0" applyFill="1" applyBorder="1"/>
    <xf numFmtId="0" fontId="0" fillId="35" borderId="0" xfId="0" applyFill="1"/>
    <xf numFmtId="0" fontId="0" fillId="35" borderId="18" xfId="0" applyFill="1" applyBorder="1"/>
    <xf numFmtId="9" fontId="0" fillId="35" borderId="18" xfId="0" applyNumberFormat="1" applyFill="1" applyBorder="1"/>
    <xf numFmtId="0" fontId="0" fillId="37" borderId="3" xfId="0" applyFill="1" applyBorder="1"/>
    <xf numFmtId="0" fontId="0" fillId="37" borderId="0" xfId="0" applyFill="1"/>
    <xf numFmtId="0" fontId="0" fillId="37" borderId="18" xfId="0" applyFill="1" applyBorder="1"/>
    <xf numFmtId="9" fontId="0" fillId="37" borderId="18" xfId="0" applyNumberFormat="1" applyFill="1" applyBorder="1"/>
    <xf numFmtId="43" fontId="0" fillId="37" borderId="18" xfId="2" applyFont="1" applyFill="1" applyBorder="1"/>
    <xf numFmtId="167" fontId="1" fillId="0" borderId="0" xfId="1" applyFont="1" applyBorder="1"/>
    <xf numFmtId="0" fontId="0" fillId="0" borderId="25" xfId="0" applyBorder="1" applyAlignment="1">
      <alignment vertical="center"/>
    </xf>
    <xf numFmtId="0" fontId="2" fillId="2" borderId="0" xfId="0" applyFont="1" applyFill="1"/>
    <xf numFmtId="0" fontId="4" fillId="7" borderId="0" xfId="0" applyFont="1" applyFill="1"/>
    <xf numFmtId="0" fontId="2" fillId="6" borderId="0" xfId="0" applyFont="1" applyFill="1"/>
    <xf numFmtId="0" fontId="2" fillId="19" borderId="0" xfId="0" applyFont="1" applyFill="1"/>
    <xf numFmtId="0" fontId="2" fillId="3" borderId="0" xfId="0" applyFont="1" applyFill="1"/>
    <xf numFmtId="0" fontId="2" fillId="5" borderId="0" xfId="0" applyFont="1" applyFill="1"/>
    <xf numFmtId="0" fontId="2" fillId="9" borderId="0" xfId="0" applyFont="1" applyFill="1"/>
    <xf numFmtId="0" fontId="2" fillId="10" borderId="0" xfId="0" applyFont="1" applyFill="1"/>
    <xf numFmtId="0" fontId="2" fillId="16" borderId="0" xfId="0" applyFont="1" applyFill="1"/>
    <xf numFmtId="0" fontId="2" fillId="17" borderId="0" xfId="0" applyFont="1" applyFill="1"/>
    <xf numFmtId="0" fontId="2" fillId="13" borderId="0" xfId="0" applyFont="1" applyFill="1"/>
    <xf numFmtId="0" fontId="2" fillId="38" borderId="0" xfId="0" applyFont="1" applyFill="1"/>
    <xf numFmtId="0" fontId="0" fillId="38" borderId="0" xfId="0" applyFill="1"/>
    <xf numFmtId="0" fontId="2" fillId="39" borderId="0" xfId="0" applyFont="1" applyFill="1"/>
    <xf numFmtId="0" fontId="0" fillId="39" borderId="0" xfId="0" applyFill="1"/>
    <xf numFmtId="0" fontId="2" fillId="40" borderId="0" xfId="0" applyFont="1" applyFill="1"/>
    <xf numFmtId="0" fontId="0" fillId="40" borderId="0" xfId="0" applyFill="1"/>
    <xf numFmtId="0" fontId="2" fillId="41" borderId="0" xfId="0" applyFont="1" applyFill="1"/>
    <xf numFmtId="0" fontId="0" fillId="41" borderId="0" xfId="0" applyFill="1"/>
    <xf numFmtId="0" fontId="2" fillId="42" borderId="0" xfId="0" applyFont="1" applyFill="1"/>
    <xf numFmtId="0" fontId="0" fillId="42" borderId="0" xfId="0" applyFill="1"/>
    <xf numFmtId="174" fontId="0" fillId="0" borderId="0" xfId="0" applyNumberFormat="1"/>
    <xf numFmtId="43" fontId="0" fillId="0" borderId="0" xfId="2" applyFont="1"/>
    <xf numFmtId="0" fontId="0" fillId="3" borderId="12" xfId="0" applyFill="1" applyBorder="1"/>
    <xf numFmtId="0" fontId="0" fillId="3" borderId="13" xfId="0" applyFill="1" applyBorder="1"/>
    <xf numFmtId="0" fontId="2" fillId="43" borderId="0" xfId="0" applyFont="1" applyFill="1"/>
    <xf numFmtId="0" fontId="0" fillId="43" borderId="0" xfId="0" applyFill="1"/>
    <xf numFmtId="0" fontId="0" fillId="0" borderId="28" xfId="0" applyBorder="1" applyAlignment="1">
      <alignment vertical="center"/>
    </xf>
    <xf numFmtId="39" fontId="0" fillId="0" borderId="28" xfId="0" applyNumberFormat="1" applyBorder="1"/>
    <xf numFmtId="167" fontId="1" fillId="0" borderId="28" xfId="1" applyFont="1" applyBorder="1"/>
    <xf numFmtId="0" fontId="0" fillId="11" borderId="16" xfId="0" applyFill="1" applyBorder="1" applyAlignment="1">
      <alignment horizontal="left" vertical="center" wrapText="1"/>
    </xf>
    <xf numFmtId="43" fontId="0" fillId="11" borderId="17" xfId="0" applyNumberFormat="1" applyFill="1" applyBorder="1" applyAlignment="1">
      <alignment vertical="center" wrapText="1"/>
    </xf>
    <xf numFmtId="0" fontId="2" fillId="0" borderId="0" xfId="0" applyFont="1" applyAlignment="1">
      <alignment wrapText="1"/>
    </xf>
    <xf numFmtId="0" fontId="11" fillId="0" borderId="0" xfId="0" applyFont="1" applyAlignment="1">
      <alignment horizontal="center" vertical="center"/>
    </xf>
    <xf numFmtId="0" fontId="0" fillId="0" borderId="7" xfId="0" applyBorder="1" applyAlignment="1">
      <alignment horizontal="center"/>
    </xf>
    <xf numFmtId="0" fontId="11" fillId="0" borderId="0" xfId="0" applyFont="1" applyAlignment="1">
      <alignment horizontal="center" vertical="center" wrapText="1"/>
    </xf>
    <xf numFmtId="0" fontId="11" fillId="0" borderId="19" xfId="0" applyFont="1" applyBorder="1" applyAlignment="1">
      <alignment horizontal="center" vertical="center"/>
    </xf>
    <xf numFmtId="0" fontId="11" fillId="0" borderId="10" xfId="0" applyFont="1" applyBorder="1" applyAlignment="1">
      <alignment horizontal="center" vertical="center"/>
    </xf>
    <xf numFmtId="0" fontId="11" fillId="0" borderId="3" xfId="0" applyFont="1" applyBorder="1" applyAlignment="1">
      <alignment horizontal="center" vertical="center"/>
    </xf>
    <xf numFmtId="0" fontId="0" fillId="0" borderId="36" xfId="0" applyBorder="1"/>
    <xf numFmtId="0" fontId="0" fillId="0" borderId="24" xfId="0" applyBorder="1" applyAlignment="1">
      <alignment horizontal="center"/>
    </xf>
    <xf numFmtId="0" fontId="0" fillId="0" borderId="23" xfId="0" applyBorder="1" applyAlignment="1">
      <alignment horizontal="center"/>
    </xf>
    <xf numFmtId="0" fontId="0" fillId="0" borderId="27" xfId="0" applyBorder="1" applyAlignment="1">
      <alignment horizontal="center"/>
    </xf>
    <xf numFmtId="0" fontId="0" fillId="6" borderId="8" xfId="0" applyFill="1" applyBorder="1"/>
    <xf numFmtId="0" fontId="0" fillId="6" borderId="9" xfId="0" applyFill="1" applyBorder="1"/>
    <xf numFmtId="0" fontId="2" fillId="0" borderId="4" xfId="0" applyFont="1" applyBorder="1"/>
    <xf numFmtId="43" fontId="3" fillId="0" borderId="30" xfId="0" applyNumberFormat="1" applyFont="1" applyBorder="1"/>
    <xf numFmtId="43" fontId="0" fillId="0" borderId="30" xfId="0" applyNumberFormat="1" applyBorder="1"/>
    <xf numFmtId="43" fontId="0" fillId="0" borderId="29" xfId="0" applyNumberFormat="1" applyBorder="1"/>
    <xf numFmtId="2" fontId="0" fillId="0" borderId="26" xfId="0" applyNumberFormat="1" applyBorder="1"/>
    <xf numFmtId="2" fontId="0" fillId="0" borderId="30" xfId="0" applyNumberFormat="1" applyBorder="1"/>
    <xf numFmtId="2" fontId="0" fillId="0" borderId="29" xfId="0" applyNumberFormat="1" applyBorder="1"/>
    <xf numFmtId="0" fontId="2" fillId="51" borderId="0" xfId="0" applyFont="1" applyFill="1"/>
    <xf numFmtId="0" fontId="0" fillId="51" borderId="0" xfId="0" applyFill="1"/>
    <xf numFmtId="0" fontId="0" fillId="28" borderId="0" xfId="0" applyFill="1"/>
    <xf numFmtId="0" fontId="2" fillId="28" borderId="0" xfId="0" applyFont="1" applyFill="1"/>
    <xf numFmtId="43" fontId="0" fillId="0" borderId="26" xfId="0" applyNumberFormat="1" applyBorder="1"/>
    <xf numFmtId="43" fontId="0" fillId="0" borderId="29" xfId="2" applyFont="1" applyBorder="1"/>
    <xf numFmtId="0" fontId="17" fillId="0" borderId="0" xfId="0" applyFont="1"/>
    <xf numFmtId="167" fontId="0" fillId="0" borderId="17" xfId="1" applyFont="1" applyBorder="1" applyAlignment="1">
      <alignment horizontal="right" vertical="center" wrapText="1"/>
    </xf>
    <xf numFmtId="43" fontId="0" fillId="0" borderId="17" xfId="2" applyFont="1" applyBorder="1" applyAlignment="1">
      <alignment horizontal="right" vertical="center" wrapText="1"/>
    </xf>
    <xf numFmtId="2" fontId="0" fillId="0" borderId="17" xfId="0" applyNumberFormat="1" applyBorder="1" applyAlignment="1">
      <alignment horizontal="center" vertical="center" wrapText="1"/>
    </xf>
    <xf numFmtId="0" fontId="2" fillId="55" borderId="0" xfId="0" applyFont="1" applyFill="1"/>
    <xf numFmtId="0" fontId="0" fillId="55" borderId="0" xfId="0" applyFill="1"/>
    <xf numFmtId="43" fontId="0" fillId="0" borderId="9" xfId="0" applyNumberFormat="1" applyBorder="1"/>
    <xf numFmtId="0" fontId="0" fillId="0" borderId="1" xfId="0" applyBorder="1" applyAlignment="1">
      <alignment horizontal="center" vertical="center" wrapText="1"/>
    </xf>
    <xf numFmtId="43" fontId="0" fillId="0" borderId="26" xfId="2" applyFont="1" applyBorder="1"/>
    <xf numFmtId="0" fontId="2" fillId="6" borderId="27" xfId="0" applyFont="1" applyFill="1" applyBorder="1"/>
    <xf numFmtId="0" fontId="18" fillId="0" borderId="0" xfId="0" applyFont="1" applyAlignment="1">
      <alignment vertical="center"/>
    </xf>
    <xf numFmtId="0" fontId="4" fillId="0" borderId="0" xfId="0" applyFont="1" applyAlignment="1">
      <alignment horizontal="right" vertical="center" wrapText="1"/>
    </xf>
    <xf numFmtId="0" fontId="3" fillId="0" borderId="1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6" xfId="0" applyFont="1" applyBorder="1" applyAlignment="1">
      <alignment vertical="center" wrapText="1"/>
    </xf>
    <xf numFmtId="43" fontId="3" fillId="0" borderId="17" xfId="0" applyNumberFormat="1" applyFont="1" applyBorder="1" applyAlignment="1">
      <alignment vertical="center" wrapText="1"/>
    </xf>
    <xf numFmtId="0" fontId="3" fillId="0" borderId="17" xfId="0" applyFont="1" applyBorder="1" applyAlignment="1">
      <alignment vertical="center" wrapText="1"/>
    </xf>
    <xf numFmtId="165" fontId="3" fillId="0" borderId="17" xfId="0" applyNumberFormat="1" applyFont="1" applyBorder="1" applyAlignment="1">
      <alignment vertical="center" wrapText="1"/>
    </xf>
    <xf numFmtId="167" fontId="3" fillId="0" borderId="17" xfId="1" applyFont="1" applyBorder="1" applyAlignment="1">
      <alignment vertical="center" wrapText="1"/>
    </xf>
    <xf numFmtId="169" fontId="3" fillId="0" borderId="30" xfId="0" applyNumberFormat="1" applyFont="1" applyBorder="1"/>
    <xf numFmtId="0" fontId="0" fillId="64" borderId="0" xfId="0" applyFill="1"/>
    <xf numFmtId="0" fontId="2" fillId="64" borderId="0" xfId="0" applyFont="1" applyFill="1"/>
    <xf numFmtId="0" fontId="2" fillId="0" borderId="4" xfId="0" applyFont="1" applyBorder="1" applyAlignment="1">
      <alignment vertical="center"/>
    </xf>
    <xf numFmtId="0" fontId="0" fillId="0" borderId="6" xfId="0" applyBorder="1" applyAlignment="1">
      <alignment horizontal="center" vertical="center" wrapText="1"/>
    </xf>
    <xf numFmtId="0" fontId="22" fillId="0" borderId="0" xfId="0" applyFont="1" applyAlignment="1">
      <alignment vertical="center" wrapText="1"/>
    </xf>
    <xf numFmtId="0" fontId="22" fillId="0" borderId="0" xfId="0" applyFont="1"/>
    <xf numFmtId="0" fontId="0" fillId="0" borderId="6" xfId="0" applyBorder="1" applyAlignment="1">
      <alignment vertical="center" wrapText="1"/>
    </xf>
    <xf numFmtId="0" fontId="0" fillId="0" borderId="36" xfId="0" applyBorder="1" applyAlignment="1">
      <alignment vertical="center" wrapText="1"/>
    </xf>
    <xf numFmtId="0" fontId="0" fillId="0" borderId="4" xfId="0" applyBorder="1" applyAlignment="1">
      <alignment vertical="center" wrapText="1"/>
    </xf>
    <xf numFmtId="0" fontId="0" fillId="0" borderId="25" xfId="0" applyBorder="1" applyAlignment="1">
      <alignment vertical="center" wrapText="1"/>
    </xf>
    <xf numFmtId="0" fontId="0" fillId="0" borderId="26" xfId="0" applyBorder="1" applyAlignment="1">
      <alignment vertical="center" wrapText="1"/>
    </xf>
    <xf numFmtId="0" fontId="0" fillId="0" borderId="30" xfId="0" applyBorder="1" applyAlignment="1">
      <alignment vertical="center" wrapText="1"/>
    </xf>
    <xf numFmtId="0" fontId="0" fillId="0" borderId="28" xfId="0" applyBorder="1" applyAlignment="1">
      <alignment vertical="center" wrapText="1"/>
    </xf>
    <xf numFmtId="0" fontId="0" fillId="0" borderId="29" xfId="0" applyBorder="1" applyAlignment="1">
      <alignment vertical="center" wrapText="1"/>
    </xf>
    <xf numFmtId="0" fontId="2" fillId="0" borderId="6" xfId="0" applyFont="1" applyBorder="1" applyAlignment="1">
      <alignment vertical="center" wrapText="1"/>
    </xf>
    <xf numFmtId="0" fontId="2" fillId="0" borderId="36" xfId="0" applyFont="1" applyBorder="1" applyAlignment="1">
      <alignment vertical="center" wrapText="1"/>
    </xf>
    <xf numFmtId="0" fontId="2" fillId="0" borderId="4" xfId="0" applyFont="1" applyBorder="1" applyAlignment="1">
      <alignment vertical="center" wrapText="1"/>
    </xf>
    <xf numFmtId="0" fontId="0" fillId="0" borderId="6" xfId="0" applyBorder="1" applyAlignment="1">
      <alignment vertical="center"/>
    </xf>
    <xf numFmtId="0" fontId="0" fillId="0" borderId="36" xfId="0" applyBorder="1" applyAlignment="1">
      <alignment vertical="center"/>
    </xf>
    <xf numFmtId="0" fontId="0" fillId="0" borderId="4" xfId="0" applyBorder="1" applyAlignment="1">
      <alignment vertical="center"/>
    </xf>
    <xf numFmtId="0" fontId="2" fillId="0" borderId="1" xfId="0" applyFont="1" applyBorder="1" applyAlignment="1">
      <alignment vertical="center" wrapText="1"/>
    </xf>
    <xf numFmtId="0" fontId="0" fillId="0" borderId="13" xfId="0" applyBorder="1" applyAlignment="1">
      <alignment horizontal="center" vertical="center" wrapText="1"/>
    </xf>
    <xf numFmtId="0" fontId="2" fillId="0" borderId="17" xfId="0" applyFont="1" applyBorder="1" applyAlignment="1">
      <alignment horizontal="center" vertical="center" wrapText="1"/>
    </xf>
    <xf numFmtId="0" fontId="2" fillId="0" borderId="2" xfId="0" applyFont="1" applyBorder="1" applyAlignment="1">
      <alignment horizontal="center" vertical="center" wrapText="1"/>
    </xf>
    <xf numFmtId="0" fontId="2" fillId="0" borderId="18" xfId="0" applyFont="1" applyBorder="1" applyAlignment="1">
      <alignment horizontal="center" vertical="center" wrapText="1"/>
    </xf>
    <xf numFmtId="9" fontId="0" fillId="0" borderId="17" xfId="3" applyFont="1" applyBorder="1" applyAlignment="1">
      <alignment horizontal="center" vertical="center" wrapText="1"/>
    </xf>
    <xf numFmtId="176" fontId="0" fillId="0" borderId="17" xfId="3" applyNumberFormat="1" applyFont="1" applyBorder="1" applyAlignment="1">
      <alignment horizontal="center" vertical="center" wrapText="1"/>
    </xf>
    <xf numFmtId="0" fontId="0" fillId="0" borderId="15" xfId="0" applyBorder="1" applyAlignment="1">
      <alignment horizontal="left" vertical="center" wrapText="1"/>
    </xf>
    <xf numFmtId="0" fontId="0" fillId="0" borderId="2" xfId="0" applyBorder="1" applyAlignment="1">
      <alignment horizontal="left" vertical="center" wrapText="1"/>
    </xf>
    <xf numFmtId="0" fontId="0" fillId="27" borderId="16" xfId="0" applyFill="1" applyBorder="1" applyAlignment="1">
      <alignment horizontal="left" vertical="center" wrapText="1"/>
    </xf>
    <xf numFmtId="177" fontId="0" fillId="0" borderId="17" xfId="0" applyNumberFormat="1" applyBorder="1" applyAlignment="1">
      <alignment horizontal="center" vertical="center" wrapText="1"/>
    </xf>
    <xf numFmtId="43" fontId="0" fillId="23" borderId="17" xfId="2" applyFont="1" applyFill="1" applyBorder="1" applyAlignment="1">
      <alignment horizontal="center" vertical="center" wrapText="1"/>
    </xf>
    <xf numFmtId="0" fontId="0" fillId="23" borderId="17" xfId="0" applyFill="1" applyBorder="1" applyAlignment="1">
      <alignment horizontal="center" vertical="center" wrapText="1"/>
    </xf>
    <xf numFmtId="9" fontId="0" fillId="23" borderId="17" xfId="3" applyFont="1" applyFill="1" applyBorder="1" applyAlignment="1">
      <alignment horizontal="center" vertical="center" wrapText="1"/>
    </xf>
    <xf numFmtId="0" fontId="0" fillId="23" borderId="10" xfId="0" applyFill="1" applyBorder="1" applyAlignment="1">
      <alignment horizontal="center" vertical="center" wrapText="1"/>
    </xf>
    <xf numFmtId="176" fontId="0" fillId="23" borderId="17" xfId="3" applyNumberFormat="1" applyFont="1" applyFill="1" applyBorder="1" applyAlignment="1">
      <alignment horizontal="center" vertical="center" wrapText="1"/>
    </xf>
    <xf numFmtId="43" fontId="0" fillId="0" borderId="2" xfId="2" applyFont="1" applyBorder="1" applyAlignment="1">
      <alignment vertical="center" wrapText="1"/>
    </xf>
    <xf numFmtId="0" fontId="2" fillId="0" borderId="16" xfId="0" applyFont="1" applyBorder="1" applyAlignment="1">
      <alignment horizontal="left" vertical="center" wrapText="1"/>
    </xf>
    <xf numFmtId="0" fontId="2" fillId="29" borderId="0" xfId="0" applyFont="1" applyFill="1"/>
    <xf numFmtId="0" fontId="2" fillId="0" borderId="13" xfId="0" applyFont="1" applyBorder="1" applyAlignment="1">
      <alignment horizontal="center"/>
    </xf>
    <xf numFmtId="0" fontId="0" fillId="0" borderId="6" xfId="0" applyBorder="1" applyAlignment="1">
      <alignment horizontal="left" vertical="center"/>
    </xf>
    <xf numFmtId="0" fontId="0" fillId="0" borderId="4" xfId="0" applyBorder="1" applyAlignment="1">
      <alignment horizontal="left" vertical="center"/>
    </xf>
    <xf numFmtId="0" fontId="0" fillId="0" borderId="25" xfId="0" applyBorder="1" applyAlignment="1">
      <alignment horizontal="center" vertical="center"/>
    </xf>
    <xf numFmtId="0" fontId="0" fillId="0" borderId="24" xfId="0" applyBorder="1" applyAlignment="1">
      <alignment horizontal="center" vertical="center"/>
    </xf>
    <xf numFmtId="0" fontId="0" fillId="0" borderId="26" xfId="0" applyBorder="1" applyAlignment="1">
      <alignment horizontal="center" vertical="center"/>
    </xf>
    <xf numFmtId="0" fontId="0" fillId="0" borderId="23" xfId="0" applyBorder="1" applyAlignment="1">
      <alignment horizontal="center" vertical="center"/>
    </xf>
    <xf numFmtId="167" fontId="0" fillId="0" borderId="15" xfId="0" applyNumberFormat="1" applyBorder="1"/>
    <xf numFmtId="167" fontId="0" fillId="0" borderId="17" xfId="1" applyFont="1" applyBorder="1"/>
    <xf numFmtId="0" fontId="0" fillId="0" borderId="27" xfId="0" applyBorder="1" applyAlignment="1">
      <alignment horizontal="center" vertical="center"/>
    </xf>
    <xf numFmtId="43" fontId="0" fillId="0" borderId="24" xfId="0" applyNumberFormat="1" applyBorder="1" applyAlignment="1">
      <alignment vertical="center"/>
    </xf>
    <xf numFmtId="43" fontId="0" fillId="0" borderId="36" xfId="0" applyNumberFormat="1" applyBorder="1" applyAlignment="1">
      <alignment vertical="center"/>
    </xf>
    <xf numFmtId="43" fontId="0" fillId="0" borderId="36" xfId="2" applyFont="1" applyBorder="1" applyAlignment="1">
      <alignment vertical="center"/>
    </xf>
    <xf numFmtId="0" fontId="0" fillId="0" borderId="36" xfId="0" applyBorder="1" applyAlignment="1">
      <alignment horizontal="center" vertical="center"/>
    </xf>
    <xf numFmtId="43" fontId="0" fillId="0" borderId="6" xfId="0" applyNumberFormat="1" applyBorder="1" applyAlignment="1">
      <alignment vertical="center"/>
    </xf>
    <xf numFmtId="43" fontId="0" fillId="0" borderId="23" xfId="0" applyNumberFormat="1" applyBorder="1" applyAlignment="1">
      <alignment vertical="center"/>
    </xf>
    <xf numFmtId="0" fontId="3" fillId="0" borderId="36" xfId="0" applyFont="1" applyBorder="1" applyAlignment="1">
      <alignment vertical="center"/>
    </xf>
    <xf numFmtId="0" fontId="3" fillId="0" borderId="4" xfId="0" applyFont="1" applyBorder="1" applyAlignment="1">
      <alignment vertical="center"/>
    </xf>
    <xf numFmtId="43" fontId="0" fillId="0" borderId="27" xfId="0" applyNumberFormat="1" applyBorder="1" applyAlignment="1">
      <alignment vertical="center"/>
    </xf>
    <xf numFmtId="43" fontId="0" fillId="0" borderId="4" xfId="0" applyNumberFormat="1" applyBorder="1" applyAlignment="1">
      <alignment vertical="center"/>
    </xf>
    <xf numFmtId="43" fontId="0" fillId="0" borderId="4" xfId="2" applyFont="1" applyBorder="1" applyAlignment="1">
      <alignment vertical="center"/>
    </xf>
    <xf numFmtId="0" fontId="0" fillId="0" borderId="4" xfId="0" applyBorder="1" applyAlignment="1">
      <alignment horizontal="center" vertical="center"/>
    </xf>
    <xf numFmtId="43" fontId="3" fillId="0" borderId="26" xfId="2" applyFont="1" applyBorder="1" applyAlignment="1">
      <alignment vertical="center"/>
    </xf>
    <xf numFmtId="43" fontId="0" fillId="0" borderId="26" xfId="0" applyNumberFormat="1" applyBorder="1" applyAlignment="1">
      <alignment vertical="center"/>
    </xf>
    <xf numFmtId="43" fontId="3" fillId="0" borderId="30" xfId="2" applyFont="1" applyBorder="1" applyAlignment="1">
      <alignment vertical="center"/>
    </xf>
    <xf numFmtId="43" fontId="0" fillId="0" borderId="30" xfId="0" applyNumberFormat="1" applyBorder="1" applyAlignment="1">
      <alignment vertical="center"/>
    </xf>
    <xf numFmtId="43" fontId="3" fillId="0" borderId="29" xfId="2" applyFont="1" applyBorder="1" applyAlignment="1">
      <alignment vertical="center"/>
    </xf>
    <xf numFmtId="43" fontId="0" fillId="0" borderId="29" xfId="0" applyNumberFormat="1" applyBorder="1" applyAlignment="1">
      <alignment vertical="center"/>
    </xf>
    <xf numFmtId="0" fontId="0" fillId="0" borderId="26" xfId="0" applyBorder="1" applyAlignment="1">
      <alignment vertical="center"/>
    </xf>
    <xf numFmtId="0" fontId="0" fillId="0" borderId="30" xfId="0" applyBorder="1" applyAlignment="1">
      <alignment vertical="center"/>
    </xf>
    <xf numFmtId="0" fontId="0" fillId="0" borderId="1" xfId="0" applyBorder="1" applyAlignment="1">
      <alignment horizontal="center" vertical="center"/>
    </xf>
    <xf numFmtId="0" fontId="0" fillId="0" borderId="29" xfId="0" applyBorder="1" applyAlignment="1">
      <alignment vertical="center"/>
    </xf>
    <xf numFmtId="0" fontId="4" fillId="0" borderId="36" xfId="0" applyFont="1" applyBorder="1" applyAlignment="1">
      <alignment vertical="center"/>
    </xf>
    <xf numFmtId="0" fontId="3" fillId="0" borderId="6" xfId="0" applyFont="1" applyBorder="1" applyAlignment="1">
      <alignment vertical="center"/>
    </xf>
    <xf numFmtId="0" fontId="2" fillId="0" borderId="7" xfId="0" applyFont="1" applyBorder="1" applyAlignment="1">
      <alignment vertical="center"/>
    </xf>
    <xf numFmtId="0" fontId="2" fillId="0" borderId="1" xfId="0" applyFont="1" applyBorder="1" applyAlignment="1">
      <alignment vertical="center"/>
    </xf>
    <xf numFmtId="0" fontId="2" fillId="0" borderId="9" xfId="0" applyFont="1" applyBorder="1" applyAlignment="1">
      <alignment vertical="center"/>
    </xf>
    <xf numFmtId="0" fontId="0" fillId="0" borderId="23" xfId="0" applyBorder="1" applyAlignment="1">
      <alignment vertical="center"/>
    </xf>
    <xf numFmtId="0" fontId="0" fillId="0" borderId="27" xfId="0" applyBorder="1" applyAlignment="1">
      <alignment vertical="center"/>
    </xf>
    <xf numFmtId="0" fontId="0" fillId="0" borderId="1" xfId="0" applyBorder="1" applyAlignment="1">
      <alignment vertical="center"/>
    </xf>
    <xf numFmtId="0" fontId="3" fillId="59" borderId="12" xfId="0" applyFont="1" applyFill="1" applyBorder="1" applyAlignment="1">
      <alignment vertical="center"/>
    </xf>
    <xf numFmtId="43" fontId="3" fillId="59" borderId="12" xfId="2" applyFont="1" applyFill="1" applyBorder="1" applyAlignment="1">
      <alignment vertical="center"/>
    </xf>
    <xf numFmtId="0" fontId="3" fillId="59" borderId="13" xfId="0" applyFont="1" applyFill="1" applyBorder="1" applyAlignment="1">
      <alignment vertical="center"/>
    </xf>
    <xf numFmtId="0" fontId="4" fillId="30" borderId="27" xfId="0" applyFont="1" applyFill="1" applyBorder="1" applyAlignment="1">
      <alignment vertical="center"/>
    </xf>
    <xf numFmtId="0" fontId="3" fillId="30" borderId="28" xfId="0" applyFont="1" applyFill="1" applyBorder="1" applyAlignment="1">
      <alignment vertical="center"/>
    </xf>
    <xf numFmtId="43" fontId="3" fillId="30" borderId="28" xfId="2" applyFont="1" applyFill="1" applyBorder="1" applyAlignment="1">
      <alignment vertical="center"/>
    </xf>
    <xf numFmtId="0" fontId="3" fillId="30" borderId="29" xfId="0" applyFont="1" applyFill="1" applyBorder="1" applyAlignment="1">
      <alignment vertical="center"/>
    </xf>
    <xf numFmtId="0" fontId="3" fillId="0" borderId="0" xfId="0" applyFont="1" applyAlignment="1">
      <alignment vertical="center"/>
    </xf>
    <xf numFmtId="0" fontId="3" fillId="0" borderId="30" xfId="0" applyFont="1" applyBorder="1" applyAlignment="1">
      <alignment vertical="center"/>
    </xf>
    <xf numFmtId="0" fontId="0" fillId="0" borderId="24" xfId="0" applyBorder="1" applyAlignment="1">
      <alignment vertical="center"/>
    </xf>
    <xf numFmtId="0" fontId="4" fillId="0" borderId="23" xfId="0" applyFont="1" applyBorder="1" applyAlignment="1">
      <alignment vertical="center"/>
    </xf>
    <xf numFmtId="43" fontId="3" fillId="0" borderId="0" xfId="2" applyFont="1" applyFill="1" applyBorder="1" applyAlignment="1">
      <alignment vertical="center"/>
    </xf>
    <xf numFmtId="0" fontId="4" fillId="0" borderId="27" xfId="0" applyFont="1" applyBorder="1" applyAlignment="1">
      <alignment vertical="center"/>
    </xf>
    <xf numFmtId="0" fontId="3" fillId="0" borderId="28" xfId="0" applyFont="1" applyBorder="1" applyAlignment="1">
      <alignment vertical="center"/>
    </xf>
    <xf numFmtId="43" fontId="3" fillId="0" borderId="28" xfId="2" applyFont="1" applyFill="1" applyBorder="1" applyAlignment="1">
      <alignment vertical="center"/>
    </xf>
    <xf numFmtId="0" fontId="3" fillId="0" borderId="29" xfId="0" applyFont="1" applyBorder="1" applyAlignment="1">
      <alignment vertical="center"/>
    </xf>
    <xf numFmtId="0" fontId="4" fillId="30" borderId="7" xfId="0" applyFont="1" applyFill="1" applyBorder="1" applyAlignment="1">
      <alignment vertical="center"/>
    </xf>
    <xf numFmtId="0" fontId="3" fillId="30" borderId="8" xfId="0" applyFont="1" applyFill="1" applyBorder="1" applyAlignment="1">
      <alignment vertical="center"/>
    </xf>
    <xf numFmtId="43" fontId="3" fillId="30" borderId="8" xfId="2" applyFont="1" applyFill="1" applyBorder="1" applyAlignment="1">
      <alignment vertical="center"/>
    </xf>
    <xf numFmtId="0" fontId="3" fillId="30" borderId="9" xfId="0" applyFont="1" applyFill="1" applyBorder="1" applyAlignment="1">
      <alignment vertical="center"/>
    </xf>
    <xf numFmtId="0" fontId="3" fillId="0" borderId="25" xfId="0" applyFont="1" applyBorder="1" applyAlignment="1">
      <alignment vertical="center"/>
    </xf>
    <xf numFmtId="0" fontId="3" fillId="0" borderId="26" xfId="0" applyFont="1" applyBorder="1" applyAlignment="1">
      <alignment vertical="center"/>
    </xf>
    <xf numFmtId="0" fontId="3" fillId="0" borderId="24" xfId="0" applyFont="1" applyBorder="1" applyAlignment="1">
      <alignment horizontal="center" vertical="center"/>
    </xf>
    <xf numFmtId="43" fontId="3" fillId="0" borderId="26" xfId="2" applyFont="1" applyFill="1" applyBorder="1" applyAlignment="1">
      <alignment vertical="center"/>
    </xf>
    <xf numFmtId="0" fontId="3" fillId="0" borderId="23" xfId="0" applyFont="1" applyBorder="1" applyAlignment="1">
      <alignment horizontal="center" vertical="center"/>
    </xf>
    <xf numFmtId="43" fontId="3" fillId="0" borderId="30" xfId="2" applyFont="1" applyFill="1" applyBorder="1" applyAlignment="1">
      <alignment vertical="center"/>
    </xf>
    <xf numFmtId="0" fontId="3" fillId="0" borderId="27" xfId="0" applyFont="1" applyBorder="1" applyAlignment="1">
      <alignment vertical="center"/>
    </xf>
    <xf numFmtId="43" fontId="3" fillId="0" borderId="29" xfId="2" applyFont="1" applyFill="1" applyBorder="1" applyAlignment="1">
      <alignment vertical="center"/>
    </xf>
    <xf numFmtId="0" fontId="3" fillId="0" borderId="23" xfId="0" applyFont="1" applyBorder="1" applyAlignment="1">
      <alignment vertical="center"/>
    </xf>
    <xf numFmtId="43" fontId="3" fillId="0" borderId="30" xfId="2" applyFont="1" applyBorder="1" applyAlignment="1">
      <alignment horizontal="right" vertical="center"/>
    </xf>
    <xf numFmtId="0" fontId="4" fillId="0" borderId="7" xfId="0" applyFont="1" applyBorder="1" applyAlignment="1">
      <alignment vertical="center"/>
    </xf>
    <xf numFmtId="0" fontId="4" fillId="29" borderId="1" xfId="0" applyFont="1" applyFill="1" applyBorder="1" applyAlignment="1">
      <alignment vertical="center"/>
    </xf>
    <xf numFmtId="0" fontId="4" fillId="11" borderId="1" xfId="0" applyFont="1" applyFill="1" applyBorder="1" applyAlignment="1">
      <alignment vertical="center"/>
    </xf>
    <xf numFmtId="0" fontId="4" fillId="2" borderId="7" xfId="0" applyFont="1" applyFill="1" applyBorder="1" applyAlignment="1">
      <alignment vertical="center"/>
    </xf>
    <xf numFmtId="0" fontId="4" fillId="2" borderId="1" xfId="0" applyFont="1" applyFill="1" applyBorder="1" applyAlignment="1">
      <alignment vertical="center"/>
    </xf>
    <xf numFmtId="0" fontId="4" fillId="0" borderId="0" xfId="0" applyFont="1" applyAlignment="1">
      <alignment vertical="center"/>
    </xf>
    <xf numFmtId="0" fontId="2" fillId="0" borderId="27" xfId="0" applyFont="1" applyBorder="1" applyAlignment="1">
      <alignment vertical="center"/>
    </xf>
    <xf numFmtId="11" fontId="0" fillId="0" borderId="28" xfId="0" applyNumberFormat="1" applyBorder="1" applyAlignment="1">
      <alignment vertical="center"/>
    </xf>
    <xf numFmtId="2" fontId="0" fillId="0" borderId="28" xfId="0" applyNumberFormat="1" applyBorder="1" applyAlignment="1">
      <alignment vertical="center"/>
    </xf>
    <xf numFmtId="0" fontId="4" fillId="59" borderId="7" xfId="0" applyFont="1" applyFill="1" applyBorder="1" applyAlignment="1">
      <alignment vertical="center"/>
    </xf>
    <xf numFmtId="0" fontId="3" fillId="59" borderId="8" xfId="0" applyFont="1" applyFill="1" applyBorder="1" applyAlignment="1">
      <alignment vertical="center"/>
    </xf>
    <xf numFmtId="0" fontId="3" fillId="59" borderId="9" xfId="0" applyFont="1" applyFill="1" applyBorder="1" applyAlignment="1">
      <alignment vertical="center"/>
    </xf>
    <xf numFmtId="0" fontId="3" fillId="59" borderId="1" xfId="0" applyFont="1" applyFill="1" applyBorder="1" applyAlignment="1">
      <alignment horizontal="center" vertical="center"/>
    </xf>
    <xf numFmtId="0" fontId="0" fillId="70" borderId="12" xfId="0" applyFill="1" applyBorder="1" applyAlignment="1">
      <alignment vertical="center"/>
    </xf>
    <xf numFmtId="0" fontId="0" fillId="70" borderId="13" xfId="0" applyFill="1" applyBorder="1" applyAlignment="1">
      <alignment vertical="center"/>
    </xf>
    <xf numFmtId="0" fontId="2" fillId="19" borderId="7" xfId="0" applyFont="1" applyFill="1" applyBorder="1" applyAlignment="1">
      <alignment vertical="center"/>
    </xf>
    <xf numFmtId="0" fontId="0" fillId="19" borderId="8" xfId="0" applyFill="1" applyBorder="1" applyAlignment="1">
      <alignment vertical="center"/>
    </xf>
    <xf numFmtId="0" fontId="0" fillId="19" borderId="9" xfId="0" applyFill="1" applyBorder="1" applyAlignment="1">
      <alignment vertical="center"/>
    </xf>
    <xf numFmtId="11" fontId="0" fillId="0" borderId="26" xfId="0" applyNumberFormat="1" applyBorder="1" applyAlignment="1">
      <alignment vertical="center"/>
    </xf>
    <xf numFmtId="0" fontId="2" fillId="19" borderId="8" xfId="0" applyFont="1" applyFill="1" applyBorder="1" applyAlignment="1">
      <alignment vertical="center"/>
    </xf>
    <xf numFmtId="0" fontId="2" fillId="19" borderId="9" xfId="0" applyFont="1" applyFill="1" applyBorder="1" applyAlignment="1">
      <alignment vertical="center"/>
    </xf>
    <xf numFmtId="0" fontId="2" fillId="0" borderId="36" xfId="0" applyFont="1" applyBorder="1" applyAlignment="1">
      <alignment vertical="center"/>
    </xf>
    <xf numFmtId="0" fontId="2" fillId="0" borderId="6" xfId="0" applyFont="1" applyBorder="1" applyAlignment="1">
      <alignment vertical="center"/>
    </xf>
    <xf numFmtId="0" fontId="2" fillId="0" borderId="7" xfId="0" applyFont="1" applyBorder="1" applyAlignment="1">
      <alignment horizontal="center" vertical="center"/>
    </xf>
    <xf numFmtId="0" fontId="2" fillId="0" borderId="25" xfId="0" applyFont="1" applyBorder="1" applyAlignment="1">
      <alignment vertical="center"/>
    </xf>
    <xf numFmtId="0" fontId="0" fillId="0" borderId="7" xfId="0" applyBorder="1" applyAlignment="1">
      <alignment horizontal="center" vertical="center"/>
    </xf>
    <xf numFmtId="43" fontId="0" fillId="0" borderId="9" xfId="0" applyNumberFormat="1" applyBorder="1" applyAlignment="1">
      <alignment vertical="center"/>
    </xf>
    <xf numFmtId="43" fontId="0" fillId="0" borderId="30" xfId="2" applyFont="1" applyBorder="1" applyAlignment="1">
      <alignment vertical="center"/>
    </xf>
    <xf numFmtId="43" fontId="0" fillId="0" borderId="0" xfId="0" applyNumberFormat="1" applyAlignment="1">
      <alignment vertical="center"/>
    </xf>
    <xf numFmtId="0" fontId="0" fillId="0" borderId="9" xfId="0" applyBorder="1" applyAlignment="1">
      <alignment vertical="center"/>
    </xf>
    <xf numFmtId="11" fontId="0" fillId="0" borderId="30" xfId="0" applyNumberFormat="1" applyBorder="1" applyAlignment="1">
      <alignment vertical="center"/>
    </xf>
    <xf numFmtId="0" fontId="0" fillId="0" borderId="7" xfId="0" applyBorder="1" applyAlignment="1">
      <alignment vertical="center"/>
    </xf>
    <xf numFmtId="43" fontId="0" fillId="0" borderId="1" xfId="0" applyNumberFormat="1" applyBorder="1" applyAlignment="1">
      <alignment vertical="center"/>
    </xf>
    <xf numFmtId="0" fontId="0" fillId="3" borderId="12" xfId="0" applyFill="1" applyBorder="1" applyAlignment="1">
      <alignment vertical="center"/>
    </xf>
    <xf numFmtId="0" fontId="0" fillId="3" borderId="13" xfId="0" applyFill="1" applyBorder="1" applyAlignment="1">
      <alignment vertical="center"/>
    </xf>
    <xf numFmtId="0" fontId="2" fillId="19" borderId="27" xfId="0" applyFont="1" applyFill="1" applyBorder="1" applyAlignment="1">
      <alignment vertical="center"/>
    </xf>
    <xf numFmtId="0" fontId="0" fillId="19" borderId="28" xfId="0" applyFill="1" applyBorder="1" applyAlignment="1">
      <alignment vertical="center"/>
    </xf>
    <xf numFmtId="0" fontId="0" fillId="19" borderId="29" xfId="0" applyFill="1" applyBorder="1" applyAlignment="1">
      <alignment vertical="center"/>
    </xf>
    <xf numFmtId="2" fontId="0" fillId="0" borderId="30" xfId="0" applyNumberFormat="1" applyBorder="1" applyAlignment="1">
      <alignment vertical="center"/>
    </xf>
    <xf numFmtId="43" fontId="0" fillId="0" borderId="0" xfId="2" applyFont="1" applyAlignment="1">
      <alignment vertical="center"/>
    </xf>
    <xf numFmtId="0" fontId="14" fillId="0" borderId="0" xfId="0" applyFont="1" applyAlignment="1">
      <alignment vertical="center"/>
    </xf>
    <xf numFmtId="0" fontId="2" fillId="3" borderId="7" xfId="0" applyFont="1" applyFill="1" applyBorder="1" applyAlignment="1">
      <alignment vertical="center"/>
    </xf>
    <xf numFmtId="0" fontId="0" fillId="3" borderId="8" xfId="0" applyFill="1" applyBorder="1" applyAlignment="1">
      <alignment vertical="center"/>
    </xf>
    <xf numFmtId="0" fontId="0" fillId="3" borderId="9" xfId="0" applyFill="1" applyBorder="1" applyAlignment="1">
      <alignment vertical="center"/>
    </xf>
    <xf numFmtId="43" fontId="0" fillId="0" borderId="29" xfId="2" applyFont="1" applyBorder="1" applyAlignment="1">
      <alignment vertical="center"/>
    </xf>
    <xf numFmtId="43" fontId="0" fillId="0" borderId="0" xfId="2" applyFont="1" applyBorder="1" applyAlignment="1">
      <alignment vertical="center"/>
    </xf>
    <xf numFmtId="43" fontId="0" fillId="0" borderId="26" xfId="2" applyFont="1" applyBorder="1" applyAlignment="1">
      <alignment vertical="center"/>
    </xf>
    <xf numFmtId="0" fontId="0" fillId="0" borderId="8" xfId="0" applyBorder="1" applyAlignment="1">
      <alignment horizontal="center" vertical="center"/>
    </xf>
    <xf numFmtId="0" fontId="2" fillId="6" borderId="7" xfId="0" applyFont="1" applyFill="1" applyBorder="1" applyAlignment="1">
      <alignment vertical="center"/>
    </xf>
    <xf numFmtId="0" fontId="0" fillId="6" borderId="8" xfId="0" applyFill="1" applyBorder="1" applyAlignment="1">
      <alignment vertical="center"/>
    </xf>
    <xf numFmtId="0" fontId="0" fillId="6" borderId="9" xfId="0" applyFill="1" applyBorder="1" applyAlignment="1">
      <alignment vertical="center"/>
    </xf>
    <xf numFmtId="43" fontId="0" fillId="0" borderId="9" xfId="2" applyFont="1" applyFill="1" applyBorder="1" applyAlignment="1">
      <alignment vertical="center"/>
    </xf>
    <xf numFmtId="43" fontId="0" fillId="0" borderId="9" xfId="2" applyFont="1" applyBorder="1" applyAlignment="1">
      <alignment vertical="center"/>
    </xf>
    <xf numFmtId="2" fontId="0" fillId="0" borderId="26" xfId="0" applyNumberFormat="1" applyBorder="1" applyAlignment="1">
      <alignment vertical="center"/>
    </xf>
    <xf numFmtId="2" fontId="3" fillId="0" borderId="1" xfId="0" applyNumberFormat="1" applyFont="1" applyBorder="1" applyAlignment="1">
      <alignment vertical="center"/>
    </xf>
    <xf numFmtId="0" fontId="3" fillId="0" borderId="6" xfId="0" applyFont="1" applyBorder="1" applyAlignment="1">
      <alignment vertical="center" wrapText="1"/>
    </xf>
    <xf numFmtId="2" fontId="0" fillId="0" borderId="29" xfId="0" applyNumberFormat="1" applyBorder="1" applyAlignment="1">
      <alignment vertical="center"/>
    </xf>
    <xf numFmtId="2" fontId="3" fillId="0" borderId="24" xfId="0" applyNumberFormat="1" applyFont="1" applyBorder="1" applyAlignment="1">
      <alignment vertical="center"/>
    </xf>
    <xf numFmtId="2" fontId="3" fillId="0" borderId="6" xfId="0" applyNumberFormat="1" applyFont="1" applyBorder="1" applyAlignment="1">
      <alignment vertical="center"/>
    </xf>
    <xf numFmtId="43" fontId="3" fillId="0" borderId="26" xfId="0" applyNumberFormat="1" applyFont="1" applyBorder="1" applyAlignment="1">
      <alignment vertical="center"/>
    </xf>
    <xf numFmtId="2" fontId="3" fillId="0" borderId="36" xfId="0" applyNumberFormat="1" applyFont="1" applyBorder="1" applyAlignment="1">
      <alignment vertical="center"/>
    </xf>
    <xf numFmtId="43" fontId="3" fillId="0" borderId="30" xfId="0" applyNumberFormat="1" applyFont="1" applyBorder="1" applyAlignment="1">
      <alignment vertical="center"/>
    </xf>
    <xf numFmtId="43" fontId="0" fillId="0" borderId="8" xfId="0" applyNumberFormat="1" applyBorder="1" applyAlignment="1">
      <alignment vertical="center"/>
    </xf>
    <xf numFmtId="2" fontId="0" fillId="0" borderId="25" xfId="0" applyNumberFormat="1" applyBorder="1" applyAlignment="1">
      <alignment vertical="center"/>
    </xf>
    <xf numFmtId="2" fontId="0" fillId="0" borderId="0" xfId="0" applyNumberFormat="1" applyAlignment="1">
      <alignment vertical="center"/>
    </xf>
    <xf numFmtId="2" fontId="3" fillId="0" borderId="4" xfId="0" applyNumberFormat="1" applyFont="1" applyBorder="1" applyAlignment="1">
      <alignment vertical="center"/>
    </xf>
    <xf numFmtId="43" fontId="3" fillId="0" borderId="29" xfId="0" applyNumberFormat="1" applyFont="1" applyBorder="1" applyAlignment="1">
      <alignment vertical="center"/>
    </xf>
    <xf numFmtId="43" fontId="3" fillId="0" borderId="4" xfId="0" applyNumberFormat="1" applyFont="1" applyBorder="1" applyAlignment="1">
      <alignment vertical="center"/>
    </xf>
    <xf numFmtId="0" fontId="3" fillId="0" borderId="1" xfId="0" applyFont="1" applyBorder="1" applyAlignment="1">
      <alignment vertical="center"/>
    </xf>
    <xf numFmtId="43" fontId="3" fillId="0" borderId="1" xfId="0" applyNumberFormat="1" applyFont="1" applyBorder="1" applyAlignment="1">
      <alignment vertical="center"/>
    </xf>
    <xf numFmtId="10" fontId="3" fillId="0" borderId="1" xfId="3" applyNumberFormat="1" applyFont="1" applyBorder="1" applyAlignment="1">
      <alignment vertical="center"/>
    </xf>
    <xf numFmtId="0" fontId="4" fillId="6" borderId="27" xfId="0" applyFont="1" applyFill="1" applyBorder="1" applyAlignment="1">
      <alignment vertical="center"/>
    </xf>
    <xf numFmtId="0" fontId="3" fillId="6" borderId="28" xfId="0" applyFont="1" applyFill="1" applyBorder="1" applyAlignment="1">
      <alignment vertical="center"/>
    </xf>
    <xf numFmtId="0" fontId="0" fillId="6" borderId="28" xfId="0" applyFill="1" applyBorder="1" applyAlignment="1">
      <alignment vertical="center"/>
    </xf>
    <xf numFmtId="0" fontId="0" fillId="6" borderId="29" xfId="0" applyFill="1" applyBorder="1" applyAlignment="1">
      <alignment vertical="center"/>
    </xf>
    <xf numFmtId="0" fontId="4" fillId="2" borderId="4" xfId="0" applyFont="1" applyFill="1" applyBorder="1" applyAlignment="1">
      <alignment horizontal="center" vertical="center"/>
    </xf>
    <xf numFmtId="2" fontId="0" fillId="0" borderId="9" xfId="0" applyNumberFormat="1" applyBorder="1" applyAlignment="1">
      <alignment vertical="center"/>
    </xf>
    <xf numFmtId="0" fontId="17" fillId="0" borderId="0" xfId="0" applyFont="1" applyAlignment="1">
      <alignment vertical="center"/>
    </xf>
    <xf numFmtId="0" fontId="2" fillId="0" borderId="24" xfId="0" applyFont="1" applyBorder="1" applyAlignment="1">
      <alignment vertical="center"/>
    </xf>
    <xf numFmtId="11" fontId="0" fillId="0" borderId="29" xfId="0" applyNumberFormat="1" applyBorder="1" applyAlignment="1">
      <alignment vertical="center"/>
    </xf>
    <xf numFmtId="0" fontId="4" fillId="6" borderId="7" xfId="0" applyFont="1" applyFill="1" applyBorder="1" applyAlignment="1">
      <alignment vertical="center"/>
    </xf>
    <xf numFmtId="0" fontId="3" fillId="6" borderId="8" xfId="0" applyFont="1" applyFill="1" applyBorder="1" applyAlignment="1">
      <alignment vertical="center"/>
    </xf>
    <xf numFmtId="0" fontId="2" fillId="0" borderId="23" xfId="0" applyFont="1" applyBorder="1" applyAlignment="1">
      <alignment horizontal="center" vertical="center"/>
    </xf>
    <xf numFmtId="2" fontId="2" fillId="0" borderId="30" xfId="0" applyNumberFormat="1" applyFont="1" applyBorder="1" applyAlignment="1">
      <alignment vertical="center"/>
    </xf>
    <xf numFmtId="0" fontId="4" fillId="0" borderId="30" xfId="0" applyFont="1" applyBorder="1" applyAlignment="1">
      <alignment vertical="center"/>
    </xf>
    <xf numFmtId="2" fontId="3" fillId="0" borderId="26" xfId="0" applyNumberFormat="1" applyFont="1" applyBorder="1" applyAlignment="1">
      <alignment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0" borderId="0" xfId="0" applyFont="1" applyAlignment="1">
      <alignment horizontal="center" vertical="center"/>
    </xf>
    <xf numFmtId="0" fontId="3" fillId="6" borderId="8" xfId="0" applyFont="1" applyFill="1" applyBorder="1" applyAlignment="1">
      <alignment horizontal="center" vertical="center"/>
    </xf>
    <xf numFmtId="43" fontId="3" fillId="6" borderId="8" xfId="2" applyFont="1" applyFill="1" applyBorder="1" applyAlignment="1">
      <alignment vertical="center"/>
    </xf>
    <xf numFmtId="0" fontId="3" fillId="6" borderId="9" xfId="0" applyFont="1" applyFill="1" applyBorder="1" applyAlignment="1">
      <alignment vertical="center"/>
    </xf>
    <xf numFmtId="0" fontId="3" fillId="0" borderId="7" xfId="0" applyFont="1" applyBorder="1" applyAlignment="1">
      <alignment horizontal="center" vertical="center"/>
    </xf>
    <xf numFmtId="43" fontId="3" fillId="0" borderId="9" xfId="2" applyFont="1" applyFill="1" applyBorder="1" applyAlignment="1">
      <alignment vertical="center"/>
    </xf>
    <xf numFmtId="11" fontId="3" fillId="0" borderId="30" xfId="2" applyNumberFormat="1" applyFont="1" applyFill="1" applyBorder="1" applyAlignment="1">
      <alignment vertical="center"/>
    </xf>
    <xf numFmtId="0" fontId="2" fillId="55" borderId="11" xfId="0" applyFont="1" applyFill="1" applyBorder="1" applyAlignment="1">
      <alignment vertical="center"/>
    </xf>
    <xf numFmtId="0" fontId="2" fillId="55" borderId="12" xfId="0" applyFont="1" applyFill="1" applyBorder="1" applyAlignment="1">
      <alignment vertical="center"/>
    </xf>
    <xf numFmtId="0" fontId="4" fillId="56" borderId="24" xfId="0" applyFont="1" applyFill="1" applyBorder="1" applyAlignment="1">
      <alignment vertical="center"/>
    </xf>
    <xf numFmtId="0" fontId="3" fillId="56" borderId="25" xfId="0" applyFont="1" applyFill="1" applyBorder="1" applyAlignment="1">
      <alignment horizontal="center" vertical="center"/>
    </xf>
    <xf numFmtId="43" fontId="3" fillId="56" borderId="25" xfId="2" applyFont="1" applyFill="1" applyBorder="1" applyAlignment="1">
      <alignment vertical="center"/>
    </xf>
    <xf numFmtId="0" fontId="3" fillId="56" borderId="8" xfId="0" applyFont="1" applyFill="1" applyBorder="1" applyAlignment="1">
      <alignment horizontal="center" vertical="center"/>
    </xf>
    <xf numFmtId="43" fontId="3" fillId="56" borderId="9" xfId="2" applyFont="1" applyFill="1" applyBorder="1" applyAlignment="1">
      <alignment vertical="center"/>
    </xf>
    <xf numFmtId="0" fontId="4" fillId="0" borderId="24" xfId="0" applyFont="1" applyBorder="1" applyAlignment="1">
      <alignment vertical="center"/>
    </xf>
    <xf numFmtId="0" fontId="3" fillId="0" borderId="8" xfId="0" applyFont="1" applyBorder="1" applyAlignment="1">
      <alignment horizontal="center" vertical="center"/>
    </xf>
    <xf numFmtId="0" fontId="4" fillId="0" borderId="4" xfId="0" applyFont="1" applyBorder="1" applyAlignment="1">
      <alignment vertical="center"/>
    </xf>
    <xf numFmtId="0" fontId="2" fillId="0" borderId="27" xfId="0" applyFont="1" applyBorder="1" applyAlignment="1">
      <alignment horizontal="center" vertical="center"/>
    </xf>
    <xf numFmtId="43" fontId="4" fillId="0" borderId="29" xfId="2" applyFont="1" applyFill="1" applyBorder="1" applyAlignment="1">
      <alignment vertical="center"/>
    </xf>
    <xf numFmtId="0" fontId="2" fillId="0" borderId="28" xfId="0" applyFont="1" applyBorder="1" applyAlignment="1">
      <alignment horizontal="center" vertical="center"/>
    </xf>
    <xf numFmtId="0" fontId="4" fillId="0" borderId="7" xfId="0" applyFont="1" applyBorder="1" applyAlignment="1">
      <alignment horizontal="center" vertical="center"/>
    </xf>
    <xf numFmtId="43" fontId="4" fillId="0" borderId="9" xfId="2" applyFont="1" applyFill="1" applyBorder="1" applyAlignment="1">
      <alignment vertical="center"/>
    </xf>
    <xf numFmtId="11" fontId="3" fillId="0" borderId="26" xfId="2" applyNumberFormat="1" applyFont="1" applyFill="1" applyBorder="1" applyAlignment="1">
      <alignment vertical="center"/>
    </xf>
    <xf numFmtId="0" fontId="4" fillId="0" borderId="1" xfId="0" applyFont="1" applyBorder="1" applyAlignment="1">
      <alignment vertical="center"/>
    </xf>
    <xf numFmtId="11" fontId="0" fillId="0" borderId="9" xfId="0" applyNumberFormat="1" applyBorder="1" applyAlignment="1">
      <alignment vertical="center"/>
    </xf>
    <xf numFmtId="0" fontId="2" fillId="0" borderId="30" xfId="0" applyFont="1" applyBorder="1" applyAlignment="1">
      <alignment vertical="center"/>
    </xf>
    <xf numFmtId="0" fontId="3" fillId="0" borderId="24" xfId="0" applyFont="1" applyBorder="1" applyAlignment="1">
      <alignment vertical="center"/>
    </xf>
    <xf numFmtId="168" fontId="3" fillId="0" borderId="26" xfId="2" applyNumberFormat="1" applyFont="1" applyFill="1" applyBorder="1" applyAlignment="1">
      <alignment vertical="center"/>
    </xf>
    <xf numFmtId="11" fontId="3" fillId="0" borderId="26" xfId="0" applyNumberFormat="1" applyFont="1" applyBorder="1" applyAlignment="1">
      <alignment vertical="center"/>
    </xf>
    <xf numFmtId="168" fontId="3" fillId="0" borderId="30" xfId="2" applyNumberFormat="1" applyFont="1" applyFill="1" applyBorder="1" applyAlignment="1">
      <alignment vertical="center"/>
    </xf>
    <xf numFmtId="11" fontId="3" fillId="0" borderId="30" xfId="0" applyNumberFormat="1" applyFont="1" applyBorder="1" applyAlignment="1">
      <alignment vertical="center"/>
    </xf>
    <xf numFmtId="168" fontId="3" fillId="0" borderId="29" xfId="2" applyNumberFormat="1" applyFont="1" applyFill="1" applyBorder="1" applyAlignment="1">
      <alignment vertical="center"/>
    </xf>
    <xf numFmtId="11" fontId="3" fillId="0" borderId="29" xfId="0" applyNumberFormat="1" applyFont="1" applyBorder="1" applyAlignment="1">
      <alignment vertical="center"/>
    </xf>
    <xf numFmtId="11" fontId="3" fillId="0" borderId="29" xfId="2" applyNumberFormat="1" applyFont="1" applyFill="1" applyBorder="1" applyAlignment="1">
      <alignment vertical="center"/>
    </xf>
    <xf numFmtId="11" fontId="3" fillId="0" borderId="25" xfId="0" applyNumberFormat="1" applyFont="1" applyBorder="1" applyAlignment="1">
      <alignment vertical="center"/>
    </xf>
    <xf numFmtId="11" fontId="3" fillId="0" borderId="0" xfId="0" applyNumberFormat="1" applyFont="1" applyAlignment="1">
      <alignment vertical="center"/>
    </xf>
    <xf numFmtId="11" fontId="3" fillId="0" borderId="28" xfId="0" applyNumberFormat="1" applyFont="1" applyBorder="1" applyAlignment="1">
      <alignment vertical="center"/>
    </xf>
    <xf numFmtId="43" fontId="3" fillId="0" borderId="25" xfId="0" applyNumberFormat="1" applyFont="1" applyBorder="1" applyAlignment="1">
      <alignment vertical="center"/>
    </xf>
    <xf numFmtId="43" fontId="3" fillId="0" borderId="0" xfId="0" applyNumberFormat="1" applyFont="1" applyAlignment="1">
      <alignment vertical="center"/>
    </xf>
    <xf numFmtId="43" fontId="3" fillId="0" borderId="28" xfId="0" applyNumberFormat="1" applyFont="1" applyBorder="1" applyAlignment="1">
      <alignment vertical="center"/>
    </xf>
    <xf numFmtId="0" fontId="4" fillId="56" borderId="1" xfId="0" applyFont="1" applyFill="1" applyBorder="1" applyAlignment="1">
      <alignment vertical="center"/>
    </xf>
    <xf numFmtId="0" fontId="4" fillId="58" borderId="7" xfId="0" applyFont="1" applyFill="1" applyBorder="1" applyAlignment="1">
      <alignment vertical="center"/>
    </xf>
    <xf numFmtId="43" fontId="3" fillId="58" borderId="8" xfId="2" applyFont="1" applyFill="1" applyBorder="1" applyAlignment="1">
      <alignment vertical="center"/>
    </xf>
    <xf numFmtId="0" fontId="3" fillId="58" borderId="8" xfId="0" applyFont="1" applyFill="1" applyBorder="1" applyAlignment="1">
      <alignment horizontal="center" vertical="center"/>
    </xf>
    <xf numFmtId="43" fontId="3" fillId="58" borderId="9" xfId="2" applyFont="1" applyFill="1" applyBorder="1" applyAlignment="1">
      <alignment vertical="center"/>
    </xf>
    <xf numFmtId="0" fontId="4" fillId="57" borderId="7" xfId="0" applyFont="1" applyFill="1" applyBorder="1" applyAlignment="1">
      <alignment vertical="center"/>
    </xf>
    <xf numFmtId="0" fontId="3" fillId="57" borderId="8" xfId="0" applyFont="1" applyFill="1" applyBorder="1" applyAlignment="1">
      <alignment horizontal="center" vertical="center"/>
    </xf>
    <xf numFmtId="43" fontId="3" fillId="57" borderId="8" xfId="2" applyFont="1" applyFill="1" applyBorder="1" applyAlignment="1">
      <alignment vertical="center"/>
    </xf>
    <xf numFmtId="0" fontId="4" fillId="28" borderId="7" xfId="0" applyFont="1" applyFill="1" applyBorder="1" applyAlignment="1">
      <alignment vertical="center"/>
    </xf>
    <xf numFmtId="0" fontId="3" fillId="28" borderId="8" xfId="0" applyFont="1" applyFill="1" applyBorder="1" applyAlignment="1">
      <alignment horizontal="center" vertical="center"/>
    </xf>
    <xf numFmtId="43" fontId="3" fillId="28" borderId="8" xfId="2" applyFont="1" applyFill="1" applyBorder="1" applyAlignment="1">
      <alignment vertical="center"/>
    </xf>
    <xf numFmtId="0" fontId="4" fillId="68" borderId="7" xfId="0" applyFont="1" applyFill="1" applyBorder="1" applyAlignment="1">
      <alignment vertical="center"/>
    </xf>
    <xf numFmtId="0" fontId="3" fillId="68" borderId="8" xfId="0" applyFont="1" applyFill="1" applyBorder="1" applyAlignment="1">
      <alignment horizontal="center" vertical="center"/>
    </xf>
    <xf numFmtId="43" fontId="3" fillId="68" borderId="8" xfId="2" applyFont="1" applyFill="1" applyBorder="1" applyAlignment="1">
      <alignment vertical="center"/>
    </xf>
    <xf numFmtId="0" fontId="3" fillId="68" borderId="9" xfId="0" applyFont="1" applyFill="1" applyBorder="1" applyAlignment="1">
      <alignment horizontal="center" vertical="center"/>
    </xf>
    <xf numFmtId="0" fontId="4" fillId="29" borderId="27" xfId="0" applyFont="1" applyFill="1" applyBorder="1" applyAlignment="1">
      <alignment horizontal="center" vertical="center"/>
    </xf>
    <xf numFmtId="0" fontId="3" fillId="57" borderId="9" xfId="0" applyFont="1" applyFill="1" applyBorder="1" applyAlignment="1">
      <alignment horizontal="center" vertical="center"/>
    </xf>
    <xf numFmtId="0" fontId="4" fillId="56" borderId="7" xfId="0" applyFont="1" applyFill="1" applyBorder="1" applyAlignment="1">
      <alignment vertical="center"/>
    </xf>
    <xf numFmtId="43" fontId="3" fillId="56" borderId="8" xfId="2" applyFont="1" applyFill="1" applyBorder="1" applyAlignment="1">
      <alignment vertical="center"/>
    </xf>
    <xf numFmtId="43" fontId="3" fillId="56" borderId="8" xfId="0" applyNumberFormat="1" applyFont="1" applyFill="1" applyBorder="1" applyAlignment="1">
      <alignment vertical="center"/>
    </xf>
    <xf numFmtId="43" fontId="3" fillId="56" borderId="9" xfId="0" applyNumberFormat="1" applyFont="1" applyFill="1" applyBorder="1" applyAlignment="1">
      <alignment vertical="center"/>
    </xf>
    <xf numFmtId="0" fontId="2" fillId="0" borderId="29" xfId="0" applyFont="1" applyBorder="1" applyAlignment="1">
      <alignment vertical="center"/>
    </xf>
    <xf numFmtId="0" fontId="4" fillId="0" borderId="6" xfId="0" applyFont="1" applyBorder="1" applyAlignment="1">
      <alignment vertical="center"/>
    </xf>
    <xf numFmtId="0" fontId="3" fillId="0" borderId="25" xfId="0" applyFont="1" applyBorder="1" applyAlignment="1">
      <alignment horizontal="center" vertical="center"/>
    </xf>
    <xf numFmtId="0" fontId="4" fillId="0" borderId="23" xfId="0" applyFont="1" applyBorder="1" applyAlignment="1">
      <alignment horizontal="center" vertical="center"/>
    </xf>
    <xf numFmtId="43" fontId="4" fillId="0" borderId="30" xfId="2" applyFont="1" applyFill="1" applyBorder="1" applyAlignment="1">
      <alignment vertical="center"/>
    </xf>
    <xf numFmtId="11" fontId="3" fillId="0" borderId="0" xfId="2" applyNumberFormat="1" applyFont="1" applyFill="1" applyBorder="1" applyAlignment="1">
      <alignment vertical="center"/>
    </xf>
    <xf numFmtId="2" fontId="3" fillId="0" borderId="26" xfId="2" applyNumberFormat="1" applyFont="1" applyFill="1" applyBorder="1" applyAlignment="1">
      <alignment vertical="center"/>
    </xf>
    <xf numFmtId="2" fontId="3" fillId="0" borderId="29" xfId="2" applyNumberFormat="1" applyFont="1" applyFill="1" applyBorder="1" applyAlignment="1">
      <alignment vertical="center"/>
    </xf>
    <xf numFmtId="0" fontId="3" fillId="56" borderId="9" xfId="0" applyFont="1" applyFill="1" applyBorder="1" applyAlignment="1">
      <alignment horizontal="center" vertical="center"/>
    </xf>
    <xf numFmtId="0" fontId="3" fillId="0" borderId="6" xfId="0" applyFont="1" applyBorder="1" applyAlignment="1">
      <alignment horizontal="center" vertical="center" wrapText="1"/>
    </xf>
    <xf numFmtId="43" fontId="3" fillId="0" borderId="1" xfId="2" applyFont="1" applyFill="1" applyBorder="1" applyAlignment="1">
      <alignment vertical="center"/>
    </xf>
    <xf numFmtId="0" fontId="3" fillId="0" borderId="1" xfId="0" applyFont="1" applyBorder="1" applyAlignment="1">
      <alignment horizontal="center" vertical="center" wrapText="1"/>
    </xf>
    <xf numFmtId="43" fontId="3" fillId="0" borderId="6" xfId="0" applyNumberFormat="1" applyFont="1" applyBorder="1" applyAlignment="1">
      <alignment vertical="center"/>
    </xf>
    <xf numFmtId="43" fontId="3" fillId="0" borderId="6" xfId="0" applyNumberFormat="1" applyFont="1" applyBorder="1" applyAlignment="1">
      <alignment horizontal="center" vertical="center"/>
    </xf>
    <xf numFmtId="43" fontId="3" fillId="0" borderId="36" xfId="0" applyNumberFormat="1" applyFont="1" applyBorder="1" applyAlignment="1">
      <alignment vertical="center"/>
    </xf>
    <xf numFmtId="43" fontId="3" fillId="0" borderId="36" xfId="0" applyNumberFormat="1" applyFont="1" applyBorder="1" applyAlignment="1">
      <alignment horizontal="center" vertical="center"/>
    </xf>
    <xf numFmtId="0" fontId="3" fillId="0" borderId="36" xfId="0" applyFont="1" applyBorder="1" applyAlignment="1">
      <alignment horizontal="center" vertical="center"/>
    </xf>
    <xf numFmtId="176" fontId="3" fillId="0" borderId="0" xfId="3" applyNumberFormat="1" applyFont="1" applyBorder="1" applyAlignment="1">
      <alignment horizontal="center" vertical="center"/>
    </xf>
    <xf numFmtId="43" fontId="3" fillId="0" borderId="36" xfId="2" applyFont="1" applyFill="1" applyBorder="1" applyAlignment="1">
      <alignment vertical="center"/>
    </xf>
    <xf numFmtId="2" fontId="3" fillId="0" borderId="7" xfId="0" applyNumberFormat="1" applyFont="1" applyBorder="1" applyAlignment="1">
      <alignment horizontal="center" vertical="center"/>
    </xf>
    <xf numFmtId="43" fontId="3" fillId="0" borderId="4" xfId="0" applyNumberFormat="1" applyFont="1" applyBorder="1" applyAlignment="1">
      <alignment horizontal="center" vertical="center"/>
    </xf>
    <xf numFmtId="43" fontId="3" fillId="0" borderId="4" xfId="2" applyFont="1" applyFill="1" applyBorder="1" applyAlignment="1">
      <alignment vertical="center"/>
    </xf>
    <xf numFmtId="0" fontId="0" fillId="4" borderId="12" xfId="0" applyFill="1" applyBorder="1" applyAlignment="1">
      <alignment vertical="center"/>
    </xf>
    <xf numFmtId="0" fontId="3" fillId="4" borderId="12" xfId="0" applyFont="1" applyFill="1" applyBorder="1" applyAlignment="1">
      <alignment vertical="center"/>
    </xf>
    <xf numFmtId="0" fontId="3" fillId="4" borderId="13" xfId="0" applyFont="1" applyFill="1" applyBorder="1" applyAlignment="1">
      <alignment vertical="center"/>
    </xf>
    <xf numFmtId="0" fontId="0" fillId="0" borderId="26" xfId="0" applyBorder="1" applyAlignment="1">
      <alignment horizontal="right" vertical="center" wrapText="1"/>
    </xf>
    <xf numFmtId="0" fontId="0" fillId="0" borderId="30" xfId="0" applyBorder="1" applyAlignment="1">
      <alignment horizontal="right" vertical="center" wrapText="1"/>
    </xf>
    <xf numFmtId="0" fontId="2" fillId="2" borderId="7" xfId="0" applyFont="1" applyFill="1" applyBorder="1" applyAlignment="1">
      <alignment vertical="center"/>
    </xf>
    <xf numFmtId="0" fontId="0" fillId="2" borderId="8" xfId="0" applyFill="1" applyBorder="1" applyAlignment="1">
      <alignment vertical="center"/>
    </xf>
    <xf numFmtId="0" fontId="0" fillId="2" borderId="9" xfId="0" applyFill="1" applyBorder="1" applyAlignment="1">
      <alignment vertical="center"/>
    </xf>
    <xf numFmtId="0" fontId="0" fillId="0" borderId="6" xfId="0" applyBorder="1" applyAlignment="1">
      <alignment horizontal="center" vertical="center"/>
    </xf>
    <xf numFmtId="2" fontId="4" fillId="0" borderId="0" xfId="0" applyNumberFormat="1" applyFont="1" applyAlignment="1">
      <alignment vertical="center"/>
    </xf>
    <xf numFmtId="2" fontId="3" fillId="0" borderId="0" xfId="0" applyNumberFormat="1" applyFont="1" applyAlignment="1">
      <alignment horizontal="center" vertical="center"/>
    </xf>
    <xf numFmtId="2" fontId="3" fillId="0" borderId="0" xfId="0" applyNumberFormat="1" applyFont="1" applyAlignment="1">
      <alignment vertical="center"/>
    </xf>
    <xf numFmtId="43" fontId="3" fillId="0" borderId="9" xfId="0" applyNumberFormat="1" applyFont="1" applyBorder="1" applyAlignment="1">
      <alignment vertical="center"/>
    </xf>
    <xf numFmtId="0" fontId="3" fillId="0" borderId="1" xfId="0" applyFont="1" applyBorder="1" applyAlignment="1">
      <alignment vertical="center" wrapText="1"/>
    </xf>
    <xf numFmtId="11" fontId="0" fillId="0" borderId="25" xfId="0" applyNumberFormat="1" applyBorder="1" applyAlignment="1">
      <alignment vertical="center"/>
    </xf>
    <xf numFmtId="11" fontId="0" fillId="0" borderId="0" xfId="0" applyNumberFormat="1" applyAlignment="1">
      <alignment vertical="center"/>
    </xf>
    <xf numFmtId="2" fontId="3" fillId="0" borderId="27" xfId="0" applyNumberFormat="1" applyFont="1" applyBorder="1" applyAlignment="1">
      <alignment vertical="center"/>
    </xf>
    <xf numFmtId="0" fontId="3" fillId="0" borderId="7" xfId="0" applyFont="1" applyBorder="1" applyAlignment="1">
      <alignment vertical="center"/>
    </xf>
    <xf numFmtId="10" fontId="3" fillId="0" borderId="9" xfId="3" applyNumberFormat="1" applyFont="1" applyBorder="1" applyAlignment="1">
      <alignment vertical="center"/>
    </xf>
    <xf numFmtId="0" fontId="4" fillId="0" borderId="37" xfId="0" applyFont="1" applyBorder="1" applyAlignment="1">
      <alignment horizontal="center" vertical="center"/>
    </xf>
    <xf numFmtId="0" fontId="4" fillId="0" borderId="38" xfId="0" applyFont="1" applyBorder="1" applyAlignment="1">
      <alignment horizontal="center" vertical="center"/>
    </xf>
    <xf numFmtId="0" fontId="3" fillId="0" borderId="6" xfId="0" applyFont="1" applyBorder="1" applyAlignment="1">
      <alignment horizontal="center" vertical="center"/>
    </xf>
    <xf numFmtId="2" fontId="3" fillId="0" borderId="39" xfId="0" applyNumberFormat="1" applyFont="1" applyBorder="1" applyAlignment="1">
      <alignment vertical="center"/>
    </xf>
    <xf numFmtId="2" fontId="3" fillId="0" borderId="40" xfId="0" applyNumberFormat="1" applyFont="1" applyBorder="1" applyAlignment="1">
      <alignment vertical="center"/>
    </xf>
    <xf numFmtId="0" fontId="3" fillId="0" borderId="41" xfId="0" applyFont="1" applyBorder="1" applyAlignment="1">
      <alignment horizontal="center" vertical="center"/>
    </xf>
    <xf numFmtId="2" fontId="3" fillId="0" borderId="42" xfId="0" applyNumberFormat="1" applyFont="1" applyBorder="1" applyAlignment="1">
      <alignment vertical="center"/>
    </xf>
    <xf numFmtId="0" fontId="2" fillId="23" borderId="12" xfId="0" applyFont="1" applyFill="1" applyBorder="1" applyAlignment="1">
      <alignment vertical="center"/>
    </xf>
    <xf numFmtId="0" fontId="3" fillId="23" borderId="13" xfId="0" applyFont="1" applyFill="1" applyBorder="1" applyAlignment="1">
      <alignment vertical="center"/>
    </xf>
    <xf numFmtId="0" fontId="3" fillId="0" borderId="9" xfId="0" applyFont="1" applyBorder="1" applyAlignment="1">
      <alignment vertical="center"/>
    </xf>
    <xf numFmtId="0" fontId="4" fillId="7" borderId="11" xfId="0" applyFont="1" applyFill="1" applyBorder="1" applyAlignment="1">
      <alignment vertical="center"/>
    </xf>
    <xf numFmtId="0" fontId="3" fillId="7" borderId="12" xfId="0" applyFont="1" applyFill="1" applyBorder="1" applyAlignment="1">
      <alignment vertical="center"/>
    </xf>
    <xf numFmtId="43" fontId="3" fillId="7" borderId="12" xfId="2" applyFont="1" applyFill="1" applyBorder="1" applyAlignment="1">
      <alignment vertical="center"/>
    </xf>
    <xf numFmtId="0" fontId="3" fillId="7" borderId="13" xfId="0" applyFont="1" applyFill="1" applyBorder="1" applyAlignment="1">
      <alignment vertical="center"/>
    </xf>
    <xf numFmtId="0" fontId="4" fillId="20" borderId="27" xfId="0" applyFont="1" applyFill="1" applyBorder="1" applyAlignment="1">
      <alignment vertical="center"/>
    </xf>
    <xf numFmtId="0" fontId="3" fillId="20" borderId="28" xfId="0" applyFont="1" applyFill="1" applyBorder="1" applyAlignment="1">
      <alignment vertical="center"/>
    </xf>
    <xf numFmtId="43" fontId="3" fillId="20" borderId="28" xfId="2" applyFont="1" applyFill="1" applyBorder="1" applyAlignment="1">
      <alignment vertical="center"/>
    </xf>
    <xf numFmtId="0" fontId="3" fillId="20" borderId="29" xfId="0" applyFont="1" applyFill="1" applyBorder="1" applyAlignment="1">
      <alignment vertical="center"/>
    </xf>
    <xf numFmtId="0" fontId="4" fillId="20" borderId="7" xfId="0" applyFont="1" applyFill="1" applyBorder="1" applyAlignment="1">
      <alignment vertical="center"/>
    </xf>
    <xf numFmtId="0" fontId="3" fillId="20" borderId="8" xfId="0" applyFont="1" applyFill="1" applyBorder="1" applyAlignment="1">
      <alignment vertical="center"/>
    </xf>
    <xf numFmtId="43" fontId="3" fillId="20" borderId="8" xfId="2" applyFont="1" applyFill="1" applyBorder="1" applyAlignment="1">
      <alignment vertical="center"/>
    </xf>
    <xf numFmtId="0" fontId="3" fillId="20" borderId="9" xfId="0" applyFont="1" applyFill="1" applyBorder="1" applyAlignment="1">
      <alignment vertical="center"/>
    </xf>
    <xf numFmtId="2" fontId="3" fillId="0" borderId="30" xfId="0" applyNumberFormat="1" applyFont="1" applyBorder="1" applyAlignment="1">
      <alignment vertical="center"/>
    </xf>
    <xf numFmtId="0" fontId="4" fillId="52" borderId="1" xfId="0" applyFont="1" applyFill="1" applyBorder="1" applyAlignment="1">
      <alignment vertical="center"/>
    </xf>
    <xf numFmtId="0" fontId="4" fillId="14" borderId="1" xfId="0" applyFont="1" applyFill="1" applyBorder="1" applyAlignment="1">
      <alignment vertical="center"/>
    </xf>
    <xf numFmtId="43" fontId="0" fillId="0" borderId="0" xfId="0" applyNumberFormat="1" applyAlignment="1">
      <alignment horizontal="center" vertical="center"/>
    </xf>
    <xf numFmtId="0" fontId="2" fillId="44" borderId="7" xfId="0" applyFont="1" applyFill="1" applyBorder="1" applyAlignment="1">
      <alignment vertical="center"/>
    </xf>
    <xf numFmtId="0" fontId="0" fillId="44" borderId="8" xfId="0" applyFill="1" applyBorder="1" applyAlignment="1">
      <alignment vertical="center"/>
    </xf>
    <xf numFmtId="0" fontId="0" fillId="44" borderId="9" xfId="0" applyFill="1" applyBorder="1" applyAlignment="1">
      <alignment vertical="center"/>
    </xf>
    <xf numFmtId="0" fontId="4" fillId="6" borderId="4" xfId="0" applyFont="1" applyFill="1" applyBorder="1" applyAlignment="1">
      <alignment horizontal="center" vertical="center"/>
    </xf>
    <xf numFmtId="0" fontId="4" fillId="29" borderId="4" xfId="0" applyFont="1" applyFill="1" applyBorder="1" applyAlignment="1">
      <alignment vertical="center"/>
    </xf>
    <xf numFmtId="0" fontId="4" fillId="52" borderId="4" xfId="0" applyFont="1" applyFill="1" applyBorder="1" applyAlignment="1">
      <alignment vertical="center"/>
    </xf>
    <xf numFmtId="0" fontId="4" fillId="11" borderId="4" xfId="0" applyFont="1" applyFill="1" applyBorder="1" applyAlignment="1">
      <alignment vertical="center"/>
    </xf>
    <xf numFmtId="0" fontId="4" fillId="14" borderId="4" xfId="0" applyFont="1" applyFill="1" applyBorder="1" applyAlignment="1">
      <alignment vertical="center"/>
    </xf>
    <xf numFmtId="0" fontId="4" fillId="2" borderId="4" xfId="0" applyFont="1" applyFill="1" applyBorder="1" applyAlignment="1">
      <alignment vertical="center"/>
    </xf>
    <xf numFmtId="0" fontId="4" fillId="52" borderId="27" xfId="0" applyFont="1" applyFill="1" applyBorder="1" applyAlignment="1">
      <alignment horizontal="center" vertical="center"/>
    </xf>
    <xf numFmtId="0" fontId="4" fillId="11" borderId="27" xfId="0" applyFont="1" applyFill="1" applyBorder="1" applyAlignment="1">
      <alignment horizontal="center" vertical="center"/>
    </xf>
    <xf numFmtId="0" fontId="4" fillId="14" borderId="27" xfId="0" applyFont="1" applyFill="1" applyBorder="1" applyAlignment="1">
      <alignment horizontal="center" vertical="center"/>
    </xf>
    <xf numFmtId="0" fontId="2" fillId="0" borderId="26" xfId="0" applyFont="1" applyBorder="1" applyAlignment="1">
      <alignment vertical="center"/>
    </xf>
    <xf numFmtId="0" fontId="2" fillId="0" borderId="23" xfId="0" applyFont="1" applyBorder="1" applyAlignment="1">
      <alignment vertical="center"/>
    </xf>
    <xf numFmtId="2" fontId="0" fillId="0" borderId="36" xfId="0" applyNumberFormat="1" applyBorder="1" applyAlignment="1">
      <alignment vertical="center"/>
    </xf>
    <xf numFmtId="2" fontId="0" fillId="0" borderId="4" xfId="0" applyNumberFormat="1" applyBorder="1" applyAlignment="1">
      <alignment vertical="center"/>
    </xf>
    <xf numFmtId="2" fontId="0" fillId="0" borderId="1" xfId="0" applyNumberFormat="1" applyBorder="1" applyAlignment="1">
      <alignment vertical="center"/>
    </xf>
    <xf numFmtId="176" fontId="0" fillId="0" borderId="1" xfId="3" applyNumberFormat="1" applyFont="1" applyBorder="1" applyAlignment="1">
      <alignment vertical="center"/>
    </xf>
    <xf numFmtId="9" fontId="0" fillId="0" borderId="1" xfId="3" applyFont="1" applyBorder="1" applyAlignment="1">
      <alignment vertical="center"/>
    </xf>
    <xf numFmtId="0" fontId="2" fillId="51" borderId="11" xfId="0" applyFont="1" applyFill="1" applyBorder="1" applyAlignment="1">
      <alignment vertical="center"/>
    </xf>
    <xf numFmtId="0" fontId="0" fillId="51" borderId="12" xfId="0" applyFill="1" applyBorder="1" applyAlignment="1">
      <alignment vertical="center"/>
    </xf>
    <xf numFmtId="0" fontId="3" fillId="51" borderId="12" xfId="0" applyFont="1" applyFill="1" applyBorder="1" applyAlignment="1">
      <alignment vertical="center"/>
    </xf>
    <xf numFmtId="0" fontId="3" fillId="51" borderId="13" xfId="0" applyFont="1" applyFill="1" applyBorder="1" applyAlignment="1">
      <alignment vertical="center"/>
    </xf>
    <xf numFmtId="0" fontId="2" fillId="51" borderId="1" xfId="0" applyFont="1" applyFill="1" applyBorder="1" applyAlignment="1">
      <alignment vertical="center"/>
    </xf>
    <xf numFmtId="0" fontId="3" fillId="0" borderId="30" xfId="2" applyNumberFormat="1" applyFont="1" applyFill="1" applyBorder="1" applyAlignment="1">
      <alignment vertical="center"/>
    </xf>
    <xf numFmtId="0" fontId="3" fillId="0" borderId="29" xfId="2" applyNumberFormat="1" applyFont="1" applyFill="1" applyBorder="1" applyAlignment="1">
      <alignment vertical="center"/>
    </xf>
    <xf numFmtId="0" fontId="4" fillId="51" borderId="1" xfId="0" applyFont="1" applyFill="1" applyBorder="1" applyAlignment="1">
      <alignment vertical="center"/>
    </xf>
    <xf numFmtId="43" fontId="3" fillId="0" borderId="25" xfId="2" applyFont="1" applyFill="1" applyBorder="1" applyAlignment="1">
      <alignment vertical="center"/>
    </xf>
    <xf numFmtId="0" fontId="4" fillId="30" borderId="1" xfId="0" applyFont="1" applyFill="1" applyBorder="1" applyAlignment="1">
      <alignment vertical="center"/>
    </xf>
    <xf numFmtId="0" fontId="4" fillId="59" borderId="1" xfId="0" applyFont="1" applyFill="1" applyBorder="1" applyAlignment="1">
      <alignment vertical="center"/>
    </xf>
    <xf numFmtId="0" fontId="4" fillId="2" borderId="9" xfId="0" applyFont="1" applyFill="1" applyBorder="1" applyAlignment="1">
      <alignment vertical="center"/>
    </xf>
    <xf numFmtId="0" fontId="2" fillId="28" borderId="9" xfId="0" applyFont="1" applyFill="1" applyBorder="1" applyAlignment="1">
      <alignment vertical="center"/>
    </xf>
    <xf numFmtId="0" fontId="2" fillId="11" borderId="1" xfId="0" applyFont="1" applyFill="1" applyBorder="1" applyAlignment="1">
      <alignment vertical="center"/>
    </xf>
    <xf numFmtId="0" fontId="4" fillId="12" borderId="1" xfId="0" applyFont="1" applyFill="1" applyBorder="1" applyAlignment="1">
      <alignment vertical="center"/>
    </xf>
    <xf numFmtId="0" fontId="4" fillId="39" borderId="1" xfId="0" applyFont="1" applyFill="1" applyBorder="1" applyAlignment="1">
      <alignment vertical="center"/>
    </xf>
    <xf numFmtId="0" fontId="3" fillId="0" borderId="26" xfId="0" applyFont="1" applyBorder="1" applyAlignment="1">
      <alignment horizontal="center" vertical="center"/>
    </xf>
    <xf numFmtId="43" fontId="3" fillId="0" borderId="24" xfId="2" applyFont="1" applyFill="1" applyBorder="1" applyAlignment="1">
      <alignment vertical="center"/>
    </xf>
    <xf numFmtId="43" fontId="3" fillId="0" borderId="24" xfId="0" applyNumberFormat="1" applyFont="1" applyBorder="1" applyAlignment="1">
      <alignment vertical="center"/>
    </xf>
    <xf numFmtId="0" fontId="3" fillId="0" borderId="29" xfId="0" applyFont="1" applyBorder="1" applyAlignment="1">
      <alignment horizontal="center" vertical="center"/>
    </xf>
    <xf numFmtId="43" fontId="3" fillId="0" borderId="27" xfId="2" applyFont="1" applyFill="1" applyBorder="1" applyAlignment="1">
      <alignment vertical="center"/>
    </xf>
    <xf numFmtId="43" fontId="3" fillId="0" borderId="27" xfId="0" applyNumberFormat="1" applyFont="1" applyBorder="1" applyAlignment="1">
      <alignment vertical="center"/>
    </xf>
    <xf numFmtId="0" fontId="3" fillId="0" borderId="30" xfId="0" applyFont="1" applyBorder="1" applyAlignment="1">
      <alignment horizontal="center" vertical="center"/>
    </xf>
    <xf numFmtId="43" fontId="3" fillId="0" borderId="23" xfId="2" applyFont="1" applyFill="1" applyBorder="1" applyAlignment="1">
      <alignment vertical="center"/>
    </xf>
    <xf numFmtId="43" fontId="3" fillId="0" borderId="23" xfId="0" applyNumberFormat="1" applyFont="1" applyBorder="1" applyAlignment="1">
      <alignment vertical="center"/>
    </xf>
    <xf numFmtId="0" fontId="4" fillId="54" borderId="11" xfId="0" applyFont="1" applyFill="1" applyBorder="1" applyAlignment="1">
      <alignment vertical="center"/>
    </xf>
    <xf numFmtId="0" fontId="3" fillId="54" borderId="12" xfId="0" applyFont="1" applyFill="1" applyBorder="1" applyAlignment="1">
      <alignment vertical="center"/>
    </xf>
    <xf numFmtId="43" fontId="3" fillId="54" borderId="12" xfId="2" applyFont="1" applyFill="1" applyBorder="1" applyAlignment="1">
      <alignment vertical="center"/>
    </xf>
    <xf numFmtId="0" fontId="3" fillId="11" borderId="12" xfId="0" applyFont="1" applyFill="1" applyBorder="1" applyAlignment="1">
      <alignment vertical="center"/>
    </xf>
    <xf numFmtId="0" fontId="0" fillId="11" borderId="12" xfId="0" applyFill="1" applyBorder="1" applyAlignment="1">
      <alignment vertical="center"/>
    </xf>
    <xf numFmtId="0" fontId="0" fillId="11" borderId="13" xfId="0" applyFill="1" applyBorder="1" applyAlignment="1">
      <alignment vertical="center"/>
    </xf>
    <xf numFmtId="43" fontId="0" fillId="0" borderId="25" xfId="0" applyNumberFormat="1" applyBorder="1" applyAlignment="1">
      <alignment vertical="center"/>
    </xf>
    <xf numFmtId="43" fontId="0" fillId="0" borderId="28" xfId="0" applyNumberFormat="1" applyBorder="1" applyAlignment="1">
      <alignment vertical="center"/>
    </xf>
    <xf numFmtId="0" fontId="2" fillId="11" borderId="7" xfId="0" applyFont="1" applyFill="1" applyBorder="1" applyAlignment="1">
      <alignment vertical="center"/>
    </xf>
    <xf numFmtId="0" fontId="0" fillId="11" borderId="8" xfId="0" applyFill="1" applyBorder="1" applyAlignment="1">
      <alignment horizontal="center" vertical="center"/>
    </xf>
    <xf numFmtId="43" fontId="0" fillId="11" borderId="8" xfId="0" applyNumberFormat="1" applyFill="1" applyBorder="1" applyAlignment="1">
      <alignment vertical="center"/>
    </xf>
    <xf numFmtId="11" fontId="0" fillId="11" borderId="8" xfId="0" applyNumberFormat="1" applyFill="1" applyBorder="1" applyAlignment="1">
      <alignment vertical="center"/>
    </xf>
    <xf numFmtId="0" fontId="0" fillId="11" borderId="8" xfId="0" applyFill="1" applyBorder="1" applyAlignment="1">
      <alignment vertical="center"/>
    </xf>
    <xf numFmtId="0" fontId="0" fillId="11" borderId="9" xfId="0" applyFill="1" applyBorder="1" applyAlignment="1">
      <alignment vertical="center"/>
    </xf>
    <xf numFmtId="43" fontId="0" fillId="0" borderId="1" xfId="0" applyNumberFormat="1" applyBorder="1" applyAlignment="1">
      <alignment horizontal="center" vertical="center"/>
    </xf>
    <xf numFmtId="11" fontId="0" fillId="0" borderId="1" xfId="0" applyNumberFormat="1" applyBorder="1" applyAlignment="1">
      <alignment horizontal="center" vertical="center"/>
    </xf>
    <xf numFmtId="11" fontId="0" fillId="0" borderId="36" xfId="0" applyNumberFormat="1" applyBorder="1" applyAlignment="1">
      <alignment horizontal="right" vertical="center"/>
    </xf>
    <xf numFmtId="11" fontId="0" fillId="60" borderId="36" xfId="0" applyNumberFormat="1" applyFill="1" applyBorder="1" applyAlignment="1">
      <alignment horizontal="right" vertical="center"/>
    </xf>
    <xf numFmtId="11" fontId="0" fillId="0" borderId="4" xfId="0" applyNumberFormat="1" applyBorder="1" applyAlignment="1">
      <alignment horizontal="right" vertical="center"/>
    </xf>
    <xf numFmtId="0" fontId="2" fillId="52" borderId="6" xfId="0" applyFont="1" applyFill="1" applyBorder="1" applyAlignment="1">
      <alignment vertical="center"/>
    </xf>
    <xf numFmtId="0" fontId="2" fillId="29" borderId="6" xfId="0" applyFont="1" applyFill="1" applyBorder="1" applyAlignment="1">
      <alignment vertical="center"/>
    </xf>
    <xf numFmtId="0" fontId="2" fillId="6" borderId="6" xfId="0" applyFont="1" applyFill="1" applyBorder="1" applyAlignment="1">
      <alignment vertical="center"/>
    </xf>
    <xf numFmtId="0" fontId="2" fillId="19" borderId="6" xfId="0" applyFont="1" applyFill="1" applyBorder="1" applyAlignment="1">
      <alignment vertical="center"/>
    </xf>
    <xf numFmtId="0" fontId="2" fillId="5" borderId="6" xfId="0" applyFont="1" applyFill="1" applyBorder="1" applyAlignment="1">
      <alignment vertical="center"/>
    </xf>
    <xf numFmtId="0" fontId="2" fillId="48" borderId="6" xfId="0" applyFont="1" applyFill="1" applyBorder="1" applyAlignment="1">
      <alignment vertical="center"/>
    </xf>
    <xf numFmtId="0" fontId="2" fillId="11" borderId="26" xfId="0" applyFont="1" applyFill="1" applyBorder="1" applyAlignment="1">
      <alignment vertical="center"/>
    </xf>
    <xf numFmtId="0" fontId="2" fillId="12" borderId="6" xfId="0" applyFont="1" applyFill="1" applyBorder="1" applyAlignment="1">
      <alignment vertical="center"/>
    </xf>
    <xf numFmtId="9" fontId="0" fillId="0" borderId="0" xfId="3" applyFont="1" applyBorder="1" applyAlignment="1">
      <alignment vertical="center"/>
    </xf>
    <xf numFmtId="9" fontId="0" fillId="0" borderId="28" xfId="3" applyFont="1" applyBorder="1" applyAlignment="1">
      <alignment vertical="center"/>
    </xf>
    <xf numFmtId="0" fontId="4" fillId="54" borderId="7" xfId="0" applyFont="1" applyFill="1" applyBorder="1" applyAlignment="1">
      <alignment vertical="center"/>
    </xf>
    <xf numFmtId="0" fontId="3" fillId="54" borderId="8" xfId="0" applyFont="1" applyFill="1" applyBorder="1" applyAlignment="1">
      <alignment vertical="center"/>
    </xf>
    <xf numFmtId="43" fontId="3" fillId="54" borderId="8" xfId="2" applyFont="1" applyFill="1" applyBorder="1" applyAlignment="1">
      <alignment vertical="center"/>
    </xf>
    <xf numFmtId="0" fontId="3" fillId="54" borderId="9" xfId="0" applyFont="1" applyFill="1" applyBorder="1" applyAlignment="1">
      <alignment vertical="center"/>
    </xf>
    <xf numFmtId="9" fontId="0" fillId="0" borderId="24" xfId="3" applyFont="1" applyBorder="1" applyAlignment="1">
      <alignment horizontal="center" vertical="center"/>
    </xf>
    <xf numFmtId="9" fontId="0" fillId="0" borderId="23" xfId="3" applyFont="1" applyBorder="1" applyAlignment="1">
      <alignment horizontal="center" vertical="center"/>
    </xf>
    <xf numFmtId="11" fontId="0" fillId="0" borderId="0" xfId="0" applyNumberFormat="1" applyAlignment="1">
      <alignment horizontal="center" vertical="center"/>
    </xf>
    <xf numFmtId="9" fontId="0" fillId="0" borderId="27" xfId="3" applyFont="1" applyBorder="1" applyAlignment="1">
      <alignment horizontal="center" vertical="center"/>
    </xf>
    <xf numFmtId="0" fontId="3" fillId="54" borderId="13" xfId="0" applyFont="1" applyFill="1" applyBorder="1" applyAlignment="1">
      <alignment vertical="center"/>
    </xf>
    <xf numFmtId="0" fontId="0" fillId="0" borderId="6" xfId="0" applyBorder="1" applyAlignment="1">
      <alignment horizontal="right" vertical="center"/>
    </xf>
    <xf numFmtId="11" fontId="0" fillId="0" borderId="24" xfId="0" applyNumberFormat="1" applyBorder="1" applyAlignment="1">
      <alignment vertical="center"/>
    </xf>
    <xf numFmtId="0" fontId="0" fillId="0" borderId="36" xfId="0" applyBorder="1" applyAlignment="1">
      <alignment horizontal="right" vertical="center"/>
    </xf>
    <xf numFmtId="11" fontId="0" fillId="0" borderId="23" xfId="0" applyNumberFormat="1" applyBorder="1" applyAlignment="1">
      <alignment vertical="center"/>
    </xf>
    <xf numFmtId="0" fontId="0" fillId="0" borderId="4" xfId="0" applyBorder="1" applyAlignment="1">
      <alignment horizontal="right" vertical="center"/>
    </xf>
    <xf numFmtId="11" fontId="0" fillId="0" borderId="27" xfId="0" applyNumberFormat="1" applyBorder="1" applyAlignment="1">
      <alignment vertical="center"/>
    </xf>
    <xf numFmtId="0" fontId="0" fillId="0" borderId="27" xfId="0" applyBorder="1" applyAlignment="1">
      <alignment horizontal="right" vertical="center"/>
    </xf>
    <xf numFmtId="0" fontId="0" fillId="0" borderId="23" xfId="0" applyBorder="1" applyAlignment="1">
      <alignment horizontal="right" vertical="center"/>
    </xf>
    <xf numFmtId="0" fontId="0" fillId="0" borderId="36" xfId="0" applyBorder="1" applyAlignment="1">
      <alignment horizontal="left" vertical="center"/>
    </xf>
    <xf numFmtId="0" fontId="3" fillId="39" borderId="12" xfId="0" applyFont="1" applyFill="1" applyBorder="1" applyAlignment="1">
      <alignment vertical="center"/>
    </xf>
    <xf numFmtId="43" fontId="3" fillId="39" borderId="12" xfId="2" applyFont="1" applyFill="1" applyBorder="1" applyAlignment="1">
      <alignment vertical="center"/>
    </xf>
    <xf numFmtId="0" fontId="0" fillId="39" borderId="12" xfId="0" applyFill="1" applyBorder="1" applyAlignment="1">
      <alignment vertical="center"/>
    </xf>
    <xf numFmtId="0" fontId="0" fillId="39" borderId="13" xfId="0" applyFill="1" applyBorder="1" applyAlignment="1">
      <alignment vertical="center"/>
    </xf>
    <xf numFmtId="0" fontId="4" fillId="39" borderId="7" xfId="0" applyFont="1" applyFill="1" applyBorder="1" applyAlignment="1">
      <alignment vertical="center"/>
    </xf>
    <xf numFmtId="0" fontId="0" fillId="39" borderId="8" xfId="0" applyFill="1" applyBorder="1" applyAlignment="1">
      <alignment vertical="center"/>
    </xf>
    <xf numFmtId="0" fontId="0" fillId="39" borderId="9" xfId="0" applyFill="1" applyBorder="1" applyAlignment="1">
      <alignment vertical="center"/>
    </xf>
    <xf numFmtId="0" fontId="0" fillId="0" borderId="24" xfId="0" applyBorder="1" applyAlignment="1">
      <alignment horizontal="center" vertical="center" wrapText="1"/>
    </xf>
    <xf numFmtId="168" fontId="0" fillId="0" borderId="26" xfId="0" applyNumberFormat="1" applyBorder="1" applyAlignment="1">
      <alignment vertical="center"/>
    </xf>
    <xf numFmtId="168" fontId="0" fillId="0" borderId="29" xfId="0" applyNumberFormat="1" applyBorder="1" applyAlignment="1">
      <alignment vertical="center"/>
    </xf>
    <xf numFmtId="10" fontId="0" fillId="0" borderId="9" xfId="0" applyNumberFormat="1" applyBorder="1" applyAlignment="1">
      <alignment vertical="center"/>
    </xf>
    <xf numFmtId="0" fontId="0" fillId="49" borderId="0" xfId="0" applyFill="1" applyAlignment="1">
      <alignment vertical="center"/>
    </xf>
    <xf numFmtId="0" fontId="0" fillId="9" borderId="12" xfId="0" applyFill="1" applyBorder="1" applyAlignment="1">
      <alignment vertical="center"/>
    </xf>
    <xf numFmtId="0" fontId="0" fillId="67" borderId="12" xfId="0" applyFill="1" applyBorder="1" applyAlignment="1">
      <alignment vertical="center"/>
    </xf>
    <xf numFmtId="0" fontId="0" fillId="67" borderId="13" xfId="0" applyFill="1" applyBorder="1" applyAlignment="1">
      <alignment vertical="center"/>
    </xf>
    <xf numFmtId="0" fontId="0" fillId="0" borderId="6" xfId="0" applyBorder="1" applyAlignment="1">
      <alignment horizontal="right" vertical="center" wrapText="1"/>
    </xf>
    <xf numFmtId="0" fontId="0" fillId="0" borderId="36" xfId="0" applyBorder="1" applyAlignment="1">
      <alignment horizontal="right" vertical="center" wrapText="1"/>
    </xf>
    <xf numFmtId="0" fontId="2" fillId="10" borderId="7" xfId="0" applyFont="1" applyFill="1" applyBorder="1" applyAlignment="1">
      <alignment vertical="center"/>
    </xf>
    <xf numFmtId="0" fontId="0" fillId="10" borderId="8" xfId="0" applyFill="1" applyBorder="1" applyAlignment="1">
      <alignment vertical="center"/>
    </xf>
    <xf numFmtId="0" fontId="0" fillId="10" borderId="9" xfId="0" applyFill="1" applyBorder="1" applyAlignment="1">
      <alignment vertical="center"/>
    </xf>
    <xf numFmtId="0" fontId="0" fillId="0" borderId="8" xfId="0" applyBorder="1" applyAlignment="1">
      <alignment vertical="center"/>
    </xf>
    <xf numFmtId="2" fontId="3" fillId="0" borderId="6" xfId="0" applyNumberFormat="1" applyFont="1" applyBorder="1" applyAlignment="1">
      <alignment horizontal="center" vertical="center"/>
    </xf>
    <xf numFmtId="2" fontId="0" fillId="0" borderId="6" xfId="0" applyNumberFormat="1" applyBorder="1" applyAlignment="1">
      <alignment vertical="center"/>
    </xf>
    <xf numFmtId="0" fontId="0" fillId="0" borderId="1" xfId="0" applyBorder="1" applyAlignment="1">
      <alignment vertical="center" wrapText="1"/>
    </xf>
    <xf numFmtId="0" fontId="0" fillId="0" borderId="24" xfId="0" applyBorder="1" applyAlignment="1">
      <alignment vertical="center" wrapText="1"/>
    </xf>
    <xf numFmtId="0" fontId="0" fillId="0" borderId="23" xfId="0" applyBorder="1" applyAlignment="1">
      <alignment vertical="center" wrapText="1"/>
    </xf>
    <xf numFmtId="11" fontId="0" fillId="0" borderId="8" xfId="0" applyNumberFormat="1" applyBorder="1" applyAlignment="1">
      <alignment vertical="center"/>
    </xf>
    <xf numFmtId="0" fontId="0" fillId="0" borderId="27" xfId="0" applyBorder="1" applyAlignment="1">
      <alignment vertical="center" wrapText="1"/>
    </xf>
    <xf numFmtId="176" fontId="3" fillId="0" borderId="4" xfId="3" applyNumberFormat="1" applyFont="1" applyBorder="1" applyAlignment="1">
      <alignment vertical="center"/>
    </xf>
    <xf numFmtId="0" fontId="4" fillId="65" borderId="7" xfId="0" applyFont="1" applyFill="1" applyBorder="1" applyAlignment="1">
      <alignment vertical="center"/>
    </xf>
    <xf numFmtId="0" fontId="3" fillId="65" borderId="8" xfId="0" applyFont="1" applyFill="1" applyBorder="1" applyAlignment="1">
      <alignment vertical="center"/>
    </xf>
    <xf numFmtId="43" fontId="3" fillId="65" borderId="8" xfId="2" applyFont="1" applyFill="1" applyBorder="1" applyAlignment="1">
      <alignment vertical="center"/>
    </xf>
    <xf numFmtId="0" fontId="3" fillId="65" borderId="9" xfId="0" applyFont="1" applyFill="1" applyBorder="1" applyAlignment="1">
      <alignment vertical="center"/>
    </xf>
    <xf numFmtId="10" fontId="0" fillId="0" borderId="1" xfId="0" applyNumberFormat="1" applyBorder="1" applyAlignment="1">
      <alignment vertical="center"/>
    </xf>
    <xf numFmtId="175" fontId="0" fillId="0" borderId="1" xfId="0" applyNumberFormat="1" applyBorder="1" applyAlignment="1">
      <alignment vertical="center"/>
    </xf>
    <xf numFmtId="9" fontId="0" fillId="0" borderId="1" xfId="0" applyNumberFormat="1" applyBorder="1" applyAlignment="1">
      <alignment vertical="center"/>
    </xf>
    <xf numFmtId="176" fontId="0" fillId="0" borderId="1" xfId="0" applyNumberFormat="1" applyBorder="1" applyAlignment="1">
      <alignment vertical="center"/>
    </xf>
    <xf numFmtId="175" fontId="0" fillId="0" borderId="1" xfId="3" applyNumberFormat="1" applyFont="1" applyBorder="1" applyAlignment="1">
      <alignment vertical="center"/>
    </xf>
    <xf numFmtId="0" fontId="4" fillId="38" borderId="7" xfId="0" applyFont="1" applyFill="1" applyBorder="1" applyAlignment="1">
      <alignment vertical="center"/>
    </xf>
    <xf numFmtId="0" fontId="3" fillId="38" borderId="8" xfId="0" applyFont="1" applyFill="1" applyBorder="1" applyAlignment="1">
      <alignment vertical="center"/>
    </xf>
    <xf numFmtId="43" fontId="3" fillId="38" borderId="8" xfId="2" applyFont="1" applyFill="1" applyBorder="1" applyAlignment="1">
      <alignment vertical="center"/>
    </xf>
    <xf numFmtId="0" fontId="3" fillId="38" borderId="9" xfId="0" applyFont="1" applyFill="1" applyBorder="1" applyAlignment="1">
      <alignment vertical="center"/>
    </xf>
    <xf numFmtId="43" fontId="0" fillId="0" borderId="8" xfId="0" applyNumberFormat="1" applyBorder="1" applyAlignment="1">
      <alignment horizontal="center" vertical="center"/>
    </xf>
    <xf numFmtId="43" fontId="0" fillId="0" borderId="9" xfId="0" applyNumberFormat="1" applyBorder="1" applyAlignment="1">
      <alignment horizontal="center" vertical="center"/>
    </xf>
    <xf numFmtId="0" fontId="2" fillId="64" borderId="11" xfId="0" applyFont="1" applyFill="1" applyBorder="1" applyAlignment="1">
      <alignment vertical="center"/>
    </xf>
    <xf numFmtId="0" fontId="0" fillId="64" borderId="12" xfId="0" applyFill="1" applyBorder="1" applyAlignment="1">
      <alignment vertical="center"/>
    </xf>
    <xf numFmtId="0" fontId="0" fillId="64" borderId="13" xfId="0" applyFill="1" applyBorder="1" applyAlignment="1">
      <alignment vertical="center"/>
    </xf>
    <xf numFmtId="0" fontId="2" fillId="66" borderId="7" xfId="0" applyFont="1" applyFill="1" applyBorder="1" applyAlignment="1">
      <alignment vertical="center"/>
    </xf>
    <xf numFmtId="0" fontId="0" fillId="66" borderId="8" xfId="0" applyFill="1" applyBorder="1" applyAlignment="1">
      <alignment vertical="center"/>
    </xf>
    <xf numFmtId="0" fontId="0" fillId="66" borderId="9" xfId="0" applyFill="1" applyBorder="1" applyAlignment="1">
      <alignment vertical="center"/>
    </xf>
    <xf numFmtId="0" fontId="0" fillId="66" borderId="8" xfId="0" applyFill="1" applyBorder="1" applyAlignment="1">
      <alignment horizontal="center" vertical="center"/>
    </xf>
    <xf numFmtId="2" fontId="0" fillId="0" borderId="30" xfId="3" applyNumberFormat="1" applyFont="1" applyBorder="1" applyAlignment="1">
      <alignment vertical="center"/>
    </xf>
    <xf numFmtId="43" fontId="0" fillId="0" borderId="24" xfId="0" applyNumberFormat="1" applyBorder="1" applyAlignment="1">
      <alignment horizontal="center" vertical="center"/>
    </xf>
    <xf numFmtId="2" fontId="0" fillId="0" borderId="26" xfId="3" applyNumberFormat="1" applyFont="1" applyBorder="1" applyAlignment="1">
      <alignment vertical="center"/>
    </xf>
    <xf numFmtId="43" fontId="0" fillId="0" borderId="23" xfId="0" applyNumberFormat="1" applyBorder="1" applyAlignment="1">
      <alignment horizontal="center" vertical="center"/>
    </xf>
    <xf numFmtId="43" fontId="0" fillId="0" borderId="27" xfId="0" applyNumberFormat="1" applyBorder="1" applyAlignment="1">
      <alignment horizontal="center" vertical="center"/>
    </xf>
    <xf numFmtId="2" fontId="0" fillId="0" borderId="26" xfId="2" applyNumberFormat="1" applyFont="1" applyBorder="1" applyAlignment="1">
      <alignment vertical="center"/>
    </xf>
    <xf numFmtId="2" fontId="0" fillId="0" borderId="30" xfId="2" applyNumberFormat="1" applyFont="1" applyBorder="1" applyAlignment="1">
      <alignment vertical="center"/>
    </xf>
    <xf numFmtId="2" fontId="0" fillId="0" borderId="8" xfId="2" applyNumberFormat="1" applyFont="1" applyBorder="1" applyAlignment="1">
      <alignment vertical="center"/>
    </xf>
    <xf numFmtId="2" fontId="0" fillId="0" borderId="8" xfId="0" applyNumberFormat="1" applyBorder="1" applyAlignment="1">
      <alignment vertical="center"/>
    </xf>
    <xf numFmtId="43" fontId="0" fillId="0" borderId="7" xfId="0" applyNumberFormat="1" applyBorder="1" applyAlignment="1">
      <alignment horizontal="center" vertical="center"/>
    </xf>
    <xf numFmtId="0" fontId="0" fillId="54" borderId="12" xfId="0" applyFill="1" applyBorder="1" applyAlignment="1">
      <alignment vertical="center"/>
    </xf>
    <xf numFmtId="0" fontId="0" fillId="54" borderId="13" xfId="0" applyFill="1" applyBorder="1" applyAlignment="1">
      <alignment vertical="center"/>
    </xf>
    <xf numFmtId="43" fontId="17" fillId="0" borderId="0" xfId="0" applyNumberFormat="1" applyFont="1" applyAlignment="1">
      <alignment vertical="center"/>
    </xf>
    <xf numFmtId="9" fontId="0" fillId="0" borderId="0" xfId="3" applyFont="1" applyAlignment="1">
      <alignment vertical="center"/>
    </xf>
    <xf numFmtId="0" fontId="0" fillId="54" borderId="8" xfId="0" applyFill="1" applyBorder="1" applyAlignment="1">
      <alignment vertical="center"/>
    </xf>
    <xf numFmtId="0" fontId="0" fillId="54" borderId="9" xfId="0" applyFill="1" applyBorder="1" applyAlignment="1">
      <alignment vertical="center"/>
    </xf>
    <xf numFmtId="0" fontId="3" fillId="0" borderId="4" xfId="0" applyFont="1" applyBorder="1" applyAlignment="1">
      <alignment horizontal="center" vertical="center"/>
    </xf>
    <xf numFmtId="43" fontId="0" fillId="0" borderId="4" xfId="0" applyNumberFormat="1" applyBorder="1" applyAlignment="1">
      <alignment horizontal="center" vertical="center"/>
    </xf>
    <xf numFmtId="11" fontId="3" fillId="0" borderId="4" xfId="0" applyNumberFormat="1" applyFont="1" applyBorder="1" applyAlignment="1">
      <alignment horizontal="center" vertical="center"/>
    </xf>
    <xf numFmtId="0" fontId="2" fillId="29" borderId="24" xfId="0" applyFont="1" applyFill="1" applyBorder="1" applyAlignment="1">
      <alignment vertical="center"/>
    </xf>
    <xf numFmtId="0" fontId="2" fillId="2" borderId="25" xfId="0" applyFont="1" applyFill="1" applyBorder="1" applyAlignment="1">
      <alignment vertical="center"/>
    </xf>
    <xf numFmtId="0" fontId="2" fillId="6" borderId="1" xfId="0" applyFont="1" applyFill="1" applyBorder="1" applyAlignment="1">
      <alignment vertical="center"/>
    </xf>
    <xf numFmtId="0" fontId="2" fillId="52" borderId="1" xfId="0" applyFont="1" applyFill="1" applyBorder="1" applyAlignment="1">
      <alignment vertical="center"/>
    </xf>
    <xf numFmtId="0" fontId="2" fillId="5" borderId="1" xfId="0" applyFont="1" applyFill="1" applyBorder="1" applyAlignment="1">
      <alignment vertical="center"/>
    </xf>
    <xf numFmtId="0" fontId="2" fillId="12" borderId="1" xfId="0" applyFont="1" applyFill="1" applyBorder="1" applyAlignment="1">
      <alignment vertical="center"/>
    </xf>
    <xf numFmtId="0" fontId="0" fillId="51" borderId="13" xfId="0" applyFill="1" applyBorder="1" applyAlignment="1">
      <alignment vertical="center"/>
    </xf>
    <xf numFmtId="0" fontId="2" fillId="51" borderId="7" xfId="0" applyFont="1" applyFill="1" applyBorder="1" applyAlignment="1">
      <alignment vertical="center"/>
    </xf>
    <xf numFmtId="0" fontId="0" fillId="51" borderId="8" xfId="0" applyFill="1" applyBorder="1" applyAlignment="1">
      <alignment vertical="center"/>
    </xf>
    <xf numFmtId="0" fontId="0" fillId="51" borderId="9" xfId="0" applyFill="1" applyBorder="1" applyAlignment="1">
      <alignment vertical="center"/>
    </xf>
    <xf numFmtId="0" fontId="2" fillId="14" borderId="7" xfId="0" applyFont="1" applyFill="1" applyBorder="1" applyAlignment="1">
      <alignment vertical="center"/>
    </xf>
    <xf numFmtId="0" fontId="0" fillId="14" borderId="8" xfId="0" applyFill="1" applyBorder="1" applyAlignment="1">
      <alignment vertical="center"/>
    </xf>
    <xf numFmtId="0" fontId="0" fillId="14" borderId="9" xfId="0" applyFill="1" applyBorder="1" applyAlignment="1">
      <alignment vertical="center"/>
    </xf>
    <xf numFmtId="0" fontId="3" fillId="0" borderId="41" xfId="0" applyFont="1" applyBorder="1" applyAlignment="1">
      <alignment vertical="center"/>
    </xf>
    <xf numFmtId="43" fontId="0" fillId="0" borderId="7" xfId="0" applyNumberFormat="1" applyBorder="1" applyAlignment="1">
      <alignment vertical="center" wrapText="1"/>
    </xf>
    <xf numFmtId="43" fontId="0" fillId="0" borderId="24" xfId="0" applyNumberFormat="1" applyBorder="1" applyAlignment="1">
      <alignment vertical="center" wrapText="1"/>
    </xf>
    <xf numFmtId="43" fontId="0" fillId="0" borderId="27" xfId="0" applyNumberFormat="1" applyBorder="1" applyAlignment="1">
      <alignment vertical="center" wrapText="1"/>
    </xf>
    <xf numFmtId="43" fontId="0" fillId="0" borderId="23" xfId="0" applyNumberFormat="1" applyBorder="1" applyAlignment="1">
      <alignment vertical="center" wrapText="1"/>
    </xf>
    <xf numFmtId="43" fontId="0" fillId="0" borderId="7" xfId="0" applyNumberFormat="1" applyBorder="1" applyAlignment="1">
      <alignment vertical="center"/>
    </xf>
    <xf numFmtId="0" fontId="2" fillId="0" borderId="6" xfId="0" applyFont="1" applyBorder="1" applyAlignment="1">
      <alignment horizontal="center" vertical="center"/>
    </xf>
    <xf numFmtId="0" fontId="2" fillId="0" borderId="25" xfId="0" applyFont="1" applyBorder="1" applyAlignment="1">
      <alignment horizontal="center" vertical="center"/>
    </xf>
    <xf numFmtId="2" fontId="3" fillId="0" borderId="23" xfId="0" applyNumberFormat="1" applyFont="1" applyBorder="1" applyAlignment="1">
      <alignment vertical="center"/>
    </xf>
    <xf numFmtId="43" fontId="3" fillId="0" borderId="23" xfId="2" applyFont="1" applyBorder="1" applyAlignment="1">
      <alignment vertical="center"/>
    </xf>
    <xf numFmtId="2" fontId="3" fillId="0" borderId="1" xfId="0" applyNumberFormat="1" applyFont="1" applyBorder="1" applyAlignment="1">
      <alignment horizontal="center" vertical="center"/>
    </xf>
    <xf numFmtId="0" fontId="2" fillId="0" borderId="20" xfId="0" applyFont="1" applyBorder="1" applyAlignment="1">
      <alignment vertical="center" wrapText="1"/>
    </xf>
    <xf numFmtId="0" fontId="2" fillId="0" borderId="2" xfId="0" applyFont="1" applyBorder="1" applyAlignment="1">
      <alignment vertical="center"/>
    </xf>
    <xf numFmtId="167" fontId="0" fillId="0" borderId="2" xfId="0" applyNumberFormat="1" applyBorder="1" applyAlignment="1">
      <alignment vertical="center"/>
    </xf>
    <xf numFmtId="167" fontId="2" fillId="0" borderId="2" xfId="0" applyNumberFormat="1" applyFont="1" applyBorder="1" applyAlignment="1">
      <alignment vertical="center"/>
    </xf>
    <xf numFmtId="0" fontId="0" fillId="0" borderId="11" xfId="0" applyBorder="1" applyAlignment="1">
      <alignment vertical="center"/>
    </xf>
    <xf numFmtId="167" fontId="0" fillId="0" borderId="14" xfId="0" applyNumberFormat="1" applyBorder="1" applyAlignment="1">
      <alignment vertical="center"/>
    </xf>
    <xf numFmtId="167" fontId="0" fillId="0" borderId="22" xfId="0" applyNumberFormat="1" applyBorder="1" applyAlignment="1">
      <alignment vertical="center"/>
    </xf>
    <xf numFmtId="167" fontId="0" fillId="0" borderId="2" xfId="1" applyFont="1" applyBorder="1" applyAlignment="1">
      <alignment vertical="center"/>
    </xf>
    <xf numFmtId="167" fontId="2" fillId="0" borderId="2" xfId="1" applyFont="1" applyBorder="1" applyAlignment="1">
      <alignment vertical="center"/>
    </xf>
    <xf numFmtId="167" fontId="0" fillId="27" borderId="2" xfId="0" applyNumberFormat="1" applyFill="1" applyBorder="1" applyAlignment="1">
      <alignment vertical="center"/>
    </xf>
    <xf numFmtId="0" fontId="0" fillId="0" borderId="2" xfId="0" applyBorder="1" applyAlignment="1">
      <alignment vertical="center"/>
    </xf>
    <xf numFmtId="0" fontId="0" fillId="0" borderId="16" xfId="0" applyBorder="1" applyAlignment="1">
      <alignment vertical="center"/>
    </xf>
    <xf numFmtId="0" fontId="0" fillId="23" borderId="2" xfId="0" applyFill="1" applyBorder="1" applyAlignment="1">
      <alignment vertical="center"/>
    </xf>
    <xf numFmtId="167" fontId="0" fillId="0" borderId="15" xfId="0" applyNumberFormat="1" applyBorder="1" applyAlignment="1">
      <alignment vertical="center"/>
    </xf>
    <xf numFmtId="167" fontId="0" fillId="0" borderId="15" xfId="0" applyNumberFormat="1" applyBorder="1" applyAlignment="1">
      <alignment vertical="center" wrapText="1"/>
    </xf>
    <xf numFmtId="167" fontId="0" fillId="0" borderId="16" xfId="0" applyNumberFormat="1" applyBorder="1" applyAlignment="1">
      <alignment vertical="center" wrapText="1"/>
    </xf>
    <xf numFmtId="177" fontId="0" fillId="0" borderId="2" xfId="0" applyNumberFormat="1" applyBorder="1" applyAlignment="1">
      <alignment horizontal="center" vertical="center" wrapText="1"/>
    </xf>
    <xf numFmtId="0" fontId="2" fillId="69" borderId="0" xfId="0" applyFont="1" applyFill="1"/>
    <xf numFmtId="0" fontId="0" fillId="69" borderId="0" xfId="0" applyFill="1"/>
    <xf numFmtId="0" fontId="0" fillId="0" borderId="44" xfId="0" applyBorder="1"/>
    <xf numFmtId="0" fontId="2" fillId="31" borderId="0" xfId="0" applyFont="1" applyFill="1"/>
    <xf numFmtId="39" fontId="0" fillId="0" borderId="26" xfId="0" applyNumberFormat="1" applyBorder="1"/>
    <xf numFmtId="0" fontId="2" fillId="0" borderId="29" xfId="0" applyFont="1" applyBorder="1"/>
    <xf numFmtId="11" fontId="0" fillId="0" borderId="17" xfId="2" applyNumberFormat="1" applyFont="1" applyBorder="1" applyAlignment="1">
      <alignment horizontal="right" vertical="center" wrapText="1"/>
    </xf>
    <xf numFmtId="43" fontId="0" fillId="0" borderId="28" xfId="2" applyFont="1" applyBorder="1"/>
    <xf numFmtId="0" fontId="0" fillId="0" borderId="15" xfId="0" applyBorder="1"/>
    <xf numFmtId="0" fontId="2" fillId="0" borderId="2" xfId="0" applyFont="1" applyBorder="1" applyAlignment="1">
      <alignment horizontal="center" wrapText="1"/>
    </xf>
    <xf numFmtId="0" fontId="2" fillId="0" borderId="2" xfId="0" applyFont="1" applyBorder="1" applyAlignment="1">
      <alignment wrapText="1"/>
    </xf>
    <xf numFmtId="0" fontId="2" fillId="0" borderId="13" xfId="0" applyFont="1" applyBorder="1" applyAlignment="1">
      <alignment horizontal="center" wrapText="1"/>
    </xf>
    <xf numFmtId="4" fontId="0" fillId="0" borderId="0" xfId="0" applyNumberFormat="1"/>
    <xf numFmtId="0" fontId="0" fillId="0" borderId="24" xfId="0" applyBorder="1" applyAlignment="1">
      <alignment horizontal="left" vertical="center"/>
    </xf>
    <xf numFmtId="0" fontId="0" fillId="0" borderId="23" xfId="0" applyBorder="1" applyAlignment="1">
      <alignment horizontal="left" vertical="center"/>
    </xf>
    <xf numFmtId="0" fontId="0" fillId="0" borderId="27" xfId="0" applyBorder="1" applyAlignment="1">
      <alignment horizontal="left" vertical="center"/>
    </xf>
    <xf numFmtId="0" fontId="13" fillId="21" borderId="0" xfId="0" applyFont="1" applyFill="1"/>
    <xf numFmtId="0" fontId="4" fillId="0" borderId="0" xfId="0" applyFont="1"/>
    <xf numFmtId="43" fontId="0" fillId="0" borderId="24" xfId="0" applyNumberFormat="1" applyBorder="1"/>
    <xf numFmtId="43" fontId="0" fillId="0" borderId="25" xfId="2" applyFont="1" applyBorder="1"/>
    <xf numFmtId="168" fontId="0" fillId="0" borderId="0" xfId="0" applyNumberFormat="1"/>
    <xf numFmtId="172" fontId="0" fillId="0" borderId="17" xfId="2" applyNumberFormat="1" applyFont="1" applyBorder="1" applyAlignment="1">
      <alignment horizontal="center" vertical="center" wrapText="1"/>
    </xf>
    <xf numFmtId="172" fontId="0" fillId="0" borderId="28" xfId="0" applyNumberFormat="1" applyBorder="1"/>
    <xf numFmtId="167" fontId="0" fillId="0" borderId="0" xfId="0" applyNumberFormat="1" applyAlignment="1">
      <alignment vertical="center"/>
    </xf>
    <xf numFmtId="9" fontId="0" fillId="0" borderId="0" xfId="3" applyFont="1" applyBorder="1"/>
    <xf numFmtId="9" fontId="0" fillId="0" borderId="10" xfId="3" applyFont="1" applyBorder="1"/>
    <xf numFmtId="167" fontId="0" fillId="0" borderId="26" xfId="0" applyNumberFormat="1" applyBorder="1"/>
    <xf numFmtId="167" fontId="0" fillId="0" borderId="30" xfId="0" applyNumberFormat="1" applyBorder="1"/>
    <xf numFmtId="167" fontId="0" fillId="0" borderId="29" xfId="1" applyFont="1" applyBorder="1"/>
    <xf numFmtId="167" fontId="0" fillId="0" borderId="29" xfId="0" applyNumberFormat="1" applyBorder="1"/>
    <xf numFmtId="167" fontId="0" fillId="0" borderId="9" xfId="0" applyNumberFormat="1" applyBorder="1"/>
    <xf numFmtId="170" fontId="0" fillId="2" borderId="0" xfId="0" applyNumberFormat="1" applyFill="1"/>
    <xf numFmtId="170" fontId="0" fillId="2" borderId="18" xfId="0" applyNumberFormat="1" applyFill="1" applyBorder="1"/>
    <xf numFmtId="170" fontId="0" fillId="30" borderId="0" xfId="0" applyNumberFormat="1" applyFill="1"/>
    <xf numFmtId="164" fontId="0" fillId="30" borderId="0" xfId="0" applyNumberFormat="1" applyFill="1"/>
    <xf numFmtId="0" fontId="0" fillId="16" borderId="3" xfId="0" applyFill="1" applyBorder="1"/>
    <xf numFmtId="170" fontId="0" fillId="16" borderId="0" xfId="1" applyNumberFormat="1" applyFont="1" applyFill="1" applyBorder="1"/>
    <xf numFmtId="170" fontId="0" fillId="16" borderId="18" xfId="1" applyNumberFormat="1" applyFont="1" applyFill="1" applyBorder="1"/>
    <xf numFmtId="0" fontId="0" fillId="6" borderId="3" xfId="0" applyFill="1" applyBorder="1"/>
    <xf numFmtId="170" fontId="0" fillId="6" borderId="0" xfId="1" applyNumberFormat="1" applyFont="1" applyFill="1" applyBorder="1"/>
    <xf numFmtId="167" fontId="0" fillId="11" borderId="0" xfId="0" applyNumberFormat="1" applyFill="1"/>
    <xf numFmtId="167" fontId="0" fillId="11" borderId="18" xfId="0" applyNumberFormat="1" applyFill="1" applyBorder="1"/>
    <xf numFmtId="0" fontId="0" fillId="11" borderId="3" xfId="0" applyFill="1" applyBorder="1"/>
    <xf numFmtId="43" fontId="0" fillId="0" borderId="18" xfId="2" applyFont="1" applyBorder="1"/>
    <xf numFmtId="0" fontId="0" fillId="77" borderId="3" xfId="0" applyFill="1" applyBorder="1"/>
    <xf numFmtId="0" fontId="0" fillId="14" borderId="3" xfId="0" applyFill="1" applyBorder="1"/>
    <xf numFmtId="170" fontId="0" fillId="14" borderId="0" xfId="0" applyNumberFormat="1" applyFill="1"/>
    <xf numFmtId="170" fontId="0" fillId="14" borderId="0" xfId="1" applyNumberFormat="1" applyFont="1" applyFill="1" applyBorder="1"/>
    <xf numFmtId="170" fontId="0" fillId="14" borderId="18" xfId="1" applyNumberFormat="1" applyFont="1" applyFill="1" applyBorder="1"/>
    <xf numFmtId="170" fontId="0" fillId="77" borderId="0" xfId="1" applyNumberFormat="1" applyFont="1" applyFill="1" applyBorder="1"/>
    <xf numFmtId="167" fontId="0" fillId="5" borderId="0" xfId="1" applyFont="1" applyFill="1" applyBorder="1"/>
    <xf numFmtId="0" fontId="0" fillId="5" borderId="3" xfId="0" applyFill="1" applyBorder="1"/>
    <xf numFmtId="170" fontId="0" fillId="5" borderId="0" xfId="0" applyNumberFormat="1" applyFill="1"/>
    <xf numFmtId="167" fontId="0" fillId="5" borderId="0" xfId="0" applyNumberFormat="1" applyFill="1"/>
    <xf numFmtId="167" fontId="0" fillId="5" borderId="18" xfId="0" applyNumberFormat="1" applyFill="1" applyBorder="1"/>
    <xf numFmtId="0" fontId="0" fillId="0" borderId="17" xfId="0" applyBorder="1" applyAlignment="1">
      <alignment horizontal="center" vertical="center"/>
    </xf>
    <xf numFmtId="0" fontId="0" fillId="0" borderId="16" xfId="0" applyBorder="1" applyAlignment="1">
      <alignment horizontal="left" wrapText="1"/>
    </xf>
    <xf numFmtId="0" fontId="0" fillId="0" borderId="17" xfId="0" applyBorder="1" applyAlignment="1">
      <alignment horizontal="center" wrapText="1"/>
    </xf>
    <xf numFmtId="0" fontId="0" fillId="0" borderId="17" xfId="0" applyBorder="1" applyAlignment="1">
      <alignment horizontal="left" wrapText="1"/>
    </xf>
    <xf numFmtId="0" fontId="0" fillId="0" borderId="17" xfId="0" applyBorder="1" applyAlignment="1">
      <alignment horizontal="right" wrapText="1"/>
    </xf>
    <xf numFmtId="0" fontId="0" fillId="0" borderId="17" xfId="0" applyBorder="1" applyAlignment="1">
      <alignment wrapText="1"/>
    </xf>
    <xf numFmtId="171" fontId="0" fillId="0" borderId="17" xfId="2" applyNumberFormat="1" applyFont="1" applyBorder="1" applyAlignment="1">
      <alignment horizontal="right" wrapText="1"/>
    </xf>
    <xf numFmtId="178" fontId="0" fillId="0" borderId="17" xfId="2" applyNumberFormat="1" applyFont="1" applyBorder="1" applyAlignment="1">
      <alignment horizontal="right" wrapText="1"/>
    </xf>
    <xf numFmtId="178" fontId="0" fillId="0" borderId="17" xfId="1" applyNumberFormat="1" applyFont="1" applyBorder="1" applyAlignment="1">
      <alignment horizontal="right" vertical="center" wrapText="1"/>
    </xf>
    <xf numFmtId="178" fontId="2" fillId="0" borderId="0" xfId="0" applyNumberFormat="1" applyFont="1" applyAlignment="1">
      <alignment horizontal="right" vertical="center" wrapText="1"/>
    </xf>
    <xf numFmtId="178" fontId="0" fillId="0" borderId="0" xfId="0" applyNumberFormat="1" applyAlignment="1">
      <alignment horizontal="right" vertical="center" wrapText="1"/>
    </xf>
    <xf numFmtId="3" fontId="0" fillId="0" borderId="17" xfId="2" applyNumberFormat="1" applyFont="1" applyBorder="1" applyAlignment="1">
      <alignment horizontal="right" wrapText="1"/>
    </xf>
    <xf numFmtId="3" fontId="0" fillId="0" borderId="2" xfId="2" applyNumberFormat="1" applyFont="1" applyBorder="1" applyAlignment="1">
      <alignment horizontal="right" wrapText="1"/>
    </xf>
    <xf numFmtId="3" fontId="0" fillId="0" borderId="17" xfId="2" applyNumberFormat="1" applyFont="1" applyBorder="1" applyAlignment="1">
      <alignment horizontal="right" vertical="center" wrapText="1"/>
    </xf>
    <xf numFmtId="3" fontId="2" fillId="0" borderId="0" xfId="0" applyNumberFormat="1" applyFont="1" applyAlignment="1">
      <alignment horizontal="right" vertical="center" wrapText="1"/>
    </xf>
    <xf numFmtId="3" fontId="0" fillId="0" borderId="0" xfId="0" applyNumberFormat="1" applyAlignment="1">
      <alignment horizontal="right" vertical="center" wrapText="1"/>
    </xf>
    <xf numFmtId="3" fontId="0" fillId="0" borderId="17" xfId="0" applyNumberFormat="1" applyBorder="1" applyAlignment="1">
      <alignment horizontal="right" vertical="center" wrapText="1"/>
    </xf>
    <xf numFmtId="3" fontId="0" fillId="0" borderId="10" xfId="0" applyNumberFormat="1" applyBorder="1" applyAlignment="1">
      <alignment horizontal="right" vertical="center" wrapText="1"/>
    </xf>
    <xf numFmtId="3" fontId="0" fillId="0" borderId="17" xfId="2" applyNumberFormat="1" applyFont="1" applyBorder="1" applyAlignment="1">
      <alignment horizontal="right"/>
    </xf>
    <xf numFmtId="3" fontId="3" fillId="0" borderId="17" xfId="2" applyNumberFormat="1" applyFont="1" applyBorder="1" applyAlignment="1">
      <alignment horizontal="right" vertical="center" wrapText="1"/>
    </xf>
    <xf numFmtId="3" fontId="0" fillId="0" borderId="0" xfId="0" applyNumberFormat="1" applyAlignment="1">
      <alignment horizontal="right"/>
    </xf>
    <xf numFmtId="3" fontId="0" fillId="0" borderId="2" xfId="0" applyNumberFormat="1" applyBorder="1" applyAlignment="1">
      <alignment horizontal="right"/>
    </xf>
    <xf numFmtId="3" fontId="0" fillId="0" borderId="2" xfId="0" applyNumberFormat="1" applyBorder="1" applyAlignment="1">
      <alignment horizontal="right" vertical="center" wrapText="1"/>
    </xf>
    <xf numFmtId="3" fontId="11" fillId="0" borderId="0" xfId="0" applyNumberFormat="1" applyFont="1" applyAlignment="1">
      <alignment horizontal="right" vertical="center" wrapText="1"/>
    </xf>
    <xf numFmtId="3" fontId="0" fillId="0" borderId="10" xfId="2" applyNumberFormat="1" applyFont="1" applyBorder="1" applyAlignment="1">
      <alignment horizontal="right" vertical="center" wrapText="1"/>
    </xf>
    <xf numFmtId="3" fontId="0" fillId="0" borderId="16" xfId="0" applyNumberFormat="1" applyBorder="1" applyAlignment="1">
      <alignment horizontal="right" vertical="center" wrapText="1"/>
    </xf>
    <xf numFmtId="3" fontId="0" fillId="0" borderId="14" xfId="0" applyNumberFormat="1" applyBorder="1" applyAlignment="1">
      <alignment horizontal="right"/>
    </xf>
    <xf numFmtId="3" fontId="0" fillId="0" borderId="16" xfId="0" applyNumberFormat="1" applyBorder="1" applyAlignment="1">
      <alignment horizontal="right"/>
    </xf>
    <xf numFmtId="3" fontId="0" fillId="0" borderId="10" xfId="0" applyNumberFormat="1" applyBorder="1" applyAlignment="1">
      <alignment horizontal="right"/>
    </xf>
    <xf numFmtId="0" fontId="3" fillId="0" borderId="17" xfId="0" applyFont="1" applyBorder="1" applyAlignment="1">
      <alignment horizontal="right" vertical="center" wrapText="1"/>
    </xf>
    <xf numFmtId="0" fontId="11" fillId="0" borderId="0" xfId="0" applyFont="1" applyAlignment="1">
      <alignment horizontal="right" vertical="center" wrapText="1"/>
    </xf>
    <xf numFmtId="0" fontId="0" fillId="0" borderId="21" xfId="0" applyBorder="1" applyAlignment="1">
      <alignment horizontal="right"/>
    </xf>
    <xf numFmtId="167" fontId="0" fillId="0" borderId="0" xfId="0" applyNumberFormat="1" applyAlignment="1">
      <alignment horizontal="right"/>
    </xf>
    <xf numFmtId="0" fontId="0" fillId="0" borderId="10" xfId="0" applyBorder="1" applyAlignment="1">
      <alignment horizontal="right"/>
    </xf>
    <xf numFmtId="178" fontId="0" fillId="0" borderId="0" xfId="0" applyNumberFormat="1" applyAlignment="1">
      <alignment horizontal="right"/>
    </xf>
    <xf numFmtId="178" fontId="0" fillId="0" borderId="2" xfId="0" applyNumberFormat="1" applyBorder="1" applyAlignment="1">
      <alignment horizontal="right"/>
    </xf>
    <xf numFmtId="178" fontId="0" fillId="0" borderId="17" xfId="0" applyNumberFormat="1" applyBorder="1" applyAlignment="1">
      <alignment horizontal="right" vertical="center" wrapText="1"/>
    </xf>
    <xf numFmtId="178" fontId="0" fillId="0" borderId="2" xfId="0" applyNumberFormat="1" applyBorder="1" applyAlignment="1">
      <alignment horizontal="right" vertical="center" wrapText="1"/>
    </xf>
    <xf numFmtId="178" fontId="3" fillId="0" borderId="17" xfId="0" applyNumberFormat="1" applyFont="1" applyBorder="1" applyAlignment="1">
      <alignment horizontal="right" vertical="center" wrapText="1"/>
    </xf>
    <xf numFmtId="178" fontId="11" fillId="0" borderId="0" xfId="0" applyNumberFormat="1" applyFont="1" applyAlignment="1">
      <alignment horizontal="right" vertical="center" wrapText="1"/>
    </xf>
    <xf numFmtId="178" fontId="0" fillId="0" borderId="16" xfId="0" applyNumberFormat="1" applyBorder="1" applyAlignment="1">
      <alignment horizontal="right" vertical="center" wrapText="1"/>
    </xf>
    <xf numFmtId="178" fontId="0" fillId="0" borderId="14" xfId="0" applyNumberFormat="1" applyBorder="1" applyAlignment="1">
      <alignment horizontal="right"/>
    </xf>
    <xf numFmtId="178" fontId="0" fillId="0" borderId="16" xfId="0" applyNumberFormat="1" applyBorder="1" applyAlignment="1">
      <alignment horizontal="right"/>
    </xf>
    <xf numFmtId="178" fontId="0" fillId="0" borderId="18" xfId="0" applyNumberFormat="1" applyBorder="1" applyAlignment="1">
      <alignment horizontal="right"/>
    </xf>
    <xf numFmtId="178" fontId="0" fillId="0" borderId="17" xfId="0" applyNumberFormat="1" applyBorder="1" applyAlignment="1">
      <alignment horizontal="right"/>
    </xf>
    <xf numFmtId="3" fontId="0" fillId="0" borderId="21" xfId="0" applyNumberFormat="1" applyBorder="1" applyAlignment="1">
      <alignment horizontal="right"/>
    </xf>
    <xf numFmtId="178" fontId="0" fillId="0" borderId="2" xfId="2" applyNumberFormat="1" applyFont="1" applyBorder="1" applyAlignment="1">
      <alignment horizontal="right"/>
    </xf>
    <xf numFmtId="178" fontId="0" fillId="0" borderId="13" xfId="0" applyNumberFormat="1" applyBorder="1" applyAlignment="1">
      <alignment horizontal="right" vertical="center" wrapText="1"/>
    </xf>
    <xf numFmtId="178" fontId="0" fillId="0" borderId="0" xfId="1" applyNumberFormat="1" applyFont="1" applyBorder="1" applyAlignment="1">
      <alignment horizontal="right" vertical="center" wrapText="1"/>
    </xf>
    <xf numFmtId="178" fontId="0" fillId="0" borderId="22" xfId="2" applyNumberFormat="1" applyFont="1" applyBorder="1" applyAlignment="1">
      <alignment horizontal="right"/>
    </xf>
    <xf numFmtId="178" fontId="0" fillId="0" borderId="17" xfId="2" applyNumberFormat="1" applyFont="1" applyBorder="1" applyAlignment="1">
      <alignment horizontal="right"/>
    </xf>
    <xf numFmtId="179" fontId="0" fillId="0" borderId="0" xfId="0" applyNumberFormat="1" applyAlignment="1">
      <alignment horizontal="right"/>
    </xf>
    <xf numFmtId="179" fontId="0" fillId="0" borderId="17" xfId="2" applyNumberFormat="1" applyFont="1" applyBorder="1" applyAlignment="1">
      <alignment horizontal="right" wrapText="1"/>
    </xf>
    <xf numFmtId="179" fontId="0" fillId="0" borderId="2" xfId="0" applyNumberFormat="1" applyBorder="1" applyAlignment="1">
      <alignment horizontal="right"/>
    </xf>
    <xf numFmtId="179" fontId="0" fillId="0" borderId="17" xfId="2" applyNumberFormat="1" applyFont="1" applyBorder="1" applyAlignment="1">
      <alignment horizontal="right" vertical="center" wrapText="1"/>
    </xf>
    <xf numFmtId="179" fontId="0" fillId="0" borderId="17" xfId="0" applyNumberFormat="1" applyBorder="1" applyAlignment="1">
      <alignment horizontal="right" vertical="center" wrapText="1"/>
    </xf>
    <xf numFmtId="179" fontId="2" fillId="0" borderId="0" xfId="0" applyNumberFormat="1" applyFont="1" applyAlignment="1">
      <alignment horizontal="right" vertical="center" wrapText="1"/>
    </xf>
    <xf numFmtId="179" fontId="0" fillId="0" borderId="0" xfId="0" applyNumberFormat="1" applyAlignment="1">
      <alignment horizontal="right" vertical="center" wrapText="1"/>
    </xf>
    <xf numFmtId="179" fontId="11" fillId="0" borderId="0" xfId="0" applyNumberFormat="1" applyFont="1" applyAlignment="1">
      <alignment horizontal="right" vertical="center" wrapText="1"/>
    </xf>
    <xf numFmtId="179" fontId="0" fillId="0" borderId="2" xfId="0" applyNumberFormat="1" applyBorder="1" applyAlignment="1">
      <alignment horizontal="right" vertical="center" wrapText="1"/>
    </xf>
    <xf numFmtId="179" fontId="0" fillId="0" borderId="16" xfId="0" applyNumberFormat="1" applyBorder="1" applyAlignment="1">
      <alignment horizontal="right"/>
    </xf>
    <xf numFmtId="179" fontId="2" fillId="0" borderId="11" xfId="0" applyNumberFormat="1" applyFont="1" applyBorder="1" applyAlignment="1">
      <alignment horizontal="right"/>
    </xf>
    <xf numFmtId="179" fontId="3" fillId="0" borderId="17" xfId="0" applyNumberFormat="1" applyFont="1" applyBorder="1" applyAlignment="1">
      <alignment horizontal="right" vertical="center" wrapText="1"/>
    </xf>
    <xf numFmtId="179" fontId="0" fillId="0" borderId="21" xfId="0" applyNumberFormat="1" applyBorder="1" applyAlignment="1">
      <alignment horizontal="right"/>
    </xf>
    <xf numFmtId="4" fontId="0" fillId="0" borderId="13" xfId="0" applyNumberFormat="1" applyBorder="1" applyAlignment="1">
      <alignment horizontal="right"/>
    </xf>
    <xf numFmtId="4" fontId="0" fillId="0" borderId="0" xfId="0" applyNumberFormat="1" applyAlignment="1">
      <alignment horizontal="right"/>
    </xf>
    <xf numFmtId="4" fontId="2" fillId="0" borderId="14" xfId="0" applyNumberFormat="1" applyFont="1" applyBorder="1" applyAlignment="1">
      <alignment horizontal="right" vertical="center" wrapText="1"/>
    </xf>
    <xf numFmtId="4" fontId="2" fillId="0" borderId="16" xfId="0" applyNumberFormat="1" applyFont="1" applyBorder="1" applyAlignment="1">
      <alignment horizontal="right" vertical="center" wrapText="1"/>
    </xf>
    <xf numFmtId="4" fontId="0" fillId="0" borderId="17" xfId="2" applyNumberFormat="1" applyFont="1" applyBorder="1" applyAlignment="1">
      <alignment horizontal="right" wrapText="1"/>
    </xf>
    <xf numFmtId="4" fontId="0" fillId="0" borderId="2" xfId="0" applyNumberFormat="1" applyBorder="1" applyAlignment="1">
      <alignment horizontal="right"/>
    </xf>
    <xf numFmtId="4" fontId="2" fillId="0" borderId="18" xfId="0" applyNumberFormat="1" applyFont="1" applyBorder="1" applyAlignment="1">
      <alignment horizontal="right" vertical="center" wrapText="1"/>
    </xf>
    <xf numFmtId="4" fontId="2" fillId="0" borderId="17" xfId="0" applyNumberFormat="1" applyFont="1" applyBorder="1" applyAlignment="1">
      <alignment horizontal="right" vertical="center" wrapText="1"/>
    </xf>
    <xf numFmtId="4" fontId="0" fillId="0" borderId="17" xfId="2" applyNumberFormat="1" applyFont="1" applyBorder="1" applyAlignment="1">
      <alignment horizontal="right" vertical="center" wrapText="1"/>
    </xf>
    <xf numFmtId="4" fontId="0" fillId="0" borderId="17" xfId="0" applyNumberFormat="1" applyBorder="1" applyAlignment="1">
      <alignment horizontal="right" vertical="center" wrapText="1"/>
    </xf>
    <xf numFmtId="4" fontId="2" fillId="0" borderId="0" xfId="0" applyNumberFormat="1" applyFont="1" applyAlignment="1">
      <alignment horizontal="right" vertical="center" wrapText="1"/>
    </xf>
    <xf numFmtId="4" fontId="0" fillId="0" borderId="13" xfId="0" applyNumberFormat="1" applyBorder="1" applyAlignment="1">
      <alignment horizontal="right" vertical="center" wrapText="1"/>
    </xf>
    <xf numFmtId="4" fontId="0" fillId="0" borderId="0" xfId="0" applyNumberFormat="1" applyAlignment="1">
      <alignment horizontal="right" vertical="center" wrapText="1"/>
    </xf>
    <xf numFmtId="4" fontId="0" fillId="0" borderId="2" xfId="2" applyNumberFormat="1" applyFont="1" applyBorder="1" applyAlignment="1">
      <alignment horizontal="right" vertical="center" wrapText="1"/>
    </xf>
    <xf numFmtId="4" fontId="11" fillId="0" borderId="0" xfId="0" applyNumberFormat="1" applyFont="1" applyAlignment="1">
      <alignment horizontal="right" vertical="center" wrapText="1"/>
    </xf>
    <xf numFmtId="4" fontId="0" fillId="0" borderId="18" xfId="0" applyNumberFormat="1" applyBorder="1" applyAlignment="1">
      <alignment horizontal="right" vertical="center" wrapText="1"/>
    </xf>
    <xf numFmtId="4" fontId="0" fillId="0" borderId="2" xfId="0" applyNumberFormat="1" applyBorder="1" applyAlignment="1">
      <alignment horizontal="right" vertical="center" wrapText="1"/>
    </xf>
    <xf numFmtId="4" fontId="0" fillId="0" borderId="14" xfId="0" applyNumberFormat="1" applyBorder="1" applyAlignment="1">
      <alignment horizontal="right"/>
    </xf>
    <xf numFmtId="4" fontId="0" fillId="0" borderId="16" xfId="0" applyNumberFormat="1" applyBorder="1" applyAlignment="1">
      <alignment horizontal="right"/>
    </xf>
    <xf numFmtId="0" fontId="0" fillId="70" borderId="21" xfId="0" applyFill="1" applyBorder="1" applyAlignment="1">
      <alignment vertical="center"/>
    </xf>
    <xf numFmtId="167" fontId="1" fillId="0" borderId="0" xfId="1" applyFont="1" applyFill="1" applyBorder="1"/>
    <xf numFmtId="167" fontId="0" fillId="0" borderId="28" xfId="1" applyFont="1" applyBorder="1"/>
    <xf numFmtId="0" fontId="0" fillId="70" borderId="12" xfId="0" applyFill="1" applyBorder="1" applyAlignment="1">
      <alignment horizontal="center" vertical="center"/>
    </xf>
    <xf numFmtId="0" fontId="0" fillId="70" borderId="21" xfId="0" applyFill="1" applyBorder="1" applyAlignment="1">
      <alignment horizontal="center" vertical="center"/>
    </xf>
    <xf numFmtId="0" fontId="2" fillId="0" borderId="1" xfId="0" applyFont="1" applyBorder="1" applyAlignment="1">
      <alignment horizontal="center"/>
    </xf>
    <xf numFmtId="0" fontId="2" fillId="0" borderId="36" xfId="0" applyFont="1" applyBorder="1" applyAlignment="1">
      <alignment horizontal="center"/>
    </xf>
    <xf numFmtId="0" fontId="2" fillId="0" borderId="36" xfId="0" applyFont="1" applyBorder="1"/>
    <xf numFmtId="0" fontId="2" fillId="0" borderId="6" xfId="0" applyFont="1" applyBorder="1" applyAlignment="1">
      <alignment horizontal="center"/>
    </xf>
    <xf numFmtId="0" fontId="0" fillId="3" borderId="21" xfId="0" applyFill="1" applyBorder="1" applyAlignment="1">
      <alignment horizontal="center" vertical="center"/>
    </xf>
    <xf numFmtId="0" fontId="0" fillId="3" borderId="21" xfId="0" applyFill="1" applyBorder="1" applyAlignment="1">
      <alignment vertical="center"/>
    </xf>
    <xf numFmtId="0" fontId="2" fillId="3" borderId="20" xfId="0" applyFont="1" applyFill="1" applyBorder="1" applyAlignment="1">
      <alignment vertical="center"/>
    </xf>
    <xf numFmtId="0" fontId="0" fillId="0" borderId="8" xfId="0" applyBorder="1" applyAlignment="1">
      <alignment horizontal="center"/>
    </xf>
    <xf numFmtId="0" fontId="2" fillId="0" borderId="4" xfId="0" applyFont="1" applyBorder="1" applyAlignment="1">
      <alignment horizontal="center"/>
    </xf>
    <xf numFmtId="0" fontId="3" fillId="55" borderId="12" xfId="0" applyFont="1" applyFill="1" applyBorder="1" applyAlignment="1">
      <alignment vertical="center"/>
    </xf>
    <xf numFmtId="0" fontId="0" fillId="55" borderId="12" xfId="0" applyFill="1" applyBorder="1"/>
    <xf numFmtId="0" fontId="0" fillId="55" borderId="13" xfId="0" applyFill="1" applyBorder="1"/>
    <xf numFmtId="173" fontId="0" fillId="0" borderId="24" xfId="0" applyNumberFormat="1" applyBorder="1" applyAlignment="1">
      <alignment vertical="center"/>
    </xf>
    <xf numFmtId="180" fontId="0" fillId="0" borderId="30" xfId="0" applyNumberFormat="1" applyBorder="1" applyAlignment="1">
      <alignment vertical="center"/>
    </xf>
    <xf numFmtId="180" fontId="0" fillId="0" borderId="29" xfId="0" applyNumberFormat="1" applyBorder="1" applyAlignment="1">
      <alignment vertical="center"/>
    </xf>
    <xf numFmtId="180" fontId="0" fillId="0" borderId="0" xfId="0" applyNumberFormat="1" applyAlignment="1">
      <alignment vertical="center"/>
    </xf>
    <xf numFmtId="0" fontId="3" fillId="4" borderId="0" xfId="0" applyFont="1" applyFill="1" applyAlignment="1">
      <alignment vertical="center"/>
    </xf>
    <xf numFmtId="0" fontId="25" fillId="49" borderId="0" xfId="0" applyFont="1" applyFill="1"/>
    <xf numFmtId="0" fontId="25" fillId="49" borderId="0" xfId="0" applyFont="1" applyFill="1" applyAlignment="1">
      <alignment horizontal="center"/>
    </xf>
    <xf numFmtId="0" fontId="13" fillId="49" borderId="0" xfId="0" applyFont="1" applyFill="1"/>
    <xf numFmtId="0" fontId="0" fillId="0" borderId="0" xfId="0" applyAlignment="1">
      <alignment horizontal="center" wrapText="1"/>
    </xf>
    <xf numFmtId="2" fontId="0" fillId="0" borderId="0" xfId="0" applyNumberFormat="1" applyAlignment="1">
      <alignment horizontal="right"/>
    </xf>
    <xf numFmtId="2" fontId="0" fillId="0" borderId="0" xfId="0" applyNumberFormat="1" applyAlignment="1">
      <alignment horizontal="center"/>
    </xf>
    <xf numFmtId="43" fontId="0" fillId="0" borderId="0" xfId="0" applyNumberFormat="1" applyAlignment="1">
      <alignment horizontal="right"/>
    </xf>
    <xf numFmtId="0" fontId="2" fillId="0" borderId="6" xfId="0" applyFont="1" applyBorder="1"/>
    <xf numFmtId="43" fontId="0" fillId="0" borderId="0" xfId="2" applyFont="1" applyAlignment="1">
      <alignment horizontal="right"/>
    </xf>
    <xf numFmtId="175" fontId="0" fillId="0" borderId="0" xfId="3" applyNumberFormat="1" applyFont="1"/>
    <xf numFmtId="43" fontId="0" fillId="0" borderId="0" xfId="2" applyFont="1" applyAlignment="1">
      <alignment horizontal="center"/>
    </xf>
    <xf numFmtId="43" fontId="3" fillId="0" borderId="7" xfId="2" applyFont="1" applyBorder="1" applyAlignment="1">
      <alignment vertical="center"/>
    </xf>
    <xf numFmtId="43" fontId="3" fillId="0" borderId="7" xfId="0" applyNumberFormat="1" applyFont="1" applyBorder="1" applyAlignment="1">
      <alignment vertical="center"/>
    </xf>
    <xf numFmtId="0" fontId="2" fillId="0" borderId="0" xfId="0" applyFont="1" applyAlignment="1">
      <alignment vertical="center" wrapText="1"/>
    </xf>
    <xf numFmtId="167" fontId="0" fillId="0" borderId="17" xfId="1" applyFont="1" applyBorder="1" applyAlignment="1">
      <alignment horizontal="right" wrapText="1"/>
    </xf>
    <xf numFmtId="167" fontId="0" fillId="0" borderId="2" xfId="1" applyFont="1" applyBorder="1" applyAlignment="1">
      <alignment horizontal="right" vertical="center" wrapText="1"/>
    </xf>
    <xf numFmtId="167" fontId="2" fillId="0" borderId="0" xfId="1" applyFont="1" applyBorder="1" applyAlignment="1">
      <alignment vertical="center" wrapText="1"/>
    </xf>
    <xf numFmtId="4" fontId="2" fillId="0" borderId="18" xfId="0" applyNumberFormat="1" applyFont="1" applyBorder="1" applyAlignment="1">
      <alignment horizontal="center" vertical="center" wrapText="1"/>
    </xf>
    <xf numFmtId="49" fontId="2" fillId="0" borderId="17" xfId="0" applyNumberFormat="1" applyFont="1" applyBorder="1" applyAlignment="1">
      <alignment horizontal="center" vertical="center" wrapText="1"/>
    </xf>
    <xf numFmtId="169" fontId="0" fillId="0" borderId="17" xfId="2" applyNumberFormat="1" applyFont="1" applyBorder="1" applyAlignment="1">
      <alignment horizontal="right" vertical="center" wrapText="1"/>
    </xf>
    <xf numFmtId="43" fontId="0" fillId="0" borderId="17" xfId="2" applyFont="1" applyBorder="1" applyAlignment="1">
      <alignment vertical="center" wrapText="1"/>
    </xf>
    <xf numFmtId="178" fontId="0" fillId="0" borderId="17" xfId="0" applyNumberFormat="1" applyBorder="1" applyAlignment="1">
      <alignment vertical="center" wrapText="1"/>
    </xf>
    <xf numFmtId="178" fontId="10" fillId="25" borderId="13" xfId="0" applyNumberFormat="1" applyFont="1" applyFill="1" applyBorder="1" applyAlignment="1">
      <alignment horizontal="right" vertical="center"/>
    </xf>
    <xf numFmtId="0" fontId="8" fillId="0" borderId="3" xfId="0" applyFont="1" applyBorder="1" applyAlignment="1">
      <alignment horizontal="center" vertical="center"/>
    </xf>
    <xf numFmtId="0" fontId="8" fillId="0" borderId="0" xfId="0" applyFont="1" applyAlignment="1">
      <alignment horizontal="center" vertical="center"/>
    </xf>
    <xf numFmtId="0" fontId="8" fillId="0" borderId="18" xfId="0" applyFont="1" applyBorder="1" applyAlignment="1">
      <alignment horizontal="center" vertical="center"/>
    </xf>
    <xf numFmtId="43" fontId="0" fillId="0" borderId="0" xfId="2" applyFont="1" applyFill="1" applyBorder="1" applyAlignment="1">
      <alignment horizontal="center" vertical="center" wrapText="1"/>
    </xf>
    <xf numFmtId="167" fontId="0" fillId="0" borderId="0" xfId="0" applyNumberFormat="1" applyAlignment="1">
      <alignment horizontal="center" vertical="center" wrapText="1"/>
    </xf>
    <xf numFmtId="2" fontId="0" fillId="0" borderId="17" xfId="2" applyNumberFormat="1" applyFont="1" applyBorder="1" applyAlignment="1">
      <alignment horizontal="right" vertical="center" wrapText="1"/>
    </xf>
    <xf numFmtId="170" fontId="0" fillId="0" borderId="0" xfId="1" applyNumberFormat="1" applyFont="1" applyFill="1" applyBorder="1"/>
    <xf numFmtId="178" fontId="0" fillId="0" borderId="0" xfId="0" applyNumberFormat="1"/>
    <xf numFmtId="3" fontId="2" fillId="0" borderId="1" xfId="0" applyNumberFormat="1" applyFont="1" applyBorder="1" applyAlignment="1">
      <alignment horizontal="right"/>
    </xf>
    <xf numFmtId="178" fontId="0" fillId="0" borderId="1" xfId="0" applyNumberFormat="1" applyBorder="1"/>
    <xf numFmtId="3" fontId="2" fillId="0" borderId="1" xfId="0" applyNumberFormat="1" applyFont="1" applyBorder="1" applyAlignment="1">
      <alignment horizontal="left"/>
    </xf>
    <xf numFmtId="167" fontId="0" fillId="0" borderId="1" xfId="0" applyNumberFormat="1" applyBorder="1" applyAlignment="1">
      <alignment vertical="center"/>
    </xf>
    <xf numFmtId="177" fontId="0" fillId="0" borderId="26" xfId="0" applyNumberFormat="1" applyBorder="1"/>
    <xf numFmtId="177" fontId="0" fillId="0" borderId="30" xfId="0" applyNumberFormat="1" applyBorder="1"/>
    <xf numFmtId="177" fontId="0" fillId="0" borderId="29" xfId="0" applyNumberFormat="1" applyBorder="1"/>
    <xf numFmtId="177" fontId="0" fillId="0" borderId="9" xfId="0" applyNumberFormat="1" applyBorder="1"/>
    <xf numFmtId="177" fontId="0" fillId="0" borderId="18" xfId="1" applyNumberFormat="1" applyFont="1" applyBorder="1"/>
    <xf numFmtId="177" fontId="0" fillId="0" borderId="1" xfId="0" applyNumberFormat="1" applyBorder="1"/>
    <xf numFmtId="37" fontId="0" fillId="0" borderId="17" xfId="0" applyNumberFormat="1" applyBorder="1" applyAlignment="1">
      <alignment horizontal="right" vertical="center" wrapText="1"/>
    </xf>
    <xf numFmtId="170" fontId="0" fillId="0" borderId="17" xfId="1" applyNumberFormat="1" applyFont="1" applyBorder="1" applyAlignment="1">
      <alignment horizontal="right" vertical="center" wrapText="1"/>
    </xf>
    <xf numFmtId="170" fontId="0" fillId="0" borderId="17" xfId="1" applyNumberFormat="1" applyFont="1" applyBorder="1" applyAlignment="1">
      <alignment horizontal="right" wrapText="1"/>
    </xf>
    <xf numFmtId="170" fontId="0" fillId="0" borderId="17" xfId="0" applyNumberFormat="1" applyBorder="1" applyAlignment="1">
      <alignment vertical="center" wrapText="1"/>
    </xf>
    <xf numFmtId="0" fontId="2" fillId="0" borderId="1" xfId="0" applyFont="1" applyBorder="1" applyAlignment="1">
      <alignment horizontal="left" vertical="center"/>
    </xf>
    <xf numFmtId="0" fontId="13" fillId="49" borderId="3" xfId="0" applyFont="1" applyFill="1" applyBorder="1"/>
    <xf numFmtId="0" fontId="13" fillId="49" borderId="18" xfId="0" applyFont="1" applyFill="1" applyBorder="1"/>
    <xf numFmtId="167" fontId="2" fillId="2" borderId="0" xfId="0" applyNumberFormat="1" applyFont="1" applyFill="1"/>
    <xf numFmtId="43" fontId="2" fillId="61" borderId="0" xfId="2" applyFont="1" applyFill="1" applyBorder="1"/>
    <xf numFmtId="0" fontId="2" fillId="61" borderId="0" xfId="0" applyFont="1" applyFill="1"/>
    <xf numFmtId="43" fontId="2" fillId="0" borderId="0" xfId="2" applyFont="1" applyFill="1" applyBorder="1"/>
    <xf numFmtId="0" fontId="2" fillId="30" borderId="0" xfId="0" applyFont="1" applyFill="1"/>
    <xf numFmtId="43" fontId="2" fillId="2" borderId="0" xfId="2" applyFont="1" applyFill="1"/>
    <xf numFmtId="181" fontId="0" fillId="0" borderId="1" xfId="0" applyNumberFormat="1" applyBorder="1"/>
    <xf numFmtId="167" fontId="2" fillId="2" borderId="0" xfId="1" applyFont="1" applyFill="1"/>
    <xf numFmtId="181" fontId="0" fillId="0" borderId="3" xfId="1" applyNumberFormat="1" applyFont="1" applyBorder="1"/>
    <xf numFmtId="11" fontId="0" fillId="0" borderId="0" xfId="1" applyNumberFormat="1" applyFont="1"/>
    <xf numFmtId="0" fontId="0" fillId="0" borderId="11" xfId="0" applyBorder="1" applyAlignment="1">
      <alignment horizontal="center" vertical="center" wrapText="1"/>
    </xf>
    <xf numFmtId="0" fontId="0" fillId="0" borderId="15" xfId="0" applyBorder="1" applyAlignment="1">
      <alignment horizontal="center" vertical="center" wrapText="1"/>
    </xf>
    <xf numFmtId="167" fontId="2" fillId="30" borderId="0" xfId="0" applyNumberFormat="1" applyFont="1" applyFill="1"/>
    <xf numFmtId="11" fontId="2" fillId="30" borderId="0" xfId="1" applyNumberFormat="1" applyFont="1" applyFill="1"/>
    <xf numFmtId="43" fontId="2" fillId="30" borderId="0" xfId="2" applyFont="1" applyFill="1"/>
    <xf numFmtId="167" fontId="2" fillId="11" borderId="0" xfId="0" applyNumberFormat="1" applyFont="1" applyFill="1"/>
    <xf numFmtId="43" fontId="0" fillId="0" borderId="2" xfId="2" applyFont="1" applyBorder="1" applyAlignment="1">
      <alignment horizontal="left" vertical="center" wrapText="1" indent="1"/>
    </xf>
    <xf numFmtId="43" fontId="0" fillId="0" borderId="19" xfId="2" applyFont="1" applyBorder="1"/>
    <xf numFmtId="0" fontId="0" fillId="0" borderId="1" xfId="0" applyBorder="1" applyAlignment="1">
      <alignment horizontal="center"/>
    </xf>
    <xf numFmtId="10" fontId="0" fillId="0" borderId="0" xfId="3" applyNumberFormat="1" applyFont="1"/>
    <xf numFmtId="0" fontId="27" fillId="0" borderId="0" xfId="0" applyFont="1" applyAlignment="1">
      <alignment horizontal="center"/>
    </xf>
    <xf numFmtId="2" fontId="0" fillId="0" borderId="1" xfId="0" applyNumberFormat="1" applyBorder="1"/>
    <xf numFmtId="3" fontId="2" fillId="0" borderId="4" xfId="0" applyNumberFormat="1" applyFont="1" applyBorder="1" applyAlignment="1">
      <alignment horizontal="center"/>
    </xf>
    <xf numFmtId="3" fontId="0" fillId="0" borderId="1" xfId="0" applyNumberFormat="1" applyBorder="1" applyAlignment="1">
      <alignment horizontal="right"/>
    </xf>
    <xf numFmtId="0" fontId="2" fillId="0" borderId="9" xfId="0" applyFont="1" applyBorder="1" applyAlignment="1">
      <alignment horizontal="center"/>
    </xf>
    <xf numFmtId="3" fontId="0" fillId="0" borderId="0" xfId="0" applyNumberFormat="1"/>
    <xf numFmtId="182" fontId="0" fillId="0" borderId="23" xfId="0" applyNumberFormat="1" applyBorder="1" applyAlignment="1">
      <alignment vertical="center"/>
    </xf>
    <xf numFmtId="173" fontId="0" fillId="0" borderId="27" xfId="0" applyNumberFormat="1" applyBorder="1" applyAlignment="1">
      <alignment vertical="center"/>
    </xf>
    <xf numFmtId="182" fontId="0" fillId="0" borderId="0" xfId="0" applyNumberFormat="1" applyAlignment="1">
      <alignment vertical="center"/>
    </xf>
    <xf numFmtId="182" fontId="0" fillId="0" borderId="30" xfId="0" applyNumberFormat="1" applyBorder="1" applyAlignment="1">
      <alignment vertical="center"/>
    </xf>
    <xf numFmtId="0" fontId="0" fillId="5" borderId="8" xfId="0" applyFill="1" applyBorder="1"/>
    <xf numFmtId="0" fontId="0" fillId="5" borderId="9" xfId="0" applyFill="1" applyBorder="1"/>
    <xf numFmtId="167" fontId="0" fillId="0" borderId="30" xfId="1" applyFont="1" applyBorder="1"/>
    <xf numFmtId="0" fontId="0" fillId="30" borderId="8" xfId="0" applyFill="1" applyBorder="1"/>
    <xf numFmtId="0" fontId="0" fillId="30" borderId="9" xfId="0" applyFill="1" applyBorder="1"/>
    <xf numFmtId="167" fontId="1" fillId="0" borderId="30" xfId="1" applyFont="1" applyFill="1" applyBorder="1"/>
    <xf numFmtId="167" fontId="0" fillId="0" borderId="14" xfId="1" applyFont="1" applyBorder="1" applyAlignment="1">
      <alignment horizontal="center" vertical="center" wrapText="1"/>
    </xf>
    <xf numFmtId="0" fontId="0" fillId="0" borderId="9" xfId="0" applyBorder="1" applyAlignment="1">
      <alignment horizontal="center"/>
    </xf>
    <xf numFmtId="0" fontId="3" fillId="22" borderId="7" xfId="0" applyFont="1" applyFill="1" applyBorder="1"/>
    <xf numFmtId="0" fontId="4" fillId="22" borderId="8" xfId="0" applyFont="1" applyFill="1" applyBorder="1"/>
    <xf numFmtId="0" fontId="4" fillId="22" borderId="9" xfId="0" applyFont="1" applyFill="1" applyBorder="1"/>
    <xf numFmtId="0" fontId="0" fillId="22" borderId="7" xfId="0" applyFill="1" applyBorder="1"/>
    <xf numFmtId="0" fontId="0" fillId="22" borderId="8" xfId="0" applyFill="1" applyBorder="1"/>
    <xf numFmtId="0" fontId="0" fillId="22" borderId="9" xfId="0" applyFill="1" applyBorder="1"/>
    <xf numFmtId="0" fontId="2" fillId="22" borderId="7" xfId="0" applyFont="1" applyFill="1" applyBorder="1"/>
    <xf numFmtId="0" fontId="3" fillId="0" borderId="1" xfId="0" applyFont="1" applyBorder="1" applyAlignment="1">
      <alignment horizontal="center" vertical="center"/>
    </xf>
    <xf numFmtId="11" fontId="0" fillId="0" borderId="1" xfId="0" applyNumberFormat="1" applyBorder="1" applyAlignment="1">
      <alignment vertical="center"/>
    </xf>
    <xf numFmtId="0" fontId="2" fillId="0" borderId="26" xfId="0" applyFont="1" applyBorder="1" applyAlignment="1">
      <alignment horizontal="center"/>
    </xf>
    <xf numFmtId="0" fontId="2" fillId="70" borderId="20" xfId="0" applyFont="1" applyFill="1" applyBorder="1" applyAlignment="1">
      <alignment vertical="center"/>
    </xf>
    <xf numFmtId="10" fontId="0" fillId="0" borderId="30" xfId="3" applyNumberFormat="1" applyFont="1" applyBorder="1"/>
    <xf numFmtId="43" fontId="0" fillId="0" borderId="28" xfId="0" applyNumberFormat="1" applyBorder="1" applyAlignment="1">
      <alignment horizontal="center" vertical="center"/>
    </xf>
    <xf numFmtId="43" fontId="0" fillId="0" borderId="0" xfId="0" applyNumberFormat="1" applyAlignment="1">
      <alignment horizontal="center"/>
    </xf>
    <xf numFmtId="0" fontId="2" fillId="0" borderId="29" xfId="0" applyFont="1" applyBorder="1" applyAlignment="1">
      <alignment horizontal="center"/>
    </xf>
    <xf numFmtId="0" fontId="2" fillId="4" borderId="20" xfId="0" applyFont="1" applyFill="1" applyBorder="1" applyAlignment="1">
      <alignment vertical="center"/>
    </xf>
    <xf numFmtId="0" fontId="4" fillId="7" borderId="20" xfId="0" applyFont="1" applyFill="1" applyBorder="1" applyAlignment="1">
      <alignment vertical="center"/>
    </xf>
    <xf numFmtId="0" fontId="3" fillId="78" borderId="12" xfId="0" applyFont="1" applyFill="1" applyBorder="1" applyAlignment="1">
      <alignment vertical="center"/>
    </xf>
    <xf numFmtId="0" fontId="0" fillId="78" borderId="13" xfId="0" applyFill="1" applyBorder="1"/>
    <xf numFmtId="0" fontId="2" fillId="0" borderId="7" xfId="0" applyFont="1" applyBorder="1"/>
    <xf numFmtId="11" fontId="0" fillId="0" borderId="28" xfId="0" applyNumberFormat="1" applyBorder="1" applyAlignment="1">
      <alignment horizontal="center" vertical="center"/>
    </xf>
    <xf numFmtId="168" fontId="0" fillId="0" borderId="25" xfId="0" applyNumberFormat="1" applyBorder="1"/>
    <xf numFmtId="168" fontId="0" fillId="0" borderId="28" xfId="0" applyNumberFormat="1" applyBorder="1"/>
    <xf numFmtId="0" fontId="2" fillId="9" borderId="20" xfId="0" applyFont="1" applyFill="1" applyBorder="1" applyAlignment="1">
      <alignment vertical="center"/>
    </xf>
    <xf numFmtId="0" fontId="4" fillId="54" borderId="20" xfId="0" applyFont="1" applyFill="1" applyBorder="1" applyAlignment="1">
      <alignment vertical="center"/>
    </xf>
    <xf numFmtId="2" fontId="0" fillId="0" borderId="28" xfId="0" applyNumberFormat="1" applyBorder="1"/>
    <xf numFmtId="2" fontId="3" fillId="0" borderId="0" xfId="0" applyNumberFormat="1" applyFont="1"/>
    <xf numFmtId="168" fontId="0" fillId="0" borderId="8" xfId="0" applyNumberFormat="1" applyBorder="1"/>
    <xf numFmtId="0" fontId="0" fillId="51" borderId="13" xfId="0" applyFill="1" applyBorder="1"/>
    <xf numFmtId="0" fontId="2" fillId="51" borderId="20" xfId="0" applyFont="1" applyFill="1" applyBorder="1" applyAlignment="1">
      <alignment vertical="center"/>
    </xf>
    <xf numFmtId="0" fontId="0" fillId="0" borderId="28" xfId="0" applyBorder="1" applyAlignment="1">
      <alignment horizontal="right"/>
    </xf>
    <xf numFmtId="0" fontId="0" fillId="0" borderId="25" xfId="0" applyBorder="1" applyAlignment="1">
      <alignment horizontal="right"/>
    </xf>
    <xf numFmtId="168" fontId="0" fillId="0" borderId="0" xfId="0" applyNumberFormat="1" applyAlignment="1">
      <alignment horizontal="right"/>
    </xf>
    <xf numFmtId="0" fontId="2" fillId="11" borderId="20" xfId="0" applyFont="1" applyFill="1" applyBorder="1" applyAlignment="1">
      <alignment vertical="center"/>
    </xf>
    <xf numFmtId="0" fontId="0" fillId="0" borderId="8" xfId="0" applyBorder="1" applyAlignment="1">
      <alignment horizontal="right"/>
    </xf>
    <xf numFmtId="43" fontId="0" fillId="0" borderId="1" xfId="0" applyNumberFormat="1" applyBorder="1" applyAlignment="1">
      <alignment horizontal="right"/>
    </xf>
    <xf numFmtId="0" fontId="23" fillId="0" borderId="7" xfId="0" applyFont="1" applyBorder="1"/>
    <xf numFmtId="2" fontId="0" fillId="0" borderId="1" xfId="0" applyNumberFormat="1" applyBorder="1" applyAlignment="1">
      <alignment horizontal="right"/>
    </xf>
    <xf numFmtId="0" fontId="0" fillId="0" borderId="9" xfId="0" applyBorder="1" applyAlignment="1">
      <alignment horizontal="right"/>
    </xf>
    <xf numFmtId="0" fontId="2" fillId="0" borderId="9" xfId="0" applyFont="1" applyBorder="1" applyAlignment="1">
      <alignment horizontal="right"/>
    </xf>
    <xf numFmtId="0" fontId="2" fillId="0" borderId="1" xfId="0" applyFont="1" applyBorder="1" applyAlignment="1">
      <alignment horizontal="right"/>
    </xf>
    <xf numFmtId="2" fontId="2" fillId="0" borderId="1" xfId="0" applyNumberFormat="1" applyFont="1" applyBorder="1" applyAlignment="1">
      <alignment horizontal="right"/>
    </xf>
    <xf numFmtId="0" fontId="2" fillId="0" borderId="0" xfId="0" applyFont="1" applyAlignment="1">
      <alignment horizontal="right"/>
    </xf>
    <xf numFmtId="2" fontId="2" fillId="0" borderId="0" xfId="0" applyNumberFormat="1" applyFont="1" applyAlignment="1">
      <alignment horizontal="right"/>
    </xf>
    <xf numFmtId="43" fontId="0" fillId="0" borderId="1" xfId="2" applyFont="1" applyFill="1" applyBorder="1" applyAlignment="1">
      <alignment horizontal="right"/>
    </xf>
    <xf numFmtId="43" fontId="0" fillId="23" borderId="1" xfId="0" applyNumberFormat="1" applyFill="1" applyBorder="1" applyAlignment="1">
      <alignment horizontal="right"/>
    </xf>
    <xf numFmtId="0" fontId="0" fillId="23" borderId="0" xfId="0" applyFill="1"/>
    <xf numFmtId="43" fontId="0" fillId="0" borderId="23" xfId="2" applyFont="1" applyBorder="1"/>
    <xf numFmtId="43" fontId="0" fillId="0" borderId="0" xfId="2" applyFont="1" applyFill="1" applyBorder="1"/>
    <xf numFmtId="43" fontId="0" fillId="0" borderId="30" xfId="2" applyFont="1" applyBorder="1"/>
    <xf numFmtId="9" fontId="0" fillId="0" borderId="26" xfId="3" applyFont="1" applyBorder="1"/>
    <xf numFmtId="11" fontId="0" fillId="0" borderId="29" xfId="2" applyNumberFormat="1" applyFont="1" applyBorder="1"/>
    <xf numFmtId="0" fontId="16" fillId="0" borderId="0" xfId="0" applyFont="1"/>
    <xf numFmtId="9" fontId="0" fillId="0" borderId="9" xfId="3" applyFont="1" applyBorder="1"/>
    <xf numFmtId="11" fontId="0" fillId="0" borderId="29" xfId="0" applyNumberFormat="1" applyBorder="1"/>
    <xf numFmtId="11" fontId="0" fillId="0" borderId="26" xfId="0" applyNumberFormat="1" applyBorder="1"/>
    <xf numFmtId="0" fontId="2" fillId="2" borderId="1" xfId="0" applyFont="1" applyFill="1" applyBorder="1"/>
    <xf numFmtId="0" fontId="0" fillId="2" borderId="1" xfId="0" applyFill="1" applyBorder="1"/>
    <xf numFmtId="0" fontId="0" fillId="0" borderId="14" xfId="0" applyBorder="1" applyAlignment="1">
      <alignment horizontal="left" vertical="center" wrapText="1"/>
    </xf>
    <xf numFmtId="167" fontId="0" fillId="0" borderId="15" xfId="1" applyFont="1" applyBorder="1" applyAlignment="1">
      <alignment horizontal="center" vertical="center" wrapText="1"/>
    </xf>
    <xf numFmtId="0" fontId="0" fillId="0" borderId="37" xfId="0" applyBorder="1"/>
    <xf numFmtId="0" fontId="0" fillId="0" borderId="38" xfId="0" applyBorder="1"/>
    <xf numFmtId="0" fontId="0" fillId="0" borderId="46" xfId="0" applyBorder="1"/>
    <xf numFmtId="9" fontId="0" fillId="0" borderId="47" xfId="3" applyFont="1" applyBorder="1"/>
    <xf numFmtId="0" fontId="0" fillId="0" borderId="48" xfId="0" applyBorder="1"/>
    <xf numFmtId="167" fontId="0" fillId="0" borderId="41" xfId="1" applyFont="1" applyBorder="1"/>
    <xf numFmtId="170" fontId="0" fillId="0" borderId="41" xfId="0" applyNumberFormat="1" applyBorder="1"/>
    <xf numFmtId="9" fontId="0" fillId="0" borderId="42" xfId="3" applyFont="1" applyBorder="1"/>
    <xf numFmtId="167" fontId="0" fillId="0" borderId="0" xfId="1" applyFont="1" applyFill="1" applyBorder="1" applyAlignment="1"/>
    <xf numFmtId="0" fontId="3" fillId="5" borderId="0" xfId="0" applyFont="1" applyFill="1"/>
    <xf numFmtId="167" fontId="3" fillId="5" borderId="0" xfId="0" applyNumberFormat="1" applyFont="1" applyFill="1"/>
    <xf numFmtId="167" fontId="0" fillId="5" borderId="18" xfId="1" applyFont="1" applyFill="1" applyBorder="1"/>
    <xf numFmtId="0" fontId="3" fillId="5" borderId="3" xfId="0" applyFont="1" applyFill="1" applyBorder="1"/>
    <xf numFmtId="0" fontId="2" fillId="0" borderId="14" xfId="0" applyFont="1" applyBorder="1"/>
    <xf numFmtId="0" fontId="2" fillId="0" borderId="21" xfId="0" applyFont="1" applyBorder="1"/>
    <xf numFmtId="167" fontId="0" fillId="0" borderId="10" xfId="0" applyNumberFormat="1" applyBorder="1"/>
    <xf numFmtId="167" fontId="0" fillId="0" borderId="17" xfId="0" applyNumberFormat="1" applyBorder="1"/>
    <xf numFmtId="0" fontId="2" fillId="30" borderId="14" xfId="0" applyFont="1" applyFill="1" applyBorder="1"/>
    <xf numFmtId="167" fontId="0" fillId="0" borderId="22" xfId="0" applyNumberFormat="1" applyBorder="1"/>
    <xf numFmtId="0" fontId="0" fillId="0" borderId="50" xfId="0" applyBorder="1"/>
    <xf numFmtId="0" fontId="0" fillId="0" borderId="49" xfId="0" applyBorder="1"/>
    <xf numFmtId="0" fontId="2" fillId="30" borderId="49" xfId="0" applyFont="1" applyFill="1" applyBorder="1"/>
    <xf numFmtId="0" fontId="0" fillId="0" borderId="51" xfId="0" applyBorder="1"/>
    <xf numFmtId="0" fontId="0" fillId="29" borderId="8" xfId="0" applyFill="1" applyBorder="1"/>
    <xf numFmtId="0" fontId="0" fillId="29" borderId="9" xfId="0" applyFill="1" applyBorder="1"/>
    <xf numFmtId="0" fontId="2" fillId="29" borderId="14" xfId="0" applyFont="1" applyFill="1" applyBorder="1" applyAlignment="1">
      <alignment horizontal="center"/>
    </xf>
    <xf numFmtId="167" fontId="0" fillId="0" borderId="21" xfId="1" applyFont="1" applyBorder="1"/>
    <xf numFmtId="3" fontId="0" fillId="0" borderId="25" xfId="0" applyNumberFormat="1" applyBorder="1" applyAlignment="1">
      <alignment horizontal="right"/>
    </xf>
    <xf numFmtId="43" fontId="0" fillId="0" borderId="26" xfId="2" applyFont="1" applyBorder="1" applyAlignment="1">
      <alignment horizontal="right"/>
    </xf>
    <xf numFmtId="43" fontId="0" fillId="0" borderId="30" xfId="2" applyFont="1" applyBorder="1" applyAlignment="1">
      <alignment horizontal="right"/>
    </xf>
    <xf numFmtId="3" fontId="0" fillId="0" borderId="28" xfId="0" applyNumberFormat="1" applyBorder="1" applyAlignment="1">
      <alignment horizontal="right"/>
    </xf>
    <xf numFmtId="43" fontId="0" fillId="0" borderId="29" xfId="2" applyFont="1" applyBorder="1" applyAlignment="1">
      <alignment horizontal="right"/>
    </xf>
    <xf numFmtId="3" fontId="2" fillId="0" borderId="36" xfId="0" applyNumberFormat="1" applyFont="1" applyBorder="1" applyAlignment="1">
      <alignment horizontal="center"/>
    </xf>
    <xf numFmtId="0" fontId="0" fillId="0" borderId="26" xfId="0" applyBorder="1" applyAlignment="1">
      <alignment horizontal="right"/>
    </xf>
    <xf numFmtId="0" fontId="0" fillId="0" borderId="30" xfId="0" applyBorder="1" applyAlignment="1">
      <alignment horizontal="right"/>
    </xf>
    <xf numFmtId="0" fontId="0" fillId="0" borderId="29" xfId="0" applyBorder="1" applyAlignment="1">
      <alignment horizontal="right"/>
    </xf>
    <xf numFmtId="0" fontId="2" fillId="29" borderId="7" xfId="0" applyFont="1" applyFill="1" applyBorder="1"/>
    <xf numFmtId="3" fontId="2" fillId="0" borderId="6" xfId="0" applyNumberFormat="1" applyFont="1" applyBorder="1" applyAlignment="1">
      <alignment horizontal="center"/>
    </xf>
    <xf numFmtId="3" fontId="0" fillId="0" borderId="26" xfId="0" applyNumberFormat="1" applyBorder="1" applyAlignment="1">
      <alignment horizontal="right"/>
    </xf>
    <xf numFmtId="3" fontId="0" fillId="0" borderId="30" xfId="0" applyNumberFormat="1" applyBorder="1" applyAlignment="1">
      <alignment horizontal="right"/>
    </xf>
    <xf numFmtId="3" fontId="0" fillId="0" borderId="29" xfId="0" applyNumberFormat="1" applyBorder="1" applyAlignment="1">
      <alignment horizontal="right"/>
    </xf>
    <xf numFmtId="170" fontId="0" fillId="0" borderId="18" xfId="1" applyNumberFormat="1" applyFont="1" applyFill="1" applyBorder="1"/>
    <xf numFmtId="0" fontId="2" fillId="5" borderId="49" xfId="0" applyFont="1" applyFill="1" applyBorder="1"/>
    <xf numFmtId="0" fontId="2" fillId="30" borderId="14" xfId="0" applyFont="1" applyFill="1" applyBorder="1" applyAlignment="1">
      <alignment horizontal="center"/>
    </xf>
    <xf numFmtId="167" fontId="0" fillId="0" borderId="21" xfId="0" applyNumberFormat="1" applyBorder="1"/>
    <xf numFmtId="0" fontId="2" fillId="0" borderId="1" xfId="0" applyFont="1" applyBorder="1" applyAlignment="1">
      <alignment wrapText="1"/>
    </xf>
    <xf numFmtId="170" fontId="29" fillId="0" borderId="36" xfId="1" applyNumberFormat="1" applyFont="1" applyBorder="1"/>
    <xf numFmtId="170" fontId="30" fillId="0" borderId="36" xfId="1" applyNumberFormat="1" applyFont="1" applyBorder="1"/>
    <xf numFmtId="170" fontId="31" fillId="0" borderId="36" xfId="1" applyNumberFormat="1" applyFont="1" applyBorder="1"/>
    <xf numFmtId="170" fontId="35" fillId="0" borderId="36" xfId="1" applyNumberFormat="1" applyFont="1" applyBorder="1"/>
    <xf numFmtId="167" fontId="36" fillId="0" borderId="36" xfId="1" applyFont="1" applyBorder="1"/>
    <xf numFmtId="0" fontId="2" fillId="0" borderId="52" xfId="0" applyFont="1" applyBorder="1" applyAlignment="1">
      <alignment horizontal="center" vertical="center" wrapText="1"/>
    </xf>
    <xf numFmtId="0" fontId="2" fillId="0" borderId="37" xfId="0" applyFont="1" applyBorder="1" applyAlignment="1">
      <alignment horizontal="center" vertical="center" wrapText="1"/>
    </xf>
    <xf numFmtId="0" fontId="2" fillId="0" borderId="38" xfId="0" applyFont="1" applyBorder="1" applyAlignment="1">
      <alignment horizontal="center" vertical="center" wrapText="1"/>
    </xf>
    <xf numFmtId="170" fontId="29" fillId="0" borderId="40" xfId="1" applyNumberFormat="1" applyFont="1" applyBorder="1"/>
    <xf numFmtId="170" fontId="30" fillId="0" borderId="40" xfId="1" applyNumberFormat="1" applyFont="1" applyBorder="1"/>
    <xf numFmtId="170" fontId="31" fillId="0" borderId="40" xfId="1" applyNumberFormat="1" applyFont="1" applyBorder="1"/>
    <xf numFmtId="0" fontId="32" fillId="0" borderId="53" xfId="0" applyFont="1" applyBorder="1"/>
    <xf numFmtId="0" fontId="33" fillId="0" borderId="53" xfId="0" applyFont="1" applyBorder="1"/>
    <xf numFmtId="0" fontId="34" fillId="0" borderId="53" xfId="0" applyFont="1" applyBorder="1"/>
    <xf numFmtId="170" fontId="35" fillId="0" borderId="40" xfId="1" applyNumberFormat="1" applyFont="1" applyBorder="1"/>
    <xf numFmtId="167" fontId="36" fillId="0" borderId="40" xfId="1" applyFont="1" applyBorder="1"/>
    <xf numFmtId="167" fontId="36" fillId="0" borderId="54" xfId="1" applyFont="1" applyBorder="1"/>
    <xf numFmtId="167" fontId="36" fillId="0" borderId="43" xfId="1" applyFont="1" applyBorder="1"/>
    <xf numFmtId="170" fontId="32" fillId="0" borderId="36" xfId="1" applyNumberFormat="1" applyFont="1" applyBorder="1"/>
    <xf numFmtId="170" fontId="32" fillId="0" borderId="40" xfId="1" applyNumberFormat="1" applyFont="1" applyBorder="1"/>
    <xf numFmtId="170" fontId="33" fillId="0" borderId="36" xfId="1" applyNumberFormat="1" applyFont="1" applyBorder="1"/>
    <xf numFmtId="170" fontId="33" fillId="0" borderId="40" xfId="1" applyNumberFormat="1" applyFont="1" applyBorder="1"/>
    <xf numFmtId="170" fontId="34" fillId="0" borderId="36" xfId="1" applyNumberFormat="1" applyFont="1" applyBorder="1"/>
    <xf numFmtId="170" fontId="34" fillId="0" borderId="40" xfId="1" applyNumberFormat="1" applyFont="1" applyBorder="1"/>
    <xf numFmtId="0" fontId="29" fillId="0" borderId="53" xfId="0" applyFont="1" applyBorder="1"/>
    <xf numFmtId="0" fontId="30" fillId="0" borderId="53" xfId="0" applyFont="1" applyBorder="1"/>
    <xf numFmtId="0" fontId="31" fillId="0" borderId="53" xfId="0" applyFont="1" applyBorder="1"/>
    <xf numFmtId="0" fontId="35" fillId="0" borderId="53" xfId="0" applyFont="1" applyBorder="1"/>
    <xf numFmtId="0" fontId="36" fillId="0" borderId="53" xfId="0" applyFont="1" applyBorder="1"/>
    <xf numFmtId="0" fontId="36" fillId="0" borderId="45" xfId="0" applyFont="1" applyBorder="1"/>
    <xf numFmtId="167" fontId="0" fillId="0" borderId="0" xfId="1" applyFont="1" applyBorder="1" applyAlignment="1"/>
    <xf numFmtId="11" fontId="2" fillId="6" borderId="0" xfId="0" applyNumberFormat="1" applyFont="1" applyFill="1"/>
    <xf numFmtId="167" fontId="2" fillId="6" borderId="0" xfId="1" applyFont="1" applyFill="1"/>
    <xf numFmtId="43" fontId="2" fillId="0" borderId="0" xfId="2" applyFont="1" applyFill="1"/>
    <xf numFmtId="181" fontId="2" fillId="6" borderId="0" xfId="1" applyNumberFormat="1" applyFont="1" applyFill="1"/>
    <xf numFmtId="167" fontId="2" fillId="40" borderId="0" xfId="0" applyNumberFormat="1" applyFont="1" applyFill="1"/>
    <xf numFmtId="43" fontId="2" fillId="0" borderId="1" xfId="2" applyFont="1" applyBorder="1" applyAlignment="1">
      <alignment horizontal="center"/>
    </xf>
    <xf numFmtId="0" fontId="2" fillId="0" borderId="24" xfId="0" applyFont="1" applyBorder="1" applyAlignment="1">
      <alignment horizontal="left" vertical="center" wrapText="1"/>
    </xf>
    <xf numFmtId="0" fontId="0" fillId="0" borderId="25" xfId="0" applyBorder="1" applyAlignment="1">
      <alignment horizontal="center" vertical="center" wrapText="1"/>
    </xf>
    <xf numFmtId="0" fontId="2" fillId="0" borderId="23" xfId="0" applyFont="1" applyBorder="1" applyAlignment="1">
      <alignment horizontal="left" vertical="center" wrapText="1"/>
    </xf>
    <xf numFmtId="43" fontId="2" fillId="0" borderId="0" xfId="2" applyFont="1" applyBorder="1"/>
    <xf numFmtId="0" fontId="2" fillId="0" borderId="27" xfId="0" applyFont="1" applyBorder="1" applyAlignment="1">
      <alignment horizontal="left" vertical="center" wrapText="1"/>
    </xf>
    <xf numFmtId="0" fontId="0" fillId="0" borderId="28" xfId="0" applyBorder="1" applyAlignment="1">
      <alignment horizontal="center" vertical="center" wrapText="1"/>
    </xf>
    <xf numFmtId="3" fontId="2" fillId="0" borderId="0" xfId="0" applyNumberFormat="1" applyFont="1"/>
    <xf numFmtId="0" fontId="2" fillId="0" borderId="0" xfId="0" applyFont="1" applyAlignment="1">
      <alignment horizontal="left" vertical="center" wrapText="1"/>
    </xf>
    <xf numFmtId="0" fontId="23" fillId="0" borderId="23" xfId="0" applyFont="1" applyBorder="1" applyAlignment="1">
      <alignment horizontal="left" vertical="center" wrapText="1"/>
    </xf>
    <xf numFmtId="43" fontId="2" fillId="0" borderId="0" xfId="2" applyFont="1"/>
    <xf numFmtId="0" fontId="0" fillId="0" borderId="23" xfId="0" applyBorder="1" applyAlignment="1">
      <alignment horizontal="left" vertical="center" wrapText="1"/>
    </xf>
    <xf numFmtId="0" fontId="0" fillId="0" borderId="25" xfId="0" applyBorder="1" applyAlignment="1">
      <alignment horizontal="center" wrapText="1"/>
    </xf>
    <xf numFmtId="11" fontId="0" fillId="0" borderId="25" xfId="2" applyNumberFormat="1" applyFont="1" applyBorder="1"/>
    <xf numFmtId="11" fontId="0" fillId="0" borderId="0" xfId="2" applyNumberFormat="1" applyFont="1" applyBorder="1"/>
    <xf numFmtId="3" fontId="0" fillId="0" borderId="25" xfId="0" applyNumberFormat="1" applyBorder="1"/>
    <xf numFmtId="3" fontId="0" fillId="0" borderId="25" xfId="0" applyNumberFormat="1" applyBorder="1" applyAlignment="1">
      <alignment wrapText="1"/>
    </xf>
    <xf numFmtId="43" fontId="2" fillId="0" borderId="25" xfId="2" applyFont="1" applyBorder="1"/>
    <xf numFmtId="0" fontId="2" fillId="0" borderId="25" xfId="0" applyFont="1" applyBorder="1" applyAlignment="1">
      <alignment horizontal="right"/>
    </xf>
    <xf numFmtId="3" fontId="0" fillId="0" borderId="28" xfId="0" applyNumberFormat="1" applyBorder="1"/>
    <xf numFmtId="3" fontId="0" fillId="0" borderId="28" xfId="0" applyNumberFormat="1" applyBorder="1" applyAlignment="1">
      <alignment wrapText="1"/>
    </xf>
    <xf numFmtId="0" fontId="0" fillId="0" borderId="28" xfId="0" applyBorder="1" applyAlignment="1">
      <alignment wrapText="1"/>
    </xf>
    <xf numFmtId="3" fontId="0" fillId="0" borderId="0" xfId="0" applyNumberFormat="1" applyAlignment="1">
      <alignment wrapText="1"/>
    </xf>
    <xf numFmtId="43" fontId="1" fillId="0" borderId="0" xfId="2" applyFont="1" applyBorder="1"/>
    <xf numFmtId="0" fontId="2" fillId="0" borderId="28" xfId="0" applyFont="1" applyBorder="1" applyAlignment="1">
      <alignment vertical="center"/>
    </xf>
    <xf numFmtId="43" fontId="2" fillId="0" borderId="0" xfId="0" applyNumberFormat="1" applyFont="1" applyAlignment="1">
      <alignment vertical="center"/>
    </xf>
    <xf numFmtId="43" fontId="2" fillId="0" borderId="25" xfId="0" applyNumberFormat="1" applyFont="1" applyBorder="1" applyAlignment="1">
      <alignment vertical="center"/>
    </xf>
    <xf numFmtId="43" fontId="2" fillId="0" borderId="28" xfId="0" applyNumberFormat="1" applyFont="1" applyBorder="1" applyAlignment="1">
      <alignment vertical="center"/>
    </xf>
    <xf numFmtId="43" fontId="2" fillId="0" borderId="6" xfId="2" applyFont="1" applyBorder="1" applyAlignment="1">
      <alignment horizontal="center"/>
    </xf>
    <xf numFmtId="0" fontId="0" fillId="0" borderId="25" xfId="0" applyBorder="1" applyAlignment="1">
      <alignment horizontal="right" vertical="center" wrapText="1"/>
    </xf>
    <xf numFmtId="0" fontId="0" fillId="0" borderId="0" xfId="0" applyAlignment="1">
      <alignment horizontal="right" vertical="center"/>
    </xf>
    <xf numFmtId="0" fontId="0" fillId="0" borderId="25" xfId="0" applyBorder="1" applyAlignment="1">
      <alignment horizontal="left" vertical="center" wrapText="1"/>
    </xf>
    <xf numFmtId="0" fontId="2" fillId="0" borderId="25" xfId="0" applyFont="1" applyBorder="1" applyAlignment="1">
      <alignment horizontal="left" vertical="center" wrapText="1"/>
    </xf>
    <xf numFmtId="3" fontId="2" fillId="0" borderId="24" xfId="0" applyNumberFormat="1" applyFont="1" applyBorder="1" applyAlignment="1">
      <alignment vertical="center"/>
    </xf>
    <xf numFmtId="3" fontId="0" fillId="0" borderId="25" xfId="0" applyNumberFormat="1" applyBorder="1" applyAlignment="1">
      <alignment vertical="center"/>
    </xf>
    <xf numFmtId="0" fontId="0" fillId="0" borderId="0" xfId="0" applyAlignment="1">
      <alignment horizontal="left" vertical="center" wrapText="1"/>
    </xf>
    <xf numFmtId="43" fontId="1" fillId="0" borderId="23" xfId="2" applyFont="1" applyBorder="1"/>
    <xf numFmtId="0" fontId="2" fillId="0" borderId="23" xfId="2" applyNumberFormat="1" applyFont="1" applyBorder="1"/>
    <xf numFmtId="43" fontId="0" fillId="0" borderId="27" xfId="2" applyFont="1" applyBorder="1"/>
    <xf numFmtId="43" fontId="2" fillId="0" borderId="25" xfId="0" applyNumberFormat="1" applyFont="1" applyBorder="1" applyAlignment="1">
      <alignment horizontal="right" vertical="center" wrapText="1"/>
    </xf>
    <xf numFmtId="43" fontId="2" fillId="0" borderId="25" xfId="2" applyFont="1" applyBorder="1" applyAlignment="1">
      <alignment horizontal="right"/>
    </xf>
    <xf numFmtId="0" fontId="2" fillId="0" borderId="6" xfId="0" applyFont="1" applyBorder="1" applyAlignment="1">
      <alignment horizontal="center" vertical="center" wrapText="1"/>
    </xf>
    <xf numFmtId="0" fontId="2" fillId="0" borderId="1" xfId="0" applyFont="1" applyBorder="1" applyAlignment="1">
      <alignment horizontal="center" vertical="center" wrapText="1"/>
    </xf>
    <xf numFmtId="11" fontId="0" fillId="0" borderId="25" xfId="0" applyNumberFormat="1" applyBorder="1"/>
    <xf numFmtId="11" fontId="0" fillId="0" borderId="28" xfId="0" applyNumberFormat="1" applyBorder="1"/>
    <xf numFmtId="0" fontId="2" fillId="0" borderId="8" xfId="0" applyFont="1" applyBorder="1"/>
    <xf numFmtId="11" fontId="2" fillId="0" borderId="7" xfId="0" applyNumberFormat="1" applyFont="1" applyBorder="1"/>
    <xf numFmtId="0" fontId="2" fillId="0" borderId="9" xfId="0" applyFont="1" applyBorder="1"/>
    <xf numFmtId="11" fontId="0" fillId="0" borderId="23" xfId="0" applyNumberFormat="1" applyBorder="1"/>
    <xf numFmtId="9" fontId="0" fillId="0" borderId="30" xfId="3" applyFont="1" applyBorder="1"/>
    <xf numFmtId="11" fontId="2" fillId="0" borderId="8" xfId="2" applyNumberFormat="1" applyFont="1" applyBorder="1"/>
    <xf numFmtId="11" fontId="2" fillId="0" borderId="0" xfId="2" applyNumberFormat="1" applyFont="1"/>
    <xf numFmtId="0" fontId="2" fillId="0" borderId="24" xfId="0" applyFont="1" applyBorder="1" applyAlignment="1">
      <alignment horizontal="center" vertical="center" wrapText="1"/>
    </xf>
    <xf numFmtId="9" fontId="0" fillId="0" borderId="23" xfId="3" applyFont="1" applyBorder="1"/>
    <xf numFmtId="9" fontId="0" fillId="0" borderId="27" xfId="3" applyFont="1" applyBorder="1"/>
    <xf numFmtId="9" fontId="0" fillId="0" borderId="28" xfId="3" applyFont="1" applyBorder="1"/>
    <xf numFmtId="9" fontId="0" fillId="0" borderId="29" xfId="3" applyFont="1" applyBorder="1"/>
    <xf numFmtId="0" fontId="2" fillId="0" borderId="0" xfId="0" applyFont="1" applyAlignment="1">
      <alignment horizontal="center" vertical="center" wrapText="1"/>
    </xf>
    <xf numFmtId="9" fontId="0" fillId="0" borderId="24" xfId="3" applyFont="1" applyBorder="1"/>
    <xf numFmtId="9" fontId="0" fillId="0" borderId="25" xfId="3" applyFont="1" applyBorder="1"/>
    <xf numFmtId="11" fontId="0" fillId="0" borderId="28" xfId="2" applyNumberFormat="1" applyFont="1" applyBorder="1"/>
    <xf numFmtId="11" fontId="0" fillId="0" borderId="23" xfId="2" applyNumberFormat="1" applyFont="1" applyBorder="1"/>
    <xf numFmtId="11" fontId="0" fillId="0" borderId="8" xfId="0" applyNumberFormat="1" applyBorder="1"/>
    <xf numFmtId="0" fontId="0" fillId="0" borderId="1" xfId="0" applyBorder="1" applyAlignment="1">
      <alignment wrapText="1"/>
    </xf>
    <xf numFmtId="0" fontId="0" fillId="0" borderId="24" xfId="0" applyBorder="1" applyAlignment="1">
      <alignment wrapText="1"/>
    </xf>
    <xf numFmtId="0" fontId="0" fillId="0" borderId="26" xfId="0" applyBorder="1" applyAlignment="1">
      <alignment wrapText="1"/>
    </xf>
    <xf numFmtId="0" fontId="0" fillId="0" borderId="6" xfId="0" applyBorder="1" applyAlignment="1">
      <alignment wrapText="1"/>
    </xf>
    <xf numFmtId="11" fontId="0" fillId="0" borderId="24" xfId="0" applyNumberFormat="1" applyBorder="1"/>
    <xf numFmtId="11" fontId="0" fillId="0" borderId="27" xfId="0" applyNumberFormat="1" applyBorder="1"/>
    <xf numFmtId="43" fontId="0" fillId="0" borderId="23" xfId="0" applyNumberFormat="1" applyBorder="1"/>
    <xf numFmtId="43" fontId="0" fillId="0" borderId="27" xfId="0" applyNumberFormat="1" applyBorder="1"/>
    <xf numFmtId="2" fontId="0" fillId="0" borderId="25" xfId="0" applyNumberFormat="1" applyBorder="1"/>
    <xf numFmtId="183" fontId="2" fillId="0" borderId="0" xfId="2" applyNumberFormat="1" applyFont="1" applyBorder="1"/>
    <xf numFmtId="183" fontId="0" fillId="0" borderId="0" xfId="0" applyNumberFormat="1"/>
    <xf numFmtId="11" fontId="0" fillId="0" borderId="0" xfId="2" applyNumberFormat="1" applyFont="1"/>
    <xf numFmtId="11" fontId="0" fillId="0" borderId="30" xfId="0" applyNumberFormat="1" applyBorder="1"/>
    <xf numFmtId="11" fontId="0" fillId="0" borderId="1" xfId="0" applyNumberFormat="1" applyBorder="1"/>
    <xf numFmtId="11" fontId="3" fillId="0" borderId="0" xfId="0" applyNumberFormat="1" applyFont="1"/>
    <xf numFmtId="167" fontId="0" fillId="0" borderId="20" xfId="1" applyFont="1" applyBorder="1"/>
    <xf numFmtId="0" fontId="2" fillId="0" borderId="22" xfId="0" applyFont="1" applyBorder="1"/>
    <xf numFmtId="0" fontId="2" fillId="0" borderId="18" xfId="0" applyFont="1" applyBorder="1"/>
    <xf numFmtId="43" fontId="0" fillId="0" borderId="30" xfId="3" applyNumberFormat="1" applyFont="1" applyBorder="1"/>
    <xf numFmtId="43" fontId="0" fillId="0" borderId="7" xfId="0" applyNumberFormat="1" applyBorder="1"/>
    <xf numFmtId="11" fontId="0" fillId="0" borderId="0" xfId="3" applyNumberFormat="1" applyFont="1"/>
    <xf numFmtId="43" fontId="0" fillId="0" borderId="0" xfId="3" applyNumberFormat="1" applyFont="1"/>
    <xf numFmtId="184" fontId="0" fillId="0" borderId="25" xfId="0" applyNumberFormat="1" applyBorder="1"/>
    <xf numFmtId="184" fontId="0" fillId="0" borderId="26" xfId="3" applyNumberFormat="1" applyFont="1" applyBorder="1"/>
    <xf numFmtId="184" fontId="0" fillId="0" borderId="8" xfId="0" applyNumberFormat="1" applyBorder="1"/>
    <xf numFmtId="11" fontId="0" fillId="0" borderId="24" xfId="2" applyNumberFormat="1" applyFont="1" applyBorder="1"/>
    <xf numFmtId="11" fontId="0" fillId="0" borderId="27" xfId="2" applyNumberFormat="1" applyFont="1" applyBorder="1"/>
    <xf numFmtId="11" fontId="0" fillId="0" borderId="25" xfId="1" applyNumberFormat="1" applyFont="1" applyBorder="1"/>
    <xf numFmtId="11" fontId="0" fillId="0" borderId="36" xfId="0" applyNumberFormat="1" applyBorder="1"/>
    <xf numFmtId="11" fontId="0" fillId="0" borderId="4" xfId="0" applyNumberFormat="1" applyBorder="1"/>
    <xf numFmtId="11" fontId="0" fillId="2" borderId="1" xfId="2" applyNumberFormat="1" applyFont="1" applyFill="1" applyBorder="1"/>
    <xf numFmtId="2" fontId="0" fillId="2" borderId="1" xfId="2" applyNumberFormat="1" applyFont="1" applyFill="1" applyBorder="1"/>
    <xf numFmtId="43" fontId="0" fillId="2" borderId="1" xfId="2" applyFont="1" applyFill="1" applyBorder="1"/>
    <xf numFmtId="11" fontId="2" fillId="0" borderId="0" xfId="0" applyNumberFormat="1" applyFont="1"/>
    <xf numFmtId="183" fontId="0" fillId="2" borderId="1" xfId="2" applyNumberFormat="1" applyFont="1" applyFill="1" applyBorder="1"/>
    <xf numFmtId="43" fontId="2" fillId="2" borderId="1" xfId="2" applyFont="1" applyFill="1" applyBorder="1"/>
    <xf numFmtId="183" fontId="2" fillId="2" borderId="1" xfId="2" applyNumberFormat="1" applyFont="1" applyFill="1" applyBorder="1"/>
    <xf numFmtId="0" fontId="8" fillId="23" borderId="21" xfId="0" applyFont="1" applyFill="1" applyBorder="1" applyAlignment="1">
      <alignment vertical="center"/>
    </xf>
    <xf numFmtId="0" fontId="8" fillId="23" borderId="22" xfId="0" applyFont="1" applyFill="1" applyBorder="1" applyAlignment="1">
      <alignment vertical="center"/>
    </xf>
    <xf numFmtId="0" fontId="8" fillId="23" borderId="10" xfId="0" applyFont="1" applyFill="1" applyBorder="1" applyAlignment="1">
      <alignment vertical="center"/>
    </xf>
    <xf numFmtId="0" fontId="8" fillId="23" borderId="17" xfId="0" applyFont="1" applyFill="1" applyBorder="1" applyAlignment="1">
      <alignment vertical="center"/>
    </xf>
    <xf numFmtId="0" fontId="8" fillId="63" borderId="21" xfId="0" applyFont="1" applyFill="1" applyBorder="1" applyAlignment="1">
      <alignment vertical="center"/>
    </xf>
    <xf numFmtId="0" fontId="8" fillId="63" borderId="22" xfId="0" applyFont="1" applyFill="1" applyBorder="1" applyAlignment="1">
      <alignment vertical="center"/>
    </xf>
    <xf numFmtId="0" fontId="8" fillId="63" borderId="10" xfId="0" applyFont="1" applyFill="1" applyBorder="1" applyAlignment="1">
      <alignment vertical="center"/>
    </xf>
    <xf numFmtId="0" fontId="8" fillId="63" borderId="17" xfId="0" applyFont="1" applyFill="1" applyBorder="1" applyAlignment="1">
      <alignment vertical="center"/>
    </xf>
    <xf numFmtId="0" fontId="8" fillId="69" borderId="21" xfId="0" applyFont="1" applyFill="1" applyBorder="1" applyAlignment="1">
      <alignment vertical="center"/>
    </xf>
    <xf numFmtId="0" fontId="8" fillId="69" borderId="22" xfId="0" applyFont="1" applyFill="1" applyBorder="1" applyAlignment="1">
      <alignment vertical="center"/>
    </xf>
    <xf numFmtId="0" fontId="8" fillId="69" borderId="10" xfId="0" applyFont="1" applyFill="1" applyBorder="1" applyAlignment="1">
      <alignment vertical="center"/>
    </xf>
    <xf numFmtId="0" fontId="8" fillId="69" borderId="17" xfId="0" applyFont="1" applyFill="1" applyBorder="1" applyAlignment="1">
      <alignment vertical="center"/>
    </xf>
    <xf numFmtId="0" fontId="8" fillId="70" borderId="21" xfId="0" applyFont="1" applyFill="1" applyBorder="1" applyAlignment="1">
      <alignment vertical="center"/>
    </xf>
    <xf numFmtId="0" fontId="8" fillId="70" borderId="22" xfId="0" applyFont="1" applyFill="1" applyBorder="1" applyAlignment="1">
      <alignment vertical="center"/>
    </xf>
    <xf numFmtId="0" fontId="8" fillId="70" borderId="10" xfId="0" applyFont="1" applyFill="1" applyBorder="1" applyAlignment="1">
      <alignment vertical="center"/>
    </xf>
    <xf numFmtId="0" fontId="8" fillId="70" borderId="17" xfId="0" applyFont="1" applyFill="1" applyBorder="1" applyAlignment="1">
      <alignment vertical="center"/>
    </xf>
    <xf numFmtId="0" fontId="8" fillId="33" borderId="21" xfId="0" applyFont="1" applyFill="1" applyBorder="1" applyAlignment="1">
      <alignment vertical="center"/>
    </xf>
    <xf numFmtId="0" fontId="8" fillId="33" borderId="22" xfId="0" applyFont="1" applyFill="1" applyBorder="1" applyAlignment="1">
      <alignment vertical="center"/>
    </xf>
    <xf numFmtId="0" fontId="8" fillId="33" borderId="10" xfId="0" applyFont="1" applyFill="1" applyBorder="1" applyAlignment="1">
      <alignment vertical="center"/>
    </xf>
    <xf numFmtId="0" fontId="8" fillId="33" borderId="17" xfId="0" applyFont="1" applyFill="1" applyBorder="1" applyAlignment="1">
      <alignment vertical="center"/>
    </xf>
    <xf numFmtId="0" fontId="8" fillId="26" borderId="21" xfId="0" applyFont="1" applyFill="1" applyBorder="1" applyAlignment="1">
      <alignment vertical="center"/>
    </xf>
    <xf numFmtId="0" fontId="8" fillId="26" borderId="22" xfId="0" applyFont="1" applyFill="1" applyBorder="1" applyAlignment="1">
      <alignment vertical="center"/>
    </xf>
    <xf numFmtId="0" fontId="8" fillId="26" borderId="10" xfId="0" applyFont="1" applyFill="1" applyBorder="1" applyAlignment="1">
      <alignment vertical="center"/>
    </xf>
    <xf numFmtId="0" fontId="8" fillId="26" borderId="17" xfId="0" applyFont="1" applyFill="1" applyBorder="1" applyAlignment="1">
      <alignment vertical="center"/>
    </xf>
    <xf numFmtId="0" fontId="8" fillId="3" borderId="21" xfId="0" applyFont="1" applyFill="1" applyBorder="1" applyAlignment="1">
      <alignment vertical="center"/>
    </xf>
    <xf numFmtId="0" fontId="8" fillId="3" borderId="22" xfId="0" applyFont="1" applyFill="1" applyBorder="1" applyAlignment="1">
      <alignment vertical="center"/>
    </xf>
    <xf numFmtId="0" fontId="8" fillId="3" borderId="10" xfId="0" applyFont="1" applyFill="1" applyBorder="1" applyAlignment="1">
      <alignment vertical="center"/>
    </xf>
    <xf numFmtId="0" fontId="8" fillId="3" borderId="17" xfId="0" applyFont="1" applyFill="1" applyBorder="1" applyAlignment="1">
      <alignment vertical="center"/>
    </xf>
    <xf numFmtId="0" fontId="8" fillId="46" borderId="21" xfId="0" applyFont="1" applyFill="1" applyBorder="1" applyAlignment="1">
      <alignment vertical="center"/>
    </xf>
    <xf numFmtId="0" fontId="8" fillId="46" borderId="22" xfId="0" applyFont="1" applyFill="1" applyBorder="1" applyAlignment="1">
      <alignment vertical="center"/>
    </xf>
    <xf numFmtId="0" fontId="8" fillId="46" borderId="10" xfId="0" applyFont="1" applyFill="1" applyBorder="1" applyAlignment="1">
      <alignment vertical="center"/>
    </xf>
    <xf numFmtId="0" fontId="8" fillId="46" borderId="17" xfId="0" applyFont="1" applyFill="1" applyBorder="1" applyAlignment="1">
      <alignment vertical="center"/>
    </xf>
    <xf numFmtId="0" fontId="8" fillId="4" borderId="21" xfId="0" applyFont="1" applyFill="1" applyBorder="1" applyAlignment="1">
      <alignment vertical="center"/>
    </xf>
    <xf numFmtId="0" fontId="8" fillId="4" borderId="22" xfId="0" applyFont="1" applyFill="1" applyBorder="1" applyAlignment="1">
      <alignment vertical="center"/>
    </xf>
    <xf numFmtId="0" fontId="8" fillId="4" borderId="10" xfId="0" applyFont="1" applyFill="1" applyBorder="1" applyAlignment="1">
      <alignment vertical="center"/>
    </xf>
    <xf numFmtId="0" fontId="8" fillId="4" borderId="17" xfId="0" applyFont="1" applyFill="1" applyBorder="1" applyAlignment="1">
      <alignment vertical="center"/>
    </xf>
    <xf numFmtId="0" fontId="8" fillId="76" borderId="21" xfId="0" applyFont="1" applyFill="1" applyBorder="1" applyAlignment="1">
      <alignment vertical="center"/>
    </xf>
    <xf numFmtId="0" fontId="8" fillId="76" borderId="22" xfId="0" applyFont="1" applyFill="1" applyBorder="1" applyAlignment="1">
      <alignment vertical="center"/>
    </xf>
    <xf numFmtId="0" fontId="8" fillId="76" borderId="10" xfId="0" applyFont="1" applyFill="1" applyBorder="1" applyAlignment="1">
      <alignment vertical="center"/>
    </xf>
    <xf numFmtId="0" fontId="8" fillId="76" borderId="17" xfId="0" applyFont="1" applyFill="1" applyBorder="1" applyAlignment="1">
      <alignment vertical="center"/>
    </xf>
    <xf numFmtId="0" fontId="11" fillId="49" borderId="0" xfId="0" applyFont="1" applyFill="1" applyAlignment="1">
      <alignment vertical="center" wrapText="1"/>
    </xf>
    <xf numFmtId="0" fontId="8" fillId="51" borderId="21" xfId="0" applyFont="1" applyFill="1" applyBorder="1" applyAlignment="1">
      <alignment vertical="center"/>
    </xf>
    <xf numFmtId="0" fontId="8" fillId="51" borderId="22" xfId="0" applyFont="1" applyFill="1" applyBorder="1" applyAlignment="1">
      <alignment vertical="center"/>
    </xf>
    <xf numFmtId="0" fontId="8" fillId="51" borderId="10" xfId="0" applyFont="1" applyFill="1" applyBorder="1" applyAlignment="1">
      <alignment vertical="center"/>
    </xf>
    <xf numFmtId="0" fontId="8" fillId="51" borderId="17" xfId="0" applyFont="1" applyFill="1" applyBorder="1" applyAlignment="1">
      <alignment vertical="center"/>
    </xf>
    <xf numFmtId="0" fontId="8" fillId="53" borderId="21" xfId="0" applyFont="1" applyFill="1" applyBorder="1" applyAlignment="1">
      <alignment vertical="center"/>
    </xf>
    <xf numFmtId="0" fontId="8" fillId="53" borderId="22" xfId="0" applyFont="1" applyFill="1" applyBorder="1" applyAlignment="1">
      <alignment vertical="center"/>
    </xf>
    <xf numFmtId="0" fontId="8" fillId="53" borderId="10" xfId="0" applyFont="1" applyFill="1" applyBorder="1" applyAlignment="1">
      <alignment vertical="center"/>
    </xf>
    <xf numFmtId="0" fontId="8" fillId="53" borderId="17" xfId="0" applyFont="1" applyFill="1" applyBorder="1" applyAlignment="1">
      <alignment vertical="center"/>
    </xf>
    <xf numFmtId="0" fontId="8" fillId="11" borderId="21" xfId="0" applyFont="1" applyFill="1" applyBorder="1" applyAlignment="1">
      <alignment vertical="center"/>
    </xf>
    <xf numFmtId="0" fontId="8" fillId="11" borderId="22" xfId="0" applyFont="1" applyFill="1" applyBorder="1" applyAlignment="1">
      <alignment vertical="center"/>
    </xf>
    <xf numFmtId="0" fontId="8" fillId="11" borderId="10" xfId="0" applyFont="1" applyFill="1" applyBorder="1" applyAlignment="1">
      <alignment vertical="center"/>
    </xf>
    <xf numFmtId="0" fontId="8" fillId="11" borderId="17" xfId="0" applyFont="1" applyFill="1" applyBorder="1" applyAlignment="1">
      <alignment vertical="center"/>
    </xf>
    <xf numFmtId="0" fontId="8" fillId="39" borderId="21" xfId="0" applyFont="1" applyFill="1" applyBorder="1" applyAlignment="1">
      <alignment vertical="center"/>
    </xf>
    <xf numFmtId="0" fontId="8" fillId="39" borderId="22" xfId="0" applyFont="1" applyFill="1" applyBorder="1" applyAlignment="1">
      <alignment vertical="center"/>
    </xf>
    <xf numFmtId="0" fontId="8" fillId="39" borderId="10" xfId="0" applyFont="1" applyFill="1" applyBorder="1" applyAlignment="1">
      <alignment vertical="center"/>
    </xf>
    <xf numFmtId="0" fontId="8" fillId="39" borderId="17" xfId="0" applyFont="1" applyFill="1" applyBorder="1" applyAlignment="1">
      <alignment vertical="center"/>
    </xf>
    <xf numFmtId="0" fontId="15" fillId="49" borderId="0" xfId="0" applyFont="1" applyFill="1" applyAlignment="1">
      <alignment vertical="center" wrapText="1"/>
    </xf>
    <xf numFmtId="0" fontId="8" fillId="50" borderId="21" xfId="0" applyFont="1" applyFill="1" applyBorder="1" applyAlignment="1">
      <alignment vertical="center"/>
    </xf>
    <xf numFmtId="0" fontId="8" fillId="50" borderId="22" xfId="0" applyFont="1" applyFill="1" applyBorder="1" applyAlignment="1">
      <alignment vertical="center"/>
    </xf>
    <xf numFmtId="0" fontId="8" fillId="50" borderId="10" xfId="0" applyFont="1" applyFill="1" applyBorder="1" applyAlignment="1">
      <alignment vertical="center"/>
    </xf>
    <xf numFmtId="0" fontId="8" fillId="50" borderId="17" xfId="0" applyFont="1" applyFill="1" applyBorder="1" applyAlignment="1">
      <alignment vertical="center"/>
    </xf>
    <xf numFmtId="0" fontId="8" fillId="45" borderId="21" xfId="0" applyFont="1" applyFill="1" applyBorder="1" applyAlignment="1">
      <alignment vertical="center"/>
    </xf>
    <xf numFmtId="0" fontId="8" fillId="45" borderId="22" xfId="0" applyFont="1" applyFill="1" applyBorder="1" applyAlignment="1">
      <alignment vertical="center"/>
    </xf>
    <xf numFmtId="0" fontId="8" fillId="45" borderId="10" xfId="0" applyFont="1" applyFill="1" applyBorder="1" applyAlignment="1">
      <alignment vertical="center"/>
    </xf>
    <xf numFmtId="0" fontId="8" fillId="45" borderId="17" xfId="0" applyFont="1" applyFill="1" applyBorder="1" applyAlignment="1">
      <alignment vertical="center"/>
    </xf>
    <xf numFmtId="0" fontId="8" fillId="71" borderId="21" xfId="0" applyFont="1" applyFill="1" applyBorder="1" applyAlignment="1">
      <alignment vertical="center"/>
    </xf>
    <xf numFmtId="0" fontId="8" fillId="71" borderId="22" xfId="0" applyFont="1" applyFill="1" applyBorder="1" applyAlignment="1">
      <alignment vertical="center"/>
    </xf>
    <xf numFmtId="0" fontId="8" fillId="71" borderId="10" xfId="0" applyFont="1" applyFill="1" applyBorder="1" applyAlignment="1">
      <alignment vertical="center"/>
    </xf>
    <xf numFmtId="0" fontId="8" fillId="71" borderId="17" xfId="0" applyFont="1" applyFill="1" applyBorder="1" applyAlignment="1">
      <alignment vertical="center"/>
    </xf>
    <xf numFmtId="0" fontId="8" fillId="73" borderId="21" xfId="0" applyFont="1" applyFill="1" applyBorder="1" applyAlignment="1">
      <alignment vertical="center"/>
    </xf>
    <xf numFmtId="0" fontId="8" fillId="73" borderId="22" xfId="0" applyFont="1" applyFill="1" applyBorder="1" applyAlignment="1">
      <alignment vertical="center"/>
    </xf>
    <xf numFmtId="0" fontId="8" fillId="73" borderId="10" xfId="0" applyFont="1" applyFill="1" applyBorder="1" applyAlignment="1">
      <alignment vertical="center"/>
    </xf>
    <xf numFmtId="0" fontId="8" fillId="73" borderId="17" xfId="0" applyFont="1" applyFill="1" applyBorder="1" applyAlignment="1">
      <alignment vertical="center"/>
    </xf>
    <xf numFmtId="0" fontId="8" fillId="5" borderId="21" xfId="0" applyFont="1" applyFill="1" applyBorder="1" applyAlignment="1">
      <alignment vertical="center"/>
    </xf>
    <xf numFmtId="0" fontId="8" fillId="5" borderId="22" xfId="0" applyFont="1" applyFill="1" applyBorder="1" applyAlignment="1">
      <alignment vertical="center"/>
    </xf>
    <xf numFmtId="0" fontId="8" fillId="5" borderId="10" xfId="0" applyFont="1" applyFill="1" applyBorder="1" applyAlignment="1">
      <alignment vertical="center"/>
    </xf>
    <xf numFmtId="0" fontId="8" fillId="5" borderId="17" xfId="0" applyFont="1" applyFill="1" applyBorder="1" applyAlignment="1">
      <alignment vertical="center"/>
    </xf>
    <xf numFmtId="0" fontId="2" fillId="23" borderId="11" xfId="0" applyFont="1" applyFill="1" applyBorder="1" applyAlignment="1">
      <alignment vertical="center" wrapText="1"/>
    </xf>
    <xf numFmtId="0" fontId="2" fillId="23" borderId="12" xfId="0" applyFont="1" applyFill="1" applyBorder="1" applyAlignment="1">
      <alignment vertical="center" wrapText="1"/>
    </xf>
    <xf numFmtId="0" fontId="2" fillId="23" borderId="13" xfId="0" applyFont="1" applyFill="1" applyBorder="1" applyAlignment="1">
      <alignment vertical="center" wrapText="1"/>
    </xf>
    <xf numFmtId="0" fontId="2" fillId="63" borderId="11" xfId="0" applyFont="1" applyFill="1" applyBorder="1" applyAlignment="1">
      <alignment vertical="center" wrapText="1"/>
    </xf>
    <xf numFmtId="0" fontId="2" fillId="63" borderId="12" xfId="0" applyFont="1" applyFill="1" applyBorder="1" applyAlignment="1">
      <alignment vertical="center" wrapText="1"/>
    </xf>
    <xf numFmtId="0" fontId="2" fillId="63" borderId="13" xfId="0" applyFont="1" applyFill="1" applyBorder="1" applyAlignment="1">
      <alignment vertical="center" wrapText="1"/>
    </xf>
    <xf numFmtId="0" fontId="2" fillId="69" borderId="11" xfId="0" applyFont="1" applyFill="1" applyBorder="1" applyAlignment="1">
      <alignment vertical="center" wrapText="1"/>
    </xf>
    <xf numFmtId="0" fontId="2" fillId="69" borderId="12" xfId="0" applyFont="1" applyFill="1" applyBorder="1" applyAlignment="1">
      <alignment vertical="center" wrapText="1"/>
    </xf>
    <xf numFmtId="0" fontId="2" fillId="69" borderId="13" xfId="0" applyFont="1" applyFill="1" applyBorder="1" applyAlignment="1">
      <alignment vertical="center" wrapText="1"/>
    </xf>
    <xf numFmtId="0" fontId="2" fillId="70" borderId="11" xfId="0" applyFont="1" applyFill="1" applyBorder="1" applyAlignment="1">
      <alignment vertical="center" wrapText="1"/>
    </xf>
    <xf numFmtId="0" fontId="2" fillId="70" borderId="12" xfId="0" applyFont="1" applyFill="1" applyBorder="1" applyAlignment="1">
      <alignment vertical="center" wrapText="1"/>
    </xf>
    <xf numFmtId="0" fontId="2" fillId="70" borderId="13" xfId="0" applyFont="1" applyFill="1" applyBorder="1" applyAlignment="1">
      <alignment vertical="center" wrapText="1"/>
    </xf>
    <xf numFmtId="0" fontId="2" fillId="33" borderId="11" xfId="0" applyFont="1" applyFill="1" applyBorder="1" applyAlignment="1">
      <alignment vertical="center" wrapText="1"/>
    </xf>
    <xf numFmtId="0" fontId="2" fillId="33" borderId="12" xfId="0" applyFont="1" applyFill="1" applyBorder="1" applyAlignment="1">
      <alignment vertical="center" wrapText="1"/>
    </xf>
    <xf numFmtId="0" fontId="2" fillId="33" borderId="13" xfId="0" applyFont="1" applyFill="1" applyBorder="1" applyAlignment="1">
      <alignment vertical="center" wrapText="1"/>
    </xf>
    <xf numFmtId="0" fontId="2" fillId="26" borderId="11" xfId="0" applyFont="1" applyFill="1" applyBorder="1" applyAlignment="1">
      <alignment vertical="center" wrapText="1"/>
    </xf>
    <xf numFmtId="0" fontId="2" fillId="26" borderId="12" xfId="0" applyFont="1" applyFill="1" applyBorder="1" applyAlignment="1">
      <alignment vertical="center" wrapText="1"/>
    </xf>
    <xf numFmtId="0" fontId="2" fillId="26" borderId="13" xfId="0" applyFont="1" applyFill="1" applyBorder="1" applyAlignment="1">
      <alignment vertical="center" wrapText="1"/>
    </xf>
    <xf numFmtId="0" fontId="2" fillId="3" borderId="11" xfId="0" applyFont="1" applyFill="1" applyBorder="1" applyAlignment="1">
      <alignment vertical="center" wrapText="1"/>
    </xf>
    <xf numFmtId="0" fontId="2" fillId="3" borderId="12" xfId="0" applyFont="1" applyFill="1" applyBorder="1" applyAlignment="1">
      <alignment vertical="center" wrapText="1"/>
    </xf>
    <xf numFmtId="0" fontId="2" fillId="3" borderId="13" xfId="0" applyFont="1" applyFill="1" applyBorder="1" applyAlignment="1">
      <alignment vertical="center" wrapText="1"/>
    </xf>
    <xf numFmtId="0" fontId="8" fillId="24" borderId="21" xfId="0" applyFont="1" applyFill="1" applyBorder="1" applyAlignment="1">
      <alignment vertical="center"/>
    </xf>
    <xf numFmtId="0" fontId="8" fillId="24" borderId="22" xfId="0" applyFont="1" applyFill="1" applyBorder="1" applyAlignment="1">
      <alignment vertical="center"/>
    </xf>
    <xf numFmtId="0" fontId="8" fillId="24" borderId="10" xfId="0" applyFont="1" applyFill="1" applyBorder="1" applyAlignment="1">
      <alignment vertical="center"/>
    </xf>
    <xf numFmtId="0" fontId="8" fillId="24" borderId="17" xfId="0" applyFont="1" applyFill="1" applyBorder="1" applyAlignment="1">
      <alignment vertical="center"/>
    </xf>
    <xf numFmtId="0" fontId="2" fillId="24" borderId="11" xfId="0" applyFont="1" applyFill="1" applyBorder="1" applyAlignment="1">
      <alignment vertical="center" wrapText="1"/>
    </xf>
    <xf numFmtId="0" fontId="2" fillId="24" borderId="12" xfId="0" applyFont="1" applyFill="1" applyBorder="1" applyAlignment="1">
      <alignment vertical="center" wrapText="1"/>
    </xf>
    <xf numFmtId="0" fontId="2" fillId="24" borderId="13" xfId="0" applyFont="1" applyFill="1" applyBorder="1" applyAlignment="1">
      <alignment vertical="center" wrapText="1"/>
    </xf>
    <xf numFmtId="0" fontId="2" fillId="46" borderId="11" xfId="0" applyFont="1" applyFill="1" applyBorder="1" applyAlignment="1">
      <alignment vertical="center" wrapText="1"/>
    </xf>
    <xf numFmtId="0" fontId="2" fillId="46" borderId="12" xfId="0" applyFont="1" applyFill="1" applyBorder="1" applyAlignment="1">
      <alignment vertical="center" wrapText="1"/>
    </xf>
    <xf numFmtId="0" fontId="2" fillId="46" borderId="13" xfId="0" applyFont="1" applyFill="1" applyBorder="1" applyAlignment="1">
      <alignment vertical="center" wrapText="1"/>
    </xf>
    <xf numFmtId="0" fontId="2" fillId="4" borderId="11" xfId="0" applyFont="1" applyFill="1" applyBorder="1" applyAlignment="1">
      <alignment vertical="center" wrapText="1"/>
    </xf>
    <xf numFmtId="0" fontId="2" fillId="4" borderId="12" xfId="0" applyFont="1" applyFill="1" applyBorder="1" applyAlignment="1">
      <alignment vertical="center" wrapText="1"/>
    </xf>
    <xf numFmtId="0" fontId="2" fillId="4" borderId="13" xfId="0" applyFont="1" applyFill="1" applyBorder="1" applyAlignment="1">
      <alignment vertical="center" wrapText="1"/>
    </xf>
    <xf numFmtId="0" fontId="2" fillId="45" borderId="11" xfId="0" applyFont="1" applyFill="1" applyBorder="1" applyAlignment="1">
      <alignment vertical="center" wrapText="1"/>
    </xf>
    <xf numFmtId="0" fontId="2" fillId="45" borderId="12" xfId="0" applyFont="1" applyFill="1" applyBorder="1" applyAlignment="1">
      <alignment vertical="center" wrapText="1"/>
    </xf>
    <xf numFmtId="0" fontId="2" fillId="45" borderId="13" xfId="0" applyFont="1" applyFill="1" applyBorder="1" applyAlignment="1">
      <alignment vertical="center" wrapText="1"/>
    </xf>
    <xf numFmtId="0" fontId="2" fillId="51" borderId="11" xfId="0" applyFont="1" applyFill="1" applyBorder="1" applyAlignment="1">
      <alignment vertical="center" wrapText="1"/>
    </xf>
    <xf numFmtId="0" fontId="2" fillId="51" borderId="12" xfId="0" applyFont="1" applyFill="1" applyBorder="1" applyAlignment="1">
      <alignment vertical="center" wrapText="1"/>
    </xf>
    <xf numFmtId="0" fontId="2" fillId="51" borderId="13" xfId="0" applyFont="1" applyFill="1" applyBorder="1" applyAlignment="1">
      <alignment vertical="center" wrapText="1"/>
    </xf>
    <xf numFmtId="0" fontId="2" fillId="53" borderId="11" xfId="0" applyFont="1" applyFill="1" applyBorder="1" applyAlignment="1">
      <alignment vertical="center" wrapText="1"/>
    </xf>
    <xf numFmtId="0" fontId="2" fillId="53" borderId="12" xfId="0" applyFont="1" applyFill="1" applyBorder="1" applyAlignment="1">
      <alignment vertical="center" wrapText="1"/>
    </xf>
    <xf numFmtId="0" fontId="2" fillId="53" borderId="13" xfId="0" applyFont="1" applyFill="1" applyBorder="1" applyAlignment="1">
      <alignment vertical="center" wrapText="1"/>
    </xf>
    <xf numFmtId="0" fontId="8" fillId="54" borderId="21" xfId="0" applyFont="1" applyFill="1" applyBorder="1" applyAlignment="1">
      <alignment vertical="center"/>
    </xf>
    <xf numFmtId="0" fontId="8" fillId="54" borderId="22" xfId="0" applyFont="1" applyFill="1" applyBorder="1" applyAlignment="1">
      <alignment vertical="center"/>
    </xf>
    <xf numFmtId="0" fontId="8" fillId="54" borderId="10" xfId="0" applyFont="1" applyFill="1" applyBorder="1" applyAlignment="1">
      <alignment vertical="center"/>
    </xf>
    <xf numFmtId="0" fontId="8" fillId="54" borderId="17" xfId="0" applyFont="1" applyFill="1" applyBorder="1" applyAlignment="1">
      <alignment vertical="center"/>
    </xf>
    <xf numFmtId="0" fontId="2" fillId="54" borderId="11" xfId="0" applyFont="1" applyFill="1" applyBorder="1" applyAlignment="1">
      <alignment vertical="center" wrapText="1"/>
    </xf>
    <xf numFmtId="0" fontId="2" fillId="54" borderId="12" xfId="0" applyFont="1" applyFill="1" applyBorder="1" applyAlignment="1">
      <alignment vertical="center" wrapText="1"/>
    </xf>
    <xf numFmtId="0" fontId="2" fillId="54" borderId="13" xfId="0" applyFont="1" applyFill="1" applyBorder="1" applyAlignment="1">
      <alignment vertical="center" wrapText="1"/>
    </xf>
    <xf numFmtId="0" fontId="2" fillId="39" borderId="11" xfId="0" applyFont="1" applyFill="1" applyBorder="1" applyAlignment="1">
      <alignment vertical="center" wrapText="1"/>
    </xf>
    <xf numFmtId="0" fontId="2" fillId="39" borderId="12" xfId="0" applyFont="1" applyFill="1" applyBorder="1" applyAlignment="1">
      <alignment vertical="center" wrapText="1"/>
    </xf>
    <xf numFmtId="0" fontId="2" fillId="39" borderId="13" xfId="0" applyFont="1" applyFill="1" applyBorder="1" applyAlignment="1">
      <alignment vertical="center" wrapText="1"/>
    </xf>
    <xf numFmtId="0" fontId="8" fillId="74" borderId="21" xfId="0" applyFont="1" applyFill="1" applyBorder="1" applyAlignment="1">
      <alignment vertical="center"/>
    </xf>
    <xf numFmtId="0" fontId="8" fillId="74" borderId="22" xfId="0" applyFont="1" applyFill="1" applyBorder="1" applyAlignment="1">
      <alignment vertical="center"/>
    </xf>
    <xf numFmtId="0" fontId="8" fillId="74" borderId="10" xfId="0" applyFont="1" applyFill="1" applyBorder="1" applyAlignment="1">
      <alignment vertical="center"/>
    </xf>
    <xf numFmtId="0" fontId="8" fillId="74" borderId="17" xfId="0" applyFont="1" applyFill="1" applyBorder="1" applyAlignment="1">
      <alignment vertical="center"/>
    </xf>
    <xf numFmtId="0" fontId="2" fillId="74" borderId="11" xfId="0" applyFont="1" applyFill="1" applyBorder="1" applyAlignment="1">
      <alignment vertical="center" wrapText="1"/>
    </xf>
    <xf numFmtId="0" fontId="2" fillId="74" borderId="12" xfId="0" applyFont="1" applyFill="1" applyBorder="1" applyAlignment="1">
      <alignment vertical="center" wrapText="1"/>
    </xf>
    <xf numFmtId="0" fontId="2" fillId="74" borderId="13" xfId="0" applyFont="1" applyFill="1" applyBorder="1" applyAlignment="1">
      <alignment vertical="center" wrapText="1"/>
    </xf>
    <xf numFmtId="0" fontId="2" fillId="50" borderId="11" xfId="0" applyFont="1" applyFill="1" applyBorder="1" applyAlignment="1">
      <alignment vertical="center" wrapText="1"/>
    </xf>
    <xf numFmtId="0" fontId="2" fillId="50" borderId="12" xfId="0" applyFont="1" applyFill="1" applyBorder="1" applyAlignment="1">
      <alignment vertical="center" wrapText="1"/>
    </xf>
    <xf numFmtId="0" fontId="2" fillId="50" borderId="13" xfId="0" applyFont="1" applyFill="1" applyBorder="1" applyAlignment="1">
      <alignment vertical="center" wrapText="1"/>
    </xf>
    <xf numFmtId="0" fontId="2" fillId="71" borderId="11" xfId="0" applyFont="1" applyFill="1" applyBorder="1" applyAlignment="1">
      <alignment vertical="center" wrapText="1"/>
    </xf>
    <xf numFmtId="0" fontId="2" fillId="71" borderId="12" xfId="0" applyFont="1" applyFill="1" applyBorder="1" applyAlignment="1">
      <alignment vertical="center" wrapText="1"/>
    </xf>
    <xf numFmtId="0" fontId="2" fillId="71" borderId="13" xfId="0" applyFont="1" applyFill="1" applyBorder="1" applyAlignment="1">
      <alignment vertical="center" wrapText="1"/>
    </xf>
    <xf numFmtId="0" fontId="8" fillId="72" borderId="21" xfId="0" applyFont="1" applyFill="1" applyBorder="1" applyAlignment="1">
      <alignment vertical="center"/>
    </xf>
    <xf numFmtId="0" fontId="8" fillId="72" borderId="22" xfId="0" applyFont="1" applyFill="1" applyBorder="1" applyAlignment="1">
      <alignment vertical="center"/>
    </xf>
    <xf numFmtId="0" fontId="8" fillId="72" borderId="10" xfId="0" applyFont="1" applyFill="1" applyBorder="1" applyAlignment="1">
      <alignment vertical="center"/>
    </xf>
    <xf numFmtId="0" fontId="8" fillId="72" borderId="17" xfId="0" applyFont="1" applyFill="1" applyBorder="1" applyAlignment="1">
      <alignment vertical="center"/>
    </xf>
    <xf numFmtId="0" fontId="2" fillId="72" borderId="11" xfId="0" applyFont="1" applyFill="1" applyBorder="1" applyAlignment="1">
      <alignment vertical="center" wrapText="1"/>
    </xf>
    <xf numFmtId="0" fontId="2" fillId="72" borderId="12" xfId="0" applyFont="1" applyFill="1" applyBorder="1" applyAlignment="1">
      <alignment vertical="center" wrapText="1"/>
    </xf>
    <xf numFmtId="0" fontId="2" fillId="72" borderId="13" xfId="0" applyFont="1" applyFill="1" applyBorder="1" applyAlignment="1">
      <alignment vertical="center" wrapText="1"/>
    </xf>
    <xf numFmtId="0" fontId="8" fillId="2" borderId="21" xfId="0" applyFont="1" applyFill="1" applyBorder="1" applyAlignment="1">
      <alignment vertical="center"/>
    </xf>
    <xf numFmtId="0" fontId="8" fillId="2" borderId="22" xfId="0" applyFont="1" applyFill="1" applyBorder="1" applyAlignment="1">
      <alignment vertical="center"/>
    </xf>
    <xf numFmtId="0" fontId="8" fillId="2" borderId="10" xfId="0" applyFont="1" applyFill="1" applyBorder="1" applyAlignment="1">
      <alignment vertical="center"/>
    </xf>
    <xf numFmtId="0" fontId="8" fillId="2" borderId="17" xfId="0" applyFont="1" applyFill="1" applyBorder="1" applyAlignment="1">
      <alignment vertical="center"/>
    </xf>
    <xf numFmtId="0" fontId="2" fillId="2" borderId="11" xfId="0" applyFont="1" applyFill="1" applyBorder="1" applyAlignment="1">
      <alignment vertical="center" wrapText="1"/>
    </xf>
    <xf numFmtId="0" fontId="2" fillId="2" borderId="12" xfId="0" applyFont="1" applyFill="1" applyBorder="1" applyAlignment="1">
      <alignment vertical="center" wrapText="1"/>
    </xf>
    <xf numFmtId="0" fontId="2" fillId="2" borderId="13" xfId="0" applyFont="1" applyFill="1" applyBorder="1" applyAlignment="1">
      <alignment vertical="center" wrapText="1"/>
    </xf>
    <xf numFmtId="175" fontId="0" fillId="0" borderId="26" xfId="3" applyNumberFormat="1" applyFont="1" applyBorder="1"/>
    <xf numFmtId="11" fontId="3" fillId="0" borderId="4" xfId="0" applyNumberFormat="1" applyFont="1" applyBorder="1" applyAlignment="1">
      <alignment vertical="center"/>
    </xf>
    <xf numFmtId="43" fontId="3" fillId="0" borderId="4" xfId="2" applyFont="1" applyBorder="1" applyAlignment="1">
      <alignment vertical="center"/>
    </xf>
    <xf numFmtId="0" fontId="2" fillId="0" borderId="20" xfId="0" applyFont="1" applyBorder="1" applyAlignment="1">
      <alignment horizontal="center"/>
    </xf>
    <xf numFmtId="0" fontId="2" fillId="0" borderId="21" xfId="0" applyFont="1" applyBorder="1" applyAlignment="1">
      <alignment horizontal="center"/>
    </xf>
    <xf numFmtId="0" fontId="2" fillId="0" borderId="22" xfId="0" applyFont="1" applyBorder="1" applyAlignment="1">
      <alignment horizontal="center"/>
    </xf>
    <xf numFmtId="0" fontId="2" fillId="28" borderId="3" xfId="0" applyFont="1" applyFill="1" applyBorder="1" applyAlignment="1">
      <alignment horizontal="center"/>
    </xf>
    <xf numFmtId="0" fontId="2" fillId="28" borderId="0" xfId="0" applyFont="1" applyFill="1" applyAlignment="1">
      <alignment horizontal="center"/>
    </xf>
    <xf numFmtId="0" fontId="2" fillId="28" borderId="18" xfId="0" applyFont="1" applyFill="1" applyBorder="1" applyAlignment="1">
      <alignment horizontal="center"/>
    </xf>
    <xf numFmtId="0" fontId="8" fillId="0" borderId="20" xfId="0" applyFont="1" applyBorder="1" applyAlignment="1">
      <alignment horizontal="center"/>
    </xf>
    <xf numFmtId="0" fontId="8" fillId="0" borderId="21" xfId="0" applyFont="1" applyBorder="1" applyAlignment="1">
      <alignment horizontal="center"/>
    </xf>
    <xf numFmtId="0" fontId="8" fillId="0" borderId="22" xfId="0" applyFont="1" applyBorder="1" applyAlignment="1">
      <alignment horizontal="center"/>
    </xf>
    <xf numFmtId="0" fontId="0" fillId="2" borderId="49" xfId="0" applyFill="1" applyBorder="1" applyAlignment="1">
      <alignment horizontal="center"/>
    </xf>
    <xf numFmtId="0" fontId="0" fillId="2" borderId="8" xfId="0" applyFill="1" applyBorder="1" applyAlignment="1">
      <alignment horizontal="center"/>
    </xf>
    <xf numFmtId="0" fontId="0" fillId="2" borderId="9" xfId="0" applyFill="1" applyBorder="1" applyAlignment="1">
      <alignment horizontal="center"/>
    </xf>
    <xf numFmtId="0" fontId="2" fillId="5" borderId="20" xfId="0" applyFont="1" applyFill="1" applyBorder="1" applyAlignment="1">
      <alignment horizontal="center"/>
    </xf>
    <xf numFmtId="0" fontId="2" fillId="5" borderId="21" xfId="0" applyFont="1" applyFill="1" applyBorder="1" applyAlignment="1">
      <alignment horizontal="center"/>
    </xf>
    <xf numFmtId="0" fontId="2" fillId="5" borderId="22" xfId="0" applyFont="1" applyFill="1" applyBorder="1" applyAlignment="1">
      <alignment horizontal="center"/>
    </xf>
    <xf numFmtId="0" fontId="4"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2" fillId="0" borderId="11" xfId="0" applyFont="1" applyBorder="1" applyAlignment="1">
      <alignment horizontal="center"/>
    </xf>
    <xf numFmtId="0" fontId="2" fillId="0" borderId="12" xfId="0" applyFont="1" applyBorder="1" applyAlignment="1">
      <alignment horizontal="center"/>
    </xf>
    <xf numFmtId="0" fontId="2" fillId="0" borderId="13" xfId="0" applyFont="1" applyBorder="1" applyAlignment="1">
      <alignment horizontal="center"/>
    </xf>
    <xf numFmtId="0" fontId="8" fillId="0" borderId="11" xfId="0" applyFont="1" applyBorder="1" applyAlignment="1">
      <alignment horizontal="center"/>
    </xf>
    <xf numFmtId="0" fontId="8" fillId="0" borderId="12" xfId="0" applyFont="1" applyBorder="1" applyAlignment="1">
      <alignment horizontal="center"/>
    </xf>
    <xf numFmtId="0" fontId="8" fillId="0" borderId="13" xfId="0" applyFont="1" applyBorder="1" applyAlignment="1">
      <alignment horizontal="center"/>
    </xf>
    <xf numFmtId="0" fontId="2" fillId="33" borderId="3" xfId="0" applyFont="1" applyFill="1" applyBorder="1" applyAlignment="1">
      <alignment horizontal="center"/>
    </xf>
    <xf numFmtId="0" fontId="2" fillId="33" borderId="0" xfId="0" applyFont="1" applyFill="1" applyAlignment="1">
      <alignment horizontal="center"/>
    </xf>
    <xf numFmtId="0" fontId="2" fillId="33" borderId="18" xfId="0" applyFont="1" applyFill="1" applyBorder="1" applyAlignment="1">
      <alignment horizontal="center"/>
    </xf>
    <xf numFmtId="0" fontId="4" fillId="32" borderId="3" xfId="0" applyFont="1" applyFill="1" applyBorder="1" applyAlignment="1">
      <alignment horizontal="center"/>
    </xf>
    <xf numFmtId="0" fontId="4" fillId="32" borderId="0" xfId="0" applyFont="1" applyFill="1" applyAlignment="1">
      <alignment horizontal="center"/>
    </xf>
    <xf numFmtId="0" fontId="4" fillId="32" borderId="18" xfId="0" applyFont="1" applyFill="1" applyBorder="1" applyAlignment="1">
      <alignment horizontal="center"/>
    </xf>
    <xf numFmtId="0" fontId="2" fillId="19" borderId="3" xfId="0" applyFont="1" applyFill="1" applyBorder="1" applyAlignment="1">
      <alignment horizontal="center"/>
    </xf>
    <xf numFmtId="0" fontId="2" fillId="19" borderId="0" xfId="0" applyFont="1" applyFill="1" applyAlignment="1">
      <alignment horizontal="center"/>
    </xf>
    <xf numFmtId="0" fontId="2" fillId="19" borderId="18" xfId="0" applyFont="1" applyFill="1" applyBorder="1" applyAlignment="1">
      <alignment horizontal="center"/>
    </xf>
    <xf numFmtId="0" fontId="2" fillId="34" borderId="3" xfId="0" applyFont="1" applyFill="1" applyBorder="1" applyAlignment="1">
      <alignment horizontal="center"/>
    </xf>
    <xf numFmtId="0" fontId="2" fillId="34" borderId="0" xfId="0" applyFont="1" applyFill="1" applyAlignment="1">
      <alignment horizontal="center"/>
    </xf>
    <xf numFmtId="0" fontId="2" fillId="34" borderId="18" xfId="0" applyFont="1" applyFill="1" applyBorder="1" applyAlignment="1">
      <alignment horizontal="center"/>
    </xf>
    <xf numFmtId="0" fontId="2" fillId="36" borderId="3" xfId="0" applyFont="1" applyFill="1" applyBorder="1" applyAlignment="1">
      <alignment horizontal="center"/>
    </xf>
    <xf numFmtId="0" fontId="2" fillId="36" borderId="0" xfId="0" applyFont="1" applyFill="1" applyAlignment="1">
      <alignment horizontal="center"/>
    </xf>
    <xf numFmtId="0" fontId="2" fillId="36" borderId="18" xfId="0" applyFont="1" applyFill="1" applyBorder="1" applyAlignment="1">
      <alignment horizontal="center"/>
    </xf>
    <xf numFmtId="0" fontId="2" fillId="2" borderId="1" xfId="0" applyFont="1" applyFill="1" applyBorder="1" applyAlignment="1">
      <alignment horizontal="center"/>
    </xf>
    <xf numFmtId="0" fontId="2" fillId="0" borderId="1" xfId="0" applyFont="1" applyBorder="1" applyAlignment="1">
      <alignment horizontal="center"/>
    </xf>
    <xf numFmtId="0" fontId="2" fillId="61" borderId="1" xfId="0" applyFont="1" applyFill="1" applyBorder="1" applyAlignment="1">
      <alignment horizontal="center" vertical="center"/>
    </xf>
    <xf numFmtId="0" fontId="4" fillId="59" borderId="7" xfId="0" applyFont="1" applyFill="1" applyBorder="1" applyAlignment="1">
      <alignment horizontal="center" vertical="center"/>
    </xf>
    <xf numFmtId="0" fontId="4" fillId="59" borderId="8" xfId="0" applyFont="1" applyFill="1" applyBorder="1" applyAlignment="1">
      <alignment horizontal="center" vertical="center"/>
    </xf>
    <xf numFmtId="0" fontId="4" fillId="59" borderId="9" xfId="0" applyFont="1" applyFill="1" applyBorder="1" applyAlignment="1">
      <alignment horizontal="center" vertical="center"/>
    </xf>
    <xf numFmtId="0" fontId="2" fillId="0" borderId="1" xfId="0" applyFont="1" applyBorder="1" applyAlignment="1">
      <alignment horizontal="center" vertical="center"/>
    </xf>
    <xf numFmtId="2" fontId="3" fillId="0" borderId="0" xfId="0" applyNumberFormat="1" applyFont="1" applyAlignment="1">
      <alignment horizontal="center" vertical="center"/>
    </xf>
    <xf numFmtId="2" fontId="4" fillId="0" borderId="0" xfId="0" applyNumberFormat="1" applyFont="1" applyAlignment="1">
      <alignment horizontal="center" vertical="center"/>
    </xf>
    <xf numFmtId="0" fontId="2" fillId="0" borderId="7" xfId="0" applyFont="1" applyBorder="1" applyAlignment="1">
      <alignment horizontal="center" vertical="center"/>
    </xf>
    <xf numFmtId="0" fontId="2" fillId="0" borderId="9" xfId="0" applyFont="1" applyBorder="1" applyAlignment="1">
      <alignment horizontal="center" vertical="center"/>
    </xf>
    <xf numFmtId="0" fontId="2" fillId="0" borderId="24" xfId="0" applyFont="1" applyBorder="1" applyAlignment="1">
      <alignment horizontal="center" vertical="center"/>
    </xf>
    <xf numFmtId="0" fontId="2" fillId="0" borderId="26" xfId="0" applyFont="1" applyBorder="1" applyAlignment="1">
      <alignment horizontal="center" vertical="center"/>
    </xf>
    <xf numFmtId="0" fontId="4" fillId="24" borderId="28" xfId="0" applyFont="1" applyFill="1" applyBorder="1" applyAlignment="1">
      <alignment horizontal="center" vertical="center"/>
    </xf>
    <xf numFmtId="0" fontId="4" fillId="24" borderId="29" xfId="0" applyFont="1" applyFill="1" applyBorder="1" applyAlignment="1">
      <alignment horizontal="center" vertical="center"/>
    </xf>
    <xf numFmtId="0" fontId="4" fillId="2" borderId="4" xfId="0" applyFont="1" applyFill="1" applyBorder="1" applyAlignment="1">
      <alignment horizontal="center" vertical="center"/>
    </xf>
    <xf numFmtId="0" fontId="0" fillId="0" borderId="1"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6" xfId="0" applyBorder="1" applyAlignment="1">
      <alignment horizontal="center" vertical="center"/>
    </xf>
    <xf numFmtId="0" fontId="4" fillId="29" borderId="27" xfId="0" applyFont="1" applyFill="1" applyBorder="1" applyAlignment="1">
      <alignment horizontal="center" vertical="center"/>
    </xf>
    <xf numFmtId="0" fontId="4" fillId="29" borderId="29" xfId="0" applyFont="1" applyFill="1" applyBorder="1" applyAlignment="1">
      <alignment horizontal="center" vertical="center"/>
    </xf>
    <xf numFmtId="0" fontId="4" fillId="2" borderId="1" xfId="0" applyFont="1" applyFill="1" applyBorder="1" applyAlignment="1">
      <alignment horizontal="center" vertical="center"/>
    </xf>
    <xf numFmtId="0" fontId="4" fillId="6" borderId="27" xfId="0" applyFont="1" applyFill="1" applyBorder="1" applyAlignment="1">
      <alignment horizontal="center" vertical="center"/>
    </xf>
    <xf numFmtId="0" fontId="4" fillId="6" borderId="29" xfId="0" applyFont="1" applyFill="1" applyBorder="1" applyAlignment="1">
      <alignment horizontal="center" vertical="center"/>
    </xf>
    <xf numFmtId="0" fontId="4" fillId="11" borderId="7" xfId="0" applyFont="1" applyFill="1" applyBorder="1" applyAlignment="1">
      <alignment horizontal="center" vertical="center"/>
    </xf>
    <xf numFmtId="0" fontId="3" fillId="11" borderId="9" xfId="0" applyFont="1" applyFill="1" applyBorder="1" applyAlignment="1">
      <alignment horizontal="center" vertical="center"/>
    </xf>
    <xf numFmtId="0" fontId="4" fillId="28" borderId="1" xfId="0" applyFont="1" applyFill="1" applyBorder="1" applyAlignment="1">
      <alignment horizontal="center" vertical="center"/>
    </xf>
    <xf numFmtId="0" fontId="4" fillId="29" borderId="7" xfId="0" applyFont="1" applyFill="1" applyBorder="1" applyAlignment="1">
      <alignment horizontal="center" vertical="center"/>
    </xf>
    <xf numFmtId="0" fontId="4" fillId="29" borderId="9" xfId="0" applyFont="1" applyFill="1" applyBorder="1" applyAlignment="1">
      <alignment horizontal="center" vertical="center"/>
    </xf>
    <xf numFmtId="0" fontId="4" fillId="29" borderId="1" xfId="0" applyFont="1" applyFill="1" applyBorder="1" applyAlignment="1">
      <alignment horizontal="center" vertical="center"/>
    </xf>
    <xf numFmtId="0" fontId="4" fillId="28" borderId="7" xfId="0" applyFont="1" applyFill="1" applyBorder="1" applyAlignment="1">
      <alignment horizontal="center" vertical="center"/>
    </xf>
    <xf numFmtId="0" fontId="4" fillId="28" borderId="8" xfId="0" applyFont="1" applyFill="1" applyBorder="1" applyAlignment="1">
      <alignment horizontal="center" vertical="center"/>
    </xf>
    <xf numFmtId="0" fontId="4" fillId="28" borderId="9"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2" fillId="75" borderId="7" xfId="0" applyFont="1" applyFill="1" applyBorder="1" applyAlignment="1">
      <alignment horizontal="center" vertical="center"/>
    </xf>
    <xf numFmtId="0" fontId="2" fillId="75" borderId="9" xfId="0" applyFont="1" applyFill="1" applyBorder="1" applyAlignment="1">
      <alignment horizontal="center" vertical="center"/>
    </xf>
    <xf numFmtId="0" fontId="4" fillId="6" borderId="4" xfId="0" applyFont="1" applyFill="1" applyBorder="1" applyAlignment="1">
      <alignment horizontal="center" vertical="center"/>
    </xf>
    <xf numFmtId="0" fontId="2" fillId="0" borderId="36" xfId="0" applyFont="1" applyBorder="1" applyAlignment="1">
      <alignment horizontal="center" vertical="center"/>
    </xf>
    <xf numFmtId="0" fontId="4" fillId="6" borderId="1" xfId="0" applyFont="1" applyFill="1" applyBorder="1" applyAlignment="1">
      <alignment horizontal="center" vertical="center"/>
    </xf>
    <xf numFmtId="0" fontId="2" fillId="0" borderId="27" xfId="0" applyFont="1" applyBorder="1" applyAlignment="1">
      <alignment horizontal="center" vertical="center"/>
    </xf>
    <xf numFmtId="0" fontId="2" fillId="0" borderId="29" xfId="0" applyFont="1" applyBorder="1" applyAlignment="1">
      <alignment horizontal="center" vertical="center"/>
    </xf>
    <xf numFmtId="0" fontId="4" fillId="24" borderId="7" xfId="0" applyFont="1" applyFill="1" applyBorder="1" applyAlignment="1">
      <alignment horizontal="center" vertical="center"/>
    </xf>
    <xf numFmtId="0" fontId="4" fillId="24" borderId="8" xfId="0" applyFont="1" applyFill="1" applyBorder="1" applyAlignment="1">
      <alignment horizontal="center" vertical="center"/>
    </xf>
    <xf numFmtId="0" fontId="4" fillId="24" borderId="9" xfId="0" applyFont="1" applyFill="1" applyBorder="1" applyAlignment="1">
      <alignment horizontal="center" vertical="center"/>
    </xf>
    <xf numFmtId="0" fontId="2" fillId="0" borderId="28" xfId="0" applyFont="1" applyBorder="1" applyAlignment="1">
      <alignment horizontal="center" vertical="center"/>
    </xf>
    <xf numFmtId="0" fontId="4" fillId="75" borderId="7" xfId="0" applyFont="1" applyFill="1" applyBorder="1" applyAlignment="1">
      <alignment horizontal="center" vertical="center"/>
    </xf>
    <xf numFmtId="0" fontId="4" fillId="75" borderId="8" xfId="0" applyFont="1" applyFill="1" applyBorder="1" applyAlignment="1">
      <alignment horizontal="center" vertical="center"/>
    </xf>
    <xf numFmtId="0" fontId="4" fillId="75" borderId="9" xfId="0" applyFont="1" applyFill="1" applyBorder="1" applyAlignment="1">
      <alignment horizontal="center" vertical="center"/>
    </xf>
    <xf numFmtId="0" fontId="0" fillId="0" borderId="6" xfId="0" applyBorder="1" applyAlignment="1">
      <alignment horizontal="left" vertical="center"/>
    </xf>
    <xf numFmtId="0" fontId="0" fillId="0" borderId="4" xfId="0" applyBorder="1" applyAlignment="1">
      <alignment horizontal="left" vertical="center"/>
    </xf>
    <xf numFmtId="0" fontId="2" fillId="39" borderId="7" xfId="0" applyFont="1" applyFill="1" applyBorder="1" applyAlignment="1">
      <alignment horizontal="center" vertical="center"/>
    </xf>
    <xf numFmtId="0" fontId="2" fillId="39" borderId="8" xfId="0" applyFont="1" applyFill="1" applyBorder="1" applyAlignment="1">
      <alignment horizontal="center" vertical="center"/>
    </xf>
    <xf numFmtId="0" fontId="2" fillId="39" borderId="9" xfId="0" applyFont="1" applyFill="1" applyBorder="1" applyAlignment="1">
      <alignment horizontal="center" vertical="center"/>
    </xf>
    <xf numFmtId="0" fontId="15" fillId="49" borderId="0" xfId="0" applyFont="1" applyFill="1" applyAlignment="1">
      <alignment horizontal="center" vertical="center"/>
    </xf>
    <xf numFmtId="0" fontId="4" fillId="75" borderId="27" xfId="0" applyFont="1" applyFill="1" applyBorder="1" applyAlignment="1">
      <alignment horizontal="center" vertical="center"/>
    </xf>
    <xf numFmtId="0" fontId="4" fillId="75" borderId="29" xfId="0" applyFont="1" applyFill="1" applyBorder="1" applyAlignment="1">
      <alignment horizontal="center" vertical="center"/>
    </xf>
    <xf numFmtId="0" fontId="4" fillId="0" borderId="7" xfId="0" applyFont="1" applyBorder="1" applyAlignment="1">
      <alignment horizontal="center" vertical="center"/>
    </xf>
    <xf numFmtId="0" fontId="4" fillId="0" borderId="9" xfId="0" applyFont="1" applyBorder="1" applyAlignment="1">
      <alignment horizontal="center" vertical="center"/>
    </xf>
    <xf numFmtId="0" fontId="4" fillId="2" borderId="27" xfId="0" applyFont="1" applyFill="1" applyBorder="1" applyAlignment="1">
      <alignment horizontal="center" vertical="center"/>
    </xf>
    <xf numFmtId="0" fontId="4" fillId="2" borderId="29" xfId="0" applyFont="1" applyFill="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4" fillId="59" borderId="1" xfId="0" applyFont="1" applyFill="1" applyBorder="1" applyAlignment="1">
      <alignment horizontal="center" vertical="center"/>
    </xf>
    <xf numFmtId="0" fontId="3" fillId="59" borderId="7" xfId="0" applyFont="1" applyFill="1" applyBorder="1" applyAlignment="1">
      <alignment horizontal="center" vertical="center"/>
    </xf>
    <xf numFmtId="0" fontId="3" fillId="59" borderId="9" xfId="0" applyFont="1" applyFill="1" applyBorder="1" applyAlignment="1">
      <alignment horizontal="center" vertical="center"/>
    </xf>
    <xf numFmtId="0" fontId="2" fillId="59" borderId="7" xfId="0" applyFont="1" applyFill="1" applyBorder="1" applyAlignment="1">
      <alignment horizontal="center" vertical="center"/>
    </xf>
    <xf numFmtId="0" fontId="2" fillId="59" borderId="8" xfId="0" applyFont="1" applyFill="1" applyBorder="1" applyAlignment="1">
      <alignment horizontal="center" vertical="center"/>
    </xf>
    <xf numFmtId="0" fontId="2" fillId="59" borderId="9" xfId="0" applyFont="1" applyFill="1" applyBorder="1" applyAlignment="1">
      <alignment horizontal="center" vertical="center"/>
    </xf>
    <xf numFmtId="0" fontId="0" fillId="19" borderId="8" xfId="0" applyFill="1" applyBorder="1" applyAlignment="1">
      <alignment horizontal="center" vertical="center"/>
    </xf>
    <xf numFmtId="0" fontId="0" fillId="19" borderId="9" xfId="0" applyFill="1" applyBorder="1" applyAlignment="1">
      <alignment horizontal="center" vertical="center"/>
    </xf>
    <xf numFmtId="0" fontId="0" fillId="19" borderId="7" xfId="0" applyFill="1" applyBorder="1" applyAlignment="1">
      <alignment horizontal="center" vertical="center"/>
    </xf>
    <xf numFmtId="0" fontId="2" fillId="70" borderId="7" xfId="0" applyFont="1" applyFill="1" applyBorder="1" applyAlignment="1">
      <alignment horizontal="center" vertical="center"/>
    </xf>
    <xf numFmtId="0" fontId="2" fillId="70" borderId="8" xfId="0" applyFont="1" applyFill="1" applyBorder="1" applyAlignment="1">
      <alignment horizontal="center" vertical="center"/>
    </xf>
    <xf numFmtId="0" fontId="2" fillId="70" borderId="9" xfId="0" applyFont="1" applyFill="1" applyBorder="1" applyAlignment="1">
      <alignment horizontal="center" vertical="center"/>
    </xf>
    <xf numFmtId="0" fontId="4" fillId="19" borderId="7" xfId="0" applyFont="1" applyFill="1" applyBorder="1" applyAlignment="1">
      <alignment horizontal="center" vertical="center"/>
    </xf>
    <xf numFmtId="0" fontId="4" fillId="19" borderId="8" xfId="0" applyFont="1" applyFill="1" applyBorder="1" applyAlignment="1">
      <alignment horizontal="center" vertical="center"/>
    </xf>
    <xf numFmtId="0" fontId="4" fillId="19" borderId="9" xfId="0" applyFont="1" applyFill="1" applyBorder="1" applyAlignment="1">
      <alignment horizontal="center" vertical="center"/>
    </xf>
    <xf numFmtId="0" fontId="3" fillId="75" borderId="8" xfId="0" applyFont="1" applyFill="1" applyBorder="1" applyAlignment="1">
      <alignment horizontal="center" vertical="center"/>
    </xf>
    <xf numFmtId="0" fontId="3" fillId="75" borderId="9" xfId="0" applyFont="1" applyFill="1" applyBorder="1" applyAlignment="1">
      <alignment horizontal="center" vertical="center"/>
    </xf>
    <xf numFmtId="0" fontId="2" fillId="2" borderId="27" xfId="0" applyFont="1" applyFill="1" applyBorder="1" applyAlignment="1">
      <alignment horizontal="center" vertical="center"/>
    </xf>
    <xf numFmtId="0" fontId="2" fillId="2" borderId="28" xfId="0" applyFont="1" applyFill="1" applyBorder="1" applyAlignment="1">
      <alignment horizontal="center" vertical="center"/>
    </xf>
    <xf numFmtId="0" fontId="2" fillId="2" borderId="29" xfId="0" applyFont="1" applyFill="1" applyBorder="1" applyAlignment="1">
      <alignment horizontal="center" vertical="center"/>
    </xf>
    <xf numFmtId="0" fontId="2" fillId="24" borderId="27" xfId="0" applyFont="1" applyFill="1" applyBorder="1" applyAlignment="1">
      <alignment horizontal="center" vertical="center"/>
    </xf>
    <xf numFmtId="0" fontId="2" fillId="24" borderId="28" xfId="0" applyFont="1" applyFill="1" applyBorder="1" applyAlignment="1">
      <alignment horizontal="center" vertical="center"/>
    </xf>
    <xf numFmtId="0" fontId="2" fillId="24" borderId="29" xfId="0" applyFont="1" applyFill="1" applyBorder="1" applyAlignment="1">
      <alignment horizontal="center" vertical="center"/>
    </xf>
    <xf numFmtId="0" fontId="4" fillId="2" borderId="6" xfId="0" applyFont="1" applyFill="1" applyBorder="1" applyAlignment="1">
      <alignment horizontal="center" vertical="center"/>
    </xf>
    <xf numFmtId="0" fontId="18" fillId="49" borderId="0" xfId="0" applyFont="1" applyFill="1" applyAlignment="1">
      <alignment horizontal="center" vertical="center"/>
    </xf>
    <xf numFmtId="0" fontId="18" fillId="49" borderId="10" xfId="0" applyFont="1" applyFill="1" applyBorder="1" applyAlignment="1">
      <alignment horizontal="center" vertical="center"/>
    </xf>
    <xf numFmtId="0" fontId="0" fillId="0" borderId="25" xfId="0" applyBorder="1" applyAlignment="1">
      <alignment horizontal="center" vertical="center"/>
    </xf>
    <xf numFmtId="0" fontId="0" fillId="0" borderId="0" xfId="0" applyAlignment="1">
      <alignment horizontal="center" vertical="center"/>
    </xf>
    <xf numFmtId="0" fontId="2" fillId="51" borderId="11" xfId="0" applyFont="1" applyFill="1" applyBorder="1" applyAlignment="1">
      <alignment horizontal="center"/>
    </xf>
    <xf numFmtId="0" fontId="2" fillId="51" borderId="12" xfId="0" applyFont="1" applyFill="1" applyBorder="1" applyAlignment="1">
      <alignment horizontal="center"/>
    </xf>
    <xf numFmtId="0" fontId="2" fillId="51" borderId="13" xfId="0" applyFont="1" applyFill="1" applyBorder="1" applyAlignment="1">
      <alignment horizontal="center"/>
    </xf>
    <xf numFmtId="0" fontId="0" fillId="0" borderId="14" xfId="0" applyBorder="1" applyAlignment="1">
      <alignment horizontal="center" vertical="center"/>
    </xf>
    <xf numFmtId="0" fontId="0" fillId="0" borderId="16" xfId="0" applyBorder="1" applyAlignment="1">
      <alignment horizontal="center" vertic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2" fillId="39" borderId="2" xfId="0" applyFont="1" applyFill="1" applyBorder="1" applyAlignment="1">
      <alignment horizontal="center"/>
    </xf>
    <xf numFmtId="0" fontId="0" fillId="0" borderId="15" xfId="0" applyBorder="1" applyAlignment="1">
      <alignment horizontal="center" vertical="center"/>
    </xf>
    <xf numFmtId="0" fontId="0" fillId="0" borderId="2" xfId="0" applyBorder="1" applyAlignment="1">
      <alignment horizontal="center"/>
    </xf>
    <xf numFmtId="0" fontId="2" fillId="20" borderId="2" xfId="0" applyFont="1" applyFill="1" applyBorder="1" applyAlignment="1">
      <alignment horizontal="center"/>
    </xf>
    <xf numFmtId="0" fontId="2" fillId="3" borderId="2" xfId="0" applyFont="1" applyFill="1" applyBorder="1" applyAlignment="1">
      <alignment horizontal="center"/>
    </xf>
    <xf numFmtId="0" fontId="2" fillId="24" borderId="11" xfId="0" applyFont="1" applyFill="1" applyBorder="1" applyAlignment="1">
      <alignment horizontal="center"/>
    </xf>
    <xf numFmtId="0" fontId="2" fillId="24" borderId="12" xfId="0" applyFont="1" applyFill="1" applyBorder="1" applyAlignment="1">
      <alignment horizontal="center"/>
    </xf>
    <xf numFmtId="0" fontId="2" fillId="24" borderId="13" xfId="0" applyFont="1" applyFill="1" applyBorder="1" applyAlignment="1">
      <alignment horizontal="center"/>
    </xf>
    <xf numFmtId="0" fontId="2" fillId="55" borderId="11" xfId="0" applyFont="1" applyFill="1" applyBorder="1" applyAlignment="1">
      <alignment horizontal="center"/>
    </xf>
    <xf numFmtId="0" fontId="2" fillId="55" borderId="12" xfId="0" applyFont="1" applyFill="1" applyBorder="1" applyAlignment="1">
      <alignment horizontal="center"/>
    </xf>
    <xf numFmtId="0" fontId="2" fillId="55" borderId="13" xfId="0" applyFont="1" applyFill="1" applyBorder="1" applyAlignment="1">
      <alignment horizontal="center"/>
    </xf>
    <xf numFmtId="0" fontId="11" fillId="0" borderId="0" xfId="0" applyFont="1" applyAlignment="1">
      <alignment horizontal="center" vertical="center"/>
    </xf>
    <xf numFmtId="0" fontId="11" fillId="9" borderId="20" xfId="0" applyFont="1" applyFill="1" applyBorder="1" applyAlignment="1">
      <alignment horizontal="center" vertical="center"/>
    </xf>
    <xf numFmtId="0" fontId="11" fillId="9" borderId="21" xfId="0" applyFont="1" applyFill="1" applyBorder="1" applyAlignment="1">
      <alignment horizontal="center" vertical="center"/>
    </xf>
    <xf numFmtId="0" fontId="11" fillId="9" borderId="22" xfId="0" applyFont="1" applyFill="1" applyBorder="1" applyAlignment="1">
      <alignment horizontal="center" vertical="center"/>
    </xf>
    <xf numFmtId="0" fontId="11" fillId="9" borderId="19" xfId="0" applyFont="1" applyFill="1" applyBorder="1" applyAlignment="1">
      <alignment horizontal="center" vertical="center"/>
    </xf>
    <xf numFmtId="0" fontId="11" fillId="9" borderId="10" xfId="0" applyFont="1" applyFill="1" applyBorder="1" applyAlignment="1">
      <alignment horizontal="center" vertical="center"/>
    </xf>
    <xf numFmtId="0" fontId="11" fillId="9" borderId="17" xfId="0" applyFont="1" applyFill="1" applyBorder="1" applyAlignment="1">
      <alignment horizontal="center" vertical="center"/>
    </xf>
    <xf numFmtId="0" fontId="2" fillId="24" borderId="19" xfId="0" applyFont="1" applyFill="1" applyBorder="1" applyAlignment="1">
      <alignment horizontal="center"/>
    </xf>
    <xf numFmtId="0" fontId="2" fillId="24" borderId="10" xfId="0" applyFont="1" applyFill="1" applyBorder="1" applyAlignment="1">
      <alignment horizontal="center"/>
    </xf>
    <xf numFmtId="0" fontId="2" fillId="24" borderId="17" xfId="0" applyFont="1" applyFill="1" applyBorder="1" applyAlignment="1">
      <alignment horizontal="center"/>
    </xf>
    <xf numFmtId="0" fontId="2" fillId="5" borderId="11" xfId="0" applyFont="1" applyFill="1" applyBorder="1" applyAlignment="1">
      <alignment horizontal="center"/>
    </xf>
    <xf numFmtId="0" fontId="2" fillId="5" borderId="12" xfId="0" applyFont="1" applyFill="1" applyBorder="1" applyAlignment="1">
      <alignment horizontal="center"/>
    </xf>
    <xf numFmtId="0" fontId="2" fillId="5" borderId="13" xfId="0" applyFont="1" applyFill="1" applyBorder="1" applyAlignment="1">
      <alignment horizontal="center"/>
    </xf>
    <xf numFmtId="0" fontId="2" fillId="16" borderId="2" xfId="0" applyFont="1" applyFill="1" applyBorder="1" applyAlignment="1">
      <alignment horizontal="center"/>
    </xf>
    <xf numFmtId="0" fontId="2" fillId="32" borderId="11" xfId="0" applyFont="1" applyFill="1" applyBorder="1" applyAlignment="1">
      <alignment horizontal="center"/>
    </xf>
    <xf numFmtId="0" fontId="2" fillId="32" borderId="12" xfId="0" applyFont="1" applyFill="1" applyBorder="1" applyAlignment="1">
      <alignment horizontal="center"/>
    </xf>
    <xf numFmtId="0" fontId="2" fillId="32" borderId="13" xfId="0" applyFont="1" applyFill="1" applyBorder="1" applyAlignment="1">
      <alignment horizontal="center"/>
    </xf>
    <xf numFmtId="0" fontId="2" fillId="12" borderId="11" xfId="0" applyFont="1" applyFill="1" applyBorder="1" applyAlignment="1">
      <alignment horizontal="center"/>
    </xf>
    <xf numFmtId="0" fontId="2" fillId="12" borderId="12" xfId="0" applyFont="1" applyFill="1" applyBorder="1" applyAlignment="1">
      <alignment horizontal="center"/>
    </xf>
    <xf numFmtId="0" fontId="2" fillId="12" borderId="13" xfId="0" applyFont="1" applyFill="1" applyBorder="1" applyAlignment="1">
      <alignment horizontal="center"/>
    </xf>
    <xf numFmtId="0" fontId="2" fillId="28" borderId="11" xfId="0" applyFont="1" applyFill="1" applyBorder="1" applyAlignment="1">
      <alignment horizontal="center"/>
    </xf>
    <xf numFmtId="0" fontId="2" fillId="28" borderId="12" xfId="0" applyFont="1" applyFill="1" applyBorder="1" applyAlignment="1">
      <alignment horizontal="center"/>
    </xf>
    <xf numFmtId="0" fontId="2" fillId="28" borderId="13" xfId="0" applyFont="1" applyFill="1" applyBorder="1" applyAlignment="1">
      <alignment horizontal="center"/>
    </xf>
    <xf numFmtId="0" fontId="2" fillId="0" borderId="14" xfId="0" applyFont="1" applyBorder="1" applyAlignment="1">
      <alignment horizontal="center" vertical="center"/>
    </xf>
    <xf numFmtId="0" fontId="2" fillId="0" borderId="16" xfId="0" applyFont="1" applyBorder="1" applyAlignment="1">
      <alignment horizontal="center" vertical="center"/>
    </xf>
    <xf numFmtId="0" fontId="2" fillId="69" borderId="11" xfId="0" applyFont="1" applyFill="1" applyBorder="1" applyAlignment="1">
      <alignment horizontal="center"/>
    </xf>
    <xf numFmtId="0" fontId="2" fillId="69" borderId="12" xfId="0" applyFont="1" applyFill="1" applyBorder="1" applyAlignment="1">
      <alignment horizontal="center"/>
    </xf>
    <xf numFmtId="0" fontId="2" fillId="69" borderId="13" xfId="0" applyFont="1" applyFill="1" applyBorder="1" applyAlignment="1">
      <alignment horizontal="center"/>
    </xf>
    <xf numFmtId="0" fontId="0" fillId="0" borderId="40" xfId="0" applyBorder="1" applyAlignment="1">
      <alignment horizontal="center" vertical="center"/>
    </xf>
    <xf numFmtId="0" fontId="0" fillId="0" borderId="43" xfId="0" applyBorder="1" applyAlignment="1">
      <alignment horizontal="center" vertical="center"/>
    </xf>
    <xf numFmtId="0" fontId="0" fillId="0" borderId="16" xfId="0" applyBorder="1" applyAlignment="1">
      <alignment horizontal="center"/>
    </xf>
    <xf numFmtId="0" fontId="0" fillId="0" borderId="45" xfId="0" applyBorder="1" applyAlignment="1">
      <alignment horizontal="center"/>
    </xf>
    <xf numFmtId="0" fontId="2" fillId="31" borderId="11" xfId="0" applyFont="1" applyFill="1" applyBorder="1" applyAlignment="1">
      <alignment horizontal="center"/>
    </xf>
    <xf numFmtId="0" fontId="2" fillId="31" borderId="12" xfId="0" applyFont="1" applyFill="1" applyBorder="1" applyAlignment="1">
      <alignment horizontal="center"/>
    </xf>
    <xf numFmtId="0" fontId="2" fillId="31" borderId="13" xfId="0" applyFont="1" applyFill="1" applyBorder="1" applyAlignment="1">
      <alignment horizontal="center"/>
    </xf>
    <xf numFmtId="0" fontId="11" fillId="8" borderId="20" xfId="0" applyFont="1" applyFill="1" applyBorder="1" applyAlignment="1">
      <alignment horizontal="center" vertical="center"/>
    </xf>
    <xf numFmtId="0" fontId="11" fillId="8" borderId="21" xfId="0" applyFont="1" applyFill="1" applyBorder="1" applyAlignment="1">
      <alignment horizontal="center" vertical="center"/>
    </xf>
    <xf numFmtId="0" fontId="11" fillId="8" borderId="22" xfId="0" applyFont="1" applyFill="1" applyBorder="1" applyAlignment="1">
      <alignment horizontal="center" vertical="center"/>
    </xf>
    <xf numFmtId="0" fontId="11" fillId="8" borderId="19" xfId="0" applyFont="1" applyFill="1" applyBorder="1" applyAlignment="1">
      <alignment horizontal="center" vertical="center"/>
    </xf>
    <xf numFmtId="0" fontId="11" fillId="8" borderId="10" xfId="0" applyFont="1" applyFill="1" applyBorder="1" applyAlignment="1">
      <alignment horizontal="center" vertical="center"/>
    </xf>
    <xf numFmtId="0" fontId="11" fillId="8" borderId="17" xfId="0" applyFont="1" applyFill="1" applyBorder="1" applyAlignment="1">
      <alignment horizontal="center" vertical="center"/>
    </xf>
    <xf numFmtId="0" fontId="9" fillId="25" borderId="20" xfId="0" applyFont="1" applyFill="1" applyBorder="1" applyAlignment="1">
      <alignment horizontal="center" vertical="center"/>
    </xf>
    <xf numFmtId="0" fontId="9" fillId="25" borderId="21" xfId="0" applyFont="1" applyFill="1" applyBorder="1" applyAlignment="1">
      <alignment horizontal="center" vertical="center"/>
    </xf>
    <xf numFmtId="0" fontId="9" fillId="25" borderId="22" xfId="0" applyFont="1" applyFill="1" applyBorder="1" applyAlignment="1">
      <alignment horizontal="center" vertical="center"/>
    </xf>
    <xf numFmtId="0" fontId="9" fillId="25" borderId="3" xfId="0" applyFont="1" applyFill="1" applyBorder="1" applyAlignment="1">
      <alignment horizontal="center" vertical="center"/>
    </xf>
    <xf numFmtId="0" fontId="9" fillId="25" borderId="0" xfId="0" applyFont="1" applyFill="1" applyAlignment="1">
      <alignment horizontal="center" vertical="center"/>
    </xf>
    <xf numFmtId="0" fontId="9" fillId="25" borderId="10" xfId="0" applyFont="1" applyFill="1" applyBorder="1" applyAlignment="1">
      <alignment horizontal="center" vertical="center"/>
    </xf>
    <xf numFmtId="0" fontId="9" fillId="25" borderId="17" xfId="0" applyFont="1" applyFill="1" applyBorder="1" applyAlignment="1">
      <alignment horizontal="center" vertical="center"/>
    </xf>
    <xf numFmtId="0" fontId="9" fillId="25" borderId="19" xfId="0" applyFont="1" applyFill="1" applyBorder="1" applyAlignment="1">
      <alignment horizontal="center" vertical="center"/>
    </xf>
    <xf numFmtId="0" fontId="2" fillId="0" borderId="11" xfId="0" applyFont="1" applyBorder="1" applyAlignment="1">
      <alignment horizontal="right" vertical="center" wrapText="1"/>
    </xf>
    <xf numFmtId="0" fontId="2" fillId="0" borderId="12" xfId="0" applyFont="1" applyBorder="1" applyAlignment="1">
      <alignment horizontal="right" vertical="center" wrapText="1"/>
    </xf>
    <xf numFmtId="0" fontId="2" fillId="0" borderId="13" xfId="0" applyFont="1" applyBorder="1" applyAlignment="1">
      <alignment horizontal="right" vertical="center" wrapText="1"/>
    </xf>
    <xf numFmtId="0" fontId="13" fillId="49" borderId="11" xfId="0" applyFont="1" applyFill="1" applyBorder="1" applyAlignment="1">
      <alignment horizontal="center" vertical="center" wrapText="1"/>
    </xf>
    <xf numFmtId="0" fontId="13" fillId="49" borderId="12" xfId="0" applyFont="1" applyFill="1" applyBorder="1" applyAlignment="1">
      <alignment horizontal="center" vertical="center" wrapText="1"/>
    </xf>
    <xf numFmtId="0" fontId="13" fillId="49" borderId="13" xfId="0" applyFont="1" applyFill="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178" fontId="2" fillId="0" borderId="14" xfId="0" applyNumberFormat="1" applyFont="1" applyBorder="1" applyAlignment="1">
      <alignment horizontal="right" vertical="center" wrapText="1"/>
    </xf>
    <xf numFmtId="178" fontId="2" fillId="0" borderId="15" xfId="0" applyNumberFormat="1" applyFont="1" applyBorder="1" applyAlignment="1">
      <alignment horizontal="right" vertical="center" wrapText="1"/>
    </xf>
    <xf numFmtId="178" fontId="2" fillId="0" borderId="16" xfId="0" applyNumberFormat="1" applyFont="1" applyBorder="1" applyAlignment="1">
      <alignment horizontal="right" vertical="center" wrapText="1"/>
    </xf>
    <xf numFmtId="0" fontId="2" fillId="0" borderId="14" xfId="0" applyFont="1" applyBorder="1" applyAlignment="1">
      <alignment horizontal="center" vertical="center" wrapText="1"/>
    </xf>
    <xf numFmtId="0" fontId="2" fillId="0" borderId="16" xfId="0" applyFont="1" applyBorder="1" applyAlignment="1">
      <alignment horizontal="center" vertical="center" wrapText="1"/>
    </xf>
    <xf numFmtId="3" fontId="2" fillId="0" borderId="14" xfId="0" applyNumberFormat="1" applyFont="1" applyBorder="1" applyAlignment="1">
      <alignment horizontal="right" vertical="center" wrapText="1"/>
    </xf>
    <xf numFmtId="3" fontId="2" fillId="0" borderId="16" xfId="0" applyNumberFormat="1" applyFont="1" applyBorder="1" applyAlignment="1">
      <alignment horizontal="right" vertical="center" wrapText="1"/>
    </xf>
    <xf numFmtId="0" fontId="2" fillId="0" borderId="14" xfId="0" applyFont="1" applyBorder="1" applyAlignment="1">
      <alignment horizontal="right" vertical="center" wrapText="1"/>
    </xf>
    <xf numFmtId="0" fontId="2" fillId="0" borderId="16" xfId="0" applyFont="1" applyBorder="1" applyAlignment="1">
      <alignment horizontal="right" vertical="center" wrapText="1"/>
    </xf>
    <xf numFmtId="179" fontId="2" fillId="0" borderId="14" xfId="0" applyNumberFormat="1" applyFont="1" applyBorder="1" applyAlignment="1">
      <alignment horizontal="right" vertical="center" wrapText="1"/>
    </xf>
    <xf numFmtId="179" fontId="2" fillId="0" borderId="16" xfId="0" applyNumberFormat="1" applyFont="1" applyBorder="1" applyAlignment="1">
      <alignment horizontal="right" vertical="center" wrapText="1"/>
    </xf>
    <xf numFmtId="0" fontId="2" fillId="0" borderId="11" xfId="0" applyFont="1" applyBorder="1" applyAlignment="1">
      <alignment horizontal="right" wrapText="1"/>
    </xf>
    <xf numFmtId="0" fontId="2" fillId="0" borderId="12" xfId="0" applyFont="1" applyBorder="1" applyAlignment="1">
      <alignment horizontal="right" wrapText="1"/>
    </xf>
    <xf numFmtId="0" fontId="2" fillId="0" borderId="13" xfId="0" applyFont="1" applyBorder="1" applyAlignment="1">
      <alignment horizontal="right" wrapText="1"/>
    </xf>
    <xf numFmtId="3" fontId="2" fillId="0" borderId="14" xfId="2" applyNumberFormat="1" applyFont="1" applyBorder="1" applyAlignment="1">
      <alignment horizontal="right" vertical="center" wrapText="1"/>
    </xf>
    <xf numFmtId="3" fontId="2" fillId="0" borderId="16" xfId="2" applyNumberFormat="1" applyFont="1" applyBorder="1" applyAlignment="1">
      <alignment horizontal="right" vertical="center" wrapText="1"/>
    </xf>
    <xf numFmtId="179" fontId="0" fillId="0" borderId="14" xfId="0" applyNumberFormat="1" applyBorder="1" applyAlignment="1">
      <alignment horizontal="right" vertical="center" wrapText="1"/>
    </xf>
    <xf numFmtId="179" fontId="0" fillId="0" borderId="16" xfId="0" applyNumberFormat="1" applyBorder="1" applyAlignment="1">
      <alignment horizontal="right" vertical="center" wrapText="1"/>
    </xf>
    <xf numFmtId="0" fontId="2" fillId="0" borderId="11" xfId="0" applyFont="1" applyBorder="1" applyAlignment="1">
      <alignment horizontal="right"/>
    </xf>
    <xf numFmtId="0" fontId="2" fillId="0" borderId="12" xfId="0" applyFont="1" applyBorder="1" applyAlignment="1">
      <alignment horizontal="right"/>
    </xf>
    <xf numFmtId="0" fontId="2" fillId="0" borderId="13" xfId="0" applyFont="1" applyBorder="1" applyAlignment="1">
      <alignment horizontal="right"/>
    </xf>
    <xf numFmtId="3" fontId="0" fillId="0" borderId="14" xfId="0" applyNumberFormat="1" applyBorder="1" applyAlignment="1">
      <alignment horizontal="right" vertical="center" wrapText="1"/>
    </xf>
    <xf numFmtId="3" fontId="0" fillId="0" borderId="16" xfId="0" applyNumberFormat="1" applyBorder="1" applyAlignment="1">
      <alignment horizontal="right" vertical="center" wrapText="1"/>
    </xf>
    <xf numFmtId="0" fontId="0" fillId="0" borderId="14" xfId="0" applyBorder="1" applyAlignment="1">
      <alignment horizontal="center" vertical="center" wrapText="1"/>
    </xf>
    <xf numFmtId="0" fontId="0" fillId="0" borderId="16" xfId="0" applyBorder="1" applyAlignment="1">
      <alignment horizontal="center" vertical="center" wrapText="1"/>
    </xf>
    <xf numFmtId="178" fontId="0" fillId="0" borderId="14" xfId="0" applyNumberFormat="1" applyBorder="1" applyAlignment="1">
      <alignment horizontal="right" vertical="center" wrapText="1"/>
    </xf>
    <xf numFmtId="178" fontId="0" fillId="0" borderId="16" xfId="0" applyNumberFormat="1" applyBorder="1" applyAlignment="1">
      <alignment horizontal="right" vertical="center" wrapText="1"/>
    </xf>
    <xf numFmtId="0" fontId="0" fillId="0" borderId="14" xfId="0" applyBorder="1" applyAlignment="1">
      <alignment horizontal="right" vertical="center" wrapText="1"/>
    </xf>
    <xf numFmtId="0" fontId="0" fillId="0" borderId="16" xfId="0" applyBorder="1" applyAlignment="1">
      <alignment horizontal="right" vertical="center" wrapText="1"/>
    </xf>
    <xf numFmtId="0" fontId="8" fillId="15" borderId="20" xfId="0" applyFont="1" applyFill="1" applyBorder="1" applyAlignment="1">
      <alignment horizontal="center" vertical="center"/>
    </xf>
    <xf numFmtId="0" fontId="8" fillId="15" borderId="21" xfId="0" applyFont="1" applyFill="1" applyBorder="1" applyAlignment="1">
      <alignment horizontal="center" vertical="center"/>
    </xf>
    <xf numFmtId="0" fontId="8" fillId="15" borderId="22" xfId="0" applyFont="1" applyFill="1" applyBorder="1" applyAlignment="1">
      <alignment horizontal="center" vertical="center"/>
    </xf>
    <xf numFmtId="0" fontId="8" fillId="15" borderId="19" xfId="0" applyFont="1" applyFill="1" applyBorder="1" applyAlignment="1">
      <alignment horizontal="center" vertical="center"/>
    </xf>
    <xf numFmtId="0" fontId="8" fillId="15" borderId="10" xfId="0" applyFont="1" applyFill="1" applyBorder="1" applyAlignment="1">
      <alignment horizontal="center" vertical="center"/>
    </xf>
    <xf numFmtId="0" fontId="8" fillId="15" borderId="17" xfId="0" applyFont="1" applyFill="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178" fontId="0" fillId="0" borderId="15" xfId="0" applyNumberFormat="1" applyBorder="1" applyAlignment="1">
      <alignment horizontal="right" vertical="center" wrapText="1"/>
    </xf>
    <xf numFmtId="0" fontId="11" fillId="49" borderId="0" xfId="0" applyFont="1" applyFill="1" applyAlignment="1">
      <alignment horizontal="center" vertical="center" wrapText="1"/>
    </xf>
    <xf numFmtId="0" fontId="9" fillId="38" borderId="20" xfId="0" applyFont="1" applyFill="1" applyBorder="1" applyAlignment="1">
      <alignment horizontal="right" vertical="center"/>
    </xf>
    <xf numFmtId="0" fontId="9" fillId="38" borderId="21" xfId="0" applyFont="1" applyFill="1" applyBorder="1" applyAlignment="1">
      <alignment horizontal="right" vertical="center"/>
    </xf>
    <xf numFmtId="0" fontId="9" fillId="38" borderId="22" xfId="0" applyFont="1" applyFill="1" applyBorder="1" applyAlignment="1">
      <alignment horizontal="right" vertical="center"/>
    </xf>
    <xf numFmtId="0" fontId="9" fillId="38" borderId="19" xfId="0" applyFont="1" applyFill="1" applyBorder="1" applyAlignment="1">
      <alignment horizontal="right" vertical="center"/>
    </xf>
    <xf numFmtId="0" fontId="9" fillId="38" borderId="10" xfId="0" applyFont="1" applyFill="1" applyBorder="1" applyAlignment="1">
      <alignment horizontal="right" vertical="center"/>
    </xf>
    <xf numFmtId="0" fontId="9" fillId="38" borderId="17" xfId="0" applyFont="1" applyFill="1" applyBorder="1" applyAlignment="1">
      <alignment horizontal="right" vertical="center"/>
    </xf>
    <xf numFmtId="178" fontId="10" fillId="38" borderId="14" xfId="0" applyNumberFormat="1" applyFont="1" applyFill="1" applyBorder="1" applyAlignment="1">
      <alignment horizontal="right" vertical="center"/>
    </xf>
    <xf numFmtId="178" fontId="10" fillId="38" borderId="16" xfId="0" applyNumberFormat="1" applyFont="1" applyFill="1" applyBorder="1" applyAlignment="1">
      <alignment horizontal="right" vertical="center"/>
    </xf>
    <xf numFmtId="0" fontId="9" fillId="25" borderId="20" xfId="0" applyFont="1" applyFill="1" applyBorder="1" applyAlignment="1">
      <alignment horizontal="right" vertical="center"/>
    </xf>
    <xf numFmtId="0" fontId="9" fillId="25" borderId="21" xfId="0" applyFont="1" applyFill="1" applyBorder="1" applyAlignment="1">
      <alignment horizontal="right" vertical="center"/>
    </xf>
    <xf numFmtId="0" fontId="9" fillId="25" borderId="22" xfId="0" applyFont="1" applyFill="1" applyBorder="1" applyAlignment="1">
      <alignment horizontal="right" vertical="center"/>
    </xf>
    <xf numFmtId="0" fontId="9" fillId="25" borderId="19" xfId="0" applyFont="1" applyFill="1" applyBorder="1" applyAlignment="1">
      <alignment horizontal="right" vertical="center"/>
    </xf>
    <xf numFmtId="0" fontId="9" fillId="25" borderId="10" xfId="0" applyFont="1" applyFill="1" applyBorder="1" applyAlignment="1">
      <alignment horizontal="right" vertical="center"/>
    </xf>
    <xf numFmtId="0" fontId="9" fillId="25" borderId="17" xfId="0" applyFont="1" applyFill="1" applyBorder="1" applyAlignment="1">
      <alignment horizontal="right" vertical="center"/>
    </xf>
    <xf numFmtId="178" fontId="10" fillId="25" borderId="14" xfId="0" applyNumberFormat="1" applyFont="1" applyFill="1" applyBorder="1" applyAlignment="1">
      <alignment horizontal="right" vertical="center"/>
    </xf>
    <xf numFmtId="178" fontId="10" fillId="25" borderId="16" xfId="0" applyNumberFormat="1" applyFont="1" applyFill="1" applyBorder="1" applyAlignment="1">
      <alignment horizontal="right" vertical="center"/>
    </xf>
    <xf numFmtId="0" fontId="0" fillId="25" borderId="14" xfId="0" applyFill="1" applyBorder="1" applyAlignment="1">
      <alignment horizontal="center" vertical="center"/>
    </xf>
    <xf numFmtId="0" fontId="0" fillId="25" borderId="16" xfId="0" applyFill="1" applyBorder="1" applyAlignment="1">
      <alignment horizontal="center" vertical="center"/>
    </xf>
    <xf numFmtId="0" fontId="8" fillId="25" borderId="20" xfId="0" applyFont="1" applyFill="1" applyBorder="1" applyAlignment="1">
      <alignment horizontal="right" vertical="center"/>
    </xf>
    <xf numFmtId="0" fontId="8" fillId="25" borderId="21" xfId="0" applyFont="1" applyFill="1" applyBorder="1" applyAlignment="1">
      <alignment horizontal="right" vertical="center"/>
    </xf>
    <xf numFmtId="0" fontId="8" fillId="25" borderId="22" xfId="0" applyFont="1" applyFill="1" applyBorder="1" applyAlignment="1">
      <alignment horizontal="right" vertical="center"/>
    </xf>
    <xf numFmtId="0" fontId="8" fillId="25" borderId="19" xfId="0" applyFont="1" applyFill="1" applyBorder="1" applyAlignment="1">
      <alignment horizontal="right" vertical="center"/>
    </xf>
    <xf numFmtId="0" fontId="8" fillId="25" borderId="10" xfId="0" applyFont="1" applyFill="1" applyBorder="1" applyAlignment="1">
      <alignment horizontal="right" vertical="center"/>
    </xf>
    <xf numFmtId="0" fontId="8" fillId="25" borderId="17" xfId="0" applyFont="1" applyFill="1" applyBorder="1" applyAlignment="1">
      <alignment horizontal="right" vertical="center"/>
    </xf>
    <xf numFmtId="0" fontId="28" fillId="2" borderId="0" xfId="0" applyFont="1" applyFill="1" applyAlignment="1">
      <alignment horizontal="center" vertical="center"/>
    </xf>
    <xf numFmtId="0" fontId="26" fillId="2" borderId="0" xfId="0" applyFont="1" applyFill="1" applyAlignment="1">
      <alignment horizontal="center" vertical="center"/>
    </xf>
    <xf numFmtId="0" fontId="8" fillId="2" borderId="0" xfId="0" applyFont="1" applyFill="1" applyAlignment="1">
      <alignment horizontal="center" vertical="center"/>
    </xf>
    <xf numFmtId="0" fontId="2" fillId="0" borderId="2" xfId="0" applyFont="1" applyBorder="1" applyAlignment="1">
      <alignment horizontal="right" vertical="center" wrapText="1"/>
    </xf>
    <xf numFmtId="0" fontId="0" fillId="0" borderId="2" xfId="0" applyBorder="1" applyAlignment="1">
      <alignment horizontal="right" vertical="center" wrapText="1"/>
    </xf>
    <xf numFmtId="0" fontId="0" fillId="0" borderId="12" xfId="0" applyBorder="1" applyAlignment="1">
      <alignment horizontal="right" vertical="center" wrapText="1"/>
    </xf>
    <xf numFmtId="0" fontId="0" fillId="0" borderId="13" xfId="0" applyBorder="1" applyAlignment="1">
      <alignment horizontal="right" vertical="center" wrapText="1"/>
    </xf>
    <xf numFmtId="0" fontId="2" fillId="0" borderId="11" xfId="0" applyFont="1" applyBorder="1" applyAlignment="1">
      <alignment horizontal="right" vertical="center"/>
    </xf>
    <xf numFmtId="0" fontId="2" fillId="0" borderId="12" xfId="0" applyFont="1" applyBorder="1" applyAlignment="1">
      <alignment horizontal="right" vertical="center"/>
    </xf>
    <xf numFmtId="0" fontId="2" fillId="0" borderId="13" xfId="0" applyFont="1" applyBorder="1" applyAlignment="1">
      <alignment horizontal="right" vertical="center"/>
    </xf>
    <xf numFmtId="0" fontId="19" fillId="49" borderId="0" xfId="0" applyFont="1" applyFill="1" applyAlignment="1">
      <alignment horizontal="center" vertical="center"/>
    </xf>
    <xf numFmtId="0" fontId="19" fillId="49" borderId="10" xfId="0" applyFont="1" applyFill="1" applyBorder="1" applyAlignment="1">
      <alignment horizontal="center" vertical="center"/>
    </xf>
    <xf numFmtId="0" fontId="11" fillId="49" borderId="0" xfId="0" applyFont="1" applyFill="1" applyAlignment="1">
      <alignment horizontal="center" vertical="center"/>
    </xf>
    <xf numFmtId="0" fontId="8" fillId="24" borderId="20" xfId="0" applyFont="1" applyFill="1" applyBorder="1" applyAlignment="1">
      <alignment horizontal="center" vertical="center"/>
    </xf>
    <xf numFmtId="0" fontId="8" fillId="24" borderId="21" xfId="0" applyFont="1" applyFill="1" applyBorder="1" applyAlignment="1">
      <alignment horizontal="center" vertical="center"/>
    </xf>
    <xf numFmtId="0" fontId="8" fillId="24" borderId="22" xfId="0" applyFont="1" applyFill="1" applyBorder="1" applyAlignment="1">
      <alignment horizontal="center" vertical="center"/>
    </xf>
    <xf numFmtId="0" fontId="8" fillId="24" borderId="19" xfId="0" applyFont="1" applyFill="1" applyBorder="1" applyAlignment="1">
      <alignment horizontal="center" vertical="center"/>
    </xf>
    <xf numFmtId="0" fontId="8" fillId="24" borderId="10" xfId="0" applyFont="1" applyFill="1" applyBorder="1" applyAlignment="1">
      <alignment horizontal="center" vertical="center"/>
    </xf>
    <xf numFmtId="0" fontId="8" fillId="24" borderId="17" xfId="0" applyFont="1" applyFill="1" applyBorder="1" applyAlignment="1">
      <alignment horizontal="center" vertical="center"/>
    </xf>
    <xf numFmtId="0" fontId="2" fillId="24" borderId="11" xfId="0" applyFont="1" applyFill="1" applyBorder="1" applyAlignment="1">
      <alignment horizontal="center" vertical="center" wrapText="1"/>
    </xf>
    <xf numFmtId="0" fontId="2" fillId="24" borderId="12" xfId="0" applyFont="1" applyFill="1" applyBorder="1" applyAlignment="1">
      <alignment horizontal="center" vertical="center" wrapText="1"/>
    </xf>
    <xf numFmtId="0" fontId="2" fillId="24" borderId="13" xfId="0" applyFont="1" applyFill="1" applyBorder="1" applyAlignment="1">
      <alignment horizontal="center" vertical="center" wrapText="1"/>
    </xf>
    <xf numFmtId="0" fontId="2" fillId="15" borderId="11" xfId="0" applyFont="1" applyFill="1" applyBorder="1" applyAlignment="1">
      <alignment horizontal="center" vertical="center" wrapText="1"/>
    </xf>
    <xf numFmtId="0" fontId="2" fillId="15" borderId="12" xfId="0" applyFont="1" applyFill="1" applyBorder="1" applyAlignment="1">
      <alignment horizontal="center" vertical="center" wrapText="1"/>
    </xf>
    <xf numFmtId="0" fontId="2" fillId="15" borderId="13" xfId="0" applyFont="1" applyFill="1" applyBorder="1" applyAlignment="1">
      <alignment horizontal="center" vertical="center" wrapText="1"/>
    </xf>
    <xf numFmtId="0" fontId="8" fillId="38" borderId="20" xfId="0" applyFont="1" applyFill="1" applyBorder="1" applyAlignment="1">
      <alignment horizontal="right" vertical="center"/>
    </xf>
    <xf numFmtId="0" fontId="8" fillId="38" borderId="21" xfId="0" applyFont="1" applyFill="1" applyBorder="1" applyAlignment="1">
      <alignment horizontal="right" vertical="center"/>
    </xf>
    <xf numFmtId="0" fontId="8" fillId="38" borderId="22" xfId="0" applyFont="1" applyFill="1" applyBorder="1" applyAlignment="1">
      <alignment horizontal="right" vertical="center"/>
    </xf>
    <xf numFmtId="0" fontId="8" fillId="38" borderId="19" xfId="0" applyFont="1" applyFill="1" applyBorder="1" applyAlignment="1">
      <alignment horizontal="right" vertical="center"/>
    </xf>
    <xf numFmtId="0" fontId="8" fillId="38" borderId="10" xfId="0" applyFont="1" applyFill="1" applyBorder="1" applyAlignment="1">
      <alignment horizontal="right" vertical="center"/>
    </xf>
    <xf numFmtId="0" fontId="8" fillId="38" borderId="17" xfId="0" applyFont="1" applyFill="1" applyBorder="1" applyAlignment="1">
      <alignment horizontal="right" vertical="center"/>
    </xf>
    <xf numFmtId="0" fontId="0" fillId="38" borderId="14" xfId="0" applyFill="1" applyBorder="1" applyAlignment="1">
      <alignment horizontal="center" vertical="center"/>
    </xf>
    <xf numFmtId="0" fontId="0" fillId="38" borderId="16" xfId="0" applyFill="1" applyBorder="1" applyAlignment="1">
      <alignment horizontal="center" vertical="center"/>
    </xf>
    <xf numFmtId="0" fontId="8" fillId="11" borderId="20" xfId="0" applyFont="1" applyFill="1" applyBorder="1" applyAlignment="1">
      <alignment horizontal="center" vertical="center"/>
    </xf>
    <xf numFmtId="0" fontId="8" fillId="11" borderId="21" xfId="0" applyFont="1" applyFill="1" applyBorder="1" applyAlignment="1">
      <alignment horizontal="center" vertical="center"/>
    </xf>
    <xf numFmtId="0" fontId="8" fillId="11" borderId="22" xfId="0" applyFont="1" applyFill="1" applyBorder="1" applyAlignment="1">
      <alignment horizontal="center" vertical="center"/>
    </xf>
    <xf numFmtId="0" fontId="8" fillId="11" borderId="19" xfId="0" applyFont="1" applyFill="1" applyBorder="1" applyAlignment="1">
      <alignment horizontal="center" vertical="center"/>
    </xf>
    <xf numFmtId="0" fontId="8" fillId="11" borderId="10" xfId="0" applyFont="1" applyFill="1" applyBorder="1" applyAlignment="1">
      <alignment horizontal="center" vertical="center"/>
    </xf>
    <xf numFmtId="0" fontId="8" fillId="11" borderId="17" xfId="0" applyFont="1" applyFill="1" applyBorder="1" applyAlignment="1">
      <alignment horizontal="center" vertical="center"/>
    </xf>
    <xf numFmtId="0" fontId="8" fillId="53" borderId="20" xfId="0" applyFont="1" applyFill="1" applyBorder="1" applyAlignment="1">
      <alignment horizontal="center" vertical="center"/>
    </xf>
    <xf numFmtId="0" fontId="8" fillId="53" borderId="21" xfId="0" applyFont="1" applyFill="1" applyBorder="1" applyAlignment="1">
      <alignment horizontal="center" vertical="center"/>
    </xf>
    <xf numFmtId="0" fontId="8" fillId="53" borderId="22" xfId="0" applyFont="1" applyFill="1" applyBorder="1" applyAlignment="1">
      <alignment horizontal="center" vertical="center"/>
    </xf>
    <xf numFmtId="0" fontId="8" fillId="53" borderId="19" xfId="0" applyFont="1" applyFill="1" applyBorder="1" applyAlignment="1">
      <alignment horizontal="center" vertical="center"/>
    </xf>
    <xf numFmtId="0" fontId="8" fillId="53" borderId="10" xfId="0" applyFont="1" applyFill="1" applyBorder="1" applyAlignment="1">
      <alignment horizontal="center" vertical="center"/>
    </xf>
    <xf numFmtId="0" fontId="8" fillId="53" borderId="17" xfId="0" applyFont="1" applyFill="1" applyBorder="1" applyAlignment="1">
      <alignment horizontal="center" vertical="center"/>
    </xf>
    <xf numFmtId="0" fontId="8" fillId="50" borderId="20" xfId="0" applyFont="1" applyFill="1" applyBorder="1" applyAlignment="1">
      <alignment horizontal="center" vertical="center"/>
    </xf>
    <xf numFmtId="0" fontId="8" fillId="50" borderId="21" xfId="0" applyFont="1" applyFill="1" applyBorder="1" applyAlignment="1">
      <alignment horizontal="center" vertical="center"/>
    </xf>
    <xf numFmtId="0" fontId="8" fillId="50" borderId="22" xfId="0" applyFont="1" applyFill="1" applyBorder="1" applyAlignment="1">
      <alignment horizontal="center" vertical="center"/>
    </xf>
    <xf numFmtId="0" fontId="8" fillId="50" borderId="19" xfId="0" applyFont="1" applyFill="1" applyBorder="1" applyAlignment="1">
      <alignment horizontal="center" vertical="center"/>
    </xf>
    <xf numFmtId="0" fontId="8" fillId="50" borderId="10" xfId="0" applyFont="1" applyFill="1" applyBorder="1" applyAlignment="1">
      <alignment horizontal="center" vertical="center"/>
    </xf>
    <xf numFmtId="0" fontId="8" fillId="50" borderId="17" xfId="0" applyFont="1" applyFill="1" applyBorder="1" applyAlignment="1">
      <alignment horizontal="center" vertical="center"/>
    </xf>
    <xf numFmtId="0" fontId="8" fillId="71" borderId="20" xfId="0" applyFont="1" applyFill="1" applyBorder="1" applyAlignment="1">
      <alignment horizontal="center" vertical="center"/>
    </xf>
    <xf numFmtId="0" fontId="8" fillId="71" borderId="21" xfId="0" applyFont="1" applyFill="1" applyBorder="1" applyAlignment="1">
      <alignment horizontal="center" vertical="center"/>
    </xf>
    <xf numFmtId="0" fontId="8" fillId="71" borderId="22" xfId="0" applyFont="1" applyFill="1" applyBorder="1" applyAlignment="1">
      <alignment horizontal="center" vertical="center"/>
    </xf>
    <xf numFmtId="0" fontId="8" fillId="71" borderId="19" xfId="0" applyFont="1" applyFill="1" applyBorder="1" applyAlignment="1">
      <alignment horizontal="center" vertical="center"/>
    </xf>
    <xf numFmtId="0" fontId="8" fillId="71" borderId="10" xfId="0" applyFont="1" applyFill="1" applyBorder="1" applyAlignment="1">
      <alignment horizontal="center" vertical="center"/>
    </xf>
    <xf numFmtId="0" fontId="8" fillId="71" borderId="17" xfId="0" applyFont="1" applyFill="1" applyBorder="1" applyAlignment="1">
      <alignment horizontal="center" vertical="center"/>
    </xf>
    <xf numFmtId="0" fontId="8" fillId="73" borderId="20" xfId="0" applyFont="1" applyFill="1" applyBorder="1" applyAlignment="1">
      <alignment horizontal="center" vertical="center"/>
    </xf>
    <xf numFmtId="0" fontId="8" fillId="73" borderId="21" xfId="0" applyFont="1" applyFill="1" applyBorder="1" applyAlignment="1">
      <alignment horizontal="center" vertical="center"/>
    </xf>
    <xf numFmtId="0" fontId="8" fillId="73" borderId="22" xfId="0" applyFont="1" applyFill="1" applyBorder="1" applyAlignment="1">
      <alignment horizontal="center" vertical="center"/>
    </xf>
    <xf numFmtId="0" fontId="8" fillId="73" borderId="19" xfId="0" applyFont="1" applyFill="1" applyBorder="1" applyAlignment="1">
      <alignment horizontal="center" vertical="center"/>
    </xf>
    <xf numFmtId="0" fontId="8" fillId="73" borderId="10" xfId="0" applyFont="1" applyFill="1" applyBorder="1" applyAlignment="1">
      <alignment horizontal="center" vertical="center"/>
    </xf>
    <xf numFmtId="0" fontId="8" fillId="73" borderId="17" xfId="0" applyFont="1" applyFill="1" applyBorder="1" applyAlignment="1">
      <alignment horizontal="center" vertical="center"/>
    </xf>
    <xf numFmtId="0" fontId="8" fillId="23" borderId="20" xfId="0" applyFont="1" applyFill="1" applyBorder="1" applyAlignment="1">
      <alignment horizontal="center" vertical="center"/>
    </xf>
    <xf numFmtId="0" fontId="8" fillId="23" borderId="21" xfId="0" applyFont="1" applyFill="1" applyBorder="1" applyAlignment="1">
      <alignment horizontal="center" vertical="center"/>
    </xf>
    <xf numFmtId="0" fontId="8" fillId="23" borderId="22" xfId="0" applyFont="1" applyFill="1" applyBorder="1" applyAlignment="1">
      <alignment horizontal="center" vertical="center"/>
    </xf>
    <xf numFmtId="0" fontId="8" fillId="23" borderId="19" xfId="0" applyFont="1" applyFill="1" applyBorder="1" applyAlignment="1">
      <alignment horizontal="center" vertical="center"/>
    </xf>
    <xf numFmtId="0" fontId="8" fillId="23" borderId="10" xfId="0" applyFont="1" applyFill="1" applyBorder="1" applyAlignment="1">
      <alignment horizontal="center" vertical="center"/>
    </xf>
    <xf numFmtId="0" fontId="8" fillId="23" borderId="17" xfId="0" applyFont="1" applyFill="1" applyBorder="1" applyAlignment="1">
      <alignment horizontal="center" vertical="center"/>
    </xf>
    <xf numFmtId="0" fontId="8" fillId="46" borderId="20" xfId="0" applyFont="1" applyFill="1" applyBorder="1" applyAlignment="1">
      <alignment horizontal="center" vertical="center"/>
    </xf>
    <xf numFmtId="0" fontId="8" fillId="46" borderId="21" xfId="0" applyFont="1" applyFill="1" applyBorder="1" applyAlignment="1">
      <alignment horizontal="center" vertical="center"/>
    </xf>
    <xf numFmtId="0" fontId="8" fillId="46" borderId="22" xfId="0" applyFont="1" applyFill="1" applyBorder="1" applyAlignment="1">
      <alignment horizontal="center" vertical="center"/>
    </xf>
    <xf numFmtId="0" fontId="8" fillId="46" borderId="19" xfId="0" applyFont="1" applyFill="1" applyBorder="1" applyAlignment="1">
      <alignment horizontal="center" vertical="center"/>
    </xf>
    <xf numFmtId="0" fontId="8" fillId="46" borderId="10" xfId="0" applyFont="1" applyFill="1" applyBorder="1" applyAlignment="1">
      <alignment horizontal="center" vertical="center"/>
    </xf>
    <xf numFmtId="0" fontId="8" fillId="46" borderId="17" xfId="0" applyFont="1" applyFill="1" applyBorder="1" applyAlignment="1">
      <alignment horizontal="center" vertical="center"/>
    </xf>
    <xf numFmtId="0" fontId="8" fillId="3" borderId="20" xfId="0" applyFont="1" applyFill="1" applyBorder="1" applyAlignment="1">
      <alignment horizontal="center" vertical="center"/>
    </xf>
    <xf numFmtId="0" fontId="8" fillId="3" borderId="21" xfId="0" applyFont="1" applyFill="1" applyBorder="1" applyAlignment="1">
      <alignment horizontal="center" vertical="center"/>
    </xf>
    <xf numFmtId="0" fontId="8" fillId="3" borderId="22" xfId="0" applyFont="1" applyFill="1" applyBorder="1" applyAlignment="1">
      <alignment horizontal="center" vertical="center"/>
    </xf>
    <xf numFmtId="0" fontId="8" fillId="3" borderId="19" xfId="0" applyFont="1" applyFill="1" applyBorder="1" applyAlignment="1">
      <alignment horizontal="center" vertical="center"/>
    </xf>
    <xf numFmtId="0" fontId="8" fillId="3" borderId="10" xfId="0" applyFont="1" applyFill="1" applyBorder="1" applyAlignment="1">
      <alignment horizontal="center" vertical="center"/>
    </xf>
    <xf numFmtId="0" fontId="8" fillId="3" borderId="17" xfId="0" applyFont="1" applyFill="1" applyBorder="1" applyAlignment="1">
      <alignment horizontal="center" vertical="center"/>
    </xf>
    <xf numFmtId="0" fontId="8" fillId="4" borderId="20" xfId="0" applyFont="1" applyFill="1" applyBorder="1" applyAlignment="1">
      <alignment horizontal="center" vertical="center"/>
    </xf>
    <xf numFmtId="0" fontId="8" fillId="4" borderId="21" xfId="0" applyFont="1" applyFill="1" applyBorder="1" applyAlignment="1">
      <alignment horizontal="center" vertical="center"/>
    </xf>
    <xf numFmtId="0" fontId="8" fillId="4" borderId="22" xfId="0" applyFont="1" applyFill="1" applyBorder="1" applyAlignment="1">
      <alignment horizontal="center" vertical="center"/>
    </xf>
    <xf numFmtId="0" fontId="8" fillId="4" borderId="19" xfId="0" applyFont="1" applyFill="1" applyBorder="1" applyAlignment="1">
      <alignment horizontal="center" vertical="center"/>
    </xf>
    <xf numFmtId="0" fontId="8" fillId="4" borderId="10" xfId="0" applyFont="1" applyFill="1" applyBorder="1" applyAlignment="1">
      <alignment horizontal="center" vertical="center"/>
    </xf>
    <xf numFmtId="0" fontId="8" fillId="4" borderId="17" xfId="0" applyFont="1" applyFill="1" applyBorder="1" applyAlignment="1">
      <alignment horizontal="center" vertical="center"/>
    </xf>
    <xf numFmtId="0" fontId="8" fillId="69" borderId="20" xfId="0" applyFont="1" applyFill="1" applyBorder="1" applyAlignment="1">
      <alignment horizontal="center" vertical="center"/>
    </xf>
    <xf numFmtId="0" fontId="8" fillId="69" borderId="21" xfId="0" applyFont="1" applyFill="1" applyBorder="1" applyAlignment="1">
      <alignment horizontal="center" vertical="center"/>
    </xf>
    <xf numFmtId="0" fontId="8" fillId="69" borderId="22" xfId="0" applyFont="1" applyFill="1" applyBorder="1" applyAlignment="1">
      <alignment horizontal="center" vertical="center"/>
    </xf>
    <xf numFmtId="0" fontId="8" fillId="69" borderId="19" xfId="0" applyFont="1" applyFill="1" applyBorder="1" applyAlignment="1">
      <alignment horizontal="center" vertical="center"/>
    </xf>
    <xf numFmtId="0" fontId="8" fillId="69" borderId="10" xfId="0" applyFont="1" applyFill="1" applyBorder="1" applyAlignment="1">
      <alignment horizontal="center" vertical="center"/>
    </xf>
    <xf numFmtId="0" fontId="8" fillId="69" borderId="17" xfId="0" applyFont="1" applyFill="1" applyBorder="1" applyAlignment="1">
      <alignment horizontal="center" vertical="center"/>
    </xf>
    <xf numFmtId="0" fontId="8" fillId="70" borderId="20" xfId="0" applyFont="1" applyFill="1" applyBorder="1" applyAlignment="1">
      <alignment horizontal="center" vertical="center"/>
    </xf>
    <xf numFmtId="0" fontId="8" fillId="70" borderId="21" xfId="0" applyFont="1" applyFill="1" applyBorder="1" applyAlignment="1">
      <alignment horizontal="center" vertical="center"/>
    </xf>
    <xf numFmtId="0" fontId="8" fillId="70" borderId="22" xfId="0" applyFont="1" applyFill="1" applyBorder="1" applyAlignment="1">
      <alignment horizontal="center" vertical="center"/>
    </xf>
    <xf numFmtId="0" fontId="8" fillId="70" borderId="19" xfId="0" applyFont="1" applyFill="1" applyBorder="1" applyAlignment="1">
      <alignment horizontal="center" vertical="center"/>
    </xf>
    <xf numFmtId="0" fontId="8" fillId="70" borderId="10" xfId="0" applyFont="1" applyFill="1" applyBorder="1" applyAlignment="1">
      <alignment horizontal="center" vertical="center"/>
    </xf>
    <xf numFmtId="0" fontId="8" fillId="70" borderId="17" xfId="0" applyFont="1" applyFill="1" applyBorder="1" applyAlignment="1">
      <alignment horizontal="center" vertical="center"/>
    </xf>
    <xf numFmtId="0" fontId="2" fillId="2" borderId="49" xfId="0" applyFont="1" applyFill="1" applyBorder="1" applyAlignment="1">
      <alignment horizontal="center"/>
    </xf>
    <xf numFmtId="0" fontId="2" fillId="2" borderId="8" xfId="0" applyFont="1" applyFill="1" applyBorder="1" applyAlignment="1">
      <alignment horizontal="center"/>
    </xf>
    <xf numFmtId="0" fontId="2" fillId="2" borderId="9" xfId="0" applyFont="1" applyFill="1" applyBorder="1" applyAlignment="1">
      <alignment horizontal="center"/>
    </xf>
    <xf numFmtId="0" fontId="2" fillId="30" borderId="11" xfId="0" applyFont="1" applyFill="1" applyBorder="1" applyAlignment="1">
      <alignment horizontal="center"/>
    </xf>
    <xf numFmtId="0" fontId="2" fillId="30" borderId="12" xfId="0" applyFont="1" applyFill="1" applyBorder="1" applyAlignment="1">
      <alignment horizontal="center"/>
    </xf>
    <xf numFmtId="0" fontId="2" fillId="30" borderId="13" xfId="0" applyFont="1" applyFill="1" applyBorder="1" applyAlignment="1">
      <alignment horizontal="center"/>
    </xf>
    <xf numFmtId="0" fontId="2" fillId="0" borderId="20" xfId="0" applyFont="1" applyBorder="1" applyAlignment="1">
      <alignment horizontal="left"/>
    </xf>
    <xf numFmtId="0" fontId="2" fillId="0" borderId="21" xfId="0" applyFont="1" applyBorder="1" applyAlignment="1">
      <alignment horizontal="left"/>
    </xf>
    <xf numFmtId="0" fontId="2" fillId="0" borderId="22" xfId="0" applyFont="1" applyBorder="1" applyAlignment="1">
      <alignment horizontal="left"/>
    </xf>
    <xf numFmtId="0" fontId="0" fillId="0" borderId="1" xfId="0" applyBorder="1" applyAlignment="1">
      <alignment horizontal="center"/>
    </xf>
    <xf numFmtId="0" fontId="8" fillId="47" borderId="20" xfId="0" applyFont="1" applyFill="1" applyBorder="1" applyAlignment="1">
      <alignment horizontal="center" vertical="center"/>
    </xf>
    <xf numFmtId="0" fontId="8" fillId="47" borderId="21" xfId="0" applyFont="1" applyFill="1" applyBorder="1" applyAlignment="1">
      <alignment horizontal="center" vertical="center"/>
    </xf>
    <xf numFmtId="0" fontId="8" fillId="47" borderId="22" xfId="0" applyFont="1" applyFill="1" applyBorder="1" applyAlignment="1">
      <alignment horizontal="center" vertical="center"/>
    </xf>
    <xf numFmtId="0" fontId="8" fillId="47" borderId="19" xfId="0" applyFont="1" applyFill="1" applyBorder="1" applyAlignment="1">
      <alignment horizontal="center" vertical="center"/>
    </xf>
    <xf numFmtId="0" fontId="8" fillId="47" borderId="10" xfId="0" applyFont="1" applyFill="1" applyBorder="1" applyAlignment="1">
      <alignment horizontal="center" vertical="center"/>
    </xf>
    <xf numFmtId="0" fontId="8" fillId="47" borderId="17" xfId="0" applyFont="1" applyFill="1" applyBorder="1" applyAlignment="1">
      <alignment horizontal="center" vertical="center"/>
    </xf>
    <xf numFmtId="0" fontId="0" fillId="0" borderId="15" xfId="0" applyBorder="1" applyAlignment="1">
      <alignment horizontal="center" vertical="center" wrapText="1"/>
    </xf>
    <xf numFmtId="167" fontId="0" fillId="0" borderId="14" xfId="1" applyFont="1" applyBorder="1" applyAlignment="1">
      <alignment horizontal="center" vertical="center" wrapText="1"/>
    </xf>
    <xf numFmtId="167" fontId="0" fillId="0" borderId="16" xfId="1" applyFont="1" applyBorder="1" applyAlignment="1">
      <alignment horizontal="center" vertical="center" wrapText="1"/>
    </xf>
    <xf numFmtId="0" fontId="8" fillId="26" borderId="20" xfId="0" applyFont="1" applyFill="1" applyBorder="1" applyAlignment="1">
      <alignment horizontal="center" vertical="center"/>
    </xf>
    <xf numFmtId="0" fontId="8" fillId="26" borderId="21" xfId="0" applyFont="1" applyFill="1" applyBorder="1" applyAlignment="1">
      <alignment horizontal="center" vertical="center"/>
    </xf>
    <xf numFmtId="0" fontId="8" fillId="26" borderId="22" xfId="0" applyFont="1" applyFill="1" applyBorder="1" applyAlignment="1">
      <alignment horizontal="center" vertical="center"/>
    </xf>
    <xf numFmtId="0" fontId="8" fillId="26" borderId="3" xfId="0" applyFont="1" applyFill="1" applyBorder="1" applyAlignment="1">
      <alignment horizontal="center" vertical="center"/>
    </xf>
    <xf numFmtId="0" fontId="8" fillId="26" borderId="0" xfId="0" applyFont="1" applyFill="1" applyAlignment="1">
      <alignment horizontal="center" vertical="center"/>
    </xf>
    <xf numFmtId="0" fontId="8" fillId="26" borderId="18" xfId="0" applyFont="1" applyFill="1" applyBorder="1" applyAlignment="1">
      <alignment horizontal="center" vertical="center"/>
    </xf>
    <xf numFmtId="179" fontId="2" fillId="0" borderId="14" xfId="0" applyNumberFormat="1" applyFont="1" applyBorder="1" applyAlignment="1">
      <alignment horizontal="center" vertical="center" wrapText="1"/>
    </xf>
    <xf numFmtId="179" fontId="2" fillId="0" borderId="16" xfId="0" applyNumberFormat="1" applyFont="1" applyBorder="1" applyAlignment="1">
      <alignment horizontal="center" vertical="center" wrapText="1"/>
    </xf>
    <xf numFmtId="3" fontId="2" fillId="0" borderId="14" xfId="0" applyNumberFormat="1" applyFont="1" applyBorder="1" applyAlignment="1">
      <alignment horizontal="center" vertical="center" wrapText="1"/>
    </xf>
    <xf numFmtId="3" fontId="2" fillId="0" borderId="16" xfId="0" applyNumberFormat="1" applyFont="1" applyBorder="1" applyAlignment="1">
      <alignment horizontal="center" vertical="center" wrapText="1"/>
    </xf>
    <xf numFmtId="167" fontId="2" fillId="0" borderId="14" xfId="1" applyFont="1" applyBorder="1" applyAlignment="1">
      <alignment horizontal="center" vertical="center" wrapText="1"/>
    </xf>
    <xf numFmtId="167" fontId="2" fillId="0" borderId="16" xfId="1" applyFont="1" applyBorder="1" applyAlignment="1">
      <alignment horizontal="center" vertical="center" wrapText="1"/>
    </xf>
    <xf numFmtId="0" fontId="8" fillId="62" borderId="20" xfId="0" applyFont="1" applyFill="1" applyBorder="1" applyAlignment="1">
      <alignment horizontal="center" vertical="center"/>
    </xf>
    <xf numFmtId="0" fontId="8" fillId="62" borderId="21" xfId="0" applyFont="1" applyFill="1" applyBorder="1" applyAlignment="1">
      <alignment horizontal="center" vertical="center"/>
    </xf>
    <xf numFmtId="0" fontId="8" fillId="62" borderId="22" xfId="0" applyFont="1" applyFill="1" applyBorder="1" applyAlignment="1">
      <alignment horizontal="center" vertical="center"/>
    </xf>
    <xf numFmtId="0" fontId="8" fillId="62" borderId="19" xfId="0" applyFont="1" applyFill="1" applyBorder="1" applyAlignment="1">
      <alignment horizontal="center" vertical="center"/>
    </xf>
    <xf numFmtId="0" fontId="8" fillId="62" borderId="10" xfId="0" applyFont="1" applyFill="1" applyBorder="1" applyAlignment="1">
      <alignment horizontal="center" vertical="center"/>
    </xf>
    <xf numFmtId="0" fontId="8" fillId="62" borderId="17" xfId="0" applyFont="1" applyFill="1" applyBorder="1" applyAlignment="1">
      <alignment horizontal="center" vertical="center"/>
    </xf>
    <xf numFmtId="0" fontId="9" fillId="25" borderId="11" xfId="0" applyFont="1" applyFill="1" applyBorder="1" applyAlignment="1">
      <alignment horizontal="right" vertical="center"/>
    </xf>
    <xf numFmtId="0" fontId="9" fillId="25" borderId="12" xfId="0" applyFont="1" applyFill="1" applyBorder="1" applyAlignment="1">
      <alignment horizontal="right" vertical="center"/>
    </xf>
    <xf numFmtId="0" fontId="9" fillId="25" borderId="13" xfId="0" applyFont="1" applyFill="1" applyBorder="1" applyAlignment="1">
      <alignment horizontal="right" vertical="center"/>
    </xf>
    <xf numFmtId="0" fontId="2" fillId="3" borderId="11"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2" fillId="23" borderId="11" xfId="0" applyFont="1" applyFill="1" applyBorder="1" applyAlignment="1">
      <alignment horizontal="center" vertical="center" wrapText="1"/>
    </xf>
    <xf numFmtId="0" fontId="2" fillId="23" borderId="12" xfId="0" applyFont="1" applyFill="1" applyBorder="1" applyAlignment="1">
      <alignment horizontal="center" vertical="center" wrapText="1"/>
    </xf>
    <xf numFmtId="0" fontId="2" fillId="23" borderId="13" xfId="0" applyFont="1" applyFill="1" applyBorder="1" applyAlignment="1">
      <alignment horizontal="center" vertical="center" wrapText="1"/>
    </xf>
    <xf numFmtId="0" fontId="2" fillId="33" borderId="11" xfId="0" applyFont="1" applyFill="1" applyBorder="1" applyAlignment="1">
      <alignment horizontal="center" vertical="center" wrapText="1"/>
    </xf>
    <xf numFmtId="0" fontId="2" fillId="33" borderId="12" xfId="0" applyFont="1" applyFill="1" applyBorder="1" applyAlignment="1">
      <alignment horizontal="center" vertical="center" wrapText="1"/>
    </xf>
    <xf numFmtId="0" fontId="2" fillId="33" borderId="13" xfId="0" applyFont="1" applyFill="1" applyBorder="1" applyAlignment="1">
      <alignment horizontal="center" vertical="center" wrapText="1"/>
    </xf>
    <xf numFmtId="0" fontId="8" fillId="26" borderId="19" xfId="0" applyFont="1" applyFill="1" applyBorder="1" applyAlignment="1">
      <alignment horizontal="center" vertical="center"/>
    </xf>
    <xf numFmtId="0" fontId="8" fillId="26" borderId="10" xfId="0" applyFont="1" applyFill="1" applyBorder="1" applyAlignment="1">
      <alignment horizontal="center" vertical="center"/>
    </xf>
    <xf numFmtId="0" fontId="8" fillId="26" borderId="17" xfId="0" applyFont="1" applyFill="1" applyBorder="1" applyAlignment="1">
      <alignment horizontal="center" vertical="center"/>
    </xf>
    <xf numFmtId="0" fontId="2" fillId="62" borderId="11" xfId="0" applyFont="1" applyFill="1" applyBorder="1" applyAlignment="1">
      <alignment horizontal="center" vertical="center" wrapText="1"/>
    </xf>
    <xf numFmtId="0" fontId="2" fillId="62" borderId="12" xfId="0" applyFont="1" applyFill="1" applyBorder="1" applyAlignment="1">
      <alignment horizontal="center" vertical="center" wrapText="1"/>
    </xf>
    <xf numFmtId="0" fontId="2" fillId="62" borderId="13" xfId="0" applyFont="1" applyFill="1" applyBorder="1" applyAlignment="1">
      <alignment horizontal="center" vertical="center" wrapText="1"/>
    </xf>
    <xf numFmtId="0" fontId="2" fillId="47" borderId="11" xfId="0" applyFont="1" applyFill="1" applyBorder="1" applyAlignment="1">
      <alignment horizontal="center" vertical="center" wrapText="1"/>
    </xf>
    <xf numFmtId="0" fontId="2" fillId="47" borderId="12" xfId="0" applyFont="1" applyFill="1" applyBorder="1" applyAlignment="1">
      <alignment horizontal="center" vertical="center" wrapText="1"/>
    </xf>
    <xf numFmtId="0" fontId="2" fillId="47" borderId="13" xfId="0" applyFont="1" applyFill="1" applyBorder="1" applyAlignment="1">
      <alignment horizontal="center" vertical="center" wrapText="1"/>
    </xf>
    <xf numFmtId="167" fontId="26" fillId="25" borderId="22" xfId="0" applyNumberFormat="1" applyFont="1" applyFill="1" applyBorder="1" applyAlignment="1">
      <alignment horizontal="center" vertical="center"/>
    </xf>
    <xf numFmtId="0" fontId="26" fillId="25" borderId="17" xfId="0" applyFont="1" applyFill="1" applyBorder="1" applyAlignment="1">
      <alignment horizontal="center" vertical="center"/>
    </xf>
    <xf numFmtId="0" fontId="0" fillId="0" borderId="0" xfId="0" applyAlignment="1">
      <alignment horizontal="center"/>
    </xf>
    <xf numFmtId="0" fontId="2" fillId="0" borderId="0" xfId="0" applyFont="1" applyAlignment="1">
      <alignment horizontal="center"/>
    </xf>
    <xf numFmtId="167" fontId="2" fillId="0" borderId="11" xfId="1" applyFont="1" applyBorder="1" applyAlignment="1">
      <alignment horizontal="center"/>
    </xf>
    <xf numFmtId="167" fontId="2" fillId="0" borderId="12" xfId="1" applyFont="1" applyBorder="1" applyAlignment="1">
      <alignment horizontal="center"/>
    </xf>
    <xf numFmtId="167" fontId="2" fillId="0" borderId="13" xfId="1" applyFont="1" applyBorder="1" applyAlignment="1">
      <alignment horizontal="center"/>
    </xf>
    <xf numFmtId="0" fontId="8" fillId="5" borderId="20" xfId="0" applyFont="1" applyFill="1" applyBorder="1" applyAlignment="1">
      <alignment horizontal="center" vertical="center"/>
    </xf>
    <xf numFmtId="0" fontId="8" fillId="5" borderId="21" xfId="0" applyFont="1" applyFill="1" applyBorder="1" applyAlignment="1">
      <alignment horizontal="center" vertical="center"/>
    </xf>
    <xf numFmtId="0" fontId="8" fillId="5" borderId="22" xfId="0" applyFont="1" applyFill="1" applyBorder="1" applyAlignment="1">
      <alignment horizontal="center" vertical="center"/>
    </xf>
    <xf numFmtId="0" fontId="8" fillId="5" borderId="19" xfId="0" applyFont="1" applyFill="1" applyBorder="1" applyAlignment="1">
      <alignment horizontal="center" vertical="center"/>
    </xf>
    <xf numFmtId="0" fontId="8" fillId="5" borderId="10" xfId="0" applyFont="1" applyFill="1" applyBorder="1" applyAlignment="1">
      <alignment horizontal="center" vertical="center"/>
    </xf>
    <xf numFmtId="0" fontId="8" fillId="5" borderId="17" xfId="0" applyFont="1" applyFill="1" applyBorder="1" applyAlignment="1">
      <alignment horizontal="center" vertical="center"/>
    </xf>
    <xf numFmtId="0" fontId="2" fillId="0" borderId="37" xfId="0" applyFont="1" applyBorder="1" applyAlignment="1">
      <alignment horizontal="center" vertical="center"/>
    </xf>
    <xf numFmtId="0" fontId="2" fillId="0" borderId="35" xfId="0" applyFont="1" applyBorder="1" applyAlignment="1">
      <alignment horizontal="center" vertical="center" wrapText="1"/>
    </xf>
    <xf numFmtId="0" fontId="2" fillId="0" borderId="4" xfId="0" applyFont="1" applyBorder="1" applyAlignment="1">
      <alignment horizontal="center" vertical="center" wrapText="1"/>
    </xf>
    <xf numFmtId="0" fontId="8" fillId="72" borderId="20" xfId="0" applyFont="1" applyFill="1" applyBorder="1" applyAlignment="1">
      <alignment horizontal="center" vertical="center"/>
    </xf>
    <xf numFmtId="0" fontId="8" fillId="72" borderId="21" xfId="0" applyFont="1" applyFill="1" applyBorder="1" applyAlignment="1">
      <alignment horizontal="center" vertical="center"/>
    </xf>
    <xf numFmtId="0" fontId="8" fillId="72" borderId="22" xfId="0" applyFont="1" applyFill="1" applyBorder="1" applyAlignment="1">
      <alignment horizontal="center" vertical="center"/>
    </xf>
    <xf numFmtId="0" fontId="8" fillId="72" borderId="19" xfId="0" applyFont="1" applyFill="1" applyBorder="1" applyAlignment="1">
      <alignment horizontal="center" vertical="center"/>
    </xf>
    <xf numFmtId="0" fontId="8" fillId="72" borderId="10" xfId="0" applyFont="1" applyFill="1" applyBorder="1" applyAlignment="1">
      <alignment horizontal="center" vertical="center"/>
    </xf>
    <xf numFmtId="0" fontId="8" fillId="72" borderId="17" xfId="0" applyFont="1" applyFill="1" applyBorder="1" applyAlignment="1">
      <alignment horizontal="center" vertical="center"/>
    </xf>
    <xf numFmtId="0" fontId="2" fillId="0" borderId="35" xfId="0" applyFont="1" applyBorder="1" applyAlignment="1">
      <alignment horizontal="center" vertical="center"/>
    </xf>
    <xf numFmtId="0" fontId="2" fillId="0" borderId="4" xfId="0" applyFont="1" applyBorder="1" applyAlignment="1">
      <alignment horizontal="center" vertical="center"/>
    </xf>
    <xf numFmtId="0" fontId="2" fillId="0" borderId="56" xfId="0" applyFont="1" applyBorder="1" applyAlignment="1">
      <alignment horizontal="center"/>
    </xf>
    <xf numFmtId="0" fontId="2" fillId="0" borderId="57" xfId="0" applyFont="1" applyBorder="1" applyAlignment="1">
      <alignment horizontal="center"/>
    </xf>
    <xf numFmtId="0" fontId="2" fillId="0" borderId="55" xfId="0" applyFont="1" applyBorder="1" applyAlignment="1">
      <alignment horizontal="center"/>
    </xf>
    <xf numFmtId="0" fontId="8" fillId="51" borderId="20" xfId="0" applyFont="1" applyFill="1" applyBorder="1" applyAlignment="1">
      <alignment horizontal="center" vertical="center"/>
    </xf>
    <xf numFmtId="0" fontId="8" fillId="51" borderId="21" xfId="0" applyFont="1" applyFill="1" applyBorder="1" applyAlignment="1">
      <alignment horizontal="center" vertical="center"/>
    </xf>
    <xf numFmtId="0" fontId="8" fillId="51" borderId="22" xfId="0" applyFont="1" applyFill="1" applyBorder="1" applyAlignment="1">
      <alignment horizontal="center" vertical="center"/>
    </xf>
    <xf numFmtId="0" fontId="8" fillId="51" borderId="19" xfId="0" applyFont="1" applyFill="1" applyBorder="1" applyAlignment="1">
      <alignment horizontal="center" vertical="center"/>
    </xf>
    <xf numFmtId="0" fontId="8" fillId="51" borderId="10" xfId="0" applyFont="1" applyFill="1" applyBorder="1" applyAlignment="1">
      <alignment horizontal="center" vertical="center"/>
    </xf>
    <xf numFmtId="0" fontId="8" fillId="51" borderId="17" xfId="0" applyFont="1" applyFill="1" applyBorder="1" applyAlignment="1">
      <alignment horizontal="center" vertical="center"/>
    </xf>
    <xf numFmtId="0" fontId="2" fillId="0" borderId="6" xfId="0" applyFont="1" applyBorder="1" applyAlignment="1">
      <alignment horizontal="center" vertical="center"/>
    </xf>
    <xf numFmtId="0" fontId="2" fillId="0" borderId="36" xfId="0" applyFont="1" applyBorder="1" applyAlignment="1">
      <alignment horizontal="center" vertical="center" wrapText="1"/>
    </xf>
    <xf numFmtId="0" fontId="8" fillId="76" borderId="20" xfId="0" applyFont="1" applyFill="1" applyBorder="1" applyAlignment="1">
      <alignment horizontal="center" vertical="center"/>
    </xf>
    <xf numFmtId="0" fontId="8" fillId="76" borderId="21" xfId="0" applyFont="1" applyFill="1" applyBorder="1" applyAlignment="1">
      <alignment horizontal="center" vertical="center"/>
    </xf>
    <xf numFmtId="0" fontId="8" fillId="76" borderId="22" xfId="0" applyFont="1" applyFill="1" applyBorder="1" applyAlignment="1">
      <alignment horizontal="center" vertical="center"/>
    </xf>
    <xf numFmtId="0" fontId="8" fillId="76" borderId="19" xfId="0" applyFont="1" applyFill="1" applyBorder="1" applyAlignment="1">
      <alignment horizontal="center" vertical="center"/>
    </xf>
    <xf numFmtId="0" fontId="8" fillId="76" borderId="10" xfId="0" applyFont="1" applyFill="1" applyBorder="1" applyAlignment="1">
      <alignment horizontal="center" vertical="center"/>
    </xf>
    <xf numFmtId="0" fontId="8" fillId="76" borderId="17" xfId="0" applyFont="1" applyFill="1" applyBorder="1" applyAlignment="1">
      <alignment horizontal="center" vertical="center"/>
    </xf>
    <xf numFmtId="0" fontId="15" fillId="49" borderId="0" xfId="0" applyFont="1" applyFill="1" applyAlignment="1">
      <alignment horizontal="center" vertical="center" wrapText="1"/>
    </xf>
    <xf numFmtId="0" fontId="8" fillId="39" borderId="20" xfId="0" applyFont="1" applyFill="1" applyBorder="1" applyAlignment="1">
      <alignment horizontal="center" vertical="center"/>
    </xf>
    <xf numFmtId="0" fontId="8" fillId="39" borderId="21" xfId="0" applyFont="1" applyFill="1" applyBorder="1" applyAlignment="1">
      <alignment horizontal="center" vertical="center"/>
    </xf>
    <xf numFmtId="0" fontId="8" fillId="39" borderId="22" xfId="0" applyFont="1" applyFill="1" applyBorder="1" applyAlignment="1">
      <alignment horizontal="center" vertical="center"/>
    </xf>
    <xf numFmtId="0" fontId="8" fillId="39" borderId="19" xfId="0" applyFont="1" applyFill="1" applyBorder="1" applyAlignment="1">
      <alignment horizontal="center" vertical="center"/>
    </xf>
    <xf numFmtId="0" fontId="8" fillId="39" borderId="10" xfId="0" applyFont="1" applyFill="1" applyBorder="1" applyAlignment="1">
      <alignment horizontal="center" vertical="center"/>
    </xf>
    <xf numFmtId="0" fontId="8" fillId="39" borderId="17" xfId="0" applyFont="1" applyFill="1" applyBorder="1" applyAlignment="1">
      <alignment horizontal="center" vertical="center"/>
    </xf>
    <xf numFmtId="0" fontId="8" fillId="33" borderId="20" xfId="0" applyFont="1" applyFill="1" applyBorder="1" applyAlignment="1">
      <alignment horizontal="center" vertical="center"/>
    </xf>
    <xf numFmtId="0" fontId="8" fillId="33" borderId="21" xfId="0" applyFont="1" applyFill="1" applyBorder="1" applyAlignment="1">
      <alignment horizontal="center" vertical="center"/>
    </xf>
    <xf numFmtId="0" fontId="8" fillId="33" borderId="22" xfId="0" applyFont="1" applyFill="1" applyBorder="1" applyAlignment="1">
      <alignment horizontal="center" vertical="center"/>
    </xf>
    <xf numFmtId="0" fontId="8" fillId="33" borderId="19" xfId="0" applyFont="1" applyFill="1" applyBorder="1" applyAlignment="1">
      <alignment horizontal="center" vertical="center"/>
    </xf>
    <xf numFmtId="0" fontId="8" fillId="33" borderId="10" xfId="0" applyFont="1" applyFill="1" applyBorder="1" applyAlignment="1">
      <alignment horizontal="center" vertical="center"/>
    </xf>
    <xf numFmtId="0" fontId="8" fillId="33" borderId="17" xfId="0" applyFont="1" applyFill="1" applyBorder="1" applyAlignment="1">
      <alignment horizontal="center" vertical="center"/>
    </xf>
    <xf numFmtId="0" fontId="8" fillId="69" borderId="3" xfId="0" applyFont="1" applyFill="1" applyBorder="1" applyAlignment="1">
      <alignment horizontal="center" vertical="center"/>
    </xf>
    <xf numFmtId="0" fontId="8" fillId="69" borderId="0" xfId="0" applyFont="1" applyFill="1" applyAlignment="1">
      <alignment horizontal="center" vertical="center"/>
    </xf>
    <xf numFmtId="0" fontId="37" fillId="0" borderId="7" xfId="0" applyFont="1" applyBorder="1" applyAlignment="1">
      <alignment horizontal="center" vertical="center"/>
    </xf>
    <xf numFmtId="0" fontId="37" fillId="0" borderId="8" xfId="0" applyFont="1" applyBorder="1" applyAlignment="1">
      <alignment horizontal="center" vertical="center"/>
    </xf>
    <xf numFmtId="0" fontId="37" fillId="0" borderId="9" xfId="0" applyFont="1" applyBorder="1" applyAlignment="1">
      <alignment horizontal="center" vertical="center"/>
    </xf>
    <xf numFmtId="0" fontId="37" fillId="0" borderId="1" xfId="0" applyFont="1" applyBorder="1" applyAlignment="1">
      <alignment horizontal="center" vertical="center"/>
    </xf>
    <xf numFmtId="0" fontId="37" fillId="0" borderId="6" xfId="0" applyFont="1" applyBorder="1" applyAlignment="1">
      <alignment horizontal="center" vertical="center"/>
    </xf>
    <xf numFmtId="0" fontId="8" fillId="70" borderId="0" xfId="0" applyFont="1" applyFill="1" applyAlignment="1">
      <alignment horizontal="center" vertical="center"/>
    </xf>
    <xf numFmtId="0" fontId="2" fillId="0" borderId="1" xfId="0" applyFont="1" applyBorder="1" applyAlignment="1">
      <alignment horizontal="center" vertical="center" wrapText="1"/>
    </xf>
    <xf numFmtId="0" fontId="8" fillId="80" borderId="20" xfId="0" applyFont="1" applyFill="1" applyBorder="1" applyAlignment="1">
      <alignment horizontal="center" vertical="center"/>
    </xf>
    <xf numFmtId="0" fontId="8" fillId="80" borderId="21" xfId="0" applyFont="1" applyFill="1" applyBorder="1" applyAlignment="1">
      <alignment horizontal="center" vertical="center"/>
    </xf>
    <xf numFmtId="0" fontId="8" fillId="80" borderId="22" xfId="0" applyFont="1" applyFill="1" applyBorder="1" applyAlignment="1">
      <alignment horizontal="center" vertical="center"/>
    </xf>
    <xf numFmtId="0" fontId="8" fillId="80" borderId="19" xfId="0" applyFont="1" applyFill="1" applyBorder="1" applyAlignment="1">
      <alignment horizontal="center" vertical="center"/>
    </xf>
    <xf numFmtId="0" fontId="8" fillId="80" borderId="10" xfId="0" applyFont="1" applyFill="1" applyBorder="1" applyAlignment="1">
      <alignment horizontal="center" vertical="center"/>
    </xf>
    <xf numFmtId="0" fontId="8" fillId="80" borderId="17" xfId="0" applyFont="1" applyFill="1" applyBorder="1" applyAlignment="1">
      <alignment horizontal="center" vertical="center"/>
    </xf>
    <xf numFmtId="0" fontId="11" fillId="79" borderId="0" xfId="0" applyFont="1" applyFill="1" applyAlignment="1">
      <alignment horizontal="center" vertical="center"/>
    </xf>
    <xf numFmtId="0" fontId="0" fillId="0" borderId="7" xfId="0" applyBorder="1" applyAlignment="1">
      <alignment horizontal="center"/>
    </xf>
    <xf numFmtId="0" fontId="0" fillId="0" borderId="9" xfId="0" applyBorder="1" applyAlignment="1">
      <alignment horizontal="center"/>
    </xf>
    <xf numFmtId="0" fontId="0" fillId="0" borderId="24" xfId="0" applyBorder="1" applyAlignment="1">
      <alignment horizontal="center"/>
    </xf>
    <xf numFmtId="0" fontId="0" fillId="0" borderId="26" xfId="0" applyBorder="1" applyAlignment="1">
      <alignment horizontal="center"/>
    </xf>
    <xf numFmtId="0" fontId="3" fillId="0" borderId="14" xfId="0" applyFont="1" applyBorder="1" applyAlignment="1">
      <alignment horizontal="center" vertical="center" wrapText="1"/>
    </xf>
    <xf numFmtId="0" fontId="3" fillId="0" borderId="16" xfId="0" applyFont="1" applyBorder="1" applyAlignment="1">
      <alignment horizontal="center" vertical="center" wrapText="1"/>
    </xf>
    <xf numFmtId="0" fontId="4" fillId="0" borderId="11" xfId="0" applyFont="1" applyBorder="1" applyAlignment="1">
      <alignment horizontal="right" vertical="center" wrapText="1"/>
    </xf>
    <xf numFmtId="0" fontId="4" fillId="0" borderId="12" xfId="0" applyFont="1" applyBorder="1" applyAlignment="1">
      <alignment horizontal="right" vertical="center" wrapText="1"/>
    </xf>
    <xf numFmtId="0" fontId="4" fillId="0" borderId="13" xfId="0" applyFont="1" applyBorder="1" applyAlignment="1">
      <alignment horizontal="right" vertical="center" wrapText="1"/>
    </xf>
    <xf numFmtId="0" fontId="20" fillId="11" borderId="20" xfId="0" applyFont="1" applyFill="1" applyBorder="1" applyAlignment="1">
      <alignment horizontal="center" vertical="center"/>
    </xf>
    <xf numFmtId="0" fontId="20" fillId="11" borderId="21" xfId="0" applyFont="1" applyFill="1" applyBorder="1" applyAlignment="1">
      <alignment horizontal="center" vertical="center"/>
    </xf>
    <xf numFmtId="0" fontId="20" fillId="11" borderId="22" xfId="0" applyFont="1" applyFill="1" applyBorder="1" applyAlignment="1">
      <alignment horizontal="center" vertical="center"/>
    </xf>
    <xf numFmtId="0" fontId="20" fillId="11" borderId="19" xfId="0" applyFont="1" applyFill="1" applyBorder="1" applyAlignment="1">
      <alignment horizontal="center" vertical="center"/>
    </xf>
    <xf numFmtId="0" fontId="20" fillId="11" borderId="10" xfId="0" applyFont="1" applyFill="1" applyBorder="1" applyAlignment="1">
      <alignment horizontal="center" vertical="center"/>
    </xf>
    <xf numFmtId="0" fontId="20" fillId="11" borderId="17" xfId="0" applyFont="1" applyFill="1" applyBorder="1" applyAlignment="1">
      <alignment horizontal="center" vertical="center"/>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5" xfId="0" applyFont="1" applyBorder="1" applyAlignment="1">
      <alignment horizontal="center" vertical="center" wrapText="1"/>
    </xf>
    <xf numFmtId="0" fontId="8" fillId="54" borderId="20" xfId="0" applyFont="1" applyFill="1" applyBorder="1" applyAlignment="1">
      <alignment horizontal="center" vertical="center"/>
    </xf>
    <xf numFmtId="0" fontId="8" fillId="54" borderId="21" xfId="0" applyFont="1" applyFill="1" applyBorder="1" applyAlignment="1">
      <alignment horizontal="center" vertical="center"/>
    </xf>
    <xf numFmtId="0" fontId="8" fillId="54" borderId="22" xfId="0" applyFont="1" applyFill="1" applyBorder="1" applyAlignment="1">
      <alignment horizontal="center" vertical="center"/>
    </xf>
    <xf numFmtId="0" fontId="8" fillId="54" borderId="19" xfId="0" applyFont="1" applyFill="1" applyBorder="1" applyAlignment="1">
      <alignment horizontal="center" vertical="center"/>
    </xf>
    <xf numFmtId="0" fontId="8" fillId="54" borderId="10" xfId="0" applyFont="1" applyFill="1" applyBorder="1" applyAlignment="1">
      <alignment horizontal="center" vertical="center"/>
    </xf>
    <xf numFmtId="0" fontId="8" fillId="54" borderId="17" xfId="0" applyFont="1" applyFill="1" applyBorder="1" applyAlignment="1">
      <alignment horizontal="center" vertical="center"/>
    </xf>
    <xf numFmtId="0" fontId="2" fillId="54" borderId="11" xfId="0" applyFont="1" applyFill="1" applyBorder="1" applyAlignment="1">
      <alignment horizontal="center" vertical="center" wrapText="1"/>
    </xf>
    <xf numFmtId="0" fontId="2" fillId="54" borderId="12" xfId="0" applyFont="1" applyFill="1" applyBorder="1" applyAlignment="1">
      <alignment horizontal="center" vertical="center" wrapText="1"/>
    </xf>
    <xf numFmtId="0" fontId="2" fillId="54" borderId="13" xfId="0" applyFont="1" applyFill="1" applyBorder="1" applyAlignment="1">
      <alignment horizontal="center" vertical="center" wrapText="1"/>
    </xf>
    <xf numFmtId="0" fontId="0" fillId="0" borderId="0" xfId="0" applyBorder="1"/>
    <xf numFmtId="43" fontId="0" fillId="0" borderId="0" xfId="0" applyNumberFormat="1" applyBorder="1"/>
    <xf numFmtId="0" fontId="38" fillId="0" borderId="21" xfId="0" applyFont="1" applyBorder="1"/>
    <xf numFmtId="43" fontId="0" fillId="0" borderId="18" xfId="0" applyNumberFormat="1" applyBorder="1"/>
    <xf numFmtId="43" fontId="0" fillId="0" borderId="10" xfId="0" applyNumberFormat="1" applyBorder="1"/>
    <xf numFmtId="43" fontId="0" fillId="0" borderId="17" xfId="0" applyNumberFormat="1" applyBorder="1"/>
    <xf numFmtId="0" fontId="2" fillId="0" borderId="0" xfId="0" applyFont="1" applyBorder="1"/>
    <xf numFmtId="0" fontId="37" fillId="0" borderId="56" xfId="0" applyFont="1" applyBorder="1" applyAlignment="1">
      <alignment horizontal="center" vertical="center"/>
    </xf>
    <xf numFmtId="0" fontId="37" fillId="0" borderId="57" xfId="0" applyFont="1" applyBorder="1" applyAlignment="1">
      <alignment horizontal="center" vertical="center"/>
    </xf>
    <xf numFmtId="0" fontId="37" fillId="0" borderId="55" xfId="0" applyFont="1" applyBorder="1" applyAlignment="1">
      <alignment horizontal="center" vertical="center"/>
    </xf>
    <xf numFmtId="43" fontId="2" fillId="0" borderId="1" xfId="2" applyFont="1" applyFill="1" applyBorder="1"/>
    <xf numFmtId="0" fontId="0" fillId="0" borderId="1" xfId="0" applyFill="1" applyBorder="1"/>
    <xf numFmtId="183" fontId="2" fillId="0" borderId="1" xfId="2" applyNumberFormat="1" applyFont="1" applyFill="1" applyBorder="1"/>
    <xf numFmtId="0" fontId="25" fillId="8" borderId="0" xfId="0" applyFont="1" applyFill="1"/>
    <xf numFmtId="0" fontId="41" fillId="49" borderId="0" xfId="0" applyFont="1" applyFill="1" applyAlignment="1">
      <alignment horizontal="center"/>
    </xf>
    <xf numFmtId="0" fontId="18" fillId="8" borderId="0" xfId="0" applyFont="1" applyFill="1"/>
    <xf numFmtId="0" fontId="2" fillId="0" borderId="20" xfId="0" applyFont="1" applyBorder="1"/>
    <xf numFmtId="0" fontId="2" fillId="0" borderId="19" xfId="0" applyFont="1" applyBorder="1"/>
    <xf numFmtId="0" fontId="2" fillId="0" borderId="11" xfId="0" applyFont="1" applyBorder="1"/>
    <xf numFmtId="11" fontId="0" fillId="0" borderId="12" xfId="0" applyNumberFormat="1" applyBorder="1"/>
    <xf numFmtId="0" fontId="0" fillId="0" borderId="13" xfId="0" applyBorder="1"/>
    <xf numFmtId="43" fontId="0" fillId="2" borderId="4" xfId="2" applyFont="1" applyFill="1" applyBorder="1"/>
    <xf numFmtId="0" fontId="0" fillId="2" borderId="4" xfId="0" applyFill="1" applyBorder="1"/>
    <xf numFmtId="0" fontId="0" fillId="0" borderId="12" xfId="0" applyBorder="1"/>
    <xf numFmtId="0" fontId="19" fillId="8" borderId="0" xfId="0" applyFont="1" applyFill="1"/>
    <xf numFmtId="0" fontId="42" fillId="8" borderId="0" xfId="0" applyFont="1" applyFill="1"/>
    <xf numFmtId="0" fontId="19" fillId="49" borderId="0" xfId="0" applyFont="1" applyFill="1" applyBorder="1" applyAlignment="1">
      <alignment horizontal="center"/>
    </xf>
    <xf numFmtId="0" fontId="41" fillId="8" borderId="0" xfId="0" applyFont="1" applyFill="1" applyAlignment="1">
      <alignment horizontal="center"/>
    </xf>
    <xf numFmtId="0" fontId="38" fillId="0" borderId="0" xfId="0" applyFont="1"/>
    <xf numFmtId="0" fontId="38" fillId="23" borderId="0" xfId="0" applyFont="1" applyFill="1" applyAlignment="1">
      <alignment horizontal="center"/>
    </xf>
    <xf numFmtId="0" fontId="43" fillId="59" borderId="11" xfId="0" applyFont="1" applyFill="1" applyBorder="1" applyAlignment="1">
      <alignment vertical="center"/>
    </xf>
    <xf numFmtId="0" fontId="45" fillId="70" borderId="11" xfId="0" applyFont="1" applyFill="1" applyBorder="1" applyAlignment="1">
      <alignment vertical="center"/>
    </xf>
    <xf numFmtId="0" fontId="46" fillId="3" borderId="11" xfId="0" applyFont="1" applyFill="1" applyBorder="1" applyAlignment="1">
      <alignment vertical="center"/>
    </xf>
    <xf numFmtId="0" fontId="46" fillId="3" borderId="12" xfId="0" applyFont="1" applyFill="1" applyBorder="1" applyAlignment="1">
      <alignment vertical="center"/>
    </xf>
    <xf numFmtId="0" fontId="46" fillId="3" borderId="13" xfId="0" applyFont="1" applyFill="1" applyBorder="1" applyAlignment="1">
      <alignment vertical="center"/>
    </xf>
    <xf numFmtId="0" fontId="48" fillId="55" borderId="11" xfId="0" applyFont="1" applyFill="1" applyBorder="1" applyAlignment="1">
      <alignment vertical="center"/>
    </xf>
    <xf numFmtId="0" fontId="48" fillId="55" borderId="12" xfId="0" applyFont="1" applyFill="1" applyBorder="1" applyAlignment="1">
      <alignment vertical="center"/>
    </xf>
    <xf numFmtId="0" fontId="48" fillId="55" borderId="13" xfId="0" applyFont="1" applyFill="1" applyBorder="1" applyAlignment="1">
      <alignment vertical="center"/>
    </xf>
    <xf numFmtId="0" fontId="46" fillId="4" borderId="11" xfId="0" applyFont="1" applyFill="1" applyBorder="1" applyAlignment="1">
      <alignment vertical="center"/>
    </xf>
    <xf numFmtId="0" fontId="44" fillId="23" borderId="11" xfId="0" applyFont="1" applyFill="1" applyBorder="1" applyAlignment="1">
      <alignment vertical="center"/>
    </xf>
    <xf numFmtId="43" fontId="49" fillId="0" borderId="0" xfId="2" applyFont="1" applyFill="1" applyBorder="1" applyAlignment="1">
      <alignment vertical="center"/>
    </xf>
    <xf numFmtId="0" fontId="50" fillId="7" borderId="11" xfId="0" applyFont="1" applyFill="1" applyBorder="1" applyAlignment="1">
      <alignment vertical="center"/>
    </xf>
    <xf numFmtId="0" fontId="51" fillId="49" borderId="23" xfId="0" applyFont="1" applyFill="1" applyBorder="1" applyAlignment="1">
      <alignment horizontal="center" vertical="center"/>
    </xf>
    <xf numFmtId="0" fontId="52" fillId="49" borderId="0" xfId="0" applyFont="1" applyFill="1" applyAlignment="1">
      <alignment horizontal="center" vertical="center"/>
    </xf>
    <xf numFmtId="0" fontId="52" fillId="49" borderId="23" xfId="0" applyFont="1" applyFill="1" applyBorder="1" applyAlignment="1">
      <alignment horizontal="center" vertical="center"/>
    </xf>
    <xf numFmtId="0" fontId="46" fillId="51" borderId="11" xfId="0" applyFont="1" applyFill="1" applyBorder="1" applyAlignment="1">
      <alignment vertical="center"/>
    </xf>
    <xf numFmtId="0" fontId="53" fillId="51" borderId="12" xfId="0" applyFont="1" applyFill="1" applyBorder="1" applyAlignment="1">
      <alignment vertical="center"/>
    </xf>
    <xf numFmtId="0" fontId="50" fillId="54" borderId="11" xfId="0" applyFont="1" applyFill="1" applyBorder="1" applyAlignment="1">
      <alignment vertical="center"/>
    </xf>
    <xf numFmtId="0" fontId="43" fillId="39" borderId="11" xfId="0" applyFont="1" applyFill="1" applyBorder="1" applyAlignment="1">
      <alignment vertical="center"/>
    </xf>
    <xf numFmtId="0" fontId="47" fillId="49" borderId="0" xfId="0" applyFont="1" applyFill="1" applyAlignment="1">
      <alignment horizontal="center" vertical="center"/>
    </xf>
    <xf numFmtId="0" fontId="54" fillId="49" borderId="0" xfId="0" applyFont="1" applyFill="1" applyAlignment="1">
      <alignment horizontal="center" vertical="center"/>
    </xf>
    <xf numFmtId="0" fontId="0" fillId="0" borderId="0" xfId="0" applyFill="1" applyBorder="1" applyAlignment="1">
      <alignment vertical="center"/>
    </xf>
    <xf numFmtId="0" fontId="19" fillId="9" borderId="11" xfId="0" applyFont="1" applyFill="1" applyBorder="1" applyAlignment="1">
      <alignment vertical="center"/>
    </xf>
    <xf numFmtId="0" fontId="55" fillId="51" borderId="11" xfId="0" applyFont="1" applyFill="1" applyBorder="1" applyAlignment="1">
      <alignment vertical="center"/>
    </xf>
    <xf numFmtId="0" fontId="55" fillId="64" borderId="11" xfId="0" applyFont="1" applyFill="1" applyBorder="1" applyAlignment="1">
      <alignment vertical="center"/>
    </xf>
    <xf numFmtId="0" fontId="56" fillId="11" borderId="11" xfId="0" applyFont="1" applyFill="1" applyBorder="1" applyAlignment="1">
      <alignment vertical="center"/>
    </xf>
    <xf numFmtId="0" fontId="11" fillId="49" borderId="10" xfId="0" applyFont="1" applyFill="1" applyBorder="1" applyAlignment="1">
      <alignment horizontal="center" vertical="center"/>
    </xf>
    <xf numFmtId="0" fontId="8" fillId="63" borderId="20" xfId="0" applyFont="1" applyFill="1" applyBorder="1" applyAlignment="1">
      <alignment horizontal="center" vertical="center"/>
    </xf>
    <xf numFmtId="0" fontId="8" fillId="63" borderId="19" xfId="0" applyFont="1" applyFill="1" applyBorder="1" applyAlignment="1">
      <alignment horizontal="center" vertical="center"/>
    </xf>
    <xf numFmtId="0" fontId="8" fillId="45" borderId="20" xfId="0" applyFont="1" applyFill="1" applyBorder="1" applyAlignment="1">
      <alignment horizontal="center" vertical="center"/>
    </xf>
    <xf numFmtId="0" fontId="8" fillId="45" borderId="21" xfId="0" applyFont="1" applyFill="1" applyBorder="1" applyAlignment="1">
      <alignment horizontal="center" vertical="center"/>
    </xf>
    <xf numFmtId="0" fontId="8" fillId="45" borderId="19" xfId="0" applyFont="1" applyFill="1" applyBorder="1" applyAlignment="1">
      <alignment horizontal="center" vertical="center"/>
    </xf>
    <xf numFmtId="0" fontId="8" fillId="45" borderId="10" xfId="0" applyFont="1" applyFill="1" applyBorder="1" applyAlignment="1">
      <alignment horizontal="center" vertical="center"/>
    </xf>
    <xf numFmtId="0" fontId="8" fillId="63" borderId="21" xfId="0" applyFont="1" applyFill="1" applyBorder="1" applyAlignment="1">
      <alignment horizontal="center" vertical="center"/>
    </xf>
    <xf numFmtId="0" fontId="8" fillId="63" borderId="10" xfId="0" applyFont="1" applyFill="1" applyBorder="1" applyAlignment="1">
      <alignment horizontal="center" vertical="center"/>
    </xf>
    <xf numFmtId="0" fontId="8" fillId="74" borderId="20" xfId="0" applyFont="1" applyFill="1" applyBorder="1" applyAlignment="1">
      <alignment horizontal="center" vertical="center"/>
    </xf>
    <xf numFmtId="0" fontId="8" fillId="74" borderId="21" xfId="0" applyFont="1" applyFill="1" applyBorder="1" applyAlignment="1">
      <alignment horizontal="center" vertical="center"/>
    </xf>
    <xf numFmtId="0" fontId="8" fillId="74" borderId="19" xfId="0" applyFont="1" applyFill="1" applyBorder="1" applyAlignment="1">
      <alignment horizontal="center" vertical="center"/>
    </xf>
    <xf numFmtId="0" fontId="8" fillId="74" borderId="10" xfId="0" applyFont="1" applyFill="1" applyBorder="1" applyAlignment="1">
      <alignment horizontal="center" vertical="center"/>
    </xf>
    <xf numFmtId="0" fontId="8" fillId="2" borderId="20" xfId="0" applyFont="1" applyFill="1" applyBorder="1" applyAlignment="1">
      <alignment horizontal="center" vertical="center"/>
    </xf>
    <xf numFmtId="0" fontId="8" fillId="2" borderId="21" xfId="0" applyFont="1" applyFill="1" applyBorder="1" applyAlignment="1">
      <alignment horizontal="center" vertical="center"/>
    </xf>
    <xf numFmtId="0" fontId="8" fillId="2" borderId="19" xfId="0" applyFont="1" applyFill="1" applyBorder="1" applyAlignment="1">
      <alignment horizontal="center" vertical="center"/>
    </xf>
    <xf numFmtId="0" fontId="8" fillId="2" borderId="10" xfId="0" applyFont="1" applyFill="1" applyBorder="1" applyAlignment="1">
      <alignment horizontal="center" vertical="center"/>
    </xf>
    <xf numFmtId="0" fontId="0" fillId="0" borderId="0" xfId="0" applyBorder="1" applyAlignment="1">
      <alignment horizontal="right"/>
    </xf>
    <xf numFmtId="167" fontId="0" fillId="0" borderId="0" xfId="0" applyNumberFormat="1" applyBorder="1"/>
    <xf numFmtId="169" fontId="0" fillId="0" borderId="3" xfId="2" applyNumberFormat="1" applyFont="1" applyBorder="1"/>
    <xf numFmtId="169" fontId="0" fillId="0" borderId="3" xfId="0" applyNumberFormat="1" applyBorder="1"/>
    <xf numFmtId="169" fontId="0" fillId="0" borderId="19" xfId="2" applyNumberFormat="1" applyFont="1" applyBorder="1"/>
    <xf numFmtId="0" fontId="0" fillId="11" borderId="0" xfId="0" applyFill="1"/>
    <xf numFmtId="0" fontId="55" fillId="30" borderId="0" xfId="0" applyFont="1" applyFill="1"/>
    <xf numFmtId="0" fontId="2" fillId="0" borderId="37" xfId="0" applyFont="1" applyBorder="1" applyAlignment="1">
      <alignment wrapText="1"/>
    </xf>
    <xf numFmtId="0" fontId="2" fillId="0" borderId="38" xfId="0" applyFont="1" applyBorder="1" applyAlignment="1">
      <alignment wrapText="1"/>
    </xf>
    <xf numFmtId="0" fontId="2" fillId="0" borderId="46" xfId="0" applyFont="1" applyBorder="1"/>
    <xf numFmtId="0" fontId="2" fillId="0" borderId="47" xfId="0" applyFont="1" applyBorder="1" applyAlignment="1">
      <alignment wrapText="1"/>
    </xf>
    <xf numFmtId="0" fontId="2" fillId="0" borderId="31" xfId="0" applyFont="1" applyBorder="1"/>
    <xf numFmtId="0" fontId="2" fillId="0" borderId="33" xfId="0" applyFont="1" applyBorder="1"/>
    <xf numFmtId="0" fontId="2" fillId="0" borderId="49" xfId="0" applyFont="1" applyBorder="1"/>
    <xf numFmtId="0" fontId="0" fillId="0" borderId="58" xfId="0" applyBorder="1"/>
    <xf numFmtId="0" fontId="58" fillId="11" borderId="0" xfId="0" applyFont="1" applyFill="1"/>
    <xf numFmtId="0" fontId="55" fillId="3" borderId="11" xfId="0" applyFont="1" applyFill="1" applyBorder="1"/>
    <xf numFmtId="0" fontId="57" fillId="6" borderId="11" xfId="0" applyFont="1" applyFill="1" applyBorder="1"/>
    <xf numFmtId="0" fontId="57" fillId="6" borderId="12" xfId="0" applyFont="1" applyFill="1" applyBorder="1"/>
    <xf numFmtId="0" fontId="57" fillId="6" borderId="13" xfId="0" applyFont="1" applyFill="1" applyBorder="1"/>
    <xf numFmtId="0" fontId="9" fillId="6" borderId="11" xfId="0" applyFont="1" applyFill="1" applyBorder="1"/>
    <xf numFmtId="0" fontId="0" fillId="6" borderId="12" xfId="0" applyFill="1" applyBorder="1"/>
    <xf numFmtId="0" fontId="0" fillId="6" borderId="13" xfId="0" applyFill="1" applyBorder="1"/>
    <xf numFmtId="0" fontId="44" fillId="6" borderId="7" xfId="0" applyFont="1" applyFill="1" applyBorder="1"/>
    <xf numFmtId="0" fontId="45" fillId="6" borderId="7" xfId="0" applyFont="1" applyFill="1" applyBorder="1"/>
    <xf numFmtId="0" fontId="45" fillId="2" borderId="7" xfId="0" applyFont="1" applyFill="1" applyBorder="1" applyAlignment="1">
      <alignment horizontal="left"/>
    </xf>
    <xf numFmtId="0" fontId="45" fillId="2" borderId="8" xfId="0" applyFont="1" applyFill="1" applyBorder="1" applyAlignment="1">
      <alignment horizontal="left"/>
    </xf>
    <xf numFmtId="0" fontId="45" fillId="2" borderId="9" xfId="0" applyFont="1" applyFill="1" applyBorder="1" applyAlignment="1">
      <alignment horizontal="left"/>
    </xf>
    <xf numFmtId="0" fontId="0" fillId="23" borderId="0" xfId="0" applyFill="1" applyAlignment="1">
      <alignment horizontal="center"/>
    </xf>
    <xf numFmtId="0" fontId="8" fillId="0" borderId="1" xfId="0" applyFont="1" applyBorder="1"/>
    <xf numFmtId="0" fontId="9" fillId="0" borderId="0" xfId="0" applyFont="1"/>
  </cellXfs>
  <cellStyles count="4">
    <cellStyle name="Comma" xfId="2" builtinId="3"/>
    <cellStyle name="Currency" xfId="1" builtinId="4"/>
    <cellStyle name="Normal" xfId="0" builtinId="0"/>
    <cellStyle name="Percent" xfId="3" builtinId="5"/>
  </cellStyles>
  <dxfs count="0"/>
  <tableStyles count="0" defaultTableStyle="TableStyleMedium2" defaultPivotStyle="PivotStyleLight16"/>
  <colors>
    <mruColors>
      <color rgb="FF76915F"/>
      <color rgb="FF347215"/>
      <color rgb="FF826592"/>
      <color rgb="FF645AA5"/>
      <color rgb="FF847792"/>
      <color rgb="FF737373"/>
      <color rgb="FF467B76"/>
      <color rgb="FF8F809D"/>
      <color rgb="FF5022A5"/>
      <color rgb="FF7562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21.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22.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23.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24.xml"/><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26.xml"/><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3" Type="http://schemas.openxmlformats.org/officeDocument/2006/relationships/chartUserShapes" Target="../drawings/drawing27.xml"/><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3" Type="http://schemas.openxmlformats.org/officeDocument/2006/relationships/chartUserShapes" Target="../drawings/drawing29.xml"/><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3" Type="http://schemas.openxmlformats.org/officeDocument/2006/relationships/chartUserShapes" Target="../drawings/drawing30.xml"/><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3" Type="http://schemas.openxmlformats.org/officeDocument/2006/relationships/chartUserShapes" Target="../drawings/drawing31.xml"/><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3" Type="http://schemas.openxmlformats.org/officeDocument/2006/relationships/chartUserShapes" Target="../drawings/drawing32.xml"/><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3" Type="http://schemas.openxmlformats.org/officeDocument/2006/relationships/chartUserShapes" Target="../drawings/drawing33.xml"/><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3" Type="http://schemas.openxmlformats.org/officeDocument/2006/relationships/chartUserShapes" Target="../drawings/drawing34.xml"/><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3" Type="http://schemas.openxmlformats.org/officeDocument/2006/relationships/chartUserShapes" Target="../drawings/drawing35.xml"/><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3" Type="http://schemas.openxmlformats.org/officeDocument/2006/relationships/chartUserShapes" Target="../drawings/drawing36.xml"/><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3" Type="http://schemas.openxmlformats.org/officeDocument/2006/relationships/chartUserShapes" Target="../drawings/drawing37.xml"/><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3" Type="http://schemas.openxmlformats.org/officeDocument/2006/relationships/chartUserShapes" Target="../drawings/drawing38.xml"/><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3" Type="http://schemas.openxmlformats.org/officeDocument/2006/relationships/chartUserShapes" Target="../drawings/drawing39.xml"/><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41.xml"/></Relationships>
</file>

<file path=xl/charts/_rels/chart37.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43.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45.xml"/></Relationships>
</file>

<file path=xl/charts/_rels/chart40.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46.xml"/></Relationships>
</file>

<file path=xl/charts/_rels/chart42.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3.xml.rels><?xml version="1.0" encoding="UTF-8" standalone="yes"?>
<Relationships xmlns="http://schemas.openxmlformats.org/package/2006/relationships"><Relationship Id="rId3" Type="http://schemas.openxmlformats.org/officeDocument/2006/relationships/chartUserShapes" Target="../drawings/drawing48.xml"/><Relationship Id="rId2" Type="http://schemas.microsoft.com/office/2011/relationships/chartColorStyle" Target="colors39.xml"/><Relationship Id="rId1" Type="http://schemas.microsoft.com/office/2011/relationships/chartStyle" Target="style39.xml"/></Relationships>
</file>

<file path=xl/charts/_rels/chart44.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5.xml.rels><?xml version="1.0" encoding="UTF-8" standalone="yes"?>
<Relationships xmlns="http://schemas.openxmlformats.org/package/2006/relationships"><Relationship Id="rId3" Type="http://schemas.openxmlformats.org/officeDocument/2006/relationships/chartUserShapes" Target="../drawings/drawing50.xml"/><Relationship Id="rId2" Type="http://schemas.microsoft.com/office/2011/relationships/chartColorStyle" Target="colors41.xml"/><Relationship Id="rId1" Type="http://schemas.microsoft.com/office/2011/relationships/chartStyle" Target="style41.xml"/></Relationships>
</file>

<file path=xl/charts/_rels/chart46.xml.rels><?xml version="1.0" encoding="UTF-8" standalone="yes"?>
<Relationships xmlns="http://schemas.openxmlformats.org/package/2006/relationships"><Relationship Id="rId3" Type="http://schemas.openxmlformats.org/officeDocument/2006/relationships/chartUserShapes" Target="../drawings/drawing52.xml"/><Relationship Id="rId2" Type="http://schemas.microsoft.com/office/2011/relationships/chartColorStyle" Target="colors42.xml"/><Relationship Id="rId1" Type="http://schemas.microsoft.com/office/2011/relationships/chartStyle" Target="style42.xml"/></Relationships>
</file>

<file path=xl/charts/_rels/chart47.xml.rels><?xml version="1.0" encoding="UTF-8" standalone="yes"?>
<Relationships xmlns="http://schemas.openxmlformats.org/package/2006/relationships"><Relationship Id="rId3" Type="http://schemas.openxmlformats.org/officeDocument/2006/relationships/chartUserShapes" Target="../drawings/drawing53.xml"/><Relationship Id="rId2" Type="http://schemas.microsoft.com/office/2011/relationships/chartColorStyle" Target="colors43.xml"/><Relationship Id="rId1" Type="http://schemas.microsoft.com/office/2011/relationships/chartStyle" Target="style43.xml"/></Relationships>
</file>

<file path=xl/charts/_rels/chart48.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9.xml.rels><?xml version="1.0" encoding="UTF-8" standalone="yes"?>
<Relationships xmlns="http://schemas.openxmlformats.org/package/2006/relationships"><Relationship Id="rId3" Type="http://schemas.openxmlformats.org/officeDocument/2006/relationships/chartUserShapes" Target="../drawings/drawing55.xml"/><Relationship Id="rId2" Type="http://schemas.microsoft.com/office/2011/relationships/chartColorStyle" Target="colors45.xml"/><Relationship Id="rId1" Type="http://schemas.microsoft.com/office/2011/relationships/chartStyle" Target="style45.xml"/></Relationships>
</file>

<file path=xl/charts/_rels/chart50.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51.xml.rels><?xml version="1.0" encoding="UTF-8" standalone="yes"?>
<Relationships xmlns="http://schemas.openxmlformats.org/package/2006/relationships"><Relationship Id="rId3" Type="http://schemas.openxmlformats.org/officeDocument/2006/relationships/chartUserShapes" Target="../drawings/drawing57.xml"/><Relationship Id="rId2" Type="http://schemas.microsoft.com/office/2011/relationships/chartColorStyle" Target="colors47.xml"/><Relationship Id="rId1" Type="http://schemas.microsoft.com/office/2011/relationships/chartStyle" Target="style47.xml"/></Relationships>
</file>

<file path=xl/charts/_rels/chart52.xml.rels><?xml version="1.0" encoding="UTF-8" standalone="yes"?>
<Relationships xmlns="http://schemas.openxmlformats.org/package/2006/relationships"><Relationship Id="rId3" Type="http://schemas.openxmlformats.org/officeDocument/2006/relationships/chartUserShapes" Target="../drawings/drawing59.xml"/><Relationship Id="rId2" Type="http://schemas.microsoft.com/office/2011/relationships/chartColorStyle" Target="colors48.xml"/><Relationship Id="rId1" Type="http://schemas.microsoft.com/office/2011/relationships/chartStyle" Target="style48.xml"/></Relationships>
</file>

<file path=xl/charts/_rels/chart53.xml.rels><?xml version="1.0" encoding="UTF-8" standalone="yes"?>
<Relationships xmlns="http://schemas.openxmlformats.org/package/2006/relationships"><Relationship Id="rId3" Type="http://schemas.openxmlformats.org/officeDocument/2006/relationships/chartUserShapes" Target="../drawings/drawing62.xml"/><Relationship Id="rId2" Type="http://schemas.microsoft.com/office/2011/relationships/chartColorStyle" Target="colors49.xml"/><Relationship Id="rId1" Type="http://schemas.microsoft.com/office/2011/relationships/chartStyle" Target="style49.xml"/></Relationships>
</file>

<file path=xl/charts/_rels/chart54.xml.rels><?xml version="1.0" encoding="UTF-8" standalone="yes"?>
<Relationships xmlns="http://schemas.openxmlformats.org/package/2006/relationships"><Relationship Id="rId3" Type="http://schemas.openxmlformats.org/officeDocument/2006/relationships/chartUserShapes" Target="../drawings/drawing63.xml"/><Relationship Id="rId2" Type="http://schemas.microsoft.com/office/2011/relationships/chartColorStyle" Target="colors50.xml"/><Relationship Id="rId1" Type="http://schemas.microsoft.com/office/2011/relationships/chartStyle" Target="style50.xml"/></Relationships>
</file>

<file path=xl/charts/_rels/chart55.xml.rels><?xml version="1.0" encoding="UTF-8" standalone="yes"?>
<Relationships xmlns="http://schemas.openxmlformats.org/package/2006/relationships"><Relationship Id="rId3" Type="http://schemas.openxmlformats.org/officeDocument/2006/relationships/chartUserShapes" Target="../drawings/drawing64.xml"/><Relationship Id="rId2" Type="http://schemas.microsoft.com/office/2011/relationships/chartColorStyle" Target="colors51.xml"/><Relationship Id="rId1" Type="http://schemas.microsoft.com/office/2011/relationships/chartStyle" Target="style51.xml"/></Relationships>
</file>

<file path=xl/charts/_rels/chart56.xml.rels><?xml version="1.0" encoding="UTF-8" standalone="yes"?>
<Relationships xmlns="http://schemas.openxmlformats.org/package/2006/relationships"><Relationship Id="rId3" Type="http://schemas.openxmlformats.org/officeDocument/2006/relationships/chartUserShapes" Target="../drawings/drawing65.xml"/><Relationship Id="rId2" Type="http://schemas.microsoft.com/office/2011/relationships/chartColorStyle" Target="colors52.xml"/><Relationship Id="rId1" Type="http://schemas.microsoft.com/office/2011/relationships/chartStyle" Target="style52.xml"/></Relationships>
</file>

<file path=xl/charts/_rels/chart57.xml.rels><?xml version="1.0" encoding="UTF-8" standalone="yes"?>
<Relationships xmlns="http://schemas.openxmlformats.org/package/2006/relationships"><Relationship Id="rId3" Type="http://schemas.openxmlformats.org/officeDocument/2006/relationships/chartUserShapes" Target="../drawings/drawing66.xml"/><Relationship Id="rId2" Type="http://schemas.microsoft.com/office/2011/relationships/chartColorStyle" Target="colors53.xml"/><Relationship Id="rId1" Type="http://schemas.microsoft.com/office/2011/relationships/chartStyle" Target="style53.xml"/></Relationships>
</file>

<file path=xl/charts/_rels/chart58.xml.rels><?xml version="1.0" encoding="UTF-8" standalone="yes"?>
<Relationships xmlns="http://schemas.openxmlformats.org/package/2006/relationships"><Relationship Id="rId3" Type="http://schemas.openxmlformats.org/officeDocument/2006/relationships/chartUserShapes" Target="../drawings/drawing67.xml"/><Relationship Id="rId2" Type="http://schemas.microsoft.com/office/2011/relationships/chartColorStyle" Target="colors54.xml"/><Relationship Id="rId1" Type="http://schemas.microsoft.com/office/2011/relationships/chartStyle" Target="style54.xml"/></Relationships>
</file>

<file path=xl/charts/_rels/chart59.xml.rels><?xml version="1.0" encoding="UTF-8" standalone="yes"?>
<Relationships xmlns="http://schemas.openxmlformats.org/package/2006/relationships"><Relationship Id="rId3" Type="http://schemas.openxmlformats.org/officeDocument/2006/relationships/chartUserShapes" Target="../drawings/drawing68.xml"/><Relationship Id="rId2" Type="http://schemas.microsoft.com/office/2011/relationships/chartColorStyle" Target="colors55.xml"/><Relationship Id="rId1" Type="http://schemas.microsoft.com/office/2011/relationships/chartStyle" Target="style5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Molar Mass of Esters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0.37844703848833777"/>
                  <c:y val="3.311567599448282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Units!$G$158:$G$162</c:f>
              <c:numCache>
                <c:formatCode>General</c:formatCode>
                <c:ptCount val="5"/>
                <c:pt idx="0">
                  <c:v>4</c:v>
                </c:pt>
                <c:pt idx="1">
                  <c:v>5</c:v>
                </c:pt>
                <c:pt idx="2">
                  <c:v>6</c:v>
                </c:pt>
                <c:pt idx="3">
                  <c:v>7</c:v>
                </c:pt>
                <c:pt idx="4">
                  <c:v>9</c:v>
                </c:pt>
              </c:numCache>
            </c:numRef>
          </c:xVal>
          <c:yVal>
            <c:numRef>
              <c:f>Units!$H$158:$H$162</c:f>
              <c:numCache>
                <c:formatCode>General</c:formatCode>
                <c:ptCount val="5"/>
                <c:pt idx="0">
                  <c:v>88.11</c:v>
                </c:pt>
                <c:pt idx="1">
                  <c:v>102</c:v>
                </c:pt>
                <c:pt idx="2">
                  <c:v>116</c:v>
                </c:pt>
                <c:pt idx="3">
                  <c:v>130</c:v>
                </c:pt>
                <c:pt idx="4">
                  <c:v>158</c:v>
                </c:pt>
              </c:numCache>
            </c:numRef>
          </c:yVal>
          <c:smooth val="0"/>
          <c:extLst>
            <c:ext xmlns:c16="http://schemas.microsoft.com/office/drawing/2014/chart" uri="{C3380CC4-5D6E-409C-BE32-E72D297353CC}">
              <c16:uniqueId val="{00000000-254E-43B4-8FFD-94061A4F9135}"/>
            </c:ext>
          </c:extLst>
        </c:ser>
        <c:dLbls>
          <c:showLegendKey val="0"/>
          <c:showVal val="0"/>
          <c:showCatName val="0"/>
          <c:showSerName val="0"/>
          <c:showPercent val="0"/>
          <c:showBubbleSize val="0"/>
        </c:dLbls>
        <c:axId val="1288899903"/>
        <c:axId val="1288871583"/>
      </c:scatterChart>
      <c:valAx>
        <c:axId val="12888999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88871583"/>
        <c:crosses val="autoZero"/>
        <c:crossBetween val="midCat"/>
      </c:valAx>
      <c:valAx>
        <c:axId val="1288871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888999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0" baseline="0">
                <a:solidFill>
                  <a:schemeClr val="tx1"/>
                </a:solidFill>
                <a:latin typeface="Arial Nova Cond" panose="020B0506020202020204" pitchFamily="34" charset="0"/>
                <a:ea typeface="+mn-ea"/>
                <a:cs typeface="+mn-cs"/>
              </a:defRPr>
            </a:pPr>
            <a:r>
              <a:rPr lang="en-US" b="1" cap="all" baseline="0"/>
              <a:t>Upstream Effluent Characteristics</a:t>
            </a:r>
          </a:p>
        </c:rich>
      </c:tx>
      <c:layout>
        <c:manualLayout>
          <c:xMode val="edge"/>
          <c:yMode val="edge"/>
          <c:x val="1.8813347784928196E-2"/>
          <c:y val="2.0087107398540336E-2"/>
        </c:manualLayout>
      </c:layout>
      <c:overlay val="0"/>
      <c:spPr>
        <a:noFill/>
        <a:ln>
          <a:noFill/>
        </a:ln>
        <a:effectLst/>
      </c:spPr>
      <c:txPr>
        <a:bodyPr rot="0" spcFirstLastPara="1" vertOverflow="ellipsis" vert="horz" wrap="square" anchor="ctr" anchorCtr="1"/>
        <a:lstStyle/>
        <a:p>
          <a:pPr>
            <a:defRPr sz="1400" b="1" i="0" u="none" strike="noStrike" kern="1200" cap="all" spc="0" baseline="0">
              <a:solidFill>
                <a:schemeClr val="tx1"/>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2100344644621648"/>
          <c:y val="0.13139472536811864"/>
          <c:w val="0.73468365746919351"/>
          <c:h val="0.57656377603876974"/>
        </c:manualLayout>
      </c:layout>
      <c:barChart>
        <c:barDir val="col"/>
        <c:grouping val="stacked"/>
        <c:varyColors val="0"/>
        <c:ser>
          <c:idx val="0"/>
          <c:order val="0"/>
          <c:tx>
            <c:strRef>
              <c:f>ExpBase!$G$688</c:f>
              <c:strCache>
                <c:ptCount val="1"/>
                <c:pt idx="0">
                  <c:v>Acetate</c:v>
                </c:pt>
              </c:strCache>
            </c:strRef>
          </c:tx>
          <c:spPr>
            <a:solidFill>
              <a:srgbClr val="F6C6AD"/>
            </a:solidFill>
            <a:ln>
              <a:noFill/>
            </a:ln>
            <a:effectLst/>
          </c:spPr>
          <c:invertIfNegative val="0"/>
          <c:cat>
            <c:strRef>
              <c:f>ExpBase!$H$687:$J$687</c:f>
              <c:strCache>
                <c:ptCount val="3"/>
                <c:pt idx="0">
                  <c:v>Treated Manure Digestate</c:v>
                </c:pt>
                <c:pt idx="1">
                  <c:v>Food Waste Digestate</c:v>
                </c:pt>
                <c:pt idx="2">
                  <c:v>Chain-Elongation Digestate</c:v>
                </c:pt>
              </c:strCache>
            </c:strRef>
          </c:cat>
          <c:val>
            <c:numRef>
              <c:f>ExpBase!$H$688:$J$688</c:f>
              <c:numCache>
                <c:formatCode>_(* #,##0.00_);_(* \(#,##0.00\);_(* "-"??_);_(@_)</c:formatCode>
                <c:ptCount val="3"/>
                <c:pt idx="0" formatCode="0.00">
                  <c:v>1.0095709628741449</c:v>
                </c:pt>
                <c:pt idx="1">
                  <c:v>7.5300949920786744</c:v>
                </c:pt>
                <c:pt idx="2" formatCode="0.00">
                  <c:v>1.7933301569876363</c:v>
                </c:pt>
              </c:numCache>
            </c:numRef>
          </c:val>
          <c:extLst>
            <c:ext xmlns:c16="http://schemas.microsoft.com/office/drawing/2014/chart" uri="{C3380CC4-5D6E-409C-BE32-E72D297353CC}">
              <c16:uniqueId val="{00000000-CCE0-4AC8-A7AA-D4E5EEE81962}"/>
            </c:ext>
          </c:extLst>
        </c:ser>
        <c:ser>
          <c:idx val="1"/>
          <c:order val="1"/>
          <c:tx>
            <c:strRef>
              <c:f>ExpBase!$G$689</c:f>
              <c:strCache>
                <c:ptCount val="1"/>
                <c:pt idx="0">
                  <c:v>Propionate</c:v>
                </c:pt>
              </c:strCache>
            </c:strRef>
          </c:tx>
          <c:spPr>
            <a:solidFill>
              <a:srgbClr val="F2AA84"/>
            </a:solidFill>
            <a:ln>
              <a:noFill/>
            </a:ln>
            <a:effectLst/>
          </c:spPr>
          <c:invertIfNegative val="0"/>
          <c:cat>
            <c:strRef>
              <c:f>ExpBase!$H$687:$J$687</c:f>
              <c:strCache>
                <c:ptCount val="3"/>
                <c:pt idx="0">
                  <c:v>Treated Manure Digestate</c:v>
                </c:pt>
                <c:pt idx="1">
                  <c:v>Food Waste Digestate</c:v>
                </c:pt>
                <c:pt idx="2">
                  <c:v>Chain-Elongation Digestate</c:v>
                </c:pt>
              </c:strCache>
            </c:strRef>
          </c:cat>
          <c:val>
            <c:numRef>
              <c:f>ExpBase!$H$689:$J$689</c:f>
              <c:numCache>
                <c:formatCode>_(* #,##0.00_);_(* \(#,##0.00\);_(* "-"??_);_(@_)</c:formatCode>
                <c:ptCount val="3"/>
                <c:pt idx="0" formatCode="0.00">
                  <c:v>5.910058693860312E-8</c:v>
                </c:pt>
                <c:pt idx="1">
                  <c:v>6.3929425407901537</c:v>
                </c:pt>
                <c:pt idx="2" formatCode="0.00">
                  <c:v>5.7536483399017433</c:v>
                </c:pt>
              </c:numCache>
            </c:numRef>
          </c:val>
          <c:extLst>
            <c:ext xmlns:c16="http://schemas.microsoft.com/office/drawing/2014/chart" uri="{C3380CC4-5D6E-409C-BE32-E72D297353CC}">
              <c16:uniqueId val="{00000001-CCE0-4AC8-A7AA-D4E5EEE81962}"/>
            </c:ext>
          </c:extLst>
        </c:ser>
        <c:ser>
          <c:idx val="2"/>
          <c:order val="2"/>
          <c:tx>
            <c:strRef>
              <c:f>ExpBase!$G$690</c:f>
              <c:strCache>
                <c:ptCount val="1"/>
                <c:pt idx="0">
                  <c:v>Butyrate</c:v>
                </c:pt>
              </c:strCache>
            </c:strRef>
          </c:tx>
          <c:spPr>
            <a:solidFill>
              <a:srgbClr val="FFCC66"/>
            </a:solidFill>
            <a:ln>
              <a:noFill/>
            </a:ln>
            <a:effectLst/>
          </c:spPr>
          <c:invertIfNegative val="0"/>
          <c:cat>
            <c:strRef>
              <c:f>ExpBase!$H$687:$J$687</c:f>
              <c:strCache>
                <c:ptCount val="3"/>
                <c:pt idx="0">
                  <c:v>Treated Manure Digestate</c:v>
                </c:pt>
                <c:pt idx="1">
                  <c:v>Food Waste Digestate</c:v>
                </c:pt>
                <c:pt idx="2">
                  <c:v>Chain-Elongation Digestate</c:v>
                </c:pt>
              </c:strCache>
            </c:strRef>
          </c:cat>
          <c:val>
            <c:numRef>
              <c:f>ExpBase!$H$690:$J$690</c:f>
              <c:numCache>
                <c:formatCode>_(* #,##0.00_);_(* \(#,##0.00\);_(* "-"??_);_(@_)</c:formatCode>
                <c:ptCount val="3"/>
                <c:pt idx="0" formatCode="0.00">
                  <c:v>1.038805213014419</c:v>
                </c:pt>
                <c:pt idx="1">
                  <c:v>19.420268325786253</c:v>
                </c:pt>
                <c:pt idx="2" formatCode="0.00">
                  <c:v>7.9396723543423171</c:v>
                </c:pt>
              </c:numCache>
            </c:numRef>
          </c:val>
          <c:extLst>
            <c:ext xmlns:c16="http://schemas.microsoft.com/office/drawing/2014/chart" uri="{C3380CC4-5D6E-409C-BE32-E72D297353CC}">
              <c16:uniqueId val="{00000002-CCE0-4AC8-A7AA-D4E5EEE81962}"/>
            </c:ext>
          </c:extLst>
        </c:ser>
        <c:ser>
          <c:idx val="3"/>
          <c:order val="3"/>
          <c:tx>
            <c:strRef>
              <c:f>ExpBase!$G$691</c:f>
              <c:strCache>
                <c:ptCount val="1"/>
                <c:pt idx="0">
                  <c:v>Isobutyrate</c:v>
                </c:pt>
              </c:strCache>
            </c:strRef>
          </c:tx>
          <c:spPr>
            <a:solidFill>
              <a:srgbClr val="FF9933"/>
            </a:solidFill>
            <a:ln>
              <a:noFill/>
            </a:ln>
            <a:effectLst/>
          </c:spPr>
          <c:invertIfNegative val="0"/>
          <c:cat>
            <c:strRef>
              <c:f>ExpBase!$H$687:$J$687</c:f>
              <c:strCache>
                <c:ptCount val="3"/>
                <c:pt idx="0">
                  <c:v>Treated Manure Digestate</c:v>
                </c:pt>
                <c:pt idx="1">
                  <c:v>Food Waste Digestate</c:v>
                </c:pt>
                <c:pt idx="2">
                  <c:v>Chain-Elongation Digestate</c:v>
                </c:pt>
              </c:strCache>
            </c:strRef>
          </c:cat>
          <c:val>
            <c:numRef>
              <c:f>ExpBase!$H$691:$J$691</c:f>
              <c:numCache>
                <c:formatCode>_(* #,##0.00_);_(* \(#,##0.00\);_(* "-"??_);_(@_)</c:formatCode>
                <c:ptCount val="3"/>
                <c:pt idx="0" formatCode="0.00">
                  <c:v>4.7637436748668674E-2</c:v>
                </c:pt>
                <c:pt idx="1">
                  <c:v>0</c:v>
                </c:pt>
                <c:pt idx="2" formatCode="0.00">
                  <c:v>0</c:v>
                </c:pt>
              </c:numCache>
            </c:numRef>
          </c:val>
          <c:extLst>
            <c:ext xmlns:c16="http://schemas.microsoft.com/office/drawing/2014/chart" uri="{C3380CC4-5D6E-409C-BE32-E72D297353CC}">
              <c16:uniqueId val="{00000003-CCE0-4AC8-A7AA-D4E5EEE81962}"/>
            </c:ext>
          </c:extLst>
        </c:ser>
        <c:ser>
          <c:idx val="4"/>
          <c:order val="4"/>
          <c:tx>
            <c:strRef>
              <c:f>ExpBase!$G$692</c:f>
              <c:strCache>
                <c:ptCount val="1"/>
                <c:pt idx="0">
                  <c:v>Valerate</c:v>
                </c:pt>
              </c:strCache>
            </c:strRef>
          </c:tx>
          <c:spPr>
            <a:solidFill>
              <a:srgbClr val="FFCCCC"/>
            </a:solidFill>
            <a:ln>
              <a:noFill/>
            </a:ln>
            <a:effectLst/>
          </c:spPr>
          <c:invertIfNegative val="0"/>
          <c:cat>
            <c:strRef>
              <c:f>ExpBase!$H$687:$J$687</c:f>
              <c:strCache>
                <c:ptCount val="3"/>
                <c:pt idx="0">
                  <c:v>Treated Manure Digestate</c:v>
                </c:pt>
                <c:pt idx="1">
                  <c:v>Food Waste Digestate</c:v>
                </c:pt>
                <c:pt idx="2">
                  <c:v>Chain-Elongation Digestate</c:v>
                </c:pt>
              </c:strCache>
            </c:strRef>
          </c:cat>
          <c:val>
            <c:numRef>
              <c:f>ExpBase!$H$692:$J$692</c:f>
              <c:numCache>
                <c:formatCode>_(* #,##0.00_);_(* \(#,##0.00\);_(* "-"??_);_(@_)</c:formatCode>
                <c:ptCount val="3"/>
                <c:pt idx="0" formatCode="0.00">
                  <c:v>0.61294774456728995</c:v>
                </c:pt>
                <c:pt idx="1">
                  <c:v>12.150102472745317</c:v>
                </c:pt>
                <c:pt idx="2" formatCode="0.00">
                  <c:v>12.555936134016804</c:v>
                </c:pt>
              </c:numCache>
            </c:numRef>
          </c:val>
          <c:extLst>
            <c:ext xmlns:c16="http://schemas.microsoft.com/office/drawing/2014/chart" uri="{C3380CC4-5D6E-409C-BE32-E72D297353CC}">
              <c16:uniqueId val="{00000004-CCE0-4AC8-A7AA-D4E5EEE81962}"/>
            </c:ext>
          </c:extLst>
        </c:ser>
        <c:ser>
          <c:idx val="5"/>
          <c:order val="5"/>
          <c:tx>
            <c:strRef>
              <c:f>ExpBase!$G$693</c:f>
              <c:strCache>
                <c:ptCount val="1"/>
                <c:pt idx="0">
                  <c:v>Isovalerate</c:v>
                </c:pt>
              </c:strCache>
            </c:strRef>
          </c:tx>
          <c:spPr>
            <a:solidFill>
              <a:srgbClr val="FF9999"/>
            </a:solidFill>
            <a:ln>
              <a:noFill/>
            </a:ln>
            <a:effectLst/>
          </c:spPr>
          <c:invertIfNegative val="0"/>
          <c:cat>
            <c:strRef>
              <c:f>ExpBase!$H$687:$J$687</c:f>
              <c:strCache>
                <c:ptCount val="3"/>
                <c:pt idx="0">
                  <c:v>Treated Manure Digestate</c:v>
                </c:pt>
                <c:pt idx="1">
                  <c:v>Food Waste Digestate</c:v>
                </c:pt>
                <c:pt idx="2">
                  <c:v>Chain-Elongation Digestate</c:v>
                </c:pt>
              </c:strCache>
            </c:strRef>
          </c:cat>
          <c:val>
            <c:numRef>
              <c:f>ExpBase!$H$693:$J$693</c:f>
              <c:numCache>
                <c:formatCode>_(* #,##0.00_);_(* \(#,##0.00\);_(* "-"??_);_(@_)</c:formatCode>
                <c:ptCount val="3"/>
                <c:pt idx="0" formatCode="0.00">
                  <c:v>1.1241007235941557E-8</c:v>
                </c:pt>
                <c:pt idx="1">
                  <c:v>1.149068837881877</c:v>
                </c:pt>
                <c:pt idx="2" formatCode="0.00">
                  <c:v>1.0943512741732162</c:v>
                </c:pt>
              </c:numCache>
            </c:numRef>
          </c:val>
          <c:extLst>
            <c:ext xmlns:c16="http://schemas.microsoft.com/office/drawing/2014/chart" uri="{C3380CC4-5D6E-409C-BE32-E72D297353CC}">
              <c16:uniqueId val="{00000005-CCE0-4AC8-A7AA-D4E5EEE81962}"/>
            </c:ext>
          </c:extLst>
        </c:ser>
        <c:ser>
          <c:idx val="6"/>
          <c:order val="6"/>
          <c:tx>
            <c:strRef>
              <c:f>ExpBase!$G$694</c:f>
              <c:strCache>
                <c:ptCount val="1"/>
                <c:pt idx="0">
                  <c:v>Caproate</c:v>
                </c:pt>
              </c:strCache>
            </c:strRef>
          </c:tx>
          <c:spPr>
            <a:solidFill>
              <a:srgbClr val="FFCCFF"/>
            </a:solidFill>
            <a:ln>
              <a:noFill/>
            </a:ln>
            <a:effectLst/>
          </c:spPr>
          <c:invertIfNegative val="0"/>
          <c:cat>
            <c:strRef>
              <c:f>ExpBase!$H$687:$J$687</c:f>
              <c:strCache>
                <c:ptCount val="3"/>
                <c:pt idx="0">
                  <c:v>Treated Manure Digestate</c:v>
                </c:pt>
                <c:pt idx="1">
                  <c:v>Food Waste Digestate</c:v>
                </c:pt>
                <c:pt idx="2">
                  <c:v>Chain-Elongation Digestate</c:v>
                </c:pt>
              </c:strCache>
            </c:strRef>
          </c:cat>
          <c:val>
            <c:numRef>
              <c:f>ExpBase!$H$694:$J$694</c:f>
              <c:numCache>
                <c:formatCode>_(* #,##0.00_);_(* \(#,##0.00\);_(* "-"??_);_(@_)</c:formatCode>
                <c:ptCount val="3"/>
                <c:pt idx="0" formatCode="0.00">
                  <c:v>0.2155636938612637</c:v>
                </c:pt>
                <c:pt idx="1">
                  <c:v>7.3236173081712614</c:v>
                </c:pt>
                <c:pt idx="2" formatCode="0.00">
                  <c:v>28.340801760353596</c:v>
                </c:pt>
              </c:numCache>
            </c:numRef>
          </c:val>
          <c:extLst>
            <c:ext xmlns:c16="http://schemas.microsoft.com/office/drawing/2014/chart" uri="{C3380CC4-5D6E-409C-BE32-E72D297353CC}">
              <c16:uniqueId val="{00000006-CCE0-4AC8-A7AA-D4E5EEE81962}"/>
            </c:ext>
          </c:extLst>
        </c:ser>
        <c:ser>
          <c:idx val="7"/>
          <c:order val="7"/>
          <c:tx>
            <c:strRef>
              <c:f>ExpBase!$G$695</c:f>
              <c:strCache>
                <c:ptCount val="1"/>
                <c:pt idx="0">
                  <c:v>Heptanoate</c:v>
                </c:pt>
              </c:strCache>
            </c:strRef>
          </c:tx>
          <c:spPr>
            <a:solidFill>
              <a:srgbClr val="FF99FF"/>
            </a:solidFill>
            <a:ln>
              <a:noFill/>
            </a:ln>
            <a:effectLst/>
          </c:spPr>
          <c:invertIfNegative val="0"/>
          <c:cat>
            <c:strRef>
              <c:f>ExpBase!$H$687:$J$687</c:f>
              <c:strCache>
                <c:ptCount val="3"/>
                <c:pt idx="0">
                  <c:v>Treated Manure Digestate</c:v>
                </c:pt>
                <c:pt idx="1">
                  <c:v>Food Waste Digestate</c:v>
                </c:pt>
                <c:pt idx="2">
                  <c:v>Chain-Elongation Digestate</c:v>
                </c:pt>
              </c:strCache>
            </c:strRef>
          </c:cat>
          <c:val>
            <c:numRef>
              <c:f>ExpBase!$H$695:$J$695</c:f>
              <c:numCache>
                <c:formatCode>_(* #,##0.00_);_(* \(#,##0.00\);_(* "-"??_);_(@_)</c:formatCode>
                <c:ptCount val="3"/>
                <c:pt idx="0" formatCode="0.00">
                  <c:v>1.60702285386877E-8</c:v>
                </c:pt>
                <c:pt idx="1">
                  <c:v>0</c:v>
                </c:pt>
                <c:pt idx="2" formatCode="0.00">
                  <c:v>1.3946841208301377</c:v>
                </c:pt>
              </c:numCache>
            </c:numRef>
          </c:val>
          <c:extLst>
            <c:ext xmlns:c16="http://schemas.microsoft.com/office/drawing/2014/chart" uri="{C3380CC4-5D6E-409C-BE32-E72D297353CC}">
              <c16:uniqueId val="{00000007-CCE0-4AC8-A7AA-D4E5EEE81962}"/>
            </c:ext>
          </c:extLst>
        </c:ser>
        <c:ser>
          <c:idx val="8"/>
          <c:order val="8"/>
          <c:tx>
            <c:strRef>
              <c:f>ExpBase!$G$696</c:f>
              <c:strCache>
                <c:ptCount val="1"/>
                <c:pt idx="0">
                  <c:v>Phosphate</c:v>
                </c:pt>
              </c:strCache>
            </c:strRef>
          </c:tx>
          <c:spPr>
            <a:solidFill>
              <a:srgbClr val="33CC33"/>
            </a:solidFill>
            <a:ln>
              <a:noFill/>
            </a:ln>
            <a:effectLst/>
          </c:spPr>
          <c:invertIfNegative val="0"/>
          <c:cat>
            <c:strRef>
              <c:f>ExpBase!$H$687:$J$687</c:f>
              <c:strCache>
                <c:ptCount val="3"/>
                <c:pt idx="0">
                  <c:v>Treated Manure Digestate</c:v>
                </c:pt>
                <c:pt idx="1">
                  <c:v>Food Waste Digestate</c:v>
                </c:pt>
                <c:pt idx="2">
                  <c:v>Chain-Elongation Digestate</c:v>
                </c:pt>
              </c:strCache>
            </c:strRef>
          </c:cat>
          <c:val>
            <c:numRef>
              <c:f>ExpBase!$H$696:$J$696</c:f>
              <c:numCache>
                <c:formatCode>0.00</c:formatCode>
                <c:ptCount val="3"/>
                <c:pt idx="0">
                  <c:v>0</c:v>
                </c:pt>
                <c:pt idx="1">
                  <c:v>2.949856</c:v>
                </c:pt>
                <c:pt idx="2">
                  <c:v>3.3137086593421605</c:v>
                </c:pt>
              </c:numCache>
            </c:numRef>
          </c:val>
          <c:extLst>
            <c:ext xmlns:c16="http://schemas.microsoft.com/office/drawing/2014/chart" uri="{C3380CC4-5D6E-409C-BE32-E72D297353CC}">
              <c16:uniqueId val="{00000008-CCE0-4AC8-A7AA-D4E5EEE81962}"/>
            </c:ext>
          </c:extLst>
        </c:ser>
        <c:ser>
          <c:idx val="9"/>
          <c:order val="9"/>
          <c:tx>
            <c:strRef>
              <c:f>ExpBase!$G$697</c:f>
              <c:strCache>
                <c:ptCount val="1"/>
                <c:pt idx="0">
                  <c:v>Sulfate</c:v>
                </c:pt>
              </c:strCache>
            </c:strRef>
          </c:tx>
          <c:spPr>
            <a:solidFill>
              <a:srgbClr val="CCFF66"/>
            </a:solidFill>
            <a:ln>
              <a:noFill/>
            </a:ln>
            <a:effectLst/>
          </c:spPr>
          <c:invertIfNegative val="0"/>
          <c:cat>
            <c:strRef>
              <c:f>ExpBase!$H$687:$J$687</c:f>
              <c:strCache>
                <c:ptCount val="3"/>
                <c:pt idx="0">
                  <c:v>Treated Manure Digestate</c:v>
                </c:pt>
                <c:pt idx="1">
                  <c:v>Food Waste Digestate</c:v>
                </c:pt>
                <c:pt idx="2">
                  <c:v>Chain-Elongation Digestate</c:v>
                </c:pt>
              </c:strCache>
            </c:strRef>
          </c:cat>
          <c:val>
            <c:numRef>
              <c:f>ExpBase!$H$697:$J$697</c:f>
              <c:numCache>
                <c:formatCode>General</c:formatCode>
                <c:ptCount val="3"/>
                <c:pt idx="0" formatCode="0.00">
                  <c:v>0</c:v>
                </c:pt>
                <c:pt idx="2">
                  <c:v>0</c:v>
                </c:pt>
              </c:numCache>
            </c:numRef>
          </c:val>
          <c:extLst>
            <c:ext xmlns:c16="http://schemas.microsoft.com/office/drawing/2014/chart" uri="{C3380CC4-5D6E-409C-BE32-E72D297353CC}">
              <c16:uniqueId val="{00000000-898B-4906-851B-34C991498EE8}"/>
            </c:ext>
          </c:extLst>
        </c:ser>
        <c:ser>
          <c:idx val="10"/>
          <c:order val="10"/>
          <c:tx>
            <c:strRef>
              <c:f>ExpBase!$G$698</c:f>
              <c:strCache>
                <c:ptCount val="1"/>
                <c:pt idx="0">
                  <c:v>Ammonia</c:v>
                </c:pt>
              </c:strCache>
            </c:strRef>
          </c:tx>
          <c:spPr>
            <a:solidFill>
              <a:srgbClr val="CCCC00"/>
            </a:solidFill>
            <a:ln>
              <a:noFill/>
            </a:ln>
            <a:effectLst/>
          </c:spPr>
          <c:invertIfNegative val="0"/>
          <c:cat>
            <c:strRef>
              <c:f>ExpBase!$H$687:$J$687</c:f>
              <c:strCache>
                <c:ptCount val="3"/>
                <c:pt idx="0">
                  <c:v>Treated Manure Digestate</c:v>
                </c:pt>
                <c:pt idx="1">
                  <c:v>Food Waste Digestate</c:v>
                </c:pt>
                <c:pt idx="2">
                  <c:v>Chain-Elongation Digestate</c:v>
                </c:pt>
              </c:strCache>
            </c:strRef>
          </c:cat>
          <c:val>
            <c:numRef>
              <c:f>ExpBase!$H$698:$J$698</c:f>
              <c:numCache>
                <c:formatCode>0.00</c:formatCode>
                <c:ptCount val="3"/>
                <c:pt idx="0">
                  <c:v>0</c:v>
                </c:pt>
                <c:pt idx="1">
                  <c:v>0.54026666666666678</c:v>
                </c:pt>
                <c:pt idx="2" formatCode="_(* #,##0.00_);_(* \(#,##0.00\);_(* &quot;-&quot;??_);_(@_)">
                  <c:v>2.3295506570399991</c:v>
                </c:pt>
              </c:numCache>
            </c:numRef>
          </c:val>
          <c:extLst>
            <c:ext xmlns:c16="http://schemas.microsoft.com/office/drawing/2014/chart" uri="{C3380CC4-5D6E-409C-BE32-E72D297353CC}">
              <c16:uniqueId val="{00000001-898B-4906-851B-34C991498EE8}"/>
            </c:ext>
          </c:extLst>
        </c:ser>
        <c:dLbls>
          <c:showLegendKey val="0"/>
          <c:showVal val="0"/>
          <c:showCatName val="0"/>
          <c:showSerName val="0"/>
          <c:showPercent val="0"/>
          <c:showBubbleSize val="0"/>
        </c:dLbls>
        <c:gapWidth val="70"/>
        <c:overlap val="100"/>
        <c:axId val="155009024"/>
        <c:axId val="154998464"/>
      </c:barChart>
      <c:barChart>
        <c:barDir val="col"/>
        <c:grouping val="stacked"/>
        <c:varyColors val="0"/>
        <c:ser>
          <c:idx val="11"/>
          <c:order val="11"/>
          <c:tx>
            <c:strRef>
              <c:f>ExpBase!$G$699</c:f>
              <c:strCache>
                <c:ptCount val="1"/>
                <c:pt idx="0">
                  <c:v>Total Flow Rate</c:v>
                </c:pt>
              </c:strCache>
            </c:strRef>
          </c:tx>
          <c:spPr>
            <a:solidFill>
              <a:schemeClr val="tx1">
                <a:alpha val="35000"/>
              </a:schemeClr>
            </a:solidFill>
            <a:ln>
              <a:noFill/>
            </a:ln>
            <a:effectLst/>
          </c:spPr>
          <c:invertIfNegative val="0"/>
          <c:cat>
            <c:strRef>
              <c:f>ExpBase!$H$687:$J$687</c:f>
              <c:strCache>
                <c:ptCount val="3"/>
                <c:pt idx="0">
                  <c:v>Treated Manure Digestate</c:v>
                </c:pt>
                <c:pt idx="1">
                  <c:v>Food Waste Digestate</c:v>
                </c:pt>
                <c:pt idx="2">
                  <c:v>Chain-Elongation Digestate</c:v>
                </c:pt>
              </c:strCache>
            </c:strRef>
          </c:cat>
          <c:val>
            <c:numRef>
              <c:f>ExpBase!$H$699:$J$699</c:f>
              <c:numCache>
                <c:formatCode>_(* #,##0.00_);_(* \(#,##0.00\);_(* "-"??_);_(@_)</c:formatCode>
                <c:ptCount val="3"/>
                <c:pt idx="0">
                  <c:v>55.272474816103838</c:v>
                </c:pt>
                <c:pt idx="1">
                  <c:v>2.8155770997694836</c:v>
                </c:pt>
                <c:pt idx="2" formatCode="0.00E+00">
                  <c:v>55.788716228151884</c:v>
                </c:pt>
              </c:numCache>
            </c:numRef>
          </c:val>
          <c:extLst>
            <c:ext xmlns:c16="http://schemas.microsoft.com/office/drawing/2014/chart" uri="{C3380CC4-5D6E-409C-BE32-E72D297353CC}">
              <c16:uniqueId val="{00000002-898B-4906-851B-34C991498EE8}"/>
            </c:ext>
          </c:extLst>
        </c:ser>
        <c:ser>
          <c:idx val="12"/>
          <c:order val="12"/>
          <c:tx>
            <c:strRef>
              <c:f>ExpBase!$G$700</c:f>
              <c:strCache>
                <c:ptCount val="1"/>
                <c:pt idx="0">
                  <c:v>VFAs in Flow</c:v>
                </c:pt>
              </c:strCache>
            </c:strRef>
          </c:tx>
          <c:spPr>
            <a:solidFill>
              <a:srgbClr val="FF00FF"/>
            </a:solidFill>
            <a:ln>
              <a:noFill/>
            </a:ln>
            <a:effectLst/>
          </c:spPr>
          <c:invertIfNegative val="0"/>
          <c:dLbls>
            <c:dLbl>
              <c:idx val="0"/>
              <c:tx>
                <c:rich>
                  <a:bodyPr/>
                  <a:lstStyle/>
                  <a:p>
                    <a:fld id="{C7BDB482-446B-E24E-85AC-F77A58C63F6B}"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47F6-493B-85ED-DC16E7B17C7A}"/>
                </c:ext>
              </c:extLst>
            </c:dLbl>
            <c:dLbl>
              <c:idx val="1"/>
              <c:tx>
                <c:rich>
                  <a:bodyPr/>
                  <a:lstStyle/>
                  <a:p>
                    <a:fld id="{2CB73B2B-5AC9-534B-8722-559F0DB9CFBF}"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7F6-493B-85ED-DC16E7B17C7A}"/>
                </c:ext>
              </c:extLst>
            </c:dLbl>
            <c:dLbl>
              <c:idx val="2"/>
              <c:tx>
                <c:rich>
                  <a:bodyPr/>
                  <a:lstStyle/>
                  <a:p>
                    <a:fld id="{FD4DCAF5-ECE5-BA44-8BED-075EA3041F19}"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7F6-493B-85ED-DC16E7B17C7A}"/>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00FF"/>
                    </a:solidFill>
                    <a:latin typeface="Arial Nova Cond" panose="020B0506020202020204" pitchFamily="34" charset="0"/>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ExpBase!$H$687:$J$687</c:f>
              <c:strCache>
                <c:ptCount val="3"/>
                <c:pt idx="0">
                  <c:v>Treated Manure Digestate</c:v>
                </c:pt>
                <c:pt idx="1">
                  <c:v>Food Waste Digestate</c:v>
                </c:pt>
                <c:pt idx="2">
                  <c:v>Chain-Elongation Digestate</c:v>
                </c:pt>
              </c:strCache>
            </c:strRef>
          </c:cat>
          <c:val>
            <c:numRef>
              <c:f>ExpBase!$H$700:$J$700</c:f>
              <c:numCache>
                <c:formatCode>_(* #,##0.00_);_(* \(#,##0.00\);_(* "-"??_);_(@_)</c:formatCode>
                <c:ptCount val="3"/>
                <c:pt idx="0" formatCode="0.00">
                  <c:v>0.18006555791926931</c:v>
                </c:pt>
                <c:pt idx="1">
                  <c:v>0.16061337642099269</c:v>
                </c:pt>
                <c:pt idx="2" formatCode="0.00">
                  <c:v>3.6758652662352134</c:v>
                </c:pt>
              </c:numCache>
            </c:numRef>
          </c:val>
          <c:extLst>
            <c:ext xmlns:c15="http://schemas.microsoft.com/office/drawing/2012/chart" uri="{02D57815-91ED-43cb-92C2-25804820EDAC}">
              <c15:datalabelsRange>
                <c15:f>ExpBase!$H$701:$J$701</c15:f>
                <c15:dlblRangeCache>
                  <c:ptCount val="3"/>
                  <c:pt idx="0">
                    <c:v>0.31%</c:v>
                  </c:pt>
                  <c:pt idx="1">
                    <c:v>5.14%</c:v>
                  </c:pt>
                  <c:pt idx="2">
                    <c:v>5.89%</c:v>
                  </c:pt>
                </c15:dlblRangeCache>
              </c15:datalabelsRange>
            </c:ext>
            <c:ext xmlns:c16="http://schemas.microsoft.com/office/drawing/2014/chart" uri="{C3380CC4-5D6E-409C-BE32-E72D297353CC}">
              <c16:uniqueId val="{00000000-D0EA-489F-B7B3-A5CBCE0FF9DB}"/>
            </c:ext>
          </c:extLst>
        </c:ser>
        <c:ser>
          <c:idx val="13"/>
          <c:order val="13"/>
          <c:tx>
            <c:strRef>
              <c:f>ExpBase!$G$701</c:f>
              <c:strCache>
                <c:ptCount val="1"/>
                <c:pt idx="0">
                  <c:v>m:m% VFAs </c:v>
                </c:pt>
              </c:strCache>
            </c:strRef>
          </c:tx>
          <c:spPr>
            <a:solidFill>
              <a:srgbClr val="FF00FF"/>
            </a:solidFill>
            <a:ln w="22225">
              <a:solidFill>
                <a:schemeClr val="tx1"/>
              </a:solidFill>
            </a:ln>
            <a:effectLst/>
          </c:spPr>
          <c:invertIfNegative val="0"/>
          <c:val>
            <c:numRef>
              <c:f>ExpBase!#REF!</c:f>
              <c:numCache>
                <c:formatCode>General</c:formatCode>
                <c:ptCount val="1"/>
                <c:pt idx="0">
                  <c:v>1</c:v>
                </c:pt>
              </c:numCache>
            </c:numRef>
          </c:val>
          <c:extLst>
            <c:ext xmlns:c16="http://schemas.microsoft.com/office/drawing/2014/chart" uri="{C3380CC4-5D6E-409C-BE32-E72D297353CC}">
              <c16:uniqueId val="{00000002-47F6-493B-85ED-DC16E7B17C7A}"/>
            </c:ext>
          </c:extLst>
        </c:ser>
        <c:dLbls>
          <c:showLegendKey val="0"/>
          <c:showVal val="0"/>
          <c:showCatName val="0"/>
          <c:showSerName val="0"/>
          <c:showPercent val="0"/>
          <c:showBubbleSize val="0"/>
        </c:dLbls>
        <c:gapWidth val="500"/>
        <c:overlap val="100"/>
        <c:axId val="1234313295"/>
        <c:axId val="1234306095"/>
      </c:barChart>
      <c:catAx>
        <c:axId val="15500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Nova Cond" panose="020B0506020202020204" pitchFamily="34" charset="0"/>
                <a:ea typeface="+mn-ea"/>
                <a:cs typeface="+mn-cs"/>
              </a:defRPr>
            </a:pPr>
            <a:endParaRPr lang="en-US"/>
          </a:p>
        </c:txPr>
        <c:crossAx val="154998464"/>
        <c:crosses val="autoZero"/>
        <c:auto val="1"/>
        <c:lblAlgn val="ctr"/>
        <c:lblOffset val="100"/>
        <c:noMultiLvlLbl val="0"/>
      </c:catAx>
      <c:valAx>
        <c:axId val="154998464"/>
        <c:scaling>
          <c:orientation val="minMax"/>
          <c:max val="90"/>
        </c:scaling>
        <c:delete val="0"/>
        <c:axPos val="l"/>
        <c:majorGridlines>
          <c:spPr>
            <a:ln w="9525" cap="flat" cmpd="sng" algn="ctr">
              <a:solidFill>
                <a:schemeClr val="tx1">
                  <a:alpha val="51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Arial Nova Cond" panose="020B0506020202020204" pitchFamily="34" charset="0"/>
                    <a:ea typeface="+mn-ea"/>
                    <a:cs typeface="+mn-cs"/>
                  </a:defRPr>
                </a:pPr>
                <a:r>
                  <a:rPr lang="en-US" b="1"/>
                  <a:t>Species Concentration </a:t>
                </a:r>
                <a:r>
                  <a:rPr lang="en-US" b="0"/>
                  <a:t>[g/L]</a:t>
                </a:r>
              </a:p>
            </c:rich>
          </c:tx>
          <c:layout>
            <c:manualLayout>
              <c:xMode val="edge"/>
              <c:yMode val="edge"/>
              <c:x val="2.2184230071458057E-2"/>
              <c:y val="0.1757277116481952"/>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Arial Nova Cond" panose="020B0506020202020204" pitchFamily="34" charset="0"/>
                  <a:ea typeface="+mn-ea"/>
                  <a:cs typeface="+mn-cs"/>
                </a:defRPr>
              </a:pPr>
              <a:endParaRPr lang="en-US"/>
            </a:p>
          </c:txPr>
        </c:title>
        <c:numFmt formatCode="0" sourceLinked="0"/>
        <c:majorTickMark val="cross"/>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solidFill>
                <a:latin typeface="Arial Nova Cond" panose="020B0506020202020204" pitchFamily="34" charset="0"/>
                <a:ea typeface="+mn-ea"/>
                <a:cs typeface="+mn-cs"/>
              </a:defRPr>
            </a:pPr>
            <a:endParaRPr lang="en-US"/>
          </a:p>
        </c:txPr>
        <c:crossAx val="155009024"/>
        <c:crosses val="autoZero"/>
        <c:crossBetween val="between"/>
      </c:valAx>
      <c:valAx>
        <c:axId val="1234306095"/>
        <c:scaling>
          <c:orientation val="minMax"/>
          <c:max val="360"/>
        </c:scaling>
        <c:delete val="0"/>
        <c:axPos val="r"/>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solidFill>
                      <a:sysClr val="windowText" lastClr="000000"/>
                    </a:solidFill>
                  </a:rPr>
                  <a:t>Volumetric Flow Rate </a:t>
                </a:r>
                <a:r>
                  <a:rPr lang="en-US" b="0">
                    <a:solidFill>
                      <a:sysClr val="windowText" lastClr="000000"/>
                    </a:solidFill>
                  </a:rPr>
                  <a:t>[m</a:t>
                </a:r>
                <a:r>
                  <a:rPr lang="en-US" b="0" baseline="30000">
                    <a:solidFill>
                      <a:sysClr val="windowText" lastClr="000000"/>
                    </a:solidFill>
                  </a:rPr>
                  <a:t>3</a:t>
                </a:r>
                <a:r>
                  <a:rPr lang="en-US" b="0">
                    <a:solidFill>
                      <a:sysClr val="windowText" lastClr="000000"/>
                    </a:solidFill>
                  </a:rPr>
                  <a:t>/hr]</a:t>
                </a:r>
              </a:p>
            </c:rich>
          </c:tx>
          <c:layout>
            <c:manualLayout>
              <c:xMode val="edge"/>
              <c:yMode val="edge"/>
              <c:x val="0.93819495622893545"/>
              <c:y val="0.1666723782238884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_(* #,##0_);_(* \(#,##0\);_(* &quot;-&quot;_);_(@_)" sourceLinked="0"/>
        <c:majorTickMark val="cross"/>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crossAx val="1234313295"/>
        <c:crosses val="max"/>
        <c:crossBetween val="between"/>
        <c:majorUnit val="40"/>
      </c:valAx>
      <c:catAx>
        <c:axId val="1234313295"/>
        <c:scaling>
          <c:orientation val="minMax"/>
        </c:scaling>
        <c:delete val="1"/>
        <c:axPos val="b"/>
        <c:numFmt formatCode="General" sourceLinked="1"/>
        <c:majorTickMark val="out"/>
        <c:minorTickMark val="none"/>
        <c:tickLblPos val="nextTo"/>
        <c:crossAx val="1234306095"/>
        <c:crosses val="autoZero"/>
        <c:auto val="1"/>
        <c:lblAlgn val="ctr"/>
        <c:lblOffset val="100"/>
        <c:noMultiLvlLbl val="0"/>
      </c:catAx>
      <c:spPr>
        <a:noFill/>
        <a:ln w="15875">
          <a:solidFill>
            <a:schemeClr val="tx1"/>
          </a:solidFill>
          <a:miter lim="800000"/>
        </a:ln>
        <a:effectLst/>
      </c:spPr>
    </c:plotArea>
    <c:legend>
      <c:legendPos val="b"/>
      <c:layout>
        <c:manualLayout>
          <c:xMode val="edge"/>
          <c:yMode val="edge"/>
          <c:x val="0"/>
          <c:y val="0.815518842822329"/>
          <c:w val="1"/>
          <c:h val="0.184481262058806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9050" cap="flat" cmpd="sng" algn="ctr">
      <a:noFill/>
      <a:round/>
    </a:ln>
    <a:effectLst/>
  </c:spPr>
  <c:txPr>
    <a:bodyPr/>
    <a:lstStyle/>
    <a:p>
      <a:pPr>
        <a:defRPr>
          <a:solidFill>
            <a:schemeClr val="tx1"/>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0" baseline="0">
                <a:solidFill>
                  <a:sysClr val="windowText" lastClr="000000"/>
                </a:solidFill>
                <a:latin typeface="Arial Nova Cond" panose="020B0506020202020204" pitchFamily="34" charset="0"/>
                <a:ea typeface="+mn-ea"/>
                <a:cs typeface="+mn-cs"/>
              </a:defRPr>
            </a:pPr>
            <a:r>
              <a:rPr lang="en-US" b="1" cap="all" baseline="0"/>
              <a:t>Separations Effluent Characteristics</a:t>
            </a:r>
          </a:p>
        </c:rich>
      </c:tx>
      <c:layout>
        <c:manualLayout>
          <c:xMode val="edge"/>
          <c:yMode val="edge"/>
          <c:x val="4.3419952941021935E-3"/>
          <c:y val="1.7711402588971567E-2"/>
        </c:manualLayout>
      </c:layout>
      <c:overlay val="0"/>
      <c:spPr>
        <a:noFill/>
        <a:ln>
          <a:noFill/>
        </a:ln>
        <a:effectLst/>
      </c:spPr>
      <c:txPr>
        <a:bodyPr rot="0" spcFirstLastPara="1" vertOverflow="ellipsis" vert="horz" wrap="square" anchor="ctr" anchorCtr="1"/>
        <a:lstStyle/>
        <a:p>
          <a:pPr>
            <a:defRPr sz="1400" b="1" i="0" u="none" strike="noStrike" kern="1200" cap="all"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3131001636298337"/>
          <c:y val="0.15745107096300387"/>
          <c:w val="0.73503965014033779"/>
          <c:h val="0.53098959059699358"/>
        </c:manualLayout>
      </c:layout>
      <c:barChart>
        <c:barDir val="col"/>
        <c:grouping val="stacked"/>
        <c:varyColors val="0"/>
        <c:ser>
          <c:idx val="1"/>
          <c:order val="0"/>
          <c:tx>
            <c:strRef>
              <c:f>ExpBase!$H$889</c:f>
              <c:strCache>
                <c:ptCount val="1"/>
                <c:pt idx="0">
                  <c:v>Acetic Acid</c:v>
                </c:pt>
              </c:strCache>
            </c:strRef>
          </c:tx>
          <c:spPr>
            <a:solidFill>
              <a:schemeClr val="accent2">
                <a:lumMod val="40000"/>
                <a:lumOff val="60000"/>
              </a:schemeClr>
            </a:solidFill>
            <a:ln>
              <a:noFill/>
            </a:ln>
            <a:effectLst/>
          </c:spPr>
          <c:invertIfNegative val="0"/>
          <c:cat>
            <c:strRef>
              <c:f>ExpBase!$I$888:$J$888</c:f>
              <c:strCache>
                <c:ptCount val="2"/>
                <c:pt idx="0">
                  <c:v>Electrodialysis</c:v>
                </c:pt>
                <c:pt idx="1">
                  <c:v>Liquid-Liquid Extraction</c:v>
                </c:pt>
              </c:strCache>
            </c:strRef>
          </c:cat>
          <c:val>
            <c:numRef>
              <c:f>ExpBase!$I$889:$J$889</c:f>
              <c:numCache>
                <c:formatCode>_(* #,##0.00_);_(* \(#,##0.00\);_(* "-"??_);_(@_)</c:formatCode>
                <c:ptCount val="2"/>
                <c:pt idx="0" formatCode="0.00">
                  <c:v>3.2715885702376162</c:v>
                </c:pt>
                <c:pt idx="1">
                  <c:v>2.666007961363805</c:v>
                </c:pt>
              </c:numCache>
            </c:numRef>
          </c:val>
          <c:extLst>
            <c:ext xmlns:c16="http://schemas.microsoft.com/office/drawing/2014/chart" uri="{C3380CC4-5D6E-409C-BE32-E72D297353CC}">
              <c16:uniqueId val="{00000001-EFC7-47C5-992A-86F904F62C4D}"/>
            </c:ext>
          </c:extLst>
        </c:ser>
        <c:ser>
          <c:idx val="3"/>
          <c:order val="1"/>
          <c:tx>
            <c:strRef>
              <c:f>ExpBase!$H$890</c:f>
              <c:strCache>
                <c:ptCount val="1"/>
                <c:pt idx="0">
                  <c:v>Propionic Acid</c:v>
                </c:pt>
              </c:strCache>
            </c:strRef>
          </c:tx>
          <c:spPr>
            <a:solidFill>
              <a:schemeClr val="accent2">
                <a:lumMod val="60000"/>
                <a:lumOff val="40000"/>
              </a:schemeClr>
            </a:solidFill>
            <a:ln>
              <a:noFill/>
            </a:ln>
            <a:effectLst/>
          </c:spPr>
          <c:invertIfNegative val="0"/>
          <c:cat>
            <c:strRef>
              <c:f>ExpBase!$I$888:$J$888</c:f>
              <c:strCache>
                <c:ptCount val="2"/>
                <c:pt idx="0">
                  <c:v>Electrodialysis</c:v>
                </c:pt>
                <c:pt idx="1">
                  <c:v>Liquid-Liquid Extraction</c:v>
                </c:pt>
              </c:strCache>
            </c:strRef>
          </c:cat>
          <c:val>
            <c:numRef>
              <c:f>ExpBase!$I$890:$J$890</c:f>
              <c:numCache>
                <c:formatCode>_(* #,##0.00_);_(* \(#,##0.00\);_(* "-"??_);_(@_)</c:formatCode>
                <c:ptCount val="2"/>
                <c:pt idx="0" formatCode="0.00">
                  <c:v>10.496427087638724</c:v>
                </c:pt>
                <c:pt idx="1">
                  <c:v>48.315844554559305</c:v>
                </c:pt>
              </c:numCache>
            </c:numRef>
          </c:val>
          <c:extLst>
            <c:ext xmlns:c16="http://schemas.microsoft.com/office/drawing/2014/chart" uri="{C3380CC4-5D6E-409C-BE32-E72D297353CC}">
              <c16:uniqueId val="{00000003-EFC7-47C5-992A-86F904F62C4D}"/>
            </c:ext>
          </c:extLst>
        </c:ser>
        <c:ser>
          <c:idx val="5"/>
          <c:order val="2"/>
          <c:tx>
            <c:strRef>
              <c:f>ExpBase!$H$891</c:f>
              <c:strCache>
                <c:ptCount val="1"/>
                <c:pt idx="0">
                  <c:v>Butyric Acid</c:v>
                </c:pt>
              </c:strCache>
            </c:strRef>
          </c:tx>
          <c:spPr>
            <a:solidFill>
              <a:srgbClr val="FFCC99"/>
            </a:solidFill>
            <a:ln>
              <a:noFill/>
            </a:ln>
            <a:effectLst/>
          </c:spPr>
          <c:invertIfNegative val="0"/>
          <c:cat>
            <c:strRef>
              <c:f>ExpBase!$I$888:$J$888</c:f>
              <c:strCache>
                <c:ptCount val="2"/>
                <c:pt idx="0">
                  <c:v>Electrodialysis</c:v>
                </c:pt>
                <c:pt idx="1">
                  <c:v>Liquid-Liquid Extraction</c:v>
                </c:pt>
              </c:strCache>
            </c:strRef>
          </c:cat>
          <c:val>
            <c:numRef>
              <c:f>ExpBase!$I$891:$J$891</c:f>
              <c:numCache>
                <c:formatCode>_(* #,##0.00_);_(* \(#,##0.00\);_(* "-"??_);_(@_)</c:formatCode>
                <c:ptCount val="2"/>
                <c:pt idx="0" formatCode="0.00">
                  <c:v>14.484402613251431</c:v>
                </c:pt>
                <c:pt idx="1">
                  <c:v>145.18927312765371</c:v>
                </c:pt>
              </c:numCache>
            </c:numRef>
          </c:val>
          <c:extLst>
            <c:ext xmlns:c16="http://schemas.microsoft.com/office/drawing/2014/chart" uri="{C3380CC4-5D6E-409C-BE32-E72D297353CC}">
              <c16:uniqueId val="{00000005-EFC7-47C5-992A-86F904F62C4D}"/>
            </c:ext>
          </c:extLst>
        </c:ser>
        <c:ser>
          <c:idx val="7"/>
          <c:order val="3"/>
          <c:tx>
            <c:strRef>
              <c:f>ExpBase!$H$892</c:f>
              <c:strCache>
                <c:ptCount val="1"/>
                <c:pt idx="0">
                  <c:v>Isobutyric Acid</c:v>
                </c:pt>
              </c:strCache>
            </c:strRef>
          </c:tx>
          <c:spPr>
            <a:solidFill>
              <a:srgbClr val="FFCC66"/>
            </a:solidFill>
            <a:ln>
              <a:noFill/>
            </a:ln>
            <a:effectLst/>
          </c:spPr>
          <c:invertIfNegative val="0"/>
          <c:cat>
            <c:strRef>
              <c:f>ExpBase!$I$888:$J$888</c:f>
              <c:strCache>
                <c:ptCount val="2"/>
                <c:pt idx="0">
                  <c:v>Electrodialysis</c:v>
                </c:pt>
                <c:pt idx="1">
                  <c:v>Liquid-Liquid Extraction</c:v>
                </c:pt>
              </c:strCache>
            </c:strRef>
          </c:cat>
          <c:val>
            <c:numRef>
              <c:f>ExpBase!$I$892:$J$892</c:f>
              <c:numCache>
                <c:formatCode>_(* #,##0.00_);_(* \(#,##0.00\);_(* "-"??_);_(@_)</c:formatCode>
                <c:ptCount val="2"/>
                <c:pt idx="0" formatCode="0.00">
                  <c:v>0</c:v>
                </c:pt>
                <c:pt idx="1">
                  <c:v>0</c:v>
                </c:pt>
              </c:numCache>
            </c:numRef>
          </c:val>
          <c:extLst>
            <c:ext xmlns:c16="http://schemas.microsoft.com/office/drawing/2014/chart" uri="{C3380CC4-5D6E-409C-BE32-E72D297353CC}">
              <c16:uniqueId val="{00000007-EFC7-47C5-992A-86F904F62C4D}"/>
            </c:ext>
          </c:extLst>
        </c:ser>
        <c:ser>
          <c:idx val="9"/>
          <c:order val="4"/>
          <c:tx>
            <c:strRef>
              <c:f>ExpBase!$H$893</c:f>
              <c:strCache>
                <c:ptCount val="1"/>
                <c:pt idx="0">
                  <c:v>Valeric Acid</c:v>
                </c:pt>
              </c:strCache>
            </c:strRef>
          </c:tx>
          <c:spPr>
            <a:solidFill>
              <a:srgbClr val="FFCCCC"/>
            </a:solidFill>
            <a:ln>
              <a:noFill/>
            </a:ln>
            <a:effectLst/>
          </c:spPr>
          <c:invertIfNegative val="0"/>
          <c:cat>
            <c:strRef>
              <c:f>ExpBase!$I$888:$J$888</c:f>
              <c:strCache>
                <c:ptCount val="2"/>
                <c:pt idx="0">
                  <c:v>Electrodialysis</c:v>
                </c:pt>
                <c:pt idx="1">
                  <c:v>Liquid-Liquid Extraction</c:v>
                </c:pt>
              </c:strCache>
            </c:strRef>
          </c:cat>
          <c:val>
            <c:numRef>
              <c:f>ExpBase!$I$893:$J$893</c:f>
              <c:numCache>
                <c:formatCode>_(* #,##0.00_);_(* \(#,##0.00\);_(* "-"??_);_(@_)</c:formatCode>
                <c:ptCount val="2"/>
                <c:pt idx="0" formatCode="0.00">
                  <c:v>22.905879986966596</c:v>
                </c:pt>
                <c:pt idx="1">
                  <c:v>231.73074950302254</c:v>
                </c:pt>
              </c:numCache>
            </c:numRef>
          </c:val>
          <c:extLst>
            <c:ext xmlns:c16="http://schemas.microsoft.com/office/drawing/2014/chart" uri="{C3380CC4-5D6E-409C-BE32-E72D297353CC}">
              <c16:uniqueId val="{00000009-EFC7-47C5-992A-86F904F62C4D}"/>
            </c:ext>
          </c:extLst>
        </c:ser>
        <c:ser>
          <c:idx val="11"/>
          <c:order val="5"/>
          <c:tx>
            <c:strRef>
              <c:f>ExpBase!$H$894</c:f>
              <c:strCache>
                <c:ptCount val="1"/>
                <c:pt idx="0">
                  <c:v>Isovaleric Acid</c:v>
                </c:pt>
              </c:strCache>
            </c:strRef>
          </c:tx>
          <c:spPr>
            <a:solidFill>
              <a:srgbClr val="FF9999"/>
            </a:solidFill>
            <a:ln>
              <a:noFill/>
            </a:ln>
            <a:effectLst/>
          </c:spPr>
          <c:invertIfNegative val="0"/>
          <c:cat>
            <c:strRef>
              <c:f>ExpBase!$I$888:$J$888</c:f>
              <c:strCache>
                <c:ptCount val="2"/>
                <c:pt idx="0">
                  <c:v>Electrodialysis</c:v>
                </c:pt>
                <c:pt idx="1">
                  <c:v>Liquid-Liquid Extraction</c:v>
                </c:pt>
              </c:strCache>
            </c:strRef>
          </c:cat>
          <c:val>
            <c:numRef>
              <c:f>ExpBase!$I$894:$J$894</c:f>
              <c:numCache>
                <c:formatCode>_(* #,##0.00_);_(* \(#,##0.00\);_(* "-"??_);_(@_)</c:formatCode>
                <c:ptCount val="2"/>
                <c:pt idx="0" formatCode="0.00">
                  <c:v>1.9964324987193443</c:v>
                </c:pt>
                <c:pt idx="1">
                  <c:v>20.197206984567458</c:v>
                </c:pt>
              </c:numCache>
            </c:numRef>
          </c:val>
          <c:extLst>
            <c:ext xmlns:c16="http://schemas.microsoft.com/office/drawing/2014/chart" uri="{C3380CC4-5D6E-409C-BE32-E72D297353CC}">
              <c16:uniqueId val="{0000000B-EFC7-47C5-992A-86F904F62C4D}"/>
            </c:ext>
          </c:extLst>
        </c:ser>
        <c:ser>
          <c:idx val="13"/>
          <c:order val="6"/>
          <c:tx>
            <c:strRef>
              <c:f>ExpBase!$H$895</c:f>
              <c:strCache>
                <c:ptCount val="1"/>
                <c:pt idx="0">
                  <c:v>Caproic Acid</c:v>
                </c:pt>
              </c:strCache>
            </c:strRef>
          </c:tx>
          <c:spPr>
            <a:solidFill>
              <a:srgbClr val="FFCCFF"/>
            </a:solidFill>
            <a:ln>
              <a:noFill/>
            </a:ln>
            <a:effectLst/>
          </c:spPr>
          <c:invertIfNegative val="0"/>
          <c:cat>
            <c:strRef>
              <c:f>ExpBase!$I$888:$J$888</c:f>
              <c:strCache>
                <c:ptCount val="2"/>
                <c:pt idx="0">
                  <c:v>Electrodialysis</c:v>
                </c:pt>
                <c:pt idx="1">
                  <c:v>Liquid-Liquid Extraction</c:v>
                </c:pt>
              </c:strCache>
            </c:strRef>
          </c:cat>
          <c:val>
            <c:numRef>
              <c:f>ExpBase!$I$895:$J$895</c:f>
              <c:numCache>
                <c:formatCode>_(* #,##0.00_);_(* \(#,##0.00\);_(* "-"??_);_(@_)</c:formatCode>
                <c:ptCount val="2"/>
                <c:pt idx="0" formatCode="0.00">
                  <c:v>51.702306849377742</c:v>
                </c:pt>
                <c:pt idx="1">
                  <c:v>523.05409458439203</c:v>
                </c:pt>
              </c:numCache>
            </c:numRef>
          </c:val>
          <c:extLst>
            <c:ext xmlns:c16="http://schemas.microsoft.com/office/drawing/2014/chart" uri="{C3380CC4-5D6E-409C-BE32-E72D297353CC}">
              <c16:uniqueId val="{0000000D-EFC7-47C5-992A-86F904F62C4D}"/>
            </c:ext>
          </c:extLst>
        </c:ser>
        <c:ser>
          <c:idx val="15"/>
          <c:order val="7"/>
          <c:tx>
            <c:strRef>
              <c:f>ExpBase!$H$896</c:f>
              <c:strCache>
                <c:ptCount val="1"/>
                <c:pt idx="0">
                  <c:v>Heptanoic Acid</c:v>
                </c:pt>
              </c:strCache>
            </c:strRef>
          </c:tx>
          <c:spPr>
            <a:solidFill>
              <a:srgbClr val="FF99FF"/>
            </a:solidFill>
            <a:ln>
              <a:noFill/>
            </a:ln>
            <a:effectLst/>
          </c:spPr>
          <c:invertIfNegative val="0"/>
          <c:cat>
            <c:strRef>
              <c:f>ExpBase!$I$888:$J$888</c:f>
              <c:strCache>
                <c:ptCount val="2"/>
                <c:pt idx="0">
                  <c:v>Electrodialysis</c:v>
                </c:pt>
                <c:pt idx="1">
                  <c:v>Liquid-Liquid Extraction</c:v>
                </c:pt>
              </c:strCache>
            </c:strRef>
          </c:cat>
          <c:val>
            <c:numRef>
              <c:f>ExpBase!$I$896:$J$896</c:f>
              <c:numCache>
                <c:formatCode>_(* #,##0.00_);_(* \(#,##0.00\);_(* "-"??_);_(@_)</c:formatCode>
                <c:ptCount val="2"/>
                <c:pt idx="0" formatCode="0.00">
                  <c:v>2.8514207699053142</c:v>
                </c:pt>
                <c:pt idx="1">
                  <c:v>28.846823284441214</c:v>
                </c:pt>
              </c:numCache>
            </c:numRef>
          </c:val>
          <c:extLst>
            <c:ext xmlns:c16="http://schemas.microsoft.com/office/drawing/2014/chart" uri="{C3380CC4-5D6E-409C-BE32-E72D297353CC}">
              <c16:uniqueId val="{0000000F-EFC7-47C5-992A-86F904F62C4D}"/>
            </c:ext>
          </c:extLst>
        </c:ser>
        <c:ser>
          <c:idx val="16"/>
          <c:order val="8"/>
          <c:tx>
            <c:strRef>
              <c:f>ExpBase!$H$897</c:f>
              <c:strCache>
                <c:ptCount val="1"/>
                <c:pt idx="0">
                  <c:v>Ammonia</c:v>
                </c:pt>
              </c:strCache>
            </c:strRef>
          </c:tx>
          <c:spPr>
            <a:solidFill>
              <a:srgbClr val="CCCC00"/>
            </a:solidFill>
            <a:ln>
              <a:noFill/>
            </a:ln>
            <a:effectLst/>
          </c:spPr>
          <c:invertIfNegative val="0"/>
          <c:cat>
            <c:strRef>
              <c:f>ExpBase!$I$888:$J$888</c:f>
              <c:strCache>
                <c:ptCount val="2"/>
                <c:pt idx="0">
                  <c:v>Electrodialysis</c:v>
                </c:pt>
                <c:pt idx="1">
                  <c:v>Liquid-Liquid Extraction</c:v>
                </c:pt>
              </c:strCache>
            </c:strRef>
          </c:cat>
          <c:val>
            <c:numRef>
              <c:f>ExpBase!$I$897:$J$897</c:f>
              <c:numCache>
                <c:formatCode>General</c:formatCode>
                <c:ptCount val="2"/>
                <c:pt idx="0" formatCode="0.00">
                  <c:v>7.3848257617232975E-3</c:v>
                </c:pt>
              </c:numCache>
            </c:numRef>
          </c:val>
          <c:extLst>
            <c:ext xmlns:c16="http://schemas.microsoft.com/office/drawing/2014/chart" uri="{C3380CC4-5D6E-409C-BE32-E72D297353CC}">
              <c16:uniqueId val="{00000010-EFC7-47C5-992A-86F904F62C4D}"/>
            </c:ext>
          </c:extLst>
        </c:ser>
        <c:ser>
          <c:idx val="17"/>
          <c:order val="9"/>
          <c:tx>
            <c:strRef>
              <c:f>ExpBase!$H$898</c:f>
              <c:strCache>
                <c:ptCount val="1"/>
                <c:pt idx="0">
                  <c:v>Sulfate</c:v>
                </c:pt>
              </c:strCache>
            </c:strRef>
          </c:tx>
          <c:spPr>
            <a:solidFill>
              <a:srgbClr val="CCFF33"/>
            </a:solidFill>
            <a:ln>
              <a:noFill/>
            </a:ln>
            <a:effectLst/>
          </c:spPr>
          <c:invertIfNegative val="0"/>
          <c:cat>
            <c:strRef>
              <c:f>ExpBase!$I$888:$J$888</c:f>
              <c:strCache>
                <c:ptCount val="2"/>
                <c:pt idx="0">
                  <c:v>Electrodialysis</c:v>
                </c:pt>
                <c:pt idx="1">
                  <c:v>Liquid-Liquid Extraction</c:v>
                </c:pt>
              </c:strCache>
            </c:strRef>
          </c:cat>
          <c:val>
            <c:numRef>
              <c:f>ExpBase!$I$898:$J$898</c:f>
              <c:numCache>
                <c:formatCode>General</c:formatCode>
                <c:ptCount val="2"/>
                <c:pt idx="0" formatCode="0.00">
                  <c:v>0</c:v>
                </c:pt>
              </c:numCache>
            </c:numRef>
          </c:val>
          <c:extLst>
            <c:ext xmlns:c16="http://schemas.microsoft.com/office/drawing/2014/chart" uri="{C3380CC4-5D6E-409C-BE32-E72D297353CC}">
              <c16:uniqueId val="{00000000-4FE4-4849-AFD8-66614E1A27A1}"/>
            </c:ext>
          </c:extLst>
        </c:ser>
        <c:ser>
          <c:idx val="18"/>
          <c:order val="10"/>
          <c:tx>
            <c:strRef>
              <c:f>ExpBase!$H$899</c:f>
              <c:strCache>
                <c:ptCount val="1"/>
                <c:pt idx="0">
                  <c:v>Phosphate</c:v>
                </c:pt>
              </c:strCache>
            </c:strRef>
          </c:tx>
          <c:spPr>
            <a:solidFill>
              <a:srgbClr val="33CC33"/>
            </a:solidFill>
            <a:ln>
              <a:noFill/>
            </a:ln>
            <a:effectLst/>
          </c:spPr>
          <c:invertIfNegative val="0"/>
          <c:cat>
            <c:strRef>
              <c:f>ExpBase!$I$888:$J$888</c:f>
              <c:strCache>
                <c:ptCount val="2"/>
                <c:pt idx="0">
                  <c:v>Electrodialysis</c:v>
                </c:pt>
                <c:pt idx="1">
                  <c:v>Liquid-Liquid Extraction</c:v>
                </c:pt>
              </c:strCache>
            </c:strRef>
          </c:cat>
          <c:val>
            <c:numRef>
              <c:f>ExpBase!$I$899:$J$899</c:f>
              <c:numCache>
                <c:formatCode>General</c:formatCode>
                <c:ptCount val="2"/>
                <c:pt idx="0" formatCode="0.00">
                  <c:v>5.6536411410157932</c:v>
                </c:pt>
              </c:numCache>
            </c:numRef>
          </c:val>
          <c:extLst>
            <c:ext xmlns:c16="http://schemas.microsoft.com/office/drawing/2014/chart" uri="{C3380CC4-5D6E-409C-BE32-E72D297353CC}">
              <c16:uniqueId val="{00000001-4FE4-4849-AFD8-66614E1A27A1}"/>
            </c:ext>
          </c:extLst>
        </c:ser>
        <c:dLbls>
          <c:showLegendKey val="0"/>
          <c:showVal val="0"/>
          <c:showCatName val="0"/>
          <c:showSerName val="0"/>
          <c:showPercent val="0"/>
          <c:showBubbleSize val="0"/>
        </c:dLbls>
        <c:gapWidth val="40"/>
        <c:overlap val="100"/>
        <c:axId val="232729744"/>
        <c:axId val="232739344"/>
      </c:barChart>
      <c:barChart>
        <c:barDir val="col"/>
        <c:grouping val="stacked"/>
        <c:varyColors val="0"/>
        <c:ser>
          <c:idx val="19"/>
          <c:order val="11"/>
          <c:tx>
            <c:strRef>
              <c:f>ExpBase!$H$900</c:f>
              <c:strCache>
                <c:ptCount val="1"/>
                <c:pt idx="0">
                  <c:v>Total Flow Rate</c:v>
                </c:pt>
              </c:strCache>
            </c:strRef>
          </c:tx>
          <c:spPr>
            <a:solidFill>
              <a:schemeClr val="tx1">
                <a:alpha val="30000"/>
              </a:schemeClr>
            </a:solidFill>
            <a:ln>
              <a:noFill/>
            </a:ln>
            <a:effectLst/>
          </c:spPr>
          <c:invertIfNegative val="0"/>
          <c:cat>
            <c:strRef>
              <c:f>ExpBase!$I$888:$J$888</c:f>
              <c:strCache>
                <c:ptCount val="2"/>
                <c:pt idx="0">
                  <c:v>Electrodialysis</c:v>
                </c:pt>
                <c:pt idx="1">
                  <c:v>Liquid-Liquid Extraction</c:v>
                </c:pt>
              </c:strCache>
            </c:strRef>
          </c:cat>
          <c:val>
            <c:numRef>
              <c:f>ExpBase!$I$900:$J$900</c:f>
              <c:numCache>
                <c:formatCode>_(* #,##0.00_);_(* \(#,##0.00\);_(* "-"??_);_(@_)</c:formatCode>
                <c:ptCount val="2"/>
                <c:pt idx="0">
                  <c:v>8.5825666349540093</c:v>
                </c:pt>
              </c:numCache>
            </c:numRef>
          </c:val>
          <c:extLst>
            <c:ext xmlns:c16="http://schemas.microsoft.com/office/drawing/2014/chart" uri="{C3380CC4-5D6E-409C-BE32-E72D297353CC}">
              <c16:uniqueId val="{00000002-4FE4-4849-AFD8-66614E1A27A1}"/>
            </c:ext>
          </c:extLst>
        </c:ser>
        <c:ser>
          <c:idx val="20"/>
          <c:order val="12"/>
          <c:tx>
            <c:strRef>
              <c:f>ExpBase!$H$901</c:f>
              <c:strCache>
                <c:ptCount val="1"/>
                <c:pt idx="0">
                  <c:v>VFAs in Flow</c:v>
                </c:pt>
              </c:strCache>
            </c:strRef>
          </c:tx>
          <c:spPr>
            <a:solidFill>
              <a:srgbClr val="FF00FF"/>
            </a:solidFill>
            <a:ln>
              <a:noFill/>
            </a:ln>
            <a:effectLst/>
          </c:spPr>
          <c:invertIfNegative val="0"/>
          <c:dLbls>
            <c:dLbl>
              <c:idx val="0"/>
              <c:layout>
                <c:manualLayout>
                  <c:x val="0"/>
                  <c:y val="-5.9143473276143881E-2"/>
                </c:manualLayout>
              </c:layout>
              <c:tx>
                <c:rich>
                  <a:bodyPr/>
                  <a:lstStyle/>
                  <a:p>
                    <a:fld id="{0AF96041-99C3-6545-9F2F-63B28FF69E0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6208-4A7F-8D80-E78AC2176D55}"/>
                </c:ext>
              </c:extLst>
            </c:dLbl>
            <c:dLbl>
              <c:idx val="1"/>
              <c:layout>
                <c:manualLayout>
                  <c:x val="-9.2347689957209395E-17"/>
                  <c:y val="-6.6536407435661887E-2"/>
                </c:manualLayout>
              </c:layout>
              <c:tx>
                <c:rich>
                  <a:bodyPr/>
                  <a:lstStyle/>
                  <a:p>
                    <a:fld id="{411211E3-5303-1345-801A-8CDEC61FF2D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6208-4A7F-8D80-E78AC2176D55}"/>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00FF"/>
                    </a:solidFill>
                    <a:latin typeface="Arial Nova Cond" panose="020B0506020202020204" pitchFamily="34" charset="0"/>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ExpBase!$I$888:$J$888</c:f>
              <c:strCache>
                <c:ptCount val="2"/>
                <c:pt idx="0">
                  <c:v>Electrodialysis</c:v>
                </c:pt>
                <c:pt idx="1">
                  <c:v>Liquid-Liquid Extraction</c:v>
                </c:pt>
              </c:strCache>
            </c:strRef>
          </c:cat>
          <c:val>
            <c:numRef>
              <c:f>ExpBase!$I$901:$J$901</c:f>
              <c:numCache>
                <c:formatCode>_(* #,##0.00_);_(* \(#,##0.00\);_(* "-"??_);_(@_)</c:formatCode>
                <c:ptCount val="2"/>
                <c:pt idx="0" formatCode="0.00">
                  <c:v>1.0362102623412117</c:v>
                </c:pt>
                <c:pt idx="1">
                  <c:v>0.95078684940764624</c:v>
                </c:pt>
              </c:numCache>
            </c:numRef>
          </c:val>
          <c:extLst>
            <c:ext xmlns:c15="http://schemas.microsoft.com/office/drawing/2012/chart" uri="{02D57815-91ED-43cb-92C2-25804820EDAC}">
              <c15:datalabelsRange>
                <c15:f>ExpBase!$I$902:$J$902</c15:f>
                <c15:dlblRangeCache>
                  <c:ptCount val="2"/>
                  <c:pt idx="0">
                    <c:v>10.3%</c:v>
                  </c:pt>
                  <c:pt idx="1">
                    <c:v>100%</c:v>
                  </c:pt>
                </c15:dlblRangeCache>
              </c15:datalabelsRange>
            </c:ext>
            <c:ext xmlns:c16="http://schemas.microsoft.com/office/drawing/2014/chart" uri="{C3380CC4-5D6E-409C-BE32-E72D297353CC}">
              <c16:uniqueId val="{00000000-C51A-4D4F-B21B-3F5DD6C8129B}"/>
            </c:ext>
          </c:extLst>
        </c:ser>
        <c:ser>
          <c:idx val="0"/>
          <c:order val="13"/>
          <c:tx>
            <c:strRef>
              <c:f>ExpBase!$H$902</c:f>
              <c:strCache>
                <c:ptCount val="1"/>
                <c:pt idx="0">
                  <c:v>m:m% VFAs</c:v>
                </c:pt>
              </c:strCache>
            </c:strRef>
          </c:tx>
          <c:spPr>
            <a:solidFill>
              <a:srgbClr val="FF66FF"/>
            </a:solidFill>
            <a:ln w="22225">
              <a:solidFill>
                <a:schemeClr val="tx1"/>
              </a:solidFill>
            </a:ln>
            <a:effectLst/>
          </c:spPr>
          <c:invertIfNegative val="0"/>
          <c:val>
            <c:numRef>
              <c:f>ExpBase!$I$903:$J$903</c:f>
              <c:numCache>
                <c:formatCode>_(* #,##0.00_);_(* \(#,##0.00\);_(* "-"??_);_(@_)</c:formatCode>
                <c:ptCount val="2"/>
              </c:numCache>
            </c:numRef>
          </c:val>
          <c:extLst>
            <c:ext xmlns:c16="http://schemas.microsoft.com/office/drawing/2014/chart" uri="{C3380CC4-5D6E-409C-BE32-E72D297353CC}">
              <c16:uniqueId val="{00000000-6208-4A7F-8D80-E78AC2176D55}"/>
            </c:ext>
          </c:extLst>
        </c:ser>
        <c:dLbls>
          <c:showLegendKey val="0"/>
          <c:showVal val="0"/>
          <c:showCatName val="0"/>
          <c:showSerName val="0"/>
          <c:showPercent val="0"/>
          <c:showBubbleSize val="0"/>
        </c:dLbls>
        <c:gapWidth val="500"/>
        <c:overlap val="100"/>
        <c:axId val="303060736"/>
        <c:axId val="303080896"/>
      </c:barChart>
      <c:catAx>
        <c:axId val="23272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Nova Cond" panose="020B0506020202020204" pitchFamily="34" charset="0"/>
                <a:ea typeface="+mn-ea"/>
                <a:cs typeface="+mn-cs"/>
              </a:defRPr>
            </a:pPr>
            <a:endParaRPr lang="en-US"/>
          </a:p>
        </c:txPr>
        <c:crossAx val="232739344"/>
        <c:crosses val="autoZero"/>
        <c:auto val="1"/>
        <c:lblAlgn val="ctr"/>
        <c:lblOffset val="100"/>
        <c:noMultiLvlLbl val="0"/>
      </c:catAx>
      <c:valAx>
        <c:axId val="232739344"/>
        <c:scaling>
          <c:orientation val="minMax"/>
          <c:max val="1500"/>
          <c:min val="0"/>
        </c:scaling>
        <c:delete val="0"/>
        <c:axPos val="l"/>
        <c:majorGridlines>
          <c:spPr>
            <a:ln w="9525" cap="flat" cmpd="sng" algn="ctr">
              <a:solidFill>
                <a:schemeClr val="tx1">
                  <a:alpha val="34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baseline="0"/>
                  <a:t>Species Concentration </a:t>
                </a:r>
                <a:r>
                  <a:rPr lang="en-US" b="0" baseline="0"/>
                  <a:t>[g/L]</a:t>
                </a:r>
                <a:endParaRPr lang="en-US" b="0"/>
              </a:p>
            </c:rich>
          </c:tx>
          <c:layout>
            <c:manualLayout>
              <c:xMode val="edge"/>
              <c:yMode val="edge"/>
              <c:x val="1.9267705428222905E-2"/>
              <c:y val="0.18843832415571382"/>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0"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crossAx val="232729744"/>
        <c:crosses val="autoZero"/>
        <c:crossBetween val="between"/>
        <c:majorUnit val="250"/>
      </c:valAx>
      <c:valAx>
        <c:axId val="303080896"/>
        <c:scaling>
          <c:orientation val="minMax"/>
        </c:scaling>
        <c:delete val="0"/>
        <c:axPos val="r"/>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solidFill>
                      <a:sysClr val="windowText" lastClr="000000"/>
                    </a:solidFill>
                  </a:rPr>
                  <a:t>Volumetric Flow Rate</a:t>
                </a:r>
                <a:r>
                  <a:rPr lang="en-US" b="1" baseline="0">
                    <a:solidFill>
                      <a:sysClr val="windowText" lastClr="000000"/>
                    </a:solidFill>
                  </a:rPr>
                  <a:t> </a:t>
                </a:r>
                <a:r>
                  <a:rPr lang="en-US" b="0" baseline="0">
                    <a:solidFill>
                      <a:sysClr val="windowText" lastClr="000000"/>
                    </a:solidFill>
                  </a:rPr>
                  <a:t>[m</a:t>
                </a:r>
                <a:r>
                  <a:rPr lang="en-US" b="0" baseline="30000">
                    <a:solidFill>
                      <a:sysClr val="windowText" lastClr="000000"/>
                    </a:solidFill>
                  </a:rPr>
                  <a:t>3</a:t>
                </a:r>
                <a:r>
                  <a:rPr lang="en-US" b="0" baseline="0">
                    <a:solidFill>
                      <a:sysClr val="windowText" lastClr="000000"/>
                    </a:solidFill>
                  </a:rPr>
                  <a:t>/hr]</a:t>
                </a:r>
                <a:endParaRPr lang="en-US" b="0">
                  <a:solidFill>
                    <a:sysClr val="windowText" lastClr="000000"/>
                  </a:solidFill>
                </a:endParaRPr>
              </a:p>
            </c:rich>
          </c:tx>
          <c:layout>
            <c:manualLayout>
              <c:xMode val="edge"/>
              <c:yMode val="edge"/>
              <c:x val="0.93115305169098705"/>
              <c:y val="0.1627671890320735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_(* #,##0_);_(* \(#,##0\);_(* &quot;-&quot;_);_(@_)"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crossAx val="303060736"/>
        <c:crosses val="max"/>
        <c:crossBetween val="between"/>
      </c:valAx>
      <c:catAx>
        <c:axId val="303060736"/>
        <c:scaling>
          <c:orientation val="minMax"/>
        </c:scaling>
        <c:delete val="1"/>
        <c:axPos val="b"/>
        <c:numFmt formatCode="General" sourceLinked="1"/>
        <c:majorTickMark val="out"/>
        <c:minorTickMark val="none"/>
        <c:tickLblPos val="nextTo"/>
        <c:crossAx val="303080896"/>
        <c:crosses val="autoZero"/>
        <c:auto val="1"/>
        <c:lblAlgn val="ctr"/>
        <c:lblOffset val="100"/>
        <c:noMultiLvlLbl val="0"/>
      </c:catAx>
      <c:spPr>
        <a:noFill/>
        <a:ln w="15875">
          <a:solidFill>
            <a:schemeClr val="tx1"/>
          </a:solidFill>
          <a:miter lim="800000"/>
        </a:ln>
        <a:effectLst/>
      </c:spPr>
    </c:plotArea>
    <c:legend>
      <c:legendPos val="b"/>
      <c:layout>
        <c:manualLayout>
          <c:xMode val="edge"/>
          <c:yMode val="edge"/>
          <c:x val="2.54538688725831E-3"/>
          <c:y val="0.79160150698368315"/>
          <c:w val="0.99745461365710342"/>
          <c:h val="0.20839849301631688"/>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9050"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0" baseline="0">
                <a:solidFill>
                  <a:sysClr val="windowText" lastClr="000000"/>
                </a:solidFill>
                <a:latin typeface="Arial Nova Cond" panose="020B0506020202020204" pitchFamily="34" charset="0"/>
                <a:ea typeface="+mn-ea"/>
                <a:cs typeface="+mn-cs"/>
              </a:defRPr>
            </a:pPr>
            <a:r>
              <a:rPr lang="en-US" cap="all" baseline="0"/>
              <a:t>Effluent Hydrocarbon Characteristics</a:t>
            </a:r>
          </a:p>
        </c:rich>
      </c:tx>
      <c:layout>
        <c:manualLayout>
          <c:xMode val="edge"/>
          <c:yMode val="edge"/>
          <c:x val="5.6786889067841403E-3"/>
          <c:y val="2.6544270408781764E-2"/>
        </c:manualLayout>
      </c:layout>
      <c:overlay val="0"/>
      <c:spPr>
        <a:noFill/>
        <a:ln>
          <a:noFill/>
        </a:ln>
        <a:effectLst/>
      </c:spPr>
      <c:txPr>
        <a:bodyPr rot="0" spcFirstLastPara="1" vertOverflow="ellipsis" vert="horz" wrap="square" anchor="ctr" anchorCtr="1"/>
        <a:lstStyle/>
        <a:p>
          <a:pPr>
            <a:defRPr sz="1400" b="1" i="0" u="none" strike="noStrike" kern="1200" cap="all"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1337958644014487"/>
          <c:y val="0.14788652070602387"/>
          <c:w val="0.77028201990750456"/>
          <c:h val="0.63738346945856272"/>
        </c:manualLayout>
      </c:layout>
      <c:areaChart>
        <c:grouping val="standard"/>
        <c:varyColors val="0"/>
        <c:ser>
          <c:idx val="1"/>
          <c:order val="1"/>
          <c:tx>
            <c:strRef>
              <c:f>ExpBase!$G$1156</c:f>
              <c:strCache>
                <c:ptCount val="1"/>
                <c:pt idx="0">
                  <c:v>Naphtha Flow Rate</c:v>
                </c:pt>
              </c:strCache>
            </c:strRef>
          </c:tx>
          <c:spPr>
            <a:solidFill>
              <a:srgbClr val="CC9900">
                <a:alpha val="55686"/>
              </a:srgbClr>
            </a:solidFill>
            <a:ln>
              <a:noFill/>
            </a:ln>
            <a:effectLst/>
          </c:spPr>
          <c:cat>
            <c:strRef>
              <c:f>ExpBase!$K$1156:$K$1173</c:f>
              <c:strCache>
                <c:ptCount val="18"/>
                <c:pt idx="0">
                  <c:v>n-C4</c:v>
                </c:pt>
                <c:pt idx="1">
                  <c:v>n-C5</c:v>
                </c:pt>
                <c:pt idx="2">
                  <c:v>n-C6</c:v>
                </c:pt>
                <c:pt idx="3">
                  <c:v>i-C6</c:v>
                </c:pt>
                <c:pt idx="4">
                  <c:v>n-C7</c:v>
                </c:pt>
                <c:pt idx="5">
                  <c:v>i-C7</c:v>
                </c:pt>
                <c:pt idx="6">
                  <c:v>n-C8</c:v>
                </c:pt>
                <c:pt idx="7">
                  <c:v>i-C8</c:v>
                </c:pt>
                <c:pt idx="8">
                  <c:v>n-C9</c:v>
                </c:pt>
                <c:pt idx="9">
                  <c:v>i-C9</c:v>
                </c:pt>
                <c:pt idx="10">
                  <c:v>n-C10</c:v>
                </c:pt>
                <c:pt idx="11">
                  <c:v>i-C10</c:v>
                </c:pt>
                <c:pt idx="12">
                  <c:v>n-C11</c:v>
                </c:pt>
                <c:pt idx="13">
                  <c:v>i-C11</c:v>
                </c:pt>
                <c:pt idx="14">
                  <c:v>n-C12</c:v>
                </c:pt>
                <c:pt idx="15">
                  <c:v>i-C12</c:v>
                </c:pt>
                <c:pt idx="16">
                  <c:v>n-C13</c:v>
                </c:pt>
                <c:pt idx="17">
                  <c:v>n-C14</c:v>
                </c:pt>
              </c:strCache>
            </c:strRef>
          </c:cat>
          <c:val>
            <c:numRef>
              <c:f>ExpBase!$H$1156:$H$1173</c:f>
              <c:numCache>
                <c:formatCode>_(* #,##0.00_);_(* \(#,##0.00\);_(* "-"??_);_(@_)</c:formatCode>
                <c:ptCount val="18"/>
                <c:pt idx="0">
                  <c:v>4.1141346270997561</c:v>
                </c:pt>
                <c:pt idx="1">
                  <c:v>4.1141346270997561</c:v>
                </c:pt>
                <c:pt idx="2">
                  <c:v>4.1141346270997561</c:v>
                </c:pt>
                <c:pt idx="3">
                  <c:v>4.1141346270997561</c:v>
                </c:pt>
                <c:pt idx="4">
                  <c:v>4.1141346270997561</c:v>
                </c:pt>
                <c:pt idx="5">
                  <c:v>4.1141346270997561</c:v>
                </c:pt>
                <c:pt idx="6">
                  <c:v>4.1141346270997561</c:v>
                </c:pt>
              </c:numCache>
            </c:numRef>
          </c:val>
          <c:extLst>
            <c:ext xmlns:c16="http://schemas.microsoft.com/office/drawing/2014/chart" uri="{C3380CC4-5D6E-409C-BE32-E72D297353CC}">
              <c16:uniqueId val="{00000001-FCCF-4B0F-9870-FD82687DE53E}"/>
            </c:ext>
          </c:extLst>
        </c:ser>
        <c:ser>
          <c:idx val="2"/>
          <c:order val="2"/>
          <c:tx>
            <c:strRef>
              <c:f>ExpBase!$I$1156</c:f>
              <c:strCache>
                <c:ptCount val="1"/>
                <c:pt idx="0">
                  <c:v>Jet Fuel Flow Rate</c:v>
                </c:pt>
              </c:strCache>
            </c:strRef>
          </c:tx>
          <c:spPr>
            <a:solidFill>
              <a:srgbClr val="CCCC00">
                <a:alpha val="55686"/>
              </a:srgbClr>
            </a:solidFill>
            <a:ln w="25400">
              <a:noFill/>
            </a:ln>
            <a:effectLst/>
          </c:spPr>
          <c:cat>
            <c:strRef>
              <c:f>ExpBase!$K$1156:$K$1173</c:f>
              <c:strCache>
                <c:ptCount val="18"/>
                <c:pt idx="0">
                  <c:v>n-C4</c:v>
                </c:pt>
                <c:pt idx="1">
                  <c:v>n-C5</c:v>
                </c:pt>
                <c:pt idx="2">
                  <c:v>n-C6</c:v>
                </c:pt>
                <c:pt idx="3">
                  <c:v>i-C6</c:v>
                </c:pt>
                <c:pt idx="4">
                  <c:v>n-C7</c:v>
                </c:pt>
                <c:pt idx="5">
                  <c:v>i-C7</c:v>
                </c:pt>
                <c:pt idx="6">
                  <c:v>n-C8</c:v>
                </c:pt>
                <c:pt idx="7">
                  <c:v>i-C8</c:v>
                </c:pt>
                <c:pt idx="8">
                  <c:v>n-C9</c:v>
                </c:pt>
                <c:pt idx="9">
                  <c:v>i-C9</c:v>
                </c:pt>
                <c:pt idx="10">
                  <c:v>n-C10</c:v>
                </c:pt>
                <c:pt idx="11">
                  <c:v>i-C10</c:v>
                </c:pt>
                <c:pt idx="12">
                  <c:v>n-C11</c:v>
                </c:pt>
                <c:pt idx="13">
                  <c:v>i-C11</c:v>
                </c:pt>
                <c:pt idx="14">
                  <c:v>n-C12</c:v>
                </c:pt>
                <c:pt idx="15">
                  <c:v>i-C12</c:v>
                </c:pt>
                <c:pt idx="16">
                  <c:v>n-C13</c:v>
                </c:pt>
                <c:pt idx="17">
                  <c:v>n-C14</c:v>
                </c:pt>
              </c:strCache>
            </c:strRef>
          </c:cat>
          <c:val>
            <c:numRef>
              <c:f>ExpBase!$J$1156:$J$1173</c:f>
              <c:numCache>
                <c:formatCode>General</c:formatCode>
                <c:ptCount val="18"/>
                <c:pt idx="6" formatCode="_(* #,##0.00_);_(* \(#,##0.00\);_(* &quot;-&quot;??_);_(@_)">
                  <c:v>207.01933866371189</c:v>
                </c:pt>
                <c:pt idx="7" formatCode="_(* #,##0.00_);_(* \(#,##0.00\);_(* &quot;-&quot;??_);_(@_)">
                  <c:v>207.01933866371189</c:v>
                </c:pt>
                <c:pt idx="8" formatCode="_(* #,##0.00_);_(* \(#,##0.00\);_(* &quot;-&quot;??_);_(@_)">
                  <c:v>207.01933866371189</c:v>
                </c:pt>
                <c:pt idx="9" formatCode="_(* #,##0.00_);_(* \(#,##0.00\);_(* &quot;-&quot;??_);_(@_)">
                  <c:v>207.01933866371189</c:v>
                </c:pt>
                <c:pt idx="10" formatCode="_(* #,##0.00_);_(* \(#,##0.00\);_(* &quot;-&quot;??_);_(@_)">
                  <c:v>207.01933866371189</c:v>
                </c:pt>
                <c:pt idx="11" formatCode="_(* #,##0.00_);_(* \(#,##0.00\);_(* &quot;-&quot;??_);_(@_)">
                  <c:v>207.01933866371189</c:v>
                </c:pt>
                <c:pt idx="12" formatCode="_(* #,##0.00_);_(* \(#,##0.00\);_(* &quot;-&quot;??_);_(@_)">
                  <c:v>207.01933866371189</c:v>
                </c:pt>
                <c:pt idx="13" formatCode="_(* #,##0.00_);_(* \(#,##0.00\);_(* &quot;-&quot;??_);_(@_)">
                  <c:v>207.01933866371189</c:v>
                </c:pt>
                <c:pt idx="14" formatCode="_(* #,##0.00_);_(* \(#,##0.00\);_(* &quot;-&quot;??_);_(@_)">
                  <c:v>207.01933866371189</c:v>
                </c:pt>
                <c:pt idx="15" formatCode="_(* #,##0.00_);_(* \(#,##0.00\);_(* &quot;-&quot;??_);_(@_)">
                  <c:v>207.01933866371189</c:v>
                </c:pt>
                <c:pt idx="16" formatCode="_(* #,##0.00_);_(* \(#,##0.00\);_(* &quot;-&quot;??_);_(@_)">
                  <c:v>207.01933866371189</c:v>
                </c:pt>
                <c:pt idx="17" formatCode="_(* #,##0.00_);_(* \(#,##0.00\);_(* &quot;-&quot;??_);_(@_)">
                  <c:v>207.01933866371189</c:v>
                </c:pt>
              </c:numCache>
            </c:numRef>
          </c:val>
          <c:extLst>
            <c:ext xmlns:c16="http://schemas.microsoft.com/office/drawing/2014/chart" uri="{C3380CC4-5D6E-409C-BE32-E72D297353CC}">
              <c16:uniqueId val="{00000002-FCCF-4B0F-9870-FD82687DE53E}"/>
            </c:ext>
          </c:extLst>
        </c:ser>
        <c:dLbls>
          <c:showLegendKey val="0"/>
          <c:showVal val="0"/>
          <c:showCatName val="0"/>
          <c:showSerName val="0"/>
          <c:showPercent val="0"/>
          <c:showBubbleSize val="0"/>
        </c:dLbls>
        <c:axId val="2102739504"/>
        <c:axId val="1979182448"/>
      </c:areaChart>
      <c:barChart>
        <c:barDir val="col"/>
        <c:grouping val="clustered"/>
        <c:varyColors val="0"/>
        <c:ser>
          <c:idx val="0"/>
          <c:order val="0"/>
          <c:tx>
            <c:strRef>
              <c:f>ExpBase!$L$1155</c:f>
              <c:strCache>
                <c:ptCount val="1"/>
              </c:strCache>
            </c:strRef>
          </c:tx>
          <c:spPr>
            <a:solidFill>
              <a:schemeClr val="accent1"/>
            </a:solidFill>
            <a:ln>
              <a:noFill/>
            </a:ln>
            <a:effectLst/>
          </c:spPr>
          <c:invertIfNegative val="0"/>
          <c:cat>
            <c:strRef>
              <c:f>ExpBase!$K$1156:$K$1173</c:f>
              <c:strCache>
                <c:ptCount val="18"/>
                <c:pt idx="0">
                  <c:v>n-C4</c:v>
                </c:pt>
                <c:pt idx="1">
                  <c:v>n-C5</c:v>
                </c:pt>
                <c:pt idx="2">
                  <c:v>n-C6</c:v>
                </c:pt>
                <c:pt idx="3">
                  <c:v>i-C6</c:v>
                </c:pt>
                <c:pt idx="4">
                  <c:v>n-C7</c:v>
                </c:pt>
                <c:pt idx="5">
                  <c:v>i-C7</c:v>
                </c:pt>
                <c:pt idx="6">
                  <c:v>n-C8</c:v>
                </c:pt>
                <c:pt idx="7">
                  <c:v>i-C8</c:v>
                </c:pt>
                <c:pt idx="8">
                  <c:v>n-C9</c:v>
                </c:pt>
                <c:pt idx="9">
                  <c:v>i-C9</c:v>
                </c:pt>
                <c:pt idx="10">
                  <c:v>n-C10</c:v>
                </c:pt>
                <c:pt idx="11">
                  <c:v>i-C10</c:v>
                </c:pt>
                <c:pt idx="12">
                  <c:v>n-C11</c:v>
                </c:pt>
                <c:pt idx="13">
                  <c:v>i-C11</c:v>
                </c:pt>
                <c:pt idx="14">
                  <c:v>n-C12</c:v>
                </c:pt>
                <c:pt idx="15">
                  <c:v>i-C12</c:v>
                </c:pt>
                <c:pt idx="16">
                  <c:v>n-C13</c:v>
                </c:pt>
                <c:pt idx="17">
                  <c:v>n-C14</c:v>
                </c:pt>
              </c:strCache>
            </c:strRef>
          </c:cat>
          <c:val>
            <c:numRef>
              <c:f>ExpBase!$L$1156:$L$1173</c:f>
              <c:numCache>
                <c:formatCode>General</c:formatCode>
                <c:ptCount val="18"/>
                <c:pt idx="0">
                  <c:v>4.1903594136383913E-2</c:v>
                </c:pt>
                <c:pt idx="1">
                  <c:v>1.4705899581536115</c:v>
                </c:pt>
                <c:pt idx="2">
                  <c:v>16.879128335619477</c:v>
                </c:pt>
                <c:pt idx="3">
                  <c:v>0</c:v>
                </c:pt>
                <c:pt idx="4">
                  <c:v>79.129149371242463</c:v>
                </c:pt>
                <c:pt idx="5">
                  <c:v>1.0101122102890474E-2</c:v>
                </c:pt>
                <c:pt idx="6">
                  <c:v>4.4731285128171576</c:v>
                </c:pt>
                <c:pt idx="7">
                  <c:v>0.16916957085510476</c:v>
                </c:pt>
                <c:pt idx="8">
                  <c:v>10.921825030971185</c:v>
                </c:pt>
                <c:pt idx="9">
                  <c:v>0.47990362947135085</c:v>
                </c:pt>
                <c:pt idx="10">
                  <c:v>18.196140737486431</c:v>
                </c:pt>
                <c:pt idx="11">
                  <c:v>0.76498515532560674</c:v>
                </c:pt>
                <c:pt idx="12">
                  <c:v>20.696781068319776</c:v>
                </c:pt>
                <c:pt idx="13">
                  <c:v>1.5981967201324518</c:v>
                </c:pt>
                <c:pt idx="14">
                  <c:v>38.619519516672973</c:v>
                </c:pt>
                <c:pt idx="15">
                  <c:v>8.5708489025631607E-2</c:v>
                </c:pt>
                <c:pt idx="16">
                  <c:v>2.2728930042933739</c:v>
                </c:pt>
                <c:pt idx="17">
                  <c:v>2.0338985105879667E-2</c:v>
                </c:pt>
              </c:numCache>
            </c:numRef>
          </c:val>
          <c:extLst>
            <c:ext xmlns:c16="http://schemas.microsoft.com/office/drawing/2014/chart" uri="{C3380CC4-5D6E-409C-BE32-E72D297353CC}">
              <c16:uniqueId val="{00000000-FCCF-4B0F-9870-FD82687DE53E}"/>
            </c:ext>
          </c:extLst>
        </c:ser>
        <c:dLbls>
          <c:showLegendKey val="0"/>
          <c:showVal val="0"/>
          <c:showCatName val="0"/>
          <c:showSerName val="0"/>
          <c:showPercent val="0"/>
          <c:showBubbleSize val="0"/>
        </c:dLbls>
        <c:gapWidth val="60"/>
        <c:axId val="1234307535"/>
        <c:axId val="1234302735"/>
      </c:barChart>
      <c:catAx>
        <c:axId val="123430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Nova Cond" panose="020B0506020202020204" pitchFamily="34" charset="0"/>
                <a:ea typeface="+mn-ea"/>
                <a:cs typeface="+mn-cs"/>
              </a:defRPr>
            </a:pPr>
            <a:endParaRPr lang="en-US"/>
          </a:p>
        </c:txPr>
        <c:crossAx val="1234302735"/>
        <c:crosses val="autoZero"/>
        <c:auto val="1"/>
        <c:lblAlgn val="ctr"/>
        <c:lblOffset val="100"/>
        <c:noMultiLvlLbl val="0"/>
      </c:catAx>
      <c:valAx>
        <c:axId val="1234302735"/>
        <c:scaling>
          <c:orientation val="minMax"/>
          <c:max val="80"/>
        </c:scaling>
        <c:delete val="0"/>
        <c:axPos val="l"/>
        <c:majorGridlines>
          <c:spPr>
            <a:ln w="9525" cap="flat" cmpd="sng" algn="ctr">
              <a:solidFill>
                <a:schemeClr val="tx1">
                  <a:alpha val="58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a:solidFill>
                      <a:sysClr val="windowText" lastClr="000000"/>
                    </a:solidFill>
                  </a:rPr>
                  <a:t>Mass Fraction in Flow </a:t>
                </a:r>
                <a:r>
                  <a:rPr lang="en-US" b="0">
                    <a:solidFill>
                      <a:sysClr val="windowText" lastClr="000000"/>
                    </a:solidFill>
                  </a:rPr>
                  <a:t>[%]</a:t>
                </a:r>
              </a:p>
            </c:rich>
          </c:tx>
          <c:layout>
            <c:manualLayout>
              <c:xMode val="edge"/>
              <c:yMode val="edge"/>
              <c:x val="1.5571775360179048E-2"/>
              <c:y val="0.2162867902269187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General"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spc="0" baseline="0">
                <a:solidFill>
                  <a:sysClr val="windowText" lastClr="000000"/>
                </a:solidFill>
                <a:latin typeface="Arial Nova Cond" panose="020B0506020202020204" pitchFamily="34" charset="0"/>
                <a:ea typeface="+mn-ea"/>
                <a:cs typeface="+mn-cs"/>
              </a:defRPr>
            </a:pPr>
            <a:endParaRPr lang="en-US"/>
          </a:p>
        </c:txPr>
        <c:crossAx val="1234307535"/>
        <c:crosses val="autoZero"/>
        <c:crossBetween val="between"/>
      </c:valAx>
      <c:valAx>
        <c:axId val="1979182448"/>
        <c:scaling>
          <c:orientation val="minMax"/>
          <c:max val="1600"/>
        </c:scaling>
        <c:delete val="0"/>
        <c:axPos val="r"/>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a:t>Flow Rate </a:t>
                </a:r>
                <a:r>
                  <a:rPr lang="en-US" b="0"/>
                  <a:t>[ 1E3 gal / hr]</a:t>
                </a:r>
              </a:p>
            </c:rich>
          </c:tx>
          <c:layout>
            <c:manualLayout>
              <c:xMode val="edge"/>
              <c:yMode val="edge"/>
              <c:x val="0.94717185135070814"/>
              <c:y val="0.23204051688770963"/>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_(* #,##0.0_);_(* \(#,##0.0\);_(* &quot;-&quot;?_);_(@_)"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spc="0" baseline="0">
                <a:solidFill>
                  <a:sysClr val="windowText" lastClr="000000"/>
                </a:solidFill>
                <a:latin typeface="Arial Nova Cond" panose="020B0506020202020204" pitchFamily="34" charset="0"/>
                <a:ea typeface="+mn-ea"/>
                <a:cs typeface="+mn-cs"/>
              </a:defRPr>
            </a:pPr>
            <a:endParaRPr lang="en-US"/>
          </a:p>
        </c:txPr>
        <c:crossAx val="2102739504"/>
        <c:crosses val="max"/>
        <c:crossBetween val="between"/>
        <c:dispUnits>
          <c:builtInUnit val="thousands"/>
        </c:dispUnits>
      </c:valAx>
      <c:catAx>
        <c:axId val="2102739504"/>
        <c:scaling>
          <c:orientation val="minMax"/>
        </c:scaling>
        <c:delete val="1"/>
        <c:axPos val="b"/>
        <c:numFmt formatCode="General" sourceLinked="1"/>
        <c:majorTickMark val="out"/>
        <c:minorTickMark val="none"/>
        <c:tickLblPos val="nextTo"/>
        <c:crossAx val="1979182448"/>
        <c:crosses val="autoZero"/>
        <c:auto val="1"/>
        <c:lblAlgn val="ctr"/>
        <c:lblOffset val="100"/>
        <c:noMultiLvlLbl val="0"/>
      </c:catAx>
      <c:spPr>
        <a:noFill/>
        <a:ln w="15875">
          <a:solidFill>
            <a:schemeClr val="tx1"/>
          </a:solidFill>
          <a:miter lim="800000"/>
        </a:ln>
        <a:effectLst/>
      </c:spPr>
    </c:plotArea>
    <c:legend>
      <c:legendPos val="r"/>
      <c:layout>
        <c:manualLayout>
          <c:xMode val="edge"/>
          <c:yMode val="edge"/>
          <c:x val="1.5464043024350045E-2"/>
          <c:y val="0.90120067289277606"/>
          <c:w val="0.71281176256632173"/>
          <c:h val="9.2254328149288106E-2"/>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9050" cap="flat" cmpd="sng" algn="ctr">
      <a:noFill/>
      <a:round/>
    </a:ln>
    <a:effectLst/>
  </c:spPr>
  <c:txPr>
    <a:bodyPr/>
    <a:lstStyle/>
    <a:p>
      <a:pPr>
        <a:defRPr b="1">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0" baseline="0">
                <a:solidFill>
                  <a:sysClr val="windowText" lastClr="000000"/>
                </a:solidFill>
                <a:latin typeface="Arial Nova Cond" panose="020B0506020202020204" pitchFamily="34" charset="0"/>
                <a:ea typeface="+mn-ea"/>
                <a:cs typeface="+mn-cs"/>
              </a:defRPr>
            </a:pPr>
            <a:r>
              <a:rPr lang="en-US" sz="1600" b="1" cap="all" baseline="0"/>
              <a:t>Upstream Effluent Characteristics</a:t>
            </a:r>
          </a:p>
        </c:rich>
      </c:tx>
      <c:layout>
        <c:manualLayout>
          <c:xMode val="edge"/>
          <c:yMode val="edge"/>
          <c:x val="3.0170432929726834E-2"/>
          <c:y val="2.4712149670010102E-2"/>
        </c:manualLayout>
      </c:layout>
      <c:overlay val="0"/>
      <c:spPr>
        <a:noFill/>
        <a:ln>
          <a:noFill/>
        </a:ln>
        <a:effectLst/>
      </c:spPr>
      <c:txPr>
        <a:bodyPr rot="0" spcFirstLastPara="1" vertOverflow="ellipsis" vert="horz" wrap="square" anchor="ctr" anchorCtr="1"/>
        <a:lstStyle/>
        <a:p>
          <a:pPr>
            <a:defRPr sz="1600" b="1" i="0" u="none" strike="noStrike" kern="1200" cap="all"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9.5852901447852634E-2"/>
          <c:y val="0.12655125898186917"/>
          <c:w val="0.78730016786282775"/>
          <c:h val="0.57905777961040694"/>
        </c:manualLayout>
      </c:layout>
      <c:barChart>
        <c:barDir val="col"/>
        <c:grouping val="stacked"/>
        <c:varyColors val="0"/>
        <c:ser>
          <c:idx val="0"/>
          <c:order val="0"/>
          <c:tx>
            <c:strRef>
              <c:f>ExpBase!$G$1211</c:f>
              <c:strCache>
                <c:ptCount val="1"/>
                <c:pt idx="0">
                  <c:v>Acetate</c:v>
                </c:pt>
              </c:strCache>
            </c:strRef>
          </c:tx>
          <c:spPr>
            <a:solidFill>
              <a:srgbClr val="F6C6AD"/>
            </a:solidFill>
            <a:ln>
              <a:noFill/>
            </a:ln>
            <a:effectLst/>
          </c:spPr>
          <c:invertIfNegative val="0"/>
          <c:val>
            <c:numRef>
              <c:f>ExpBase!$H$1211:$K$1211</c:f>
              <c:numCache>
                <c:formatCode>_(* #,##0.00_);_(* \(#,##0.00\);_(* "-"??_);_(@_)</c:formatCode>
                <c:ptCount val="4"/>
                <c:pt idx="0" formatCode="0.00">
                  <c:v>1.0095709628741449</c:v>
                </c:pt>
                <c:pt idx="1">
                  <c:v>7.5300949920786744</c:v>
                </c:pt>
                <c:pt idx="2" formatCode="0.00">
                  <c:v>1.7933301569876363</c:v>
                </c:pt>
                <c:pt idx="3" formatCode="0.00">
                  <c:v>0.89666507849381816</c:v>
                </c:pt>
              </c:numCache>
            </c:numRef>
          </c:val>
          <c:extLst>
            <c:ext xmlns:c16="http://schemas.microsoft.com/office/drawing/2014/chart" uri="{C3380CC4-5D6E-409C-BE32-E72D297353CC}">
              <c16:uniqueId val="{00000000-99FA-4F2B-945B-DA96C0C7DAE4}"/>
            </c:ext>
          </c:extLst>
        </c:ser>
        <c:ser>
          <c:idx val="1"/>
          <c:order val="1"/>
          <c:tx>
            <c:strRef>
              <c:f>ExpBase!$G$1212</c:f>
              <c:strCache>
                <c:ptCount val="1"/>
                <c:pt idx="0">
                  <c:v>Propionate</c:v>
                </c:pt>
              </c:strCache>
            </c:strRef>
          </c:tx>
          <c:spPr>
            <a:solidFill>
              <a:srgbClr val="F2AA84"/>
            </a:solidFill>
            <a:ln>
              <a:noFill/>
            </a:ln>
            <a:effectLst/>
          </c:spPr>
          <c:invertIfNegative val="0"/>
          <c:val>
            <c:numRef>
              <c:f>ExpBase!$H$1212:$K$1212</c:f>
              <c:numCache>
                <c:formatCode>_(* #,##0.00_);_(* \(#,##0.00\);_(* "-"??_);_(@_)</c:formatCode>
                <c:ptCount val="4"/>
                <c:pt idx="0" formatCode="0.00">
                  <c:v>5.910058693860312E-8</c:v>
                </c:pt>
                <c:pt idx="1">
                  <c:v>6.3929425407901537</c:v>
                </c:pt>
                <c:pt idx="2" formatCode="0.00">
                  <c:v>5.7536483399017433</c:v>
                </c:pt>
                <c:pt idx="3" formatCode="0.00">
                  <c:v>2.8768241699508716</c:v>
                </c:pt>
              </c:numCache>
            </c:numRef>
          </c:val>
          <c:extLst>
            <c:ext xmlns:c16="http://schemas.microsoft.com/office/drawing/2014/chart" uri="{C3380CC4-5D6E-409C-BE32-E72D297353CC}">
              <c16:uniqueId val="{00000001-99FA-4F2B-945B-DA96C0C7DAE4}"/>
            </c:ext>
          </c:extLst>
        </c:ser>
        <c:ser>
          <c:idx val="2"/>
          <c:order val="2"/>
          <c:tx>
            <c:strRef>
              <c:f>ExpBase!$G$1213</c:f>
              <c:strCache>
                <c:ptCount val="1"/>
                <c:pt idx="0">
                  <c:v>Butyrate</c:v>
                </c:pt>
              </c:strCache>
            </c:strRef>
          </c:tx>
          <c:spPr>
            <a:solidFill>
              <a:srgbClr val="FFCC66"/>
            </a:solidFill>
            <a:ln>
              <a:noFill/>
            </a:ln>
            <a:effectLst/>
          </c:spPr>
          <c:invertIfNegative val="0"/>
          <c:val>
            <c:numRef>
              <c:f>ExpBase!$H$1213:$K$1213</c:f>
              <c:numCache>
                <c:formatCode>_(* #,##0.00_);_(* \(#,##0.00\);_(* "-"??_);_(@_)</c:formatCode>
                <c:ptCount val="4"/>
                <c:pt idx="0" formatCode="0.00">
                  <c:v>1.038805213014419</c:v>
                </c:pt>
                <c:pt idx="1">
                  <c:v>19.420268325786253</c:v>
                </c:pt>
                <c:pt idx="2" formatCode="0.00">
                  <c:v>7.9396723543423171</c:v>
                </c:pt>
                <c:pt idx="3" formatCode="0.00">
                  <c:v>1.9055213650421559</c:v>
                </c:pt>
              </c:numCache>
            </c:numRef>
          </c:val>
          <c:extLst>
            <c:ext xmlns:c16="http://schemas.microsoft.com/office/drawing/2014/chart" uri="{C3380CC4-5D6E-409C-BE32-E72D297353CC}">
              <c16:uniqueId val="{00000002-99FA-4F2B-945B-DA96C0C7DAE4}"/>
            </c:ext>
          </c:extLst>
        </c:ser>
        <c:ser>
          <c:idx val="3"/>
          <c:order val="3"/>
          <c:tx>
            <c:strRef>
              <c:f>ExpBase!$G$1214</c:f>
              <c:strCache>
                <c:ptCount val="1"/>
                <c:pt idx="0">
                  <c:v>Isobutyrate</c:v>
                </c:pt>
              </c:strCache>
            </c:strRef>
          </c:tx>
          <c:spPr>
            <a:solidFill>
              <a:srgbClr val="FF9933"/>
            </a:solidFill>
            <a:ln>
              <a:noFill/>
            </a:ln>
            <a:effectLst/>
          </c:spPr>
          <c:invertIfNegative val="0"/>
          <c:val>
            <c:numRef>
              <c:f>ExpBase!$H$1214:$K$1214</c:f>
              <c:numCache>
                <c:formatCode>_(* #,##0.00_);_(* \(#,##0.00\);_(* "-"??_);_(@_)</c:formatCode>
                <c:ptCount val="4"/>
                <c:pt idx="0" formatCode="0.00">
                  <c:v>4.7637436748668674E-2</c:v>
                </c:pt>
                <c:pt idx="1">
                  <c:v>0</c:v>
                </c:pt>
                <c:pt idx="2" formatCode="0.00">
                  <c:v>0</c:v>
                </c:pt>
                <c:pt idx="3" formatCode="0.00">
                  <c:v>0</c:v>
                </c:pt>
              </c:numCache>
            </c:numRef>
          </c:val>
          <c:extLst>
            <c:ext xmlns:c16="http://schemas.microsoft.com/office/drawing/2014/chart" uri="{C3380CC4-5D6E-409C-BE32-E72D297353CC}">
              <c16:uniqueId val="{00000003-99FA-4F2B-945B-DA96C0C7DAE4}"/>
            </c:ext>
          </c:extLst>
        </c:ser>
        <c:ser>
          <c:idx val="4"/>
          <c:order val="4"/>
          <c:tx>
            <c:strRef>
              <c:f>ExpBase!$G$1215</c:f>
              <c:strCache>
                <c:ptCount val="1"/>
                <c:pt idx="0">
                  <c:v>Valerate</c:v>
                </c:pt>
              </c:strCache>
            </c:strRef>
          </c:tx>
          <c:spPr>
            <a:solidFill>
              <a:srgbClr val="FFCCCC"/>
            </a:solidFill>
            <a:ln>
              <a:noFill/>
            </a:ln>
            <a:effectLst/>
          </c:spPr>
          <c:invertIfNegative val="0"/>
          <c:val>
            <c:numRef>
              <c:f>ExpBase!$H$1215:$K$1215</c:f>
              <c:numCache>
                <c:formatCode>_(* #,##0.00_);_(* \(#,##0.00\);_(* "-"??_);_(@_)</c:formatCode>
                <c:ptCount val="4"/>
                <c:pt idx="0" formatCode="0.00">
                  <c:v>0.61294774456728995</c:v>
                </c:pt>
                <c:pt idx="1">
                  <c:v>12.150102472745317</c:v>
                </c:pt>
                <c:pt idx="2" formatCode="0.00">
                  <c:v>12.555936134016804</c:v>
                </c:pt>
                <c:pt idx="3" formatCode="0.00">
                  <c:v>3.2017637141742856</c:v>
                </c:pt>
              </c:numCache>
            </c:numRef>
          </c:val>
          <c:extLst>
            <c:ext xmlns:c16="http://schemas.microsoft.com/office/drawing/2014/chart" uri="{C3380CC4-5D6E-409C-BE32-E72D297353CC}">
              <c16:uniqueId val="{00000004-99FA-4F2B-945B-DA96C0C7DAE4}"/>
            </c:ext>
          </c:extLst>
        </c:ser>
        <c:ser>
          <c:idx val="5"/>
          <c:order val="5"/>
          <c:tx>
            <c:strRef>
              <c:f>ExpBase!$G$1216</c:f>
              <c:strCache>
                <c:ptCount val="1"/>
                <c:pt idx="0">
                  <c:v>Isovalerate</c:v>
                </c:pt>
              </c:strCache>
            </c:strRef>
          </c:tx>
          <c:spPr>
            <a:solidFill>
              <a:srgbClr val="FF9999"/>
            </a:solidFill>
            <a:ln>
              <a:noFill/>
            </a:ln>
            <a:effectLst/>
          </c:spPr>
          <c:invertIfNegative val="0"/>
          <c:val>
            <c:numRef>
              <c:f>ExpBase!$H$1216:$K$1216</c:f>
              <c:numCache>
                <c:formatCode>_(* #,##0.00_);_(* \(#,##0.00\);_(* "-"??_);_(@_)</c:formatCode>
                <c:ptCount val="4"/>
                <c:pt idx="0" formatCode="0.00">
                  <c:v>1.1241007235941557E-8</c:v>
                </c:pt>
                <c:pt idx="1">
                  <c:v>1.149068837881877</c:v>
                </c:pt>
                <c:pt idx="2" formatCode="0.00">
                  <c:v>1.0943512741732162</c:v>
                </c:pt>
                <c:pt idx="3" formatCode="0.00">
                  <c:v>0.52693013851440351</c:v>
                </c:pt>
              </c:numCache>
            </c:numRef>
          </c:val>
          <c:extLst>
            <c:ext xmlns:c16="http://schemas.microsoft.com/office/drawing/2014/chart" uri="{C3380CC4-5D6E-409C-BE32-E72D297353CC}">
              <c16:uniqueId val="{00000005-99FA-4F2B-945B-DA96C0C7DAE4}"/>
            </c:ext>
          </c:extLst>
        </c:ser>
        <c:ser>
          <c:idx val="6"/>
          <c:order val="6"/>
          <c:tx>
            <c:strRef>
              <c:f>ExpBase!$G$1217</c:f>
              <c:strCache>
                <c:ptCount val="1"/>
                <c:pt idx="0">
                  <c:v>Caproate</c:v>
                </c:pt>
              </c:strCache>
            </c:strRef>
          </c:tx>
          <c:spPr>
            <a:solidFill>
              <a:srgbClr val="FFCCFF"/>
            </a:solidFill>
            <a:ln>
              <a:noFill/>
            </a:ln>
            <a:effectLst/>
          </c:spPr>
          <c:invertIfNegative val="0"/>
          <c:val>
            <c:numRef>
              <c:f>ExpBase!$H$1217:$K$1217</c:f>
              <c:numCache>
                <c:formatCode>_(* #,##0.00_);_(* \(#,##0.00\);_(* "-"??_);_(@_)</c:formatCode>
                <c:ptCount val="4"/>
                <c:pt idx="0" formatCode="0.00">
                  <c:v>0.2155636938612637</c:v>
                </c:pt>
                <c:pt idx="1">
                  <c:v>7.3236173081712614</c:v>
                </c:pt>
                <c:pt idx="2" formatCode="0.00">
                  <c:v>28.340801760353596</c:v>
                </c:pt>
                <c:pt idx="3" formatCode="0.00">
                  <c:v>13.362688030006721</c:v>
                </c:pt>
              </c:numCache>
            </c:numRef>
          </c:val>
          <c:extLst>
            <c:ext xmlns:c16="http://schemas.microsoft.com/office/drawing/2014/chart" uri="{C3380CC4-5D6E-409C-BE32-E72D297353CC}">
              <c16:uniqueId val="{00000006-99FA-4F2B-945B-DA96C0C7DAE4}"/>
            </c:ext>
          </c:extLst>
        </c:ser>
        <c:ser>
          <c:idx val="7"/>
          <c:order val="7"/>
          <c:tx>
            <c:strRef>
              <c:f>ExpBase!$G$1218</c:f>
              <c:strCache>
                <c:ptCount val="1"/>
                <c:pt idx="0">
                  <c:v>Heptanoate</c:v>
                </c:pt>
              </c:strCache>
            </c:strRef>
          </c:tx>
          <c:spPr>
            <a:solidFill>
              <a:srgbClr val="FF99FF"/>
            </a:solidFill>
            <a:ln>
              <a:noFill/>
            </a:ln>
            <a:effectLst/>
          </c:spPr>
          <c:invertIfNegative val="0"/>
          <c:val>
            <c:numRef>
              <c:f>ExpBase!$H$1218:$K$1218</c:f>
              <c:numCache>
                <c:formatCode>_(* #,##0.00_);_(* \(#,##0.00\);_(* "-"??_);_(@_)</c:formatCode>
                <c:ptCount val="4"/>
                <c:pt idx="0" formatCode="0.00">
                  <c:v>1.60702285386877E-8</c:v>
                </c:pt>
                <c:pt idx="1">
                  <c:v>0</c:v>
                </c:pt>
                <c:pt idx="2" formatCode="0.00">
                  <c:v>1.3946841208301377</c:v>
                </c:pt>
                <c:pt idx="3" formatCode="0.00">
                  <c:v>0.69734206041506885</c:v>
                </c:pt>
              </c:numCache>
            </c:numRef>
          </c:val>
          <c:extLst>
            <c:ext xmlns:c16="http://schemas.microsoft.com/office/drawing/2014/chart" uri="{C3380CC4-5D6E-409C-BE32-E72D297353CC}">
              <c16:uniqueId val="{00000007-99FA-4F2B-945B-DA96C0C7DAE4}"/>
            </c:ext>
          </c:extLst>
        </c:ser>
        <c:ser>
          <c:idx val="8"/>
          <c:order val="8"/>
          <c:tx>
            <c:strRef>
              <c:f>ExpBase!$G$1219</c:f>
              <c:strCache>
                <c:ptCount val="1"/>
                <c:pt idx="0">
                  <c:v>Phosphate</c:v>
                </c:pt>
              </c:strCache>
            </c:strRef>
          </c:tx>
          <c:spPr>
            <a:solidFill>
              <a:srgbClr val="33CC33"/>
            </a:solidFill>
            <a:ln>
              <a:noFill/>
            </a:ln>
            <a:effectLst/>
          </c:spPr>
          <c:invertIfNegative val="0"/>
          <c:val>
            <c:numRef>
              <c:f>ExpBase!$H$1219:$K$1219</c:f>
              <c:numCache>
                <c:formatCode>_(* #,##0.00_);_(* \(#,##0.00\);_(* "-"??_);_(@_)</c:formatCode>
                <c:ptCount val="4"/>
                <c:pt idx="0" formatCode="0.00">
                  <c:v>0</c:v>
                </c:pt>
                <c:pt idx="1">
                  <c:v>2.949856</c:v>
                </c:pt>
                <c:pt idx="2" formatCode="0.00">
                  <c:v>3.3137086593421605</c:v>
                </c:pt>
                <c:pt idx="3" formatCode="0.00">
                  <c:v>3.3137086593421605</c:v>
                </c:pt>
              </c:numCache>
            </c:numRef>
          </c:val>
          <c:extLst>
            <c:ext xmlns:c16="http://schemas.microsoft.com/office/drawing/2014/chart" uri="{C3380CC4-5D6E-409C-BE32-E72D297353CC}">
              <c16:uniqueId val="{00000008-99FA-4F2B-945B-DA96C0C7DAE4}"/>
            </c:ext>
          </c:extLst>
        </c:ser>
        <c:ser>
          <c:idx val="9"/>
          <c:order val="9"/>
          <c:tx>
            <c:strRef>
              <c:f>ExpBase!$G$1220</c:f>
              <c:strCache>
                <c:ptCount val="1"/>
                <c:pt idx="0">
                  <c:v>Sulfate</c:v>
                </c:pt>
              </c:strCache>
            </c:strRef>
          </c:tx>
          <c:spPr>
            <a:solidFill>
              <a:srgbClr val="CCFF66"/>
            </a:solidFill>
            <a:ln>
              <a:noFill/>
            </a:ln>
            <a:effectLst/>
          </c:spPr>
          <c:invertIfNegative val="0"/>
          <c:val>
            <c:numRef>
              <c:f>ExpBase!$H$1220:$K$1220</c:f>
              <c:numCache>
                <c:formatCode>_(* #,##0.00_);_(* \(#,##0.00\);_(* "-"??_);_(@_)</c:formatCode>
                <c:ptCount val="4"/>
                <c:pt idx="0" formatCode="0.00">
                  <c:v>0</c:v>
                </c:pt>
                <c:pt idx="1">
                  <c:v>0</c:v>
                </c:pt>
                <c:pt idx="2" formatCode="0.00">
                  <c:v>0</c:v>
                </c:pt>
                <c:pt idx="3" formatCode="0.00">
                  <c:v>0</c:v>
                </c:pt>
              </c:numCache>
            </c:numRef>
          </c:val>
          <c:extLst>
            <c:ext xmlns:c16="http://schemas.microsoft.com/office/drawing/2014/chart" uri="{C3380CC4-5D6E-409C-BE32-E72D297353CC}">
              <c16:uniqueId val="{00000009-99FA-4F2B-945B-DA96C0C7DAE4}"/>
            </c:ext>
          </c:extLst>
        </c:ser>
        <c:ser>
          <c:idx val="10"/>
          <c:order val="10"/>
          <c:tx>
            <c:strRef>
              <c:f>ExpBase!$G$1221</c:f>
              <c:strCache>
                <c:ptCount val="1"/>
                <c:pt idx="0">
                  <c:v>Ammonia</c:v>
                </c:pt>
              </c:strCache>
            </c:strRef>
          </c:tx>
          <c:spPr>
            <a:solidFill>
              <a:srgbClr val="CCCC00"/>
            </a:solidFill>
            <a:ln>
              <a:noFill/>
            </a:ln>
            <a:effectLst/>
          </c:spPr>
          <c:invertIfNegative val="0"/>
          <c:val>
            <c:numRef>
              <c:f>ExpBase!$H$1221:$K$1221</c:f>
              <c:numCache>
                <c:formatCode>_(* #,##0.00_);_(* \(#,##0.00\);_(* "-"??_);_(@_)</c:formatCode>
                <c:ptCount val="4"/>
                <c:pt idx="0" formatCode="0.00">
                  <c:v>0</c:v>
                </c:pt>
                <c:pt idx="1">
                  <c:v>0.54026666666666678</c:v>
                </c:pt>
                <c:pt idx="2" formatCode="0.00">
                  <c:v>2.3295506570399991</c:v>
                </c:pt>
                <c:pt idx="3" formatCode="0.00">
                  <c:v>2.3295506570399991</c:v>
                </c:pt>
              </c:numCache>
            </c:numRef>
          </c:val>
          <c:extLst>
            <c:ext xmlns:c16="http://schemas.microsoft.com/office/drawing/2014/chart" uri="{C3380CC4-5D6E-409C-BE32-E72D297353CC}">
              <c16:uniqueId val="{0000000A-99FA-4F2B-945B-DA96C0C7DAE4}"/>
            </c:ext>
          </c:extLst>
        </c:ser>
        <c:ser>
          <c:idx val="11"/>
          <c:order val="11"/>
          <c:tx>
            <c:strRef>
              <c:f>ExpBase!$G$1222</c:f>
              <c:strCache>
                <c:ptCount val="1"/>
                <c:pt idx="0">
                  <c:v>Ethanol</c:v>
                </c:pt>
              </c:strCache>
            </c:strRef>
          </c:tx>
          <c:spPr>
            <a:solidFill>
              <a:srgbClr val="66CCFF"/>
            </a:solidFill>
            <a:ln>
              <a:noFill/>
            </a:ln>
            <a:effectLst/>
          </c:spPr>
          <c:invertIfNegative val="0"/>
          <c:val>
            <c:numRef>
              <c:f>ExpBase!$H$1222:$K$1222</c:f>
              <c:numCache>
                <c:formatCode>General</c:formatCode>
                <c:ptCount val="4"/>
                <c:pt idx="3" formatCode="0.00">
                  <c:v>0</c:v>
                </c:pt>
              </c:numCache>
            </c:numRef>
          </c:val>
          <c:extLst>
            <c:ext xmlns:c16="http://schemas.microsoft.com/office/drawing/2014/chart" uri="{C3380CC4-5D6E-409C-BE32-E72D297353CC}">
              <c16:uniqueId val="{0000000B-99FA-4F2B-945B-DA96C0C7DAE4}"/>
            </c:ext>
          </c:extLst>
        </c:ser>
        <c:ser>
          <c:idx val="12"/>
          <c:order val="12"/>
          <c:tx>
            <c:strRef>
              <c:f>ExpBase!$G$1223</c:f>
              <c:strCache>
                <c:ptCount val="1"/>
                <c:pt idx="0">
                  <c:v>Propanol</c:v>
                </c:pt>
              </c:strCache>
            </c:strRef>
          </c:tx>
          <c:spPr>
            <a:solidFill>
              <a:srgbClr val="33CCCC"/>
            </a:solidFill>
            <a:ln>
              <a:noFill/>
            </a:ln>
            <a:effectLst/>
          </c:spPr>
          <c:invertIfNegative val="0"/>
          <c:cat>
            <c:strRef>
              <c:f>ExpBase!$H$1210:$K$1210</c:f>
              <c:strCache>
                <c:ptCount val="4"/>
                <c:pt idx="0">
                  <c:v>Manure Digestate</c:v>
                </c:pt>
                <c:pt idx="1">
                  <c:v>Food Waste Digestate</c:v>
                </c:pt>
                <c:pt idx="2">
                  <c:v>Chain-Elongation Digestate</c:v>
                </c:pt>
                <c:pt idx="3">
                  <c:v>Alcohol Conversion </c:v>
                </c:pt>
              </c:strCache>
            </c:strRef>
          </c:cat>
          <c:val>
            <c:numRef>
              <c:f>ExpBase!$H$1223:$K$1223</c:f>
              <c:numCache>
                <c:formatCode>General</c:formatCode>
                <c:ptCount val="4"/>
                <c:pt idx="3" formatCode="0.00">
                  <c:v>0</c:v>
                </c:pt>
              </c:numCache>
            </c:numRef>
          </c:val>
          <c:extLst>
            <c:ext xmlns:c16="http://schemas.microsoft.com/office/drawing/2014/chart" uri="{C3380CC4-5D6E-409C-BE32-E72D297353CC}">
              <c16:uniqueId val="{0000000C-99FA-4F2B-945B-DA96C0C7DAE4}"/>
            </c:ext>
          </c:extLst>
        </c:ser>
        <c:ser>
          <c:idx val="13"/>
          <c:order val="13"/>
          <c:tx>
            <c:strRef>
              <c:f>ExpBase!$G$1224</c:f>
              <c:strCache>
                <c:ptCount val="1"/>
                <c:pt idx="0">
                  <c:v>Butanol</c:v>
                </c:pt>
              </c:strCache>
            </c:strRef>
          </c:tx>
          <c:spPr>
            <a:solidFill>
              <a:srgbClr val="99CCFF"/>
            </a:solidFill>
            <a:ln>
              <a:noFill/>
            </a:ln>
            <a:effectLst/>
          </c:spPr>
          <c:invertIfNegative val="0"/>
          <c:cat>
            <c:strRef>
              <c:f>ExpBase!$H$1210:$K$1210</c:f>
              <c:strCache>
                <c:ptCount val="4"/>
                <c:pt idx="0">
                  <c:v>Manure Digestate</c:v>
                </c:pt>
                <c:pt idx="1">
                  <c:v>Food Waste Digestate</c:v>
                </c:pt>
                <c:pt idx="2">
                  <c:v>Chain-Elongation Digestate</c:v>
                </c:pt>
                <c:pt idx="3">
                  <c:v>Alcohol Conversion </c:v>
                </c:pt>
              </c:strCache>
            </c:strRef>
          </c:cat>
          <c:val>
            <c:numRef>
              <c:f>ExpBase!$H$1224:$K$1224</c:f>
              <c:numCache>
                <c:formatCode>General</c:formatCode>
                <c:ptCount val="4"/>
                <c:pt idx="3" formatCode="0.00">
                  <c:v>1.7566821340413512</c:v>
                </c:pt>
              </c:numCache>
            </c:numRef>
          </c:val>
          <c:extLst>
            <c:ext xmlns:c16="http://schemas.microsoft.com/office/drawing/2014/chart" uri="{C3380CC4-5D6E-409C-BE32-E72D297353CC}">
              <c16:uniqueId val="{0000000D-99FA-4F2B-945B-DA96C0C7DAE4}"/>
            </c:ext>
          </c:extLst>
        </c:ser>
        <c:ser>
          <c:idx val="14"/>
          <c:order val="14"/>
          <c:tx>
            <c:strRef>
              <c:f>ExpBase!$G$1225</c:f>
              <c:strCache>
                <c:ptCount val="1"/>
                <c:pt idx="0">
                  <c:v>Isobutanol</c:v>
                </c:pt>
              </c:strCache>
            </c:strRef>
          </c:tx>
          <c:spPr>
            <a:solidFill>
              <a:srgbClr val="6699FF"/>
            </a:solidFill>
            <a:ln>
              <a:noFill/>
            </a:ln>
            <a:effectLst/>
          </c:spPr>
          <c:invertIfNegative val="0"/>
          <c:cat>
            <c:strRef>
              <c:f>ExpBase!$H$1210:$K$1210</c:f>
              <c:strCache>
                <c:ptCount val="4"/>
                <c:pt idx="0">
                  <c:v>Manure Digestate</c:v>
                </c:pt>
                <c:pt idx="1">
                  <c:v>Food Waste Digestate</c:v>
                </c:pt>
                <c:pt idx="2">
                  <c:v>Chain-Elongation Digestate</c:v>
                </c:pt>
                <c:pt idx="3">
                  <c:v>Alcohol Conversion </c:v>
                </c:pt>
              </c:strCache>
            </c:strRef>
          </c:cat>
          <c:val>
            <c:numRef>
              <c:f>ExpBase!$H$1225:$K$1225</c:f>
              <c:numCache>
                <c:formatCode>General</c:formatCode>
                <c:ptCount val="4"/>
                <c:pt idx="3" formatCode="0.00">
                  <c:v>0</c:v>
                </c:pt>
              </c:numCache>
            </c:numRef>
          </c:val>
          <c:extLst>
            <c:ext xmlns:c16="http://schemas.microsoft.com/office/drawing/2014/chart" uri="{C3380CC4-5D6E-409C-BE32-E72D297353CC}">
              <c16:uniqueId val="{0000000E-99FA-4F2B-945B-DA96C0C7DAE4}"/>
            </c:ext>
          </c:extLst>
        </c:ser>
        <c:ser>
          <c:idx val="15"/>
          <c:order val="15"/>
          <c:tx>
            <c:strRef>
              <c:f>ExpBase!$G$1226</c:f>
              <c:strCache>
                <c:ptCount val="1"/>
                <c:pt idx="0">
                  <c:v>Pentanol</c:v>
                </c:pt>
              </c:strCache>
            </c:strRef>
          </c:tx>
          <c:spPr>
            <a:solidFill>
              <a:srgbClr val="CCCCFF"/>
            </a:solidFill>
            <a:ln>
              <a:noFill/>
            </a:ln>
            <a:effectLst/>
          </c:spPr>
          <c:invertIfNegative val="0"/>
          <c:cat>
            <c:strRef>
              <c:f>ExpBase!$H$1210:$K$1210</c:f>
              <c:strCache>
                <c:ptCount val="4"/>
                <c:pt idx="0">
                  <c:v>Manure Digestate</c:v>
                </c:pt>
                <c:pt idx="1">
                  <c:v>Food Waste Digestate</c:v>
                </c:pt>
                <c:pt idx="2">
                  <c:v>Chain-Elongation Digestate</c:v>
                </c:pt>
                <c:pt idx="3">
                  <c:v>Alcohol Conversion </c:v>
                </c:pt>
              </c:strCache>
            </c:strRef>
          </c:cat>
          <c:val>
            <c:numRef>
              <c:f>ExpBase!$H$1226:$K$1226</c:f>
              <c:numCache>
                <c:formatCode>General</c:formatCode>
                <c:ptCount val="4"/>
                <c:pt idx="3" formatCode="0.00">
                  <c:v>2.6816397715815605</c:v>
                </c:pt>
              </c:numCache>
            </c:numRef>
          </c:val>
          <c:extLst>
            <c:ext xmlns:c16="http://schemas.microsoft.com/office/drawing/2014/chart" uri="{C3380CC4-5D6E-409C-BE32-E72D297353CC}">
              <c16:uniqueId val="{0000000F-99FA-4F2B-945B-DA96C0C7DAE4}"/>
            </c:ext>
          </c:extLst>
        </c:ser>
        <c:ser>
          <c:idx val="16"/>
          <c:order val="16"/>
          <c:tx>
            <c:strRef>
              <c:f>ExpBase!$G$1227</c:f>
              <c:strCache>
                <c:ptCount val="1"/>
                <c:pt idx="0">
                  <c:v>Isopentanol</c:v>
                </c:pt>
              </c:strCache>
            </c:strRef>
          </c:tx>
          <c:spPr>
            <a:solidFill>
              <a:srgbClr val="CCECFF"/>
            </a:solidFill>
            <a:ln>
              <a:noFill/>
            </a:ln>
            <a:effectLst/>
          </c:spPr>
          <c:invertIfNegative val="0"/>
          <c:cat>
            <c:strRef>
              <c:f>ExpBase!$H$1210:$K$1210</c:f>
              <c:strCache>
                <c:ptCount val="4"/>
                <c:pt idx="0">
                  <c:v>Manure Digestate</c:v>
                </c:pt>
                <c:pt idx="1">
                  <c:v>Food Waste Digestate</c:v>
                </c:pt>
                <c:pt idx="2">
                  <c:v>Chain-Elongation Digestate</c:v>
                </c:pt>
                <c:pt idx="3">
                  <c:v>Alcohol Conversion </c:v>
                </c:pt>
              </c:strCache>
            </c:strRef>
          </c:cat>
          <c:val>
            <c:numRef>
              <c:f>ExpBase!$H$1227:$K$1227</c:f>
              <c:numCache>
                <c:formatCode>General</c:formatCode>
                <c:ptCount val="4"/>
                <c:pt idx="3" formatCode="0.00">
                  <c:v>1.7648741091177082E-2</c:v>
                </c:pt>
              </c:numCache>
            </c:numRef>
          </c:val>
          <c:extLst>
            <c:ext xmlns:c16="http://schemas.microsoft.com/office/drawing/2014/chart" uri="{C3380CC4-5D6E-409C-BE32-E72D297353CC}">
              <c16:uniqueId val="{00000010-99FA-4F2B-945B-DA96C0C7DAE4}"/>
            </c:ext>
          </c:extLst>
        </c:ser>
        <c:ser>
          <c:idx val="17"/>
          <c:order val="17"/>
          <c:tx>
            <c:strRef>
              <c:f>ExpBase!$G$1228</c:f>
              <c:strCache>
                <c:ptCount val="1"/>
                <c:pt idx="0">
                  <c:v>Hexanol</c:v>
                </c:pt>
              </c:strCache>
            </c:strRef>
          </c:tx>
          <c:spPr>
            <a:solidFill>
              <a:srgbClr val="9999FF"/>
            </a:solidFill>
            <a:ln>
              <a:noFill/>
            </a:ln>
            <a:effectLst/>
          </c:spPr>
          <c:invertIfNegative val="0"/>
          <c:cat>
            <c:strRef>
              <c:f>ExpBase!$H$1210:$K$1210</c:f>
              <c:strCache>
                <c:ptCount val="4"/>
                <c:pt idx="0">
                  <c:v>Manure Digestate</c:v>
                </c:pt>
                <c:pt idx="1">
                  <c:v>Food Waste Digestate</c:v>
                </c:pt>
                <c:pt idx="2">
                  <c:v>Chain-Elongation Digestate</c:v>
                </c:pt>
                <c:pt idx="3">
                  <c:v>Alcohol Conversion </c:v>
                </c:pt>
              </c:strCache>
            </c:strRef>
          </c:cat>
          <c:val>
            <c:numRef>
              <c:f>ExpBase!$H$1228:$K$1228</c:f>
              <c:numCache>
                <c:formatCode>General</c:formatCode>
                <c:ptCount val="4"/>
                <c:pt idx="3" formatCode="0.00">
                  <c:v>0.72087407392078906</c:v>
                </c:pt>
              </c:numCache>
            </c:numRef>
          </c:val>
          <c:extLst>
            <c:ext xmlns:c16="http://schemas.microsoft.com/office/drawing/2014/chart" uri="{C3380CC4-5D6E-409C-BE32-E72D297353CC}">
              <c16:uniqueId val="{00000011-99FA-4F2B-945B-DA96C0C7DAE4}"/>
            </c:ext>
          </c:extLst>
        </c:ser>
        <c:ser>
          <c:idx val="20"/>
          <c:order val="20"/>
          <c:tx>
            <c:strRef>
              <c:f>ExpBase!$G$1231</c:f>
              <c:strCache>
                <c:ptCount val="1"/>
                <c:pt idx="0">
                  <c:v>m:m% VFAs</c:v>
                </c:pt>
              </c:strCache>
            </c:strRef>
          </c:tx>
          <c:spPr>
            <a:solidFill>
              <a:srgbClr val="FF00FF"/>
            </a:solidFill>
            <a:ln w="25400">
              <a:solidFill>
                <a:schemeClr val="tx1"/>
              </a:solidFill>
            </a:ln>
            <a:effectLst/>
          </c:spPr>
          <c:invertIfNegative val="0"/>
          <c:cat>
            <c:strRef>
              <c:f>ExpBase!$H$1210:$K$1210</c:f>
              <c:strCache>
                <c:ptCount val="4"/>
                <c:pt idx="0">
                  <c:v>Manure Digestate</c:v>
                </c:pt>
                <c:pt idx="1">
                  <c:v>Food Waste Digestate</c:v>
                </c:pt>
                <c:pt idx="2">
                  <c:v>Chain-Elongation Digestate</c:v>
                </c:pt>
                <c:pt idx="3">
                  <c:v>Alcohol Conversion </c:v>
                </c:pt>
              </c:strCache>
            </c:strRef>
          </c:cat>
          <c:val>
            <c:numRef>
              <c:f>ExpBase!$H$1234:$K$1234</c:f>
              <c:numCache>
                <c:formatCode>General</c:formatCode>
                <c:ptCount val="4"/>
              </c:numCache>
            </c:numRef>
          </c:val>
          <c:extLst>
            <c:ext xmlns:c16="http://schemas.microsoft.com/office/drawing/2014/chart" uri="{C3380CC4-5D6E-409C-BE32-E72D297353CC}">
              <c16:uniqueId val="{00000014-99FA-4F2B-945B-DA96C0C7DAE4}"/>
            </c:ext>
          </c:extLst>
        </c:ser>
        <c:ser>
          <c:idx val="22"/>
          <c:order val="22"/>
          <c:tx>
            <c:strRef>
              <c:f>ExpBase!$G$1233</c:f>
              <c:strCache>
                <c:ptCount val="1"/>
                <c:pt idx="0">
                  <c:v>m:m% Alc</c:v>
                </c:pt>
              </c:strCache>
            </c:strRef>
          </c:tx>
          <c:spPr>
            <a:solidFill>
              <a:srgbClr val="66FFFF"/>
            </a:solidFill>
            <a:ln w="22225">
              <a:solidFill>
                <a:schemeClr val="tx1"/>
              </a:solidFill>
            </a:ln>
            <a:effectLst/>
          </c:spPr>
          <c:invertIfNegative val="0"/>
          <c:cat>
            <c:strRef>
              <c:f>ExpBase!$H$1210:$K$1210</c:f>
              <c:strCache>
                <c:ptCount val="4"/>
                <c:pt idx="0">
                  <c:v>Manure Digestate</c:v>
                </c:pt>
                <c:pt idx="1">
                  <c:v>Food Waste Digestate</c:v>
                </c:pt>
                <c:pt idx="2">
                  <c:v>Chain-Elongation Digestate</c:v>
                </c:pt>
                <c:pt idx="3">
                  <c:v>Alcohol Conversion </c:v>
                </c:pt>
              </c:strCache>
            </c:strRef>
          </c:cat>
          <c:val>
            <c:numRef>
              <c:f>ExpBase!$H$1234:$K$1234</c:f>
              <c:numCache>
                <c:formatCode>General</c:formatCode>
                <c:ptCount val="4"/>
              </c:numCache>
            </c:numRef>
          </c:val>
          <c:extLst>
            <c:ext xmlns:c16="http://schemas.microsoft.com/office/drawing/2014/chart" uri="{C3380CC4-5D6E-409C-BE32-E72D297353CC}">
              <c16:uniqueId val="{00000016-99FA-4F2B-945B-DA96C0C7DAE4}"/>
            </c:ext>
          </c:extLst>
        </c:ser>
        <c:dLbls>
          <c:showLegendKey val="0"/>
          <c:showVal val="0"/>
          <c:showCatName val="0"/>
          <c:showSerName val="0"/>
          <c:showPercent val="0"/>
          <c:showBubbleSize val="0"/>
        </c:dLbls>
        <c:gapWidth val="30"/>
        <c:overlap val="100"/>
        <c:axId val="2135386831"/>
        <c:axId val="2135371471"/>
      </c:barChart>
      <c:barChart>
        <c:barDir val="col"/>
        <c:grouping val="stacked"/>
        <c:varyColors val="0"/>
        <c:ser>
          <c:idx val="18"/>
          <c:order val="18"/>
          <c:tx>
            <c:strRef>
              <c:f>ExpBase!$G$1229</c:f>
              <c:strCache>
                <c:ptCount val="1"/>
                <c:pt idx="0">
                  <c:v>Total Flow Rate</c:v>
                </c:pt>
              </c:strCache>
            </c:strRef>
          </c:tx>
          <c:spPr>
            <a:solidFill>
              <a:schemeClr val="tx1">
                <a:alpha val="35000"/>
              </a:schemeClr>
            </a:solidFill>
            <a:ln>
              <a:noFill/>
            </a:ln>
            <a:effectLst/>
          </c:spPr>
          <c:invertIfNegative val="0"/>
          <c:val>
            <c:numRef>
              <c:f>ExpBase!$H$1229:$K$1229</c:f>
              <c:numCache>
                <c:formatCode>_(* #,##0.00_);_(* \(#,##0.00\);_(* "-"??_);_(@_)</c:formatCode>
                <c:ptCount val="4"/>
                <c:pt idx="0">
                  <c:v>55.272474816103838</c:v>
                </c:pt>
                <c:pt idx="1">
                  <c:v>2.8155770997694836</c:v>
                </c:pt>
                <c:pt idx="2">
                  <c:v>55.788716228151884</c:v>
                </c:pt>
                <c:pt idx="3">
                  <c:v>93.563713569289533</c:v>
                </c:pt>
              </c:numCache>
            </c:numRef>
          </c:val>
          <c:extLst>
            <c:ext xmlns:c16="http://schemas.microsoft.com/office/drawing/2014/chart" uri="{C3380CC4-5D6E-409C-BE32-E72D297353CC}">
              <c16:uniqueId val="{00000012-99FA-4F2B-945B-DA96C0C7DAE4}"/>
            </c:ext>
          </c:extLst>
        </c:ser>
        <c:ser>
          <c:idx val="19"/>
          <c:order val="19"/>
          <c:tx>
            <c:strRef>
              <c:f>ExpBase!$G$1230</c:f>
              <c:strCache>
                <c:ptCount val="1"/>
                <c:pt idx="0">
                  <c:v>VFAs in Flow</c:v>
                </c:pt>
              </c:strCache>
            </c:strRef>
          </c:tx>
          <c:spPr>
            <a:solidFill>
              <a:srgbClr val="FF00FF"/>
            </a:solidFill>
            <a:ln>
              <a:noFill/>
            </a:ln>
            <a:effectLst/>
          </c:spPr>
          <c:invertIfNegative val="0"/>
          <c:dLbls>
            <c:dLbl>
              <c:idx val="0"/>
              <c:tx>
                <c:rich>
                  <a:bodyPr/>
                  <a:lstStyle/>
                  <a:p>
                    <a:fld id="{97C6AC30-3485-C14D-B967-C22F92218CC1}"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99FA-4F2B-945B-DA96C0C7DAE4}"/>
                </c:ext>
              </c:extLst>
            </c:dLbl>
            <c:dLbl>
              <c:idx val="1"/>
              <c:tx>
                <c:rich>
                  <a:bodyPr/>
                  <a:lstStyle/>
                  <a:p>
                    <a:fld id="{1580506D-11EC-9F44-AA97-E8C23D86255D}"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99FA-4F2B-945B-DA96C0C7DAE4}"/>
                </c:ext>
              </c:extLst>
            </c:dLbl>
            <c:dLbl>
              <c:idx val="2"/>
              <c:tx>
                <c:rich>
                  <a:bodyPr/>
                  <a:lstStyle/>
                  <a:p>
                    <a:fld id="{95BC4C0F-5A16-A749-9690-B8CAAE6A85C2}"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99FA-4F2B-945B-DA96C0C7DAE4}"/>
                </c:ext>
              </c:extLst>
            </c:dLbl>
            <c:dLbl>
              <c:idx val="3"/>
              <c:layout>
                <c:manualLayout>
                  <c:x val="0"/>
                  <c:y val="0.11234390219221528"/>
                </c:manualLayout>
              </c:layout>
              <c:tx>
                <c:rich>
                  <a:bodyPr/>
                  <a:lstStyle/>
                  <a:p>
                    <a:fld id="{70F46AAA-5D6C-1C4E-A265-2DD64DC93BAC}"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99FA-4F2B-945B-DA96C0C7DAE4}"/>
                </c:ext>
              </c:extLst>
            </c:dLbl>
            <c:numFmt formatCode="0.00%"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00FF"/>
                    </a:solidFill>
                    <a:latin typeface="Arial Nova Cond" panose="020B0506020202020204" pitchFamily="34" charset="0"/>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ExpBase!$H$1230:$K$1230</c:f>
              <c:numCache>
                <c:formatCode>_(* #,##0.00_);_(* \(#,##0.00\);_(* "-"??_);_(@_)</c:formatCode>
                <c:ptCount val="4"/>
                <c:pt idx="0">
                  <c:v>0.18006555791926931</c:v>
                </c:pt>
                <c:pt idx="1">
                  <c:v>0.16061337642099269</c:v>
                </c:pt>
                <c:pt idx="2">
                  <c:v>3.6758652662352134</c:v>
                </c:pt>
                <c:pt idx="3">
                  <c:v>2.1498181236652862</c:v>
                </c:pt>
              </c:numCache>
            </c:numRef>
          </c:val>
          <c:extLst>
            <c:ext xmlns:c15="http://schemas.microsoft.com/office/drawing/2012/chart" uri="{02D57815-91ED-43cb-92C2-25804820EDAC}">
              <c15:datalabelsRange>
                <c15:f>ExpBase!$H$1231:$K$1231</c15:f>
                <c15:dlblRangeCache>
                  <c:ptCount val="4"/>
                  <c:pt idx="0">
                    <c:v>0.3%</c:v>
                  </c:pt>
                  <c:pt idx="1">
                    <c:v>5.1%</c:v>
                  </c:pt>
                  <c:pt idx="2">
                    <c:v>5.9%</c:v>
                  </c:pt>
                  <c:pt idx="3">
                    <c:v>2.2%</c:v>
                  </c:pt>
                </c15:dlblRangeCache>
              </c15:datalabelsRange>
            </c:ext>
            <c:ext xmlns:c16="http://schemas.microsoft.com/office/drawing/2014/chart" uri="{C3380CC4-5D6E-409C-BE32-E72D297353CC}">
              <c16:uniqueId val="{00000013-99FA-4F2B-945B-DA96C0C7DAE4}"/>
            </c:ext>
          </c:extLst>
        </c:ser>
        <c:ser>
          <c:idx val="21"/>
          <c:order val="21"/>
          <c:tx>
            <c:strRef>
              <c:f>ExpBase!$G$1232</c:f>
              <c:strCache>
                <c:ptCount val="1"/>
                <c:pt idx="0">
                  <c:v>Alc in Flow</c:v>
                </c:pt>
              </c:strCache>
            </c:strRef>
          </c:tx>
          <c:spPr>
            <a:solidFill>
              <a:srgbClr val="66FFFF"/>
            </a:solidFill>
            <a:ln>
              <a:noFill/>
            </a:ln>
            <a:effectLst/>
          </c:spPr>
          <c:invertIfNegative val="0"/>
          <c:dLbls>
            <c:dLbl>
              <c:idx val="0"/>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99FA-4F2B-945B-DA96C0C7DAE4}"/>
                </c:ext>
              </c:extLst>
            </c:dLbl>
            <c:dLbl>
              <c:idx val="1"/>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99FA-4F2B-945B-DA96C0C7DAE4}"/>
                </c:ext>
              </c:extLst>
            </c:dLbl>
            <c:dLbl>
              <c:idx val="2"/>
              <c:tx>
                <c:rich>
                  <a:bodyPr/>
                  <a:lstStyle/>
                  <a:p>
                    <a:endParaRPr lang="en-US"/>
                  </a:p>
                </c:rich>
              </c:tx>
              <c:dLblPos val="inBase"/>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99FA-4F2B-945B-DA96C0C7DAE4}"/>
                </c:ext>
              </c:extLst>
            </c:dLbl>
            <c:dLbl>
              <c:idx val="3"/>
              <c:layout>
                <c:manualLayout>
                  <c:x val="0"/>
                  <c:y val="5.6808835427266446E-2"/>
                </c:manualLayout>
              </c:layout>
              <c:tx>
                <c:rich>
                  <a:bodyPr/>
                  <a:lstStyle/>
                  <a:p>
                    <a:fld id="{4D9F5058-A77D-7A4E-B47B-C64121BF1FAB}"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99FA-4F2B-945B-DA96C0C7DAE4}"/>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66FFFF"/>
                    </a:solidFill>
                    <a:latin typeface="Arial Nova Cond" panose="020B0506020202020204" pitchFamily="34" charset="0"/>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ExpBase!$H$1232:$K$1232</c:f>
              <c:numCache>
                <c:formatCode>General</c:formatCode>
                <c:ptCount val="4"/>
                <c:pt idx="3" formatCode="_(* #,##0.00_);_(* \(#,##0.00\);_(* &quot;-&quot;??_);_(@_)">
                  <c:v>0.47423727999740478</c:v>
                </c:pt>
              </c:numCache>
            </c:numRef>
          </c:val>
          <c:extLst>
            <c:ext xmlns:c15="http://schemas.microsoft.com/office/drawing/2012/chart" uri="{02D57815-91ED-43cb-92C2-25804820EDAC}">
              <c15:datalabelsRange>
                <c15:f>ExpBase!$H$1233:$K$1233</c15:f>
                <c15:dlblRangeCache>
                  <c:ptCount val="4"/>
                  <c:pt idx="3">
                    <c:v>0.5%</c:v>
                  </c:pt>
                </c15:dlblRangeCache>
              </c15:datalabelsRange>
            </c:ext>
            <c:ext xmlns:c16="http://schemas.microsoft.com/office/drawing/2014/chart" uri="{C3380CC4-5D6E-409C-BE32-E72D297353CC}">
              <c16:uniqueId val="{00000015-99FA-4F2B-945B-DA96C0C7DAE4}"/>
            </c:ext>
          </c:extLst>
        </c:ser>
        <c:dLbls>
          <c:showLegendKey val="0"/>
          <c:showVal val="0"/>
          <c:showCatName val="0"/>
          <c:showSerName val="0"/>
          <c:showPercent val="0"/>
          <c:showBubbleSize val="0"/>
        </c:dLbls>
        <c:gapWidth val="500"/>
        <c:overlap val="100"/>
        <c:axId val="1742260175"/>
        <c:axId val="1742261135"/>
      </c:barChart>
      <c:catAx>
        <c:axId val="213538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crossAx val="2135371471"/>
        <c:crosses val="autoZero"/>
        <c:auto val="1"/>
        <c:lblAlgn val="ctr"/>
        <c:lblOffset val="100"/>
        <c:noMultiLvlLbl val="0"/>
      </c:catAx>
      <c:valAx>
        <c:axId val="2135371471"/>
        <c:scaling>
          <c:orientation val="minMax"/>
        </c:scaling>
        <c:delete val="0"/>
        <c:axPos val="l"/>
        <c:majorGridlines>
          <c:spPr>
            <a:ln w="9525" cap="flat" cmpd="sng" algn="ctr">
              <a:solidFill>
                <a:schemeClr val="tx1"/>
              </a:solidFill>
              <a:miter lim="800000"/>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t>Species Concentration </a:t>
                </a:r>
                <a:r>
                  <a:rPr lang="en-US" b="0"/>
                  <a:t>[g/L]</a:t>
                </a:r>
              </a:p>
            </c:rich>
          </c:tx>
          <c:layout>
            <c:manualLayout>
              <c:xMode val="edge"/>
              <c:yMode val="edge"/>
              <c:x val="1.1524889169603515E-2"/>
              <c:y val="0.21289273710894116"/>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0"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Nova Cond" panose="020B0506020202020204" pitchFamily="34" charset="0"/>
                <a:ea typeface="+mn-ea"/>
                <a:cs typeface="+mn-cs"/>
              </a:defRPr>
            </a:pPr>
            <a:endParaRPr lang="en-US"/>
          </a:p>
        </c:txPr>
        <c:crossAx val="2135386831"/>
        <c:crosses val="autoZero"/>
        <c:crossBetween val="between"/>
      </c:valAx>
      <c:valAx>
        <c:axId val="1742261135"/>
        <c:scaling>
          <c:orientation val="minMax"/>
          <c:max val="630"/>
          <c:min val="0"/>
        </c:scaling>
        <c:delete val="0"/>
        <c:axPos val="r"/>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solidFill>
                      <a:sysClr val="windowText" lastClr="000000"/>
                    </a:solidFill>
                  </a:rPr>
                  <a:t>Volumetric</a:t>
                </a:r>
                <a:r>
                  <a:rPr lang="en-US" b="1" baseline="0">
                    <a:solidFill>
                      <a:sysClr val="windowText" lastClr="000000"/>
                    </a:solidFill>
                  </a:rPr>
                  <a:t> Flow Rate </a:t>
                </a:r>
                <a:r>
                  <a:rPr lang="en-US" b="0" baseline="0">
                    <a:solidFill>
                      <a:sysClr val="windowText" lastClr="000000"/>
                    </a:solidFill>
                  </a:rPr>
                  <a:t>[m</a:t>
                </a:r>
                <a:r>
                  <a:rPr lang="en-US" b="0" baseline="30000">
                    <a:solidFill>
                      <a:sysClr val="windowText" lastClr="000000"/>
                    </a:solidFill>
                  </a:rPr>
                  <a:t>3</a:t>
                </a:r>
                <a:r>
                  <a:rPr lang="en-US" b="0" baseline="0">
                    <a:solidFill>
                      <a:sysClr val="windowText" lastClr="000000"/>
                    </a:solidFill>
                  </a:rPr>
                  <a:t>/hr]</a:t>
                </a:r>
                <a:endParaRPr lang="en-US" b="0">
                  <a:solidFill>
                    <a:sysClr val="windowText" lastClr="000000"/>
                  </a:solidFill>
                </a:endParaRPr>
              </a:p>
            </c:rich>
          </c:tx>
          <c:layout>
            <c:manualLayout>
              <c:xMode val="edge"/>
              <c:yMode val="edge"/>
              <c:x val="0.95429606079996598"/>
              <c:y val="0.20775231810179556"/>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_(* #,##0_);_(* \(#,##0\);_(* &quot;-&quot;_);_(@_)"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crossAx val="1742260175"/>
        <c:crosses val="max"/>
        <c:crossBetween val="between"/>
        <c:majorUnit val="90"/>
      </c:valAx>
      <c:catAx>
        <c:axId val="1742260175"/>
        <c:scaling>
          <c:orientation val="minMax"/>
        </c:scaling>
        <c:delete val="1"/>
        <c:axPos val="b"/>
        <c:majorTickMark val="out"/>
        <c:minorTickMark val="none"/>
        <c:tickLblPos val="nextTo"/>
        <c:crossAx val="1742261135"/>
        <c:crosses val="autoZero"/>
        <c:auto val="1"/>
        <c:lblAlgn val="ctr"/>
        <c:lblOffset val="100"/>
        <c:noMultiLvlLbl val="0"/>
      </c:catAx>
      <c:spPr>
        <a:noFill/>
        <a:ln w="15875">
          <a:solidFill>
            <a:schemeClr val="tx1"/>
          </a:solidFill>
        </a:ln>
        <a:effectLst/>
      </c:spPr>
    </c:plotArea>
    <c:legend>
      <c:legendPos val="b"/>
      <c:layout>
        <c:manualLayout>
          <c:xMode val="edge"/>
          <c:yMode val="edge"/>
          <c:x val="5.2411356759182856E-4"/>
          <c:y val="0.81371025734495861"/>
          <c:w val="0.99365705002796456"/>
          <c:h val="0.18080007210997368"/>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9050"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0" baseline="0">
                <a:solidFill>
                  <a:sysClr val="windowText" lastClr="000000"/>
                </a:solidFill>
                <a:latin typeface="Arial Nova Cond" panose="020B0506020202020204" pitchFamily="34" charset="0"/>
                <a:ea typeface="+mn-ea"/>
                <a:cs typeface="+mn-cs"/>
              </a:defRPr>
            </a:pPr>
            <a:r>
              <a:rPr lang="en-US" sz="1600" b="1" cap="all" baseline="0"/>
              <a:t>separations effluent characteristics</a:t>
            </a:r>
          </a:p>
        </c:rich>
      </c:tx>
      <c:layout>
        <c:manualLayout>
          <c:xMode val="edge"/>
          <c:yMode val="edge"/>
          <c:x val="8.0548328937583555E-2"/>
          <c:y val="2.4888071491884729E-2"/>
        </c:manualLayout>
      </c:layout>
      <c:overlay val="0"/>
      <c:spPr>
        <a:noFill/>
        <a:ln>
          <a:noFill/>
        </a:ln>
        <a:effectLst/>
      </c:spPr>
      <c:txPr>
        <a:bodyPr rot="0" spcFirstLastPara="1" vertOverflow="ellipsis" vert="horz" wrap="square" anchor="ctr" anchorCtr="1"/>
        <a:lstStyle/>
        <a:p>
          <a:pPr>
            <a:defRPr sz="1600" b="1" i="0" u="none" strike="noStrike" kern="1200" cap="all"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023607939606388"/>
          <c:y val="0.11661414019225017"/>
          <c:w val="0.79527841207872241"/>
          <c:h val="0.59702923535599017"/>
        </c:manualLayout>
      </c:layout>
      <c:barChart>
        <c:barDir val="col"/>
        <c:grouping val="stacked"/>
        <c:varyColors val="0"/>
        <c:ser>
          <c:idx val="0"/>
          <c:order val="0"/>
          <c:tx>
            <c:strRef>
              <c:f>ExpBase!$H$1394</c:f>
              <c:strCache>
                <c:ptCount val="1"/>
                <c:pt idx="0">
                  <c:v>Acetic Acid</c:v>
                </c:pt>
              </c:strCache>
            </c:strRef>
          </c:tx>
          <c:spPr>
            <a:solidFill>
              <a:srgbClr val="F6C6AD"/>
            </a:solidFill>
            <a:ln>
              <a:noFill/>
            </a:ln>
            <a:effectLst/>
          </c:spPr>
          <c:invertIfNegative val="0"/>
          <c:cat>
            <c:strRef>
              <c:f>ExpBase!$I$1393:$L$1393</c:f>
              <c:strCache>
                <c:ptCount val="4"/>
                <c:pt idx="0">
                  <c:v>Electrodialysis Acid Stream</c:v>
                </c:pt>
                <c:pt idx="1">
                  <c:v>Electrodialysis Digestate Stream</c:v>
                </c:pt>
                <c:pt idx="2">
                  <c:v>Liquid-Liquid Extraction</c:v>
                </c:pt>
                <c:pt idx="3">
                  <c:v>Supercritical CO2 Extraction</c:v>
                </c:pt>
              </c:strCache>
            </c:strRef>
          </c:cat>
          <c:val>
            <c:numRef>
              <c:f>ExpBase!$I$1394:$L$1394</c:f>
              <c:numCache>
                <c:formatCode>0.00</c:formatCode>
                <c:ptCount val="4"/>
                <c:pt idx="0">
                  <c:v>3.3042114584699527</c:v>
                </c:pt>
                <c:pt idx="1">
                  <c:v>0.20927714599506475</c:v>
                </c:pt>
                <c:pt idx="2" formatCode="_(* #,##0.00_);_(* \(#,##0.00\);_(* &quot;-&quot;??_);_(@_)">
                  <c:v>3.4162414721991198E-6</c:v>
                </c:pt>
                <c:pt idx="3" formatCode="_(* #,##0.00_);_(* \(#,##0.00\);_(* &quot;-&quot;??_);_(@_)">
                  <c:v>3.4121420740734507</c:v>
                </c:pt>
              </c:numCache>
            </c:numRef>
          </c:val>
          <c:extLst>
            <c:ext xmlns:c16="http://schemas.microsoft.com/office/drawing/2014/chart" uri="{C3380CC4-5D6E-409C-BE32-E72D297353CC}">
              <c16:uniqueId val="{00000000-C0B3-45BF-B072-61CA98921EAB}"/>
            </c:ext>
          </c:extLst>
        </c:ser>
        <c:ser>
          <c:idx val="1"/>
          <c:order val="1"/>
          <c:tx>
            <c:strRef>
              <c:f>ExpBase!$H$1395</c:f>
              <c:strCache>
                <c:ptCount val="1"/>
                <c:pt idx="0">
                  <c:v>Propionic Acid</c:v>
                </c:pt>
              </c:strCache>
            </c:strRef>
          </c:tx>
          <c:spPr>
            <a:solidFill>
              <a:srgbClr val="F2AA84"/>
            </a:solidFill>
            <a:ln>
              <a:noFill/>
            </a:ln>
            <a:effectLst/>
          </c:spPr>
          <c:invertIfNegative val="0"/>
          <c:cat>
            <c:strRef>
              <c:f>ExpBase!$I$1393:$L$1393</c:f>
              <c:strCache>
                <c:ptCount val="4"/>
                <c:pt idx="0">
                  <c:v>Electrodialysis Acid Stream</c:v>
                </c:pt>
                <c:pt idx="1">
                  <c:v>Electrodialysis Digestate Stream</c:v>
                </c:pt>
                <c:pt idx="2">
                  <c:v>Liquid-Liquid Extraction</c:v>
                </c:pt>
                <c:pt idx="3">
                  <c:v>Supercritical CO2 Extraction</c:v>
                </c:pt>
              </c:strCache>
            </c:strRef>
          </c:cat>
          <c:val>
            <c:numRef>
              <c:f>ExpBase!$I$1395:$L$1395</c:f>
              <c:numCache>
                <c:formatCode>0.00</c:formatCode>
                <c:ptCount val="4"/>
                <c:pt idx="0">
                  <c:v>10.601092989345929</c:v>
                </c:pt>
                <c:pt idx="1">
                  <c:v>0.67143637714568372</c:v>
                </c:pt>
                <c:pt idx="2" formatCode="_(* #,##0.00_);_(* \(#,##0.00\);_(* &quot;-&quot;??_);_(@_)">
                  <c:v>61.912265200879304</c:v>
                </c:pt>
                <c:pt idx="3" formatCode="_(* #,##0.00_);_(* \(#,##0.00\);_(* &quot;-&quot;??_);_(@_)">
                  <c:v>21.050939776716334</c:v>
                </c:pt>
              </c:numCache>
            </c:numRef>
          </c:val>
          <c:extLst>
            <c:ext xmlns:c16="http://schemas.microsoft.com/office/drawing/2014/chart" uri="{C3380CC4-5D6E-409C-BE32-E72D297353CC}">
              <c16:uniqueId val="{00000001-C0B3-45BF-B072-61CA98921EAB}"/>
            </c:ext>
          </c:extLst>
        </c:ser>
        <c:ser>
          <c:idx val="2"/>
          <c:order val="2"/>
          <c:tx>
            <c:strRef>
              <c:f>ExpBase!$H$1396</c:f>
              <c:strCache>
                <c:ptCount val="1"/>
                <c:pt idx="0">
                  <c:v>Butyric Acid</c:v>
                </c:pt>
              </c:strCache>
            </c:strRef>
          </c:tx>
          <c:spPr>
            <a:solidFill>
              <a:srgbClr val="FFCC66"/>
            </a:solidFill>
            <a:ln>
              <a:noFill/>
            </a:ln>
            <a:effectLst/>
          </c:spPr>
          <c:invertIfNegative val="0"/>
          <c:cat>
            <c:strRef>
              <c:f>ExpBase!$I$1393:$L$1393</c:f>
              <c:strCache>
                <c:ptCount val="4"/>
                <c:pt idx="0">
                  <c:v>Electrodialysis Acid Stream</c:v>
                </c:pt>
                <c:pt idx="1">
                  <c:v>Electrodialysis Digestate Stream</c:v>
                </c:pt>
                <c:pt idx="2">
                  <c:v>Liquid-Liquid Extraction</c:v>
                </c:pt>
                <c:pt idx="3">
                  <c:v>Supercritical CO2 Extraction</c:v>
                </c:pt>
              </c:strCache>
            </c:strRef>
          </c:cat>
          <c:val>
            <c:numRef>
              <c:f>ExpBase!$I$1396:$L$1396</c:f>
              <c:numCache>
                <c:formatCode>0.00</c:formatCode>
                <c:ptCount val="4"/>
                <c:pt idx="0">
                  <c:v>7.0218407562642566</c:v>
                </c:pt>
                <c:pt idx="1">
                  <c:v>0.44473915899401401</c:v>
                </c:pt>
                <c:pt idx="2" formatCode="_(* #,##0.00_);_(* \(#,##0.00\);_(* &quot;-&quot;??_);_(@_)">
                  <c:v>89.302349886169935</c:v>
                </c:pt>
                <c:pt idx="3" formatCode="_(* #,##0.00_);_(* \(#,##0.00\);_(* &quot;-&quot;??_);_(@_)">
                  <c:v>19.222696152613917</c:v>
                </c:pt>
              </c:numCache>
            </c:numRef>
          </c:val>
          <c:extLst>
            <c:ext xmlns:c16="http://schemas.microsoft.com/office/drawing/2014/chart" uri="{C3380CC4-5D6E-409C-BE32-E72D297353CC}">
              <c16:uniqueId val="{00000002-C0B3-45BF-B072-61CA98921EAB}"/>
            </c:ext>
          </c:extLst>
        </c:ser>
        <c:ser>
          <c:idx val="3"/>
          <c:order val="3"/>
          <c:tx>
            <c:strRef>
              <c:f>ExpBase!$H$1397</c:f>
              <c:strCache>
                <c:ptCount val="1"/>
                <c:pt idx="0">
                  <c:v>Isobutyric Acid</c:v>
                </c:pt>
              </c:strCache>
            </c:strRef>
          </c:tx>
          <c:spPr>
            <a:solidFill>
              <a:srgbClr val="FF9933"/>
            </a:solidFill>
            <a:ln>
              <a:noFill/>
            </a:ln>
            <a:effectLst/>
          </c:spPr>
          <c:invertIfNegative val="0"/>
          <c:cat>
            <c:strRef>
              <c:f>ExpBase!$I$1393:$L$1393</c:f>
              <c:strCache>
                <c:ptCount val="4"/>
                <c:pt idx="0">
                  <c:v>Electrodialysis Acid Stream</c:v>
                </c:pt>
                <c:pt idx="1">
                  <c:v>Electrodialysis Digestate Stream</c:v>
                </c:pt>
                <c:pt idx="2">
                  <c:v>Liquid-Liquid Extraction</c:v>
                </c:pt>
                <c:pt idx="3">
                  <c:v>Supercritical CO2 Extraction</c:v>
                </c:pt>
              </c:strCache>
            </c:strRef>
          </c:cat>
          <c:val>
            <c:numRef>
              <c:f>ExpBase!$I$1397:$L$1397</c:f>
              <c:numCache>
                <c:formatCode>0.00</c:formatCode>
                <c:ptCount val="4"/>
                <c:pt idx="0">
                  <c:v>0</c:v>
                </c:pt>
                <c:pt idx="1">
                  <c:v>0</c:v>
                </c:pt>
                <c:pt idx="2" formatCode="_(* #,##0.00_);_(* \(#,##0.00\);_(* &quot;-&quot;??_);_(@_)">
                  <c:v>0</c:v>
                </c:pt>
                <c:pt idx="3" formatCode="_(* #,##0.00_);_(* \(#,##0.00\);_(* &quot;-&quot;??_);_(@_)">
                  <c:v>0</c:v>
                </c:pt>
              </c:numCache>
            </c:numRef>
          </c:val>
          <c:extLst>
            <c:ext xmlns:c16="http://schemas.microsoft.com/office/drawing/2014/chart" uri="{C3380CC4-5D6E-409C-BE32-E72D297353CC}">
              <c16:uniqueId val="{00000003-C0B3-45BF-B072-61CA98921EAB}"/>
            </c:ext>
          </c:extLst>
        </c:ser>
        <c:ser>
          <c:idx val="4"/>
          <c:order val="4"/>
          <c:tx>
            <c:strRef>
              <c:f>ExpBase!$H$1398</c:f>
              <c:strCache>
                <c:ptCount val="1"/>
                <c:pt idx="0">
                  <c:v>Valeric Acid</c:v>
                </c:pt>
              </c:strCache>
            </c:strRef>
          </c:tx>
          <c:spPr>
            <a:solidFill>
              <a:srgbClr val="FFCCCC"/>
            </a:solidFill>
            <a:ln>
              <a:noFill/>
            </a:ln>
            <a:effectLst/>
          </c:spPr>
          <c:invertIfNegative val="0"/>
          <c:cat>
            <c:strRef>
              <c:f>ExpBase!$I$1393:$L$1393</c:f>
              <c:strCache>
                <c:ptCount val="4"/>
                <c:pt idx="0">
                  <c:v>Electrodialysis Acid Stream</c:v>
                </c:pt>
                <c:pt idx="1">
                  <c:v>Electrodialysis Digestate Stream</c:v>
                </c:pt>
                <c:pt idx="2">
                  <c:v>Liquid-Liquid Extraction</c:v>
                </c:pt>
                <c:pt idx="3">
                  <c:v>Supercritical CO2 Extraction</c:v>
                </c:pt>
              </c:strCache>
            </c:strRef>
          </c:cat>
          <c:val>
            <c:numRef>
              <c:f>ExpBase!$I$1398:$L$1398</c:f>
              <c:numCache>
                <c:formatCode>0.00</c:formatCode>
                <c:ptCount val="4"/>
                <c:pt idx="0">
                  <c:v>11.798486711312089</c:v>
                </c:pt>
                <c:pt idx="1">
                  <c:v>0.7472756420697072</c:v>
                </c:pt>
                <c:pt idx="2" formatCode="_(* #,##0.00_);_(* \(#,##0.00\);_(* &quot;-&quot;??_);_(@_)">
                  <c:v>151.44012555004932</c:v>
                </c:pt>
                <c:pt idx="3" formatCode="_(* #,##0.00_);_(* \(#,##0.00\);_(* &quot;-&quot;??_);_(@_)">
                  <c:v>38.968052807032151</c:v>
                </c:pt>
              </c:numCache>
            </c:numRef>
          </c:val>
          <c:extLst>
            <c:ext xmlns:c16="http://schemas.microsoft.com/office/drawing/2014/chart" uri="{C3380CC4-5D6E-409C-BE32-E72D297353CC}">
              <c16:uniqueId val="{00000004-C0B3-45BF-B072-61CA98921EAB}"/>
            </c:ext>
          </c:extLst>
        </c:ser>
        <c:ser>
          <c:idx val="5"/>
          <c:order val="5"/>
          <c:tx>
            <c:strRef>
              <c:f>ExpBase!$H$1399</c:f>
              <c:strCache>
                <c:ptCount val="1"/>
                <c:pt idx="0">
                  <c:v>Isovaleric Acid</c:v>
                </c:pt>
              </c:strCache>
            </c:strRef>
          </c:tx>
          <c:spPr>
            <a:solidFill>
              <a:srgbClr val="FF9999"/>
            </a:solidFill>
            <a:ln>
              <a:noFill/>
            </a:ln>
            <a:effectLst/>
          </c:spPr>
          <c:invertIfNegative val="0"/>
          <c:cat>
            <c:strRef>
              <c:f>ExpBase!$I$1393:$L$1393</c:f>
              <c:strCache>
                <c:ptCount val="4"/>
                <c:pt idx="0">
                  <c:v>Electrodialysis Acid Stream</c:v>
                </c:pt>
                <c:pt idx="1">
                  <c:v>Electrodialysis Digestate Stream</c:v>
                </c:pt>
                <c:pt idx="2">
                  <c:v>Liquid-Liquid Extraction</c:v>
                </c:pt>
                <c:pt idx="3">
                  <c:v>Supercritical CO2 Extraction</c:v>
                </c:pt>
              </c:strCache>
            </c:strRef>
          </c:cat>
          <c:val>
            <c:numRef>
              <c:f>ExpBase!$I$1399:$L$1399</c:f>
              <c:numCache>
                <c:formatCode>0.00</c:formatCode>
                <c:ptCount val="4"/>
                <c:pt idx="0">
                  <c:v>1.9417354908262947</c:v>
                </c:pt>
                <c:pt idx="1">
                  <c:v>0.12298285967856919</c:v>
                </c:pt>
                <c:pt idx="2" formatCode="_(* #,##0.00_);_(* \(#,##0.00\);_(* &quot;-&quot;??_);_(@_)">
                  <c:v>24.923252762050122</c:v>
                </c:pt>
                <c:pt idx="3" formatCode="_(* #,##0.00_);_(* \(#,##0.00\);_(* &quot;-&quot;??_);_(@_)">
                  <c:v>6.5532866257079156</c:v>
                </c:pt>
              </c:numCache>
            </c:numRef>
          </c:val>
          <c:extLst>
            <c:ext xmlns:c16="http://schemas.microsoft.com/office/drawing/2014/chart" uri="{C3380CC4-5D6E-409C-BE32-E72D297353CC}">
              <c16:uniqueId val="{00000005-C0B3-45BF-B072-61CA98921EAB}"/>
            </c:ext>
          </c:extLst>
        </c:ser>
        <c:ser>
          <c:idx val="6"/>
          <c:order val="6"/>
          <c:tx>
            <c:strRef>
              <c:f>ExpBase!$H$1400</c:f>
              <c:strCache>
                <c:ptCount val="1"/>
                <c:pt idx="0">
                  <c:v>Caproic Acid</c:v>
                </c:pt>
              </c:strCache>
            </c:strRef>
          </c:tx>
          <c:spPr>
            <a:solidFill>
              <a:srgbClr val="FFCCFF"/>
            </a:solidFill>
            <a:ln>
              <a:noFill/>
            </a:ln>
            <a:effectLst/>
          </c:spPr>
          <c:invertIfNegative val="0"/>
          <c:cat>
            <c:strRef>
              <c:f>ExpBase!$I$1393:$L$1393</c:f>
              <c:strCache>
                <c:ptCount val="4"/>
                <c:pt idx="0">
                  <c:v>Electrodialysis Acid Stream</c:v>
                </c:pt>
                <c:pt idx="1">
                  <c:v>Electrodialysis Digestate Stream</c:v>
                </c:pt>
                <c:pt idx="2">
                  <c:v>Liquid-Liquid Extraction</c:v>
                </c:pt>
                <c:pt idx="3">
                  <c:v>Supercritical CO2 Extraction</c:v>
                </c:pt>
              </c:strCache>
            </c:strRef>
          </c:cat>
          <c:val>
            <c:numRef>
              <c:f>ExpBase!$I$1400:$L$1400</c:f>
              <c:numCache>
                <c:formatCode>0.00</c:formatCode>
                <c:ptCount val="4"/>
                <c:pt idx="0">
                  <c:v>49.241442205626548</c:v>
                </c:pt>
                <c:pt idx="1">
                  <c:v>3.1187845727634187</c:v>
                </c:pt>
                <c:pt idx="2" formatCode="_(* #,##0.00_);_(* \(#,##0.00\);_(* &quot;-&quot;??_);_(@_)">
                  <c:v>632.04124158870945</c:v>
                </c:pt>
                <c:pt idx="3" formatCode="_(* #,##0.00_);_(* \(#,##0.00\);_(* &quot;-&quot;??_);_(@_)">
                  <c:v>171.7282060481686</c:v>
                </c:pt>
              </c:numCache>
            </c:numRef>
          </c:val>
          <c:extLst>
            <c:ext xmlns:c16="http://schemas.microsoft.com/office/drawing/2014/chart" uri="{C3380CC4-5D6E-409C-BE32-E72D297353CC}">
              <c16:uniqueId val="{00000006-C0B3-45BF-B072-61CA98921EAB}"/>
            </c:ext>
          </c:extLst>
        </c:ser>
        <c:ser>
          <c:idx val="7"/>
          <c:order val="7"/>
          <c:tx>
            <c:strRef>
              <c:f>ExpBase!$H$1401</c:f>
              <c:strCache>
                <c:ptCount val="1"/>
                <c:pt idx="0">
                  <c:v>Heptanoic Acid</c:v>
                </c:pt>
              </c:strCache>
            </c:strRef>
          </c:tx>
          <c:spPr>
            <a:solidFill>
              <a:srgbClr val="FF99FF"/>
            </a:solidFill>
            <a:ln>
              <a:noFill/>
            </a:ln>
            <a:effectLst/>
          </c:spPr>
          <c:invertIfNegative val="0"/>
          <c:cat>
            <c:strRef>
              <c:f>ExpBase!$I$1393:$L$1393</c:f>
              <c:strCache>
                <c:ptCount val="4"/>
                <c:pt idx="0">
                  <c:v>Electrodialysis Acid Stream</c:v>
                </c:pt>
                <c:pt idx="1">
                  <c:v>Electrodialysis Digestate Stream</c:v>
                </c:pt>
                <c:pt idx="2">
                  <c:v>Liquid-Liquid Extraction</c:v>
                </c:pt>
                <c:pt idx="3">
                  <c:v>Supercritical CO2 Extraction</c:v>
                </c:pt>
              </c:strCache>
            </c:strRef>
          </c:cat>
          <c:val>
            <c:numRef>
              <c:f>ExpBase!$I$1401:$L$1401</c:f>
              <c:numCache>
                <c:formatCode>0.00</c:formatCode>
                <c:ptCount val="4"/>
                <c:pt idx="0">
                  <c:v>2.8798539237334646</c:v>
                </c:pt>
                <c:pt idx="1">
                  <c:v>0.18256335055566386</c:v>
                </c:pt>
                <c:pt idx="2" formatCode="_(* #,##0.00_);_(* \(#,##0.00\);_(* &quot;-&quot;??_);_(@_)">
                  <c:v>36.964523539942803</c:v>
                </c:pt>
                <c:pt idx="3" formatCode="_(* #,##0.00_);_(* \(#,##0.00\);_(* &quot;-&quot;??_);_(@_)">
                  <c:v>12.523161517162258</c:v>
                </c:pt>
              </c:numCache>
            </c:numRef>
          </c:val>
          <c:extLst>
            <c:ext xmlns:c16="http://schemas.microsoft.com/office/drawing/2014/chart" uri="{C3380CC4-5D6E-409C-BE32-E72D297353CC}">
              <c16:uniqueId val="{00000007-C0B3-45BF-B072-61CA98921EAB}"/>
            </c:ext>
          </c:extLst>
        </c:ser>
        <c:ser>
          <c:idx val="8"/>
          <c:order val="8"/>
          <c:tx>
            <c:strRef>
              <c:f>ExpBase!$H$1402</c:f>
              <c:strCache>
                <c:ptCount val="1"/>
                <c:pt idx="0">
                  <c:v>Ammonia</c:v>
                </c:pt>
              </c:strCache>
            </c:strRef>
          </c:tx>
          <c:spPr>
            <a:solidFill>
              <a:srgbClr val="CCCC00"/>
            </a:solidFill>
            <a:ln>
              <a:noFill/>
            </a:ln>
            <a:effectLst/>
          </c:spPr>
          <c:invertIfNegative val="0"/>
          <c:cat>
            <c:strRef>
              <c:f>ExpBase!$I$1393:$L$1393</c:f>
              <c:strCache>
                <c:ptCount val="4"/>
                <c:pt idx="0">
                  <c:v>Electrodialysis Acid Stream</c:v>
                </c:pt>
                <c:pt idx="1">
                  <c:v>Electrodialysis Digestate Stream</c:v>
                </c:pt>
                <c:pt idx="2">
                  <c:v>Liquid-Liquid Extraction</c:v>
                </c:pt>
                <c:pt idx="3">
                  <c:v>Supercritical CO2 Extraction</c:v>
                </c:pt>
              </c:strCache>
            </c:strRef>
          </c:cat>
          <c:val>
            <c:numRef>
              <c:f>ExpBase!$I$1402:$L$1402</c:f>
              <c:numCache>
                <c:formatCode>0.00</c:formatCode>
                <c:ptCount val="4"/>
                <c:pt idx="0">
                  <c:v>1.4916928199757078E-2</c:v>
                </c:pt>
                <c:pt idx="1">
                  <c:v>0.2963933891965132</c:v>
                </c:pt>
                <c:pt idx="2" formatCode="General">
                  <c:v>0</c:v>
                </c:pt>
                <c:pt idx="3" formatCode="_(* #,##0.00_);_(* \(#,##0.00\);_(* &quot;-&quot;??_);_(@_)">
                  <c:v>0</c:v>
                </c:pt>
              </c:numCache>
            </c:numRef>
          </c:val>
          <c:extLst>
            <c:ext xmlns:c16="http://schemas.microsoft.com/office/drawing/2014/chart" uri="{C3380CC4-5D6E-409C-BE32-E72D297353CC}">
              <c16:uniqueId val="{00000008-C0B3-45BF-B072-61CA98921EAB}"/>
            </c:ext>
          </c:extLst>
        </c:ser>
        <c:ser>
          <c:idx val="9"/>
          <c:order val="9"/>
          <c:tx>
            <c:strRef>
              <c:f>ExpBase!$H$1403</c:f>
              <c:strCache>
                <c:ptCount val="1"/>
                <c:pt idx="0">
                  <c:v>Sulfate</c:v>
                </c:pt>
              </c:strCache>
            </c:strRef>
          </c:tx>
          <c:spPr>
            <a:solidFill>
              <a:srgbClr val="CCFF66"/>
            </a:solidFill>
            <a:ln>
              <a:noFill/>
            </a:ln>
            <a:effectLst/>
          </c:spPr>
          <c:invertIfNegative val="0"/>
          <c:cat>
            <c:strRef>
              <c:f>ExpBase!$I$1393:$L$1393</c:f>
              <c:strCache>
                <c:ptCount val="4"/>
                <c:pt idx="0">
                  <c:v>Electrodialysis Acid Stream</c:v>
                </c:pt>
                <c:pt idx="1">
                  <c:v>Electrodialysis Digestate Stream</c:v>
                </c:pt>
                <c:pt idx="2">
                  <c:v>Liquid-Liquid Extraction</c:v>
                </c:pt>
                <c:pt idx="3">
                  <c:v>Supercritical CO2 Extraction</c:v>
                </c:pt>
              </c:strCache>
            </c:strRef>
          </c:cat>
          <c:val>
            <c:numRef>
              <c:f>ExpBase!$I$1403:$L$1403</c:f>
              <c:numCache>
                <c:formatCode>0.00</c:formatCode>
                <c:ptCount val="4"/>
                <c:pt idx="0">
                  <c:v>0</c:v>
                </c:pt>
                <c:pt idx="1">
                  <c:v>0</c:v>
                </c:pt>
                <c:pt idx="2" formatCode="General">
                  <c:v>0</c:v>
                </c:pt>
                <c:pt idx="3" formatCode="_(* #,##0.00_);_(* \(#,##0.00\);_(* &quot;-&quot;??_);_(@_)">
                  <c:v>0</c:v>
                </c:pt>
              </c:numCache>
            </c:numRef>
          </c:val>
          <c:extLst>
            <c:ext xmlns:c16="http://schemas.microsoft.com/office/drawing/2014/chart" uri="{C3380CC4-5D6E-409C-BE32-E72D297353CC}">
              <c16:uniqueId val="{00000009-C0B3-45BF-B072-61CA98921EAB}"/>
            </c:ext>
          </c:extLst>
        </c:ser>
        <c:ser>
          <c:idx val="10"/>
          <c:order val="10"/>
          <c:tx>
            <c:strRef>
              <c:f>ExpBase!$H$1404</c:f>
              <c:strCache>
                <c:ptCount val="1"/>
                <c:pt idx="0">
                  <c:v>Phosphate</c:v>
                </c:pt>
              </c:strCache>
            </c:strRef>
          </c:tx>
          <c:spPr>
            <a:solidFill>
              <a:srgbClr val="33CC33"/>
            </a:solidFill>
            <a:ln>
              <a:noFill/>
            </a:ln>
            <a:effectLst/>
          </c:spPr>
          <c:invertIfNegative val="0"/>
          <c:cat>
            <c:strRef>
              <c:f>ExpBase!$I$1393:$L$1393</c:f>
              <c:strCache>
                <c:ptCount val="4"/>
                <c:pt idx="0">
                  <c:v>Electrodialysis Acid Stream</c:v>
                </c:pt>
                <c:pt idx="1">
                  <c:v>Electrodialysis Digestate Stream</c:v>
                </c:pt>
                <c:pt idx="2">
                  <c:v>Liquid-Liquid Extraction</c:v>
                </c:pt>
                <c:pt idx="3">
                  <c:v>Supercritical CO2 Extraction</c:v>
                </c:pt>
              </c:strCache>
            </c:strRef>
          </c:cat>
          <c:val>
            <c:numRef>
              <c:f>ExpBase!$I$1404:$L$1404</c:f>
              <c:numCache>
                <c:formatCode>0.00</c:formatCode>
                <c:ptCount val="4"/>
                <c:pt idx="0">
                  <c:v>11.420033686488107</c:v>
                </c:pt>
                <c:pt idx="1">
                  <c:v>0.41208618145847231</c:v>
                </c:pt>
                <c:pt idx="2" formatCode="General">
                  <c:v>0</c:v>
                </c:pt>
                <c:pt idx="3" formatCode="_(* #,##0.00_);_(* \(#,##0.00\);_(* &quot;-&quot;??_);_(@_)">
                  <c:v>2.3176850356247296E-7</c:v>
                </c:pt>
              </c:numCache>
            </c:numRef>
          </c:val>
          <c:extLst>
            <c:ext xmlns:c16="http://schemas.microsoft.com/office/drawing/2014/chart" uri="{C3380CC4-5D6E-409C-BE32-E72D297353CC}">
              <c16:uniqueId val="{0000000A-C0B3-45BF-B072-61CA98921EAB}"/>
            </c:ext>
          </c:extLst>
        </c:ser>
        <c:ser>
          <c:idx val="11"/>
          <c:order val="11"/>
          <c:tx>
            <c:strRef>
              <c:f>ExpBase!$H$1405</c:f>
              <c:strCache>
                <c:ptCount val="1"/>
                <c:pt idx="0">
                  <c:v>Ethanol</c:v>
                </c:pt>
              </c:strCache>
            </c:strRef>
          </c:tx>
          <c:spPr>
            <a:solidFill>
              <a:srgbClr val="66CCFF"/>
            </a:solidFill>
            <a:ln>
              <a:noFill/>
            </a:ln>
            <a:effectLst/>
          </c:spPr>
          <c:invertIfNegative val="0"/>
          <c:cat>
            <c:strRef>
              <c:f>ExpBase!$I$1393:$L$1393</c:f>
              <c:strCache>
                <c:ptCount val="4"/>
                <c:pt idx="0">
                  <c:v>Electrodialysis Acid Stream</c:v>
                </c:pt>
                <c:pt idx="1">
                  <c:v>Electrodialysis Digestate Stream</c:v>
                </c:pt>
                <c:pt idx="2">
                  <c:v>Liquid-Liquid Extraction</c:v>
                </c:pt>
                <c:pt idx="3">
                  <c:v>Supercritical CO2 Extraction</c:v>
                </c:pt>
              </c:strCache>
            </c:strRef>
          </c:cat>
          <c:val>
            <c:numRef>
              <c:f>ExpBase!$I$1405:$L$1405</c:f>
              <c:numCache>
                <c:formatCode>0.00</c:formatCode>
                <c:ptCount val="4"/>
                <c:pt idx="1">
                  <c:v>0</c:v>
                </c:pt>
                <c:pt idx="3" formatCode="_(* #,##0.00_);_(* \(#,##0.00\);_(* &quot;-&quot;??_);_(@_)">
                  <c:v>0</c:v>
                </c:pt>
              </c:numCache>
            </c:numRef>
          </c:val>
          <c:extLst>
            <c:ext xmlns:c16="http://schemas.microsoft.com/office/drawing/2014/chart" uri="{C3380CC4-5D6E-409C-BE32-E72D297353CC}">
              <c16:uniqueId val="{0000000B-C0B3-45BF-B072-61CA98921EAB}"/>
            </c:ext>
          </c:extLst>
        </c:ser>
        <c:ser>
          <c:idx val="12"/>
          <c:order val="12"/>
          <c:tx>
            <c:strRef>
              <c:f>ExpBase!$H$1406</c:f>
              <c:strCache>
                <c:ptCount val="1"/>
                <c:pt idx="0">
                  <c:v>Propanol</c:v>
                </c:pt>
              </c:strCache>
            </c:strRef>
          </c:tx>
          <c:spPr>
            <a:solidFill>
              <a:srgbClr val="33CCCC"/>
            </a:solidFill>
            <a:ln>
              <a:noFill/>
            </a:ln>
            <a:effectLst/>
          </c:spPr>
          <c:invertIfNegative val="0"/>
          <c:cat>
            <c:strRef>
              <c:f>ExpBase!$I$1393:$L$1393</c:f>
              <c:strCache>
                <c:ptCount val="4"/>
                <c:pt idx="0">
                  <c:v>Electrodialysis Acid Stream</c:v>
                </c:pt>
                <c:pt idx="1">
                  <c:v>Electrodialysis Digestate Stream</c:v>
                </c:pt>
                <c:pt idx="2">
                  <c:v>Liquid-Liquid Extraction</c:v>
                </c:pt>
                <c:pt idx="3">
                  <c:v>Supercritical CO2 Extraction</c:v>
                </c:pt>
              </c:strCache>
            </c:strRef>
          </c:cat>
          <c:val>
            <c:numRef>
              <c:f>ExpBase!$I$1406:$L$1406</c:f>
              <c:numCache>
                <c:formatCode>0.00</c:formatCode>
                <c:ptCount val="4"/>
                <c:pt idx="1">
                  <c:v>0</c:v>
                </c:pt>
                <c:pt idx="3" formatCode="_(* #,##0.00_);_(* \(#,##0.00\);_(* &quot;-&quot;??_);_(@_)">
                  <c:v>0</c:v>
                </c:pt>
              </c:numCache>
            </c:numRef>
          </c:val>
          <c:extLst>
            <c:ext xmlns:c16="http://schemas.microsoft.com/office/drawing/2014/chart" uri="{C3380CC4-5D6E-409C-BE32-E72D297353CC}">
              <c16:uniqueId val="{0000000C-C0B3-45BF-B072-61CA98921EAB}"/>
            </c:ext>
          </c:extLst>
        </c:ser>
        <c:ser>
          <c:idx val="13"/>
          <c:order val="13"/>
          <c:tx>
            <c:strRef>
              <c:f>ExpBase!$H$1407</c:f>
              <c:strCache>
                <c:ptCount val="1"/>
                <c:pt idx="0">
                  <c:v>Butanol</c:v>
                </c:pt>
              </c:strCache>
            </c:strRef>
          </c:tx>
          <c:spPr>
            <a:solidFill>
              <a:srgbClr val="99CCFF"/>
            </a:solidFill>
            <a:ln>
              <a:noFill/>
            </a:ln>
            <a:effectLst/>
          </c:spPr>
          <c:invertIfNegative val="0"/>
          <c:cat>
            <c:strRef>
              <c:f>ExpBase!$I$1393:$L$1393</c:f>
              <c:strCache>
                <c:ptCount val="4"/>
                <c:pt idx="0">
                  <c:v>Electrodialysis Acid Stream</c:v>
                </c:pt>
                <c:pt idx="1">
                  <c:v>Electrodialysis Digestate Stream</c:v>
                </c:pt>
                <c:pt idx="2">
                  <c:v>Liquid-Liquid Extraction</c:v>
                </c:pt>
                <c:pt idx="3">
                  <c:v>Supercritical CO2 Extraction</c:v>
                </c:pt>
              </c:strCache>
            </c:strRef>
          </c:cat>
          <c:val>
            <c:numRef>
              <c:f>ExpBase!$I$1407:$L$1407</c:f>
              <c:numCache>
                <c:formatCode>0.00</c:formatCode>
                <c:ptCount val="4"/>
                <c:pt idx="1">
                  <c:v>1.7566821340413512</c:v>
                </c:pt>
                <c:pt idx="3" formatCode="_(* #,##0.00_);_(* \(#,##0.00\);_(* &quot;-&quot;??_);_(@_)">
                  <c:v>114.09637874631368</c:v>
                </c:pt>
              </c:numCache>
            </c:numRef>
          </c:val>
          <c:extLst>
            <c:ext xmlns:c16="http://schemas.microsoft.com/office/drawing/2014/chart" uri="{C3380CC4-5D6E-409C-BE32-E72D297353CC}">
              <c16:uniqueId val="{0000000D-C0B3-45BF-B072-61CA98921EAB}"/>
            </c:ext>
          </c:extLst>
        </c:ser>
        <c:ser>
          <c:idx val="14"/>
          <c:order val="14"/>
          <c:tx>
            <c:strRef>
              <c:f>ExpBase!$H$1408</c:f>
              <c:strCache>
                <c:ptCount val="1"/>
                <c:pt idx="0">
                  <c:v>Isobutanol</c:v>
                </c:pt>
              </c:strCache>
            </c:strRef>
          </c:tx>
          <c:spPr>
            <a:solidFill>
              <a:srgbClr val="6699FF"/>
            </a:solidFill>
            <a:ln>
              <a:noFill/>
            </a:ln>
            <a:effectLst/>
          </c:spPr>
          <c:invertIfNegative val="0"/>
          <c:cat>
            <c:strRef>
              <c:f>ExpBase!$I$1393:$L$1393</c:f>
              <c:strCache>
                <c:ptCount val="4"/>
                <c:pt idx="0">
                  <c:v>Electrodialysis Acid Stream</c:v>
                </c:pt>
                <c:pt idx="1">
                  <c:v>Electrodialysis Digestate Stream</c:v>
                </c:pt>
                <c:pt idx="2">
                  <c:v>Liquid-Liquid Extraction</c:v>
                </c:pt>
                <c:pt idx="3">
                  <c:v>Supercritical CO2 Extraction</c:v>
                </c:pt>
              </c:strCache>
            </c:strRef>
          </c:cat>
          <c:val>
            <c:numRef>
              <c:f>ExpBase!$I$1408:$L$1408</c:f>
              <c:numCache>
                <c:formatCode>0.00</c:formatCode>
                <c:ptCount val="4"/>
                <c:pt idx="1">
                  <c:v>0</c:v>
                </c:pt>
                <c:pt idx="3" formatCode="_(* #,##0.00_);_(* \(#,##0.00\);_(* &quot;-&quot;??_);_(@_)">
                  <c:v>0</c:v>
                </c:pt>
              </c:numCache>
            </c:numRef>
          </c:val>
          <c:extLst>
            <c:ext xmlns:c16="http://schemas.microsoft.com/office/drawing/2014/chart" uri="{C3380CC4-5D6E-409C-BE32-E72D297353CC}">
              <c16:uniqueId val="{0000000E-C0B3-45BF-B072-61CA98921EAB}"/>
            </c:ext>
          </c:extLst>
        </c:ser>
        <c:ser>
          <c:idx val="15"/>
          <c:order val="15"/>
          <c:tx>
            <c:strRef>
              <c:f>ExpBase!$H$1409</c:f>
              <c:strCache>
                <c:ptCount val="1"/>
                <c:pt idx="0">
                  <c:v>Pentanol</c:v>
                </c:pt>
              </c:strCache>
            </c:strRef>
          </c:tx>
          <c:spPr>
            <a:solidFill>
              <a:srgbClr val="CCCCFF"/>
            </a:solidFill>
            <a:ln>
              <a:noFill/>
            </a:ln>
            <a:effectLst/>
          </c:spPr>
          <c:invertIfNegative val="0"/>
          <c:cat>
            <c:strRef>
              <c:f>ExpBase!$I$1393:$L$1393</c:f>
              <c:strCache>
                <c:ptCount val="4"/>
                <c:pt idx="0">
                  <c:v>Electrodialysis Acid Stream</c:v>
                </c:pt>
                <c:pt idx="1">
                  <c:v>Electrodialysis Digestate Stream</c:v>
                </c:pt>
                <c:pt idx="2">
                  <c:v>Liquid-Liquid Extraction</c:v>
                </c:pt>
                <c:pt idx="3">
                  <c:v>Supercritical CO2 Extraction</c:v>
                </c:pt>
              </c:strCache>
            </c:strRef>
          </c:cat>
          <c:val>
            <c:numRef>
              <c:f>ExpBase!$I$1409:$L$1409</c:f>
              <c:numCache>
                <c:formatCode>0.00</c:formatCode>
                <c:ptCount val="4"/>
                <c:pt idx="1">
                  <c:v>2.6816397715815605</c:v>
                </c:pt>
                <c:pt idx="3" formatCode="_(* #,##0.00_);_(* \(#,##0.00\);_(* &quot;-&quot;??_);_(@_)">
                  <c:v>199.85171284940535</c:v>
                </c:pt>
              </c:numCache>
            </c:numRef>
          </c:val>
          <c:extLst>
            <c:ext xmlns:c16="http://schemas.microsoft.com/office/drawing/2014/chart" uri="{C3380CC4-5D6E-409C-BE32-E72D297353CC}">
              <c16:uniqueId val="{0000000F-C0B3-45BF-B072-61CA98921EAB}"/>
            </c:ext>
          </c:extLst>
        </c:ser>
        <c:ser>
          <c:idx val="16"/>
          <c:order val="16"/>
          <c:tx>
            <c:strRef>
              <c:f>ExpBase!$H$1410</c:f>
              <c:strCache>
                <c:ptCount val="1"/>
                <c:pt idx="0">
                  <c:v>Isopentanol</c:v>
                </c:pt>
              </c:strCache>
            </c:strRef>
          </c:tx>
          <c:spPr>
            <a:solidFill>
              <a:srgbClr val="CCECFF"/>
            </a:solidFill>
            <a:ln>
              <a:noFill/>
            </a:ln>
            <a:effectLst/>
          </c:spPr>
          <c:invertIfNegative val="0"/>
          <c:cat>
            <c:strRef>
              <c:f>ExpBase!$I$1393:$L$1393</c:f>
              <c:strCache>
                <c:ptCount val="4"/>
                <c:pt idx="0">
                  <c:v>Electrodialysis Acid Stream</c:v>
                </c:pt>
                <c:pt idx="1">
                  <c:v>Electrodialysis Digestate Stream</c:v>
                </c:pt>
                <c:pt idx="2">
                  <c:v>Liquid-Liquid Extraction</c:v>
                </c:pt>
                <c:pt idx="3">
                  <c:v>Supercritical CO2 Extraction</c:v>
                </c:pt>
              </c:strCache>
            </c:strRef>
          </c:cat>
          <c:val>
            <c:numRef>
              <c:f>ExpBase!$I$1410:$L$1410</c:f>
              <c:numCache>
                <c:formatCode>0.00</c:formatCode>
                <c:ptCount val="4"/>
                <c:pt idx="1">
                  <c:v>1.7648741091177082E-2</c:v>
                </c:pt>
                <c:pt idx="3" formatCode="_(* #,##0.00_);_(* \(#,##0.00\);_(* &quot;-&quot;??_);_(@_)">
                  <c:v>1.5222073417303221</c:v>
                </c:pt>
              </c:numCache>
            </c:numRef>
          </c:val>
          <c:extLst>
            <c:ext xmlns:c16="http://schemas.microsoft.com/office/drawing/2014/chart" uri="{C3380CC4-5D6E-409C-BE32-E72D297353CC}">
              <c16:uniqueId val="{00000010-C0B3-45BF-B072-61CA98921EAB}"/>
            </c:ext>
          </c:extLst>
        </c:ser>
        <c:ser>
          <c:idx val="17"/>
          <c:order val="17"/>
          <c:tx>
            <c:strRef>
              <c:f>ExpBase!$H$1411</c:f>
              <c:strCache>
                <c:ptCount val="1"/>
                <c:pt idx="0">
                  <c:v>Hexanol</c:v>
                </c:pt>
              </c:strCache>
            </c:strRef>
          </c:tx>
          <c:spPr>
            <a:solidFill>
              <a:srgbClr val="9999FF"/>
            </a:solidFill>
            <a:ln>
              <a:noFill/>
            </a:ln>
            <a:effectLst/>
          </c:spPr>
          <c:invertIfNegative val="0"/>
          <c:cat>
            <c:strRef>
              <c:f>ExpBase!$I$1393:$L$1393</c:f>
              <c:strCache>
                <c:ptCount val="4"/>
                <c:pt idx="0">
                  <c:v>Electrodialysis Acid Stream</c:v>
                </c:pt>
                <c:pt idx="1">
                  <c:v>Electrodialysis Digestate Stream</c:v>
                </c:pt>
                <c:pt idx="2">
                  <c:v>Liquid-Liquid Extraction</c:v>
                </c:pt>
                <c:pt idx="3">
                  <c:v>Supercritical CO2 Extraction</c:v>
                </c:pt>
              </c:strCache>
            </c:strRef>
          </c:cat>
          <c:val>
            <c:numRef>
              <c:f>ExpBase!$I$1411:$L$1411</c:f>
              <c:numCache>
                <c:formatCode>0.00</c:formatCode>
                <c:ptCount val="4"/>
                <c:pt idx="1">
                  <c:v>0.72087407392078895</c:v>
                </c:pt>
                <c:pt idx="3" formatCode="_(* #,##0.00_);_(* \(#,##0.00\);_(* &quot;-&quot;??_);_(@_)">
                  <c:v>66.657427272461277</c:v>
                </c:pt>
              </c:numCache>
            </c:numRef>
          </c:val>
          <c:extLst>
            <c:ext xmlns:c16="http://schemas.microsoft.com/office/drawing/2014/chart" uri="{C3380CC4-5D6E-409C-BE32-E72D297353CC}">
              <c16:uniqueId val="{00000011-C0B3-45BF-B072-61CA98921EAB}"/>
            </c:ext>
          </c:extLst>
        </c:ser>
        <c:dLbls>
          <c:showLegendKey val="0"/>
          <c:showVal val="0"/>
          <c:showCatName val="0"/>
          <c:showSerName val="0"/>
          <c:showPercent val="0"/>
          <c:showBubbleSize val="0"/>
        </c:dLbls>
        <c:gapWidth val="32"/>
        <c:overlap val="100"/>
        <c:axId val="382909968"/>
        <c:axId val="382909008"/>
      </c:barChart>
      <c:barChart>
        <c:barDir val="col"/>
        <c:grouping val="stacked"/>
        <c:varyColors val="0"/>
        <c:ser>
          <c:idx val="18"/>
          <c:order val="18"/>
          <c:tx>
            <c:strRef>
              <c:f>ExpBase!$H$1412</c:f>
              <c:strCache>
                <c:ptCount val="1"/>
                <c:pt idx="0">
                  <c:v>Total Flow Rate</c:v>
                </c:pt>
              </c:strCache>
            </c:strRef>
          </c:tx>
          <c:spPr>
            <a:solidFill>
              <a:schemeClr val="tx1">
                <a:alpha val="35000"/>
              </a:schemeClr>
            </a:solidFill>
            <a:ln>
              <a:noFill/>
            </a:ln>
            <a:effectLst/>
          </c:spPr>
          <c:invertIfNegative val="0"/>
          <c:cat>
            <c:strRef>
              <c:f>ExpBase!$I$1393:$L$1393</c:f>
              <c:strCache>
                <c:ptCount val="4"/>
                <c:pt idx="0">
                  <c:v>Electrodialysis Acid Stream</c:v>
                </c:pt>
                <c:pt idx="1">
                  <c:v>Electrodialysis Digestate Stream</c:v>
                </c:pt>
                <c:pt idx="2">
                  <c:v>Liquid-Liquid Extraction</c:v>
                </c:pt>
                <c:pt idx="3">
                  <c:v>Supercritical CO2 Extraction</c:v>
                </c:pt>
              </c:strCache>
            </c:strRef>
          </c:cat>
          <c:val>
            <c:numRef>
              <c:f>ExpBase!$I$1412:$L$1412</c:f>
              <c:numCache>
                <c:formatCode>_(* #,##0.00_);_(* \(#,##0.00\);_(* "-"??_);_(@_)</c:formatCode>
                <c:ptCount val="4"/>
                <c:pt idx="0">
                  <c:v>18.402602611547159</c:v>
                </c:pt>
                <c:pt idx="1">
                  <c:v>96.177095069124391</c:v>
                </c:pt>
                <c:pt idx="2">
                  <c:v>0</c:v>
                </c:pt>
                <c:pt idx="3">
                  <c:v>0.63603803999585651</c:v>
                </c:pt>
              </c:numCache>
            </c:numRef>
          </c:val>
          <c:extLst>
            <c:ext xmlns:c16="http://schemas.microsoft.com/office/drawing/2014/chart" uri="{C3380CC4-5D6E-409C-BE32-E72D297353CC}">
              <c16:uniqueId val="{00000012-C0B3-45BF-B072-61CA98921EAB}"/>
            </c:ext>
          </c:extLst>
        </c:ser>
        <c:ser>
          <c:idx val="19"/>
          <c:order val="19"/>
          <c:tx>
            <c:strRef>
              <c:f>ExpBase!$H$1413</c:f>
              <c:strCache>
                <c:ptCount val="1"/>
                <c:pt idx="0">
                  <c:v>VFAs in Flow</c:v>
                </c:pt>
              </c:strCache>
            </c:strRef>
          </c:tx>
          <c:spPr>
            <a:solidFill>
              <a:srgbClr val="FF00FF"/>
            </a:solidFill>
            <a:ln>
              <a:noFill/>
            </a:ln>
            <a:effectLst/>
          </c:spPr>
          <c:invertIfNegative val="0"/>
          <c:dLbls>
            <c:dLbl>
              <c:idx val="0"/>
              <c:tx>
                <c:rich>
                  <a:bodyPr/>
                  <a:lstStyle/>
                  <a:p>
                    <a:fld id="{EB4511F5-0A73-C847-A860-561D70419347}"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C0B3-45BF-B072-61CA98921EAB}"/>
                </c:ext>
              </c:extLst>
            </c:dLbl>
            <c:dLbl>
              <c:idx val="1"/>
              <c:layout>
                <c:manualLayout>
                  <c:x val="-6.9591925665361179E-17"/>
                  <c:y val="0.10920177623532569"/>
                </c:manualLayout>
              </c:layout>
              <c:tx>
                <c:rich>
                  <a:bodyPr/>
                  <a:lstStyle/>
                  <a:p>
                    <a:fld id="{DE81D73A-5A85-3848-B46D-B976BB5FC1C1}"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C0B3-45BF-B072-61CA98921EAB}"/>
                </c:ext>
              </c:extLst>
            </c:dLbl>
            <c:dLbl>
              <c:idx val="2"/>
              <c:tx>
                <c:rich>
                  <a:bodyPr/>
                  <a:lstStyle/>
                  <a:p>
                    <a:fld id="{6913A68E-B6D7-2343-A668-147159DEEE0C}"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C0B3-45BF-B072-61CA98921EAB}"/>
                </c:ext>
              </c:extLst>
            </c:dLbl>
            <c:dLbl>
              <c:idx val="3"/>
              <c:tx>
                <c:rich>
                  <a:bodyPr/>
                  <a:lstStyle/>
                  <a:p>
                    <a:fld id="{10A01A05-171F-C44A-BC66-9452BAB04E2C}"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C0B3-45BF-B072-61CA98921EAB}"/>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00FF"/>
                    </a:solidFill>
                    <a:latin typeface="Arial Nova Cond" panose="020B0506020202020204" pitchFamily="34" charset="0"/>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ExpBase!$I$1393:$L$1393</c:f>
              <c:strCache>
                <c:ptCount val="4"/>
                <c:pt idx="0">
                  <c:v>Electrodialysis Acid Stream</c:v>
                </c:pt>
                <c:pt idx="1">
                  <c:v>Electrodialysis Digestate Stream</c:v>
                </c:pt>
                <c:pt idx="2">
                  <c:v>Liquid-Liquid Extraction</c:v>
                </c:pt>
                <c:pt idx="3">
                  <c:v>Supercritical CO2 Extraction</c:v>
                </c:pt>
              </c:strCache>
            </c:strRef>
          </c:cat>
          <c:val>
            <c:numRef>
              <c:f>ExpBase!$I$1413:$L$1413</c:f>
              <c:numCache>
                <c:formatCode>_(* #,##0.00_);_(* \(#,##0.00\);_(* "-"??_);_(@_)</c:formatCode>
                <c:ptCount val="4"/>
                <c:pt idx="0" formatCode="0.00">
                  <c:v>0.83495118304328364</c:v>
                </c:pt>
                <c:pt idx="1">
                  <c:v>5.4970591072021208E-3</c:v>
                </c:pt>
                <c:pt idx="2">
                  <c:v>0.74938534942185564</c:v>
                </c:pt>
                <c:pt idx="3" formatCode="0.00">
                  <c:v>0.15935770525414283</c:v>
                </c:pt>
              </c:numCache>
            </c:numRef>
          </c:val>
          <c:extLst>
            <c:ext xmlns:c15="http://schemas.microsoft.com/office/drawing/2012/chart" uri="{02D57815-91ED-43cb-92C2-25804820EDAC}">
              <c15:datalabelsRange>
                <c15:f>ExpBase!$I$1415:$L$1415</c15:f>
                <c15:dlblRangeCache>
                  <c:ptCount val="4"/>
                  <c:pt idx="0">
                    <c:v>4.54%</c:v>
                  </c:pt>
                  <c:pt idx="1">
                    <c:v>0.006%</c:v>
                  </c:pt>
                  <c:pt idx="2">
                    <c:v>100%</c:v>
                  </c:pt>
                  <c:pt idx="3">
                    <c:v>25.1%</c:v>
                  </c:pt>
                </c15:dlblRangeCache>
              </c15:datalabelsRange>
            </c:ext>
            <c:ext xmlns:c16="http://schemas.microsoft.com/office/drawing/2014/chart" uri="{C3380CC4-5D6E-409C-BE32-E72D297353CC}">
              <c16:uniqueId val="{00000013-C0B3-45BF-B072-61CA98921EAB}"/>
            </c:ext>
          </c:extLst>
        </c:ser>
        <c:ser>
          <c:idx val="20"/>
          <c:order val="20"/>
          <c:tx>
            <c:strRef>
              <c:f>ExpBase!$H$1414</c:f>
              <c:strCache>
                <c:ptCount val="1"/>
                <c:pt idx="0">
                  <c:v>Alcohols in Flow</c:v>
                </c:pt>
              </c:strCache>
            </c:strRef>
          </c:tx>
          <c:spPr>
            <a:solidFill>
              <a:srgbClr val="66FFFF">
                <a:alpha val="58000"/>
              </a:srgbClr>
            </a:solidFill>
            <a:ln>
              <a:noFill/>
            </a:ln>
            <a:effectLst/>
          </c:spPr>
          <c:invertIfNegative val="0"/>
          <c:dLbls>
            <c:dLbl>
              <c:idx val="0"/>
              <c:tx>
                <c:rich>
                  <a:bodyPr/>
                  <a:lstStyle/>
                  <a:p>
                    <a:endParaRPr lang="en-US"/>
                  </a:p>
                </c:rich>
              </c:tx>
              <c:dLblPos val="in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C0B3-45BF-B072-61CA98921EAB}"/>
                </c:ext>
              </c:extLst>
            </c:dLbl>
            <c:dLbl>
              <c:idx val="1"/>
              <c:layout>
                <c:manualLayout>
                  <c:x val="-6.9591925665361179E-17"/>
                  <c:y val="3.7390782833444484E-2"/>
                </c:manualLayout>
              </c:layout>
              <c:tx>
                <c:rich>
                  <a:bodyPr/>
                  <a:lstStyle/>
                  <a:p>
                    <a:fld id="{9DAA94A3-B438-794F-B053-E779E5A21CE8}"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C0B3-45BF-B072-61CA98921EAB}"/>
                </c:ext>
              </c:extLst>
            </c:dLbl>
            <c:dLbl>
              <c:idx val="2"/>
              <c:tx>
                <c:rich>
                  <a:bodyPr/>
                  <a:lstStyle/>
                  <a:p>
                    <a:endParaRPr lang="en-US"/>
                  </a:p>
                </c:rich>
              </c:tx>
              <c:dLblPos val="in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C0B3-45BF-B072-61CA98921EAB}"/>
                </c:ext>
              </c:extLst>
            </c:dLbl>
            <c:dLbl>
              <c:idx val="3"/>
              <c:layout>
                <c:manualLayout>
                  <c:x val="0"/>
                  <c:y val="-9.7908559429609784E-2"/>
                </c:manualLayout>
              </c:layout>
              <c:tx>
                <c:rich>
                  <a:bodyPr/>
                  <a:lstStyle/>
                  <a:p>
                    <a:fld id="{ADC4B123-594F-9649-9F6E-EF44EA133652}"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C0B3-45BF-B072-61CA98921EAB}"/>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66FFFF"/>
                    </a:solidFill>
                    <a:latin typeface="Arial Nova Cond" panose="020B0506020202020204" pitchFamily="34" charset="0"/>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noFill/>
                      <a:round/>
                    </a:ln>
                    <a:effectLst/>
                  </c:spPr>
                </c15:leaderLines>
              </c:ext>
            </c:extLst>
          </c:dLbls>
          <c:cat>
            <c:strRef>
              <c:f>ExpBase!$I$1393:$L$1393</c:f>
              <c:strCache>
                <c:ptCount val="4"/>
                <c:pt idx="0">
                  <c:v>Electrodialysis Acid Stream</c:v>
                </c:pt>
                <c:pt idx="1">
                  <c:v>Electrodialysis Digestate Stream</c:v>
                </c:pt>
                <c:pt idx="2">
                  <c:v>Liquid-Liquid Extraction</c:v>
                </c:pt>
                <c:pt idx="3">
                  <c:v>Supercritical CO2 Extraction</c:v>
                </c:pt>
              </c:strCache>
            </c:strRef>
          </c:cat>
          <c:val>
            <c:numRef>
              <c:f>ExpBase!$I$1414:$L$1414</c:f>
              <c:numCache>
                <c:formatCode>_(* #,##0.00_);_(* \(#,##0.00\);_(* "-"??_);_(@_)</c:formatCode>
                <c:ptCount val="4"/>
                <c:pt idx="1">
                  <c:v>5.176844720634878E-3</c:v>
                </c:pt>
                <c:pt idx="3" formatCode="0.00">
                  <c:v>0.24538393267007624</c:v>
                </c:pt>
              </c:numCache>
            </c:numRef>
          </c:val>
          <c:extLst>
            <c:ext xmlns:c15="http://schemas.microsoft.com/office/drawing/2012/chart" uri="{02D57815-91ED-43cb-92C2-25804820EDAC}">
              <c15:datalabelsRange>
                <c15:f>ExpBase!$I$1416:$L$1416</c15:f>
                <c15:dlblRangeCache>
                  <c:ptCount val="4"/>
                  <c:pt idx="0">
                    <c:v>0%</c:v>
                  </c:pt>
                  <c:pt idx="1">
                    <c:v>0.005%</c:v>
                  </c:pt>
                  <c:pt idx="2">
                    <c:v>0%</c:v>
                  </c:pt>
                  <c:pt idx="3">
                    <c:v>38.6%</c:v>
                  </c:pt>
                </c15:dlblRangeCache>
              </c15:datalabelsRange>
            </c:ext>
            <c:ext xmlns:c16="http://schemas.microsoft.com/office/drawing/2014/chart" uri="{C3380CC4-5D6E-409C-BE32-E72D297353CC}">
              <c16:uniqueId val="{00000014-C0B3-45BF-B072-61CA98921EAB}"/>
            </c:ext>
          </c:extLst>
        </c:ser>
        <c:ser>
          <c:idx val="21"/>
          <c:order val="21"/>
          <c:tx>
            <c:strRef>
              <c:f>ExpBase!$H$1415</c:f>
              <c:strCache>
                <c:ptCount val="1"/>
                <c:pt idx="0">
                  <c:v>v:v% VFAs</c:v>
                </c:pt>
              </c:strCache>
            </c:strRef>
          </c:tx>
          <c:spPr>
            <a:solidFill>
              <a:srgbClr val="FF00FF"/>
            </a:solidFill>
            <a:ln w="22225">
              <a:solidFill>
                <a:schemeClr val="tx1"/>
              </a:solidFill>
            </a:ln>
            <a:effectLst/>
          </c:spPr>
          <c:invertIfNegative val="0"/>
          <c:val>
            <c:numRef>
              <c:f>ExpBase!$I$1417:$L$1417</c:f>
              <c:numCache>
                <c:formatCode>General</c:formatCode>
                <c:ptCount val="4"/>
              </c:numCache>
            </c:numRef>
          </c:val>
          <c:extLst>
            <c:ext xmlns:c16="http://schemas.microsoft.com/office/drawing/2014/chart" uri="{C3380CC4-5D6E-409C-BE32-E72D297353CC}">
              <c16:uniqueId val="{00000015-C0B3-45BF-B072-61CA98921EAB}"/>
            </c:ext>
          </c:extLst>
        </c:ser>
        <c:ser>
          <c:idx val="22"/>
          <c:order val="22"/>
          <c:tx>
            <c:strRef>
              <c:f>ExpBase!$H$1416</c:f>
              <c:strCache>
                <c:ptCount val="1"/>
                <c:pt idx="0">
                  <c:v>v:v% Alc</c:v>
                </c:pt>
              </c:strCache>
            </c:strRef>
          </c:tx>
          <c:spPr>
            <a:solidFill>
              <a:srgbClr val="66FFFF"/>
            </a:solidFill>
            <a:ln w="22225">
              <a:solidFill>
                <a:schemeClr val="tx1"/>
              </a:solidFill>
            </a:ln>
            <a:effectLst/>
          </c:spPr>
          <c:invertIfNegative val="0"/>
          <c:val>
            <c:numRef>
              <c:f>ExpBase!$I$1418:$L$1418</c:f>
              <c:numCache>
                <c:formatCode>General</c:formatCode>
                <c:ptCount val="4"/>
              </c:numCache>
            </c:numRef>
          </c:val>
          <c:extLst>
            <c:ext xmlns:c16="http://schemas.microsoft.com/office/drawing/2014/chart" uri="{C3380CC4-5D6E-409C-BE32-E72D297353CC}">
              <c16:uniqueId val="{00000016-C0B3-45BF-B072-61CA98921EAB}"/>
            </c:ext>
          </c:extLst>
        </c:ser>
        <c:dLbls>
          <c:showLegendKey val="0"/>
          <c:showVal val="0"/>
          <c:showCatName val="0"/>
          <c:showSerName val="0"/>
          <c:showPercent val="0"/>
          <c:showBubbleSize val="0"/>
        </c:dLbls>
        <c:gapWidth val="333"/>
        <c:overlap val="100"/>
        <c:axId val="382889328"/>
        <c:axId val="382911408"/>
      </c:barChart>
      <c:catAx>
        <c:axId val="38290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Nova Cond" panose="020B0506020202020204" pitchFamily="34" charset="0"/>
                <a:ea typeface="+mn-ea"/>
                <a:cs typeface="+mn-cs"/>
              </a:defRPr>
            </a:pPr>
            <a:endParaRPr lang="en-US"/>
          </a:p>
        </c:txPr>
        <c:crossAx val="382909008"/>
        <c:crosses val="autoZero"/>
        <c:auto val="1"/>
        <c:lblAlgn val="ctr"/>
        <c:lblOffset val="100"/>
        <c:noMultiLvlLbl val="0"/>
      </c:catAx>
      <c:valAx>
        <c:axId val="382909008"/>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t>Species Concentration </a:t>
                </a:r>
                <a:r>
                  <a:rPr lang="en-US" b="0"/>
                  <a:t>[g/L]</a:t>
                </a:r>
              </a:p>
            </c:rich>
          </c:tx>
          <c:layout>
            <c:manualLayout>
              <c:xMode val="edge"/>
              <c:yMode val="edge"/>
              <c:x val="1.7888200157535103E-2"/>
              <c:y val="0.20375341293960356"/>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0"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crossAx val="382909968"/>
        <c:crosses val="autoZero"/>
        <c:crossBetween val="between"/>
      </c:valAx>
      <c:valAx>
        <c:axId val="382911408"/>
        <c:scaling>
          <c:orientation val="minMax"/>
          <c:max val="720"/>
          <c:min val="0"/>
        </c:scaling>
        <c:delete val="0"/>
        <c:axPos val="r"/>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solidFill>
                      <a:sysClr val="windowText" lastClr="000000"/>
                    </a:solidFill>
                  </a:rPr>
                  <a:t>Volumetric Flow Rate </a:t>
                </a:r>
                <a:r>
                  <a:rPr lang="en-US" b="0">
                    <a:solidFill>
                      <a:sysClr val="windowText" lastClr="000000"/>
                    </a:solidFill>
                  </a:rPr>
                  <a:t>[m</a:t>
                </a:r>
                <a:r>
                  <a:rPr lang="en-US" b="0" baseline="30000">
                    <a:solidFill>
                      <a:sysClr val="windowText" lastClr="000000"/>
                    </a:solidFill>
                  </a:rPr>
                  <a:t>3</a:t>
                </a:r>
                <a:r>
                  <a:rPr lang="en-US" b="0">
                    <a:solidFill>
                      <a:sysClr val="windowText" lastClr="000000"/>
                    </a:solidFill>
                  </a:rPr>
                  <a:t>/hr]</a:t>
                </a:r>
              </a:p>
            </c:rich>
          </c:tx>
          <c:layout>
            <c:manualLayout>
              <c:xMode val="edge"/>
              <c:yMode val="edge"/>
              <c:x val="0.9521092347715937"/>
              <c:y val="0.18200735965242765"/>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_(* #,##0_);_(* \(#,##0\);_(* &quot;-&quot;_);_(@_)"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crossAx val="382889328"/>
        <c:crosses val="max"/>
        <c:crossBetween val="between"/>
        <c:majorUnit val="120"/>
      </c:valAx>
      <c:catAx>
        <c:axId val="382889328"/>
        <c:scaling>
          <c:orientation val="minMax"/>
        </c:scaling>
        <c:delete val="1"/>
        <c:axPos val="b"/>
        <c:numFmt formatCode="General" sourceLinked="1"/>
        <c:majorTickMark val="out"/>
        <c:minorTickMark val="none"/>
        <c:tickLblPos val="nextTo"/>
        <c:crossAx val="382911408"/>
        <c:crosses val="autoZero"/>
        <c:auto val="1"/>
        <c:lblAlgn val="ctr"/>
        <c:lblOffset val="100"/>
        <c:noMultiLvlLbl val="0"/>
      </c:catAx>
      <c:spPr>
        <a:noFill/>
        <a:ln w="15875">
          <a:solidFill>
            <a:schemeClr val="tx1"/>
          </a:solidFill>
        </a:ln>
        <a:effectLst/>
      </c:spPr>
    </c:plotArea>
    <c:legend>
      <c:legendPos val="b"/>
      <c:layout>
        <c:manualLayout>
          <c:xMode val="edge"/>
          <c:yMode val="edge"/>
          <c:x val="1.5525804207007535E-2"/>
          <c:y val="0.80890849444673951"/>
          <c:w val="0.97491097764256684"/>
          <c:h val="0.18769545752169314"/>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9050"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600" b="0" i="0" u="none" strike="noStrike" kern="1200" cap="all" spc="0" baseline="0">
                <a:solidFill>
                  <a:sysClr val="windowText" lastClr="000000"/>
                </a:solidFill>
                <a:latin typeface="Arial Nova Cond" panose="020B0506020202020204" pitchFamily="34" charset="0"/>
                <a:ea typeface="+mn-ea"/>
                <a:cs typeface="+mn-cs"/>
              </a:defRPr>
            </a:pPr>
            <a:r>
              <a:rPr lang="en-US" sz="3600" b="1" i="0" u="none" strike="noStrike" kern="1200" cap="all" baseline="0">
                <a:solidFill>
                  <a:sysClr val="windowText" lastClr="000000"/>
                </a:solidFill>
                <a:latin typeface="Arial Nova Cond" panose="020B0506020202020204" pitchFamily="34" charset="0"/>
              </a:rPr>
              <a:t>Pure Ester effluent characterization</a:t>
            </a:r>
          </a:p>
        </c:rich>
      </c:tx>
      <c:layout>
        <c:manualLayout>
          <c:xMode val="edge"/>
          <c:yMode val="edge"/>
          <c:x val="8.0841745174725643E-2"/>
          <c:y val="1.6806229531536421E-2"/>
        </c:manualLayout>
      </c:layout>
      <c:overlay val="0"/>
      <c:spPr>
        <a:noFill/>
        <a:ln>
          <a:noFill/>
        </a:ln>
        <a:effectLst/>
      </c:spPr>
      <c:txPr>
        <a:bodyPr rot="0" spcFirstLastPara="1" vertOverflow="ellipsis" vert="horz" wrap="square" anchor="ctr" anchorCtr="1"/>
        <a:lstStyle/>
        <a:p>
          <a:pPr>
            <a:defRPr sz="3600" b="0" i="0" u="none" strike="noStrike" kern="1200" cap="all"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8.0644127803885607E-2"/>
          <c:y val="0.11042881254390738"/>
          <c:w val="0.85581970976748034"/>
          <c:h val="0.64162443200815389"/>
        </c:manualLayout>
      </c:layout>
      <c:areaChart>
        <c:grouping val="standard"/>
        <c:varyColors val="0"/>
        <c:ser>
          <c:idx val="1"/>
          <c:order val="1"/>
          <c:tx>
            <c:v>C4</c:v>
          </c:tx>
          <c:spPr>
            <a:solidFill>
              <a:srgbClr val="CCFFCC">
                <a:alpha val="49804"/>
              </a:srgbClr>
            </a:solidFill>
            <a:ln>
              <a:noFill/>
            </a:ln>
            <a:effectLst/>
          </c:spPr>
          <c:val>
            <c:numRef>
              <c:f>ExpBase!$C$1951:$C$2007</c:f>
              <c:numCache>
                <c:formatCode>General</c:formatCode>
                <c:ptCount val="57"/>
                <c:pt idx="0">
                  <c:v>4</c:v>
                </c:pt>
                <c:pt idx="1">
                  <c:v>4</c:v>
                </c:pt>
              </c:numCache>
            </c:numRef>
          </c:val>
          <c:extLst>
            <c:ext xmlns:c16="http://schemas.microsoft.com/office/drawing/2014/chart" uri="{C3380CC4-5D6E-409C-BE32-E72D297353CC}">
              <c16:uniqueId val="{00000003-A260-4671-B5A3-E630CD18ACA6}"/>
            </c:ext>
          </c:extLst>
        </c:ser>
        <c:ser>
          <c:idx val="2"/>
          <c:order val="2"/>
          <c:tx>
            <c:v>C5</c:v>
          </c:tx>
          <c:spPr>
            <a:solidFill>
              <a:srgbClr val="DFB5F9">
                <a:alpha val="29000"/>
              </a:srgbClr>
            </a:solidFill>
            <a:ln>
              <a:noFill/>
            </a:ln>
            <a:effectLst/>
          </c:spPr>
          <c:val>
            <c:numRef>
              <c:f>ExpBase!$D$1951:$D$2007</c:f>
              <c:numCache>
                <c:formatCode>General</c:formatCode>
                <c:ptCount val="57"/>
                <c:pt idx="1">
                  <c:v>5</c:v>
                </c:pt>
                <c:pt idx="2">
                  <c:v>5</c:v>
                </c:pt>
                <c:pt idx="3">
                  <c:v>5</c:v>
                </c:pt>
              </c:numCache>
            </c:numRef>
          </c:val>
          <c:extLst>
            <c:ext xmlns:c16="http://schemas.microsoft.com/office/drawing/2014/chart" uri="{C3380CC4-5D6E-409C-BE32-E72D297353CC}">
              <c16:uniqueId val="{00000004-A260-4671-B5A3-E630CD18ACA6}"/>
            </c:ext>
          </c:extLst>
        </c:ser>
        <c:ser>
          <c:idx val="3"/>
          <c:order val="3"/>
          <c:tx>
            <c:v>C6</c:v>
          </c:tx>
          <c:spPr>
            <a:solidFill>
              <a:srgbClr val="99FF99">
                <a:alpha val="49804"/>
              </a:srgbClr>
            </a:solidFill>
            <a:ln>
              <a:noFill/>
            </a:ln>
            <a:effectLst/>
          </c:spPr>
          <c:val>
            <c:numRef>
              <c:f>ExpBase!$E$1951:$E$2007</c:f>
              <c:numCache>
                <c:formatCode>General</c:formatCode>
                <c:ptCount val="57"/>
                <c:pt idx="3">
                  <c:v>6</c:v>
                </c:pt>
                <c:pt idx="4">
                  <c:v>6</c:v>
                </c:pt>
                <c:pt idx="5">
                  <c:v>6</c:v>
                </c:pt>
                <c:pt idx="6">
                  <c:v>6</c:v>
                </c:pt>
                <c:pt idx="7">
                  <c:v>6</c:v>
                </c:pt>
                <c:pt idx="8">
                  <c:v>6</c:v>
                </c:pt>
              </c:numCache>
            </c:numRef>
          </c:val>
          <c:extLst>
            <c:ext xmlns:c16="http://schemas.microsoft.com/office/drawing/2014/chart" uri="{C3380CC4-5D6E-409C-BE32-E72D297353CC}">
              <c16:uniqueId val="{00000005-A260-4671-B5A3-E630CD18ACA6}"/>
            </c:ext>
          </c:extLst>
        </c:ser>
        <c:ser>
          <c:idx val="4"/>
          <c:order val="4"/>
          <c:tx>
            <c:v>C7</c:v>
          </c:tx>
          <c:spPr>
            <a:solidFill>
              <a:srgbClr val="06AFC6">
                <a:alpha val="21000"/>
              </a:srgbClr>
            </a:solidFill>
            <a:ln>
              <a:noFill/>
            </a:ln>
            <a:effectLst/>
          </c:spPr>
          <c:val>
            <c:numRef>
              <c:f>ExpBase!$F$1951:$F$2007</c:f>
              <c:numCache>
                <c:formatCode>General</c:formatCode>
                <c:ptCount val="57"/>
                <c:pt idx="8">
                  <c:v>7</c:v>
                </c:pt>
                <c:pt idx="9">
                  <c:v>7</c:v>
                </c:pt>
                <c:pt idx="10">
                  <c:v>7</c:v>
                </c:pt>
                <c:pt idx="11">
                  <c:v>7</c:v>
                </c:pt>
                <c:pt idx="12">
                  <c:v>7</c:v>
                </c:pt>
                <c:pt idx="13">
                  <c:v>7</c:v>
                </c:pt>
                <c:pt idx="14">
                  <c:v>7</c:v>
                </c:pt>
                <c:pt idx="15">
                  <c:v>7</c:v>
                </c:pt>
                <c:pt idx="16">
                  <c:v>7</c:v>
                </c:pt>
              </c:numCache>
            </c:numRef>
          </c:val>
          <c:extLst>
            <c:ext xmlns:c16="http://schemas.microsoft.com/office/drawing/2014/chart" uri="{C3380CC4-5D6E-409C-BE32-E72D297353CC}">
              <c16:uniqueId val="{00000006-A260-4671-B5A3-E630CD18ACA6}"/>
            </c:ext>
          </c:extLst>
        </c:ser>
        <c:ser>
          <c:idx val="5"/>
          <c:order val="5"/>
          <c:tx>
            <c:v>C8</c:v>
          </c:tx>
          <c:spPr>
            <a:solidFill>
              <a:srgbClr val="CCFF66">
                <a:alpha val="49804"/>
              </a:srgbClr>
            </a:solidFill>
            <a:ln>
              <a:noFill/>
            </a:ln>
            <a:effectLst/>
          </c:spPr>
          <c:val>
            <c:numRef>
              <c:f>ExpBase!$G$1951:$G$2007</c:f>
              <c:numCache>
                <c:formatCode>General</c:formatCode>
                <c:ptCount val="57"/>
                <c:pt idx="16">
                  <c:v>8</c:v>
                </c:pt>
                <c:pt idx="17">
                  <c:v>8</c:v>
                </c:pt>
                <c:pt idx="18">
                  <c:v>8</c:v>
                </c:pt>
                <c:pt idx="19">
                  <c:v>8</c:v>
                </c:pt>
                <c:pt idx="20">
                  <c:v>8</c:v>
                </c:pt>
                <c:pt idx="21">
                  <c:v>8</c:v>
                </c:pt>
                <c:pt idx="22">
                  <c:v>8</c:v>
                </c:pt>
                <c:pt idx="23">
                  <c:v>8</c:v>
                </c:pt>
                <c:pt idx="24">
                  <c:v>8</c:v>
                </c:pt>
                <c:pt idx="25">
                  <c:v>8</c:v>
                </c:pt>
                <c:pt idx="26">
                  <c:v>8</c:v>
                </c:pt>
              </c:numCache>
            </c:numRef>
          </c:val>
          <c:extLst>
            <c:ext xmlns:c16="http://schemas.microsoft.com/office/drawing/2014/chart" uri="{C3380CC4-5D6E-409C-BE32-E72D297353CC}">
              <c16:uniqueId val="{00000007-A260-4671-B5A3-E630CD18ACA6}"/>
            </c:ext>
          </c:extLst>
        </c:ser>
        <c:ser>
          <c:idx val="6"/>
          <c:order val="6"/>
          <c:tx>
            <c:v>C9</c:v>
          </c:tx>
          <c:spPr>
            <a:solidFill>
              <a:srgbClr val="939DE5">
                <a:alpha val="29000"/>
              </a:srgbClr>
            </a:solidFill>
            <a:ln>
              <a:noFill/>
            </a:ln>
            <a:effectLst/>
          </c:spPr>
          <c:val>
            <c:numRef>
              <c:f>ExpBase!$H$1951:$H$2007</c:f>
              <c:numCache>
                <c:formatCode>General</c:formatCode>
                <c:ptCount val="57"/>
                <c:pt idx="26">
                  <c:v>9</c:v>
                </c:pt>
                <c:pt idx="27">
                  <c:v>9</c:v>
                </c:pt>
                <c:pt idx="28">
                  <c:v>9</c:v>
                </c:pt>
                <c:pt idx="29">
                  <c:v>9</c:v>
                </c:pt>
                <c:pt idx="30">
                  <c:v>9</c:v>
                </c:pt>
                <c:pt idx="31">
                  <c:v>9</c:v>
                </c:pt>
                <c:pt idx="32">
                  <c:v>9</c:v>
                </c:pt>
                <c:pt idx="33">
                  <c:v>9</c:v>
                </c:pt>
                <c:pt idx="34">
                  <c:v>9</c:v>
                </c:pt>
                <c:pt idx="35">
                  <c:v>9</c:v>
                </c:pt>
                <c:pt idx="36">
                  <c:v>9</c:v>
                </c:pt>
                <c:pt idx="37">
                  <c:v>9</c:v>
                </c:pt>
              </c:numCache>
            </c:numRef>
          </c:val>
          <c:extLst>
            <c:ext xmlns:c16="http://schemas.microsoft.com/office/drawing/2014/chart" uri="{C3380CC4-5D6E-409C-BE32-E72D297353CC}">
              <c16:uniqueId val="{00000008-A260-4671-B5A3-E630CD18ACA6}"/>
            </c:ext>
          </c:extLst>
        </c:ser>
        <c:ser>
          <c:idx val="7"/>
          <c:order val="7"/>
          <c:tx>
            <c:v>C10</c:v>
          </c:tx>
          <c:spPr>
            <a:solidFill>
              <a:srgbClr val="99FF99">
                <a:alpha val="49804"/>
              </a:srgbClr>
            </a:solidFill>
            <a:ln>
              <a:noFill/>
            </a:ln>
            <a:effectLst/>
          </c:spPr>
          <c:val>
            <c:numRef>
              <c:f>ExpBase!$I$1951:$I$2007</c:f>
              <c:numCache>
                <c:formatCode>General</c:formatCode>
                <c:ptCount val="57"/>
                <c:pt idx="37">
                  <c:v>10</c:v>
                </c:pt>
                <c:pt idx="38">
                  <c:v>10</c:v>
                </c:pt>
                <c:pt idx="39">
                  <c:v>10</c:v>
                </c:pt>
                <c:pt idx="40">
                  <c:v>10</c:v>
                </c:pt>
                <c:pt idx="41">
                  <c:v>10</c:v>
                </c:pt>
                <c:pt idx="42">
                  <c:v>10</c:v>
                </c:pt>
                <c:pt idx="43">
                  <c:v>10</c:v>
                </c:pt>
                <c:pt idx="44">
                  <c:v>10</c:v>
                </c:pt>
                <c:pt idx="45">
                  <c:v>10</c:v>
                </c:pt>
                <c:pt idx="46">
                  <c:v>10</c:v>
                </c:pt>
              </c:numCache>
            </c:numRef>
          </c:val>
          <c:extLst>
            <c:ext xmlns:c16="http://schemas.microsoft.com/office/drawing/2014/chart" uri="{C3380CC4-5D6E-409C-BE32-E72D297353CC}">
              <c16:uniqueId val="{00000009-A260-4671-B5A3-E630CD18ACA6}"/>
            </c:ext>
          </c:extLst>
        </c:ser>
        <c:ser>
          <c:idx val="8"/>
          <c:order val="8"/>
          <c:tx>
            <c:v>C11</c:v>
          </c:tx>
          <c:spPr>
            <a:solidFill>
              <a:srgbClr val="DDD80D">
                <a:alpha val="23000"/>
              </a:srgbClr>
            </a:solidFill>
            <a:ln>
              <a:noFill/>
            </a:ln>
            <a:effectLst/>
          </c:spPr>
          <c:val>
            <c:numRef>
              <c:f>ExpBase!$J$1951:$J$2007</c:f>
              <c:numCache>
                <c:formatCode>General</c:formatCode>
                <c:ptCount val="57"/>
                <c:pt idx="46">
                  <c:v>11</c:v>
                </c:pt>
                <c:pt idx="47">
                  <c:v>11</c:v>
                </c:pt>
                <c:pt idx="48">
                  <c:v>11</c:v>
                </c:pt>
                <c:pt idx="49">
                  <c:v>11</c:v>
                </c:pt>
                <c:pt idx="50">
                  <c:v>11</c:v>
                </c:pt>
                <c:pt idx="51">
                  <c:v>11</c:v>
                </c:pt>
                <c:pt idx="52">
                  <c:v>11</c:v>
                </c:pt>
              </c:numCache>
            </c:numRef>
          </c:val>
          <c:extLst>
            <c:ext xmlns:c16="http://schemas.microsoft.com/office/drawing/2014/chart" uri="{C3380CC4-5D6E-409C-BE32-E72D297353CC}">
              <c16:uniqueId val="{0000000A-A260-4671-B5A3-E630CD18ACA6}"/>
            </c:ext>
          </c:extLst>
        </c:ser>
        <c:ser>
          <c:idx val="9"/>
          <c:order val="9"/>
          <c:tx>
            <c:v>C12</c:v>
          </c:tx>
          <c:spPr>
            <a:solidFill>
              <a:srgbClr val="66FFCC">
                <a:alpha val="49804"/>
              </a:srgbClr>
            </a:solidFill>
            <a:ln>
              <a:noFill/>
            </a:ln>
            <a:effectLst/>
          </c:spPr>
          <c:val>
            <c:numRef>
              <c:f>ExpBase!$K$1951:$K$2007</c:f>
              <c:numCache>
                <c:formatCode>General</c:formatCode>
                <c:ptCount val="57"/>
                <c:pt idx="52">
                  <c:v>12</c:v>
                </c:pt>
                <c:pt idx="53">
                  <c:v>12</c:v>
                </c:pt>
                <c:pt idx="54">
                  <c:v>12</c:v>
                </c:pt>
                <c:pt idx="55">
                  <c:v>12</c:v>
                </c:pt>
              </c:numCache>
            </c:numRef>
          </c:val>
          <c:extLst>
            <c:ext xmlns:c16="http://schemas.microsoft.com/office/drawing/2014/chart" uri="{C3380CC4-5D6E-409C-BE32-E72D297353CC}">
              <c16:uniqueId val="{0000000B-A260-4671-B5A3-E630CD18ACA6}"/>
            </c:ext>
          </c:extLst>
        </c:ser>
        <c:ser>
          <c:idx val="10"/>
          <c:order val="10"/>
          <c:tx>
            <c:v>C13</c:v>
          </c:tx>
          <c:spPr>
            <a:solidFill>
              <a:srgbClr val="CCFF33">
                <a:alpha val="49804"/>
              </a:srgbClr>
            </a:solidFill>
            <a:ln>
              <a:noFill/>
            </a:ln>
            <a:effectLst/>
          </c:spPr>
          <c:val>
            <c:numRef>
              <c:f>ExpBase!$L$1950:$L$2007</c:f>
              <c:numCache>
                <c:formatCode>General</c:formatCode>
                <c:ptCount val="58"/>
                <c:pt idx="55">
                  <c:v>13</c:v>
                </c:pt>
                <c:pt idx="56">
                  <c:v>13</c:v>
                </c:pt>
                <c:pt idx="57">
                  <c:v>13</c:v>
                </c:pt>
              </c:numCache>
            </c:numRef>
          </c:val>
          <c:extLst>
            <c:ext xmlns:c16="http://schemas.microsoft.com/office/drawing/2014/chart" uri="{C3380CC4-5D6E-409C-BE32-E72D297353CC}">
              <c16:uniqueId val="{0000000C-A260-4671-B5A3-E630CD18ACA6}"/>
            </c:ext>
          </c:extLst>
        </c:ser>
        <c:dLbls>
          <c:showLegendKey val="0"/>
          <c:showVal val="0"/>
          <c:showCatName val="0"/>
          <c:showSerName val="0"/>
          <c:showPercent val="0"/>
          <c:showBubbleSize val="0"/>
        </c:dLbls>
        <c:axId val="1106482016"/>
        <c:axId val="1106489216"/>
      </c:areaChart>
      <c:barChart>
        <c:barDir val="col"/>
        <c:grouping val="clustered"/>
        <c:varyColors val="0"/>
        <c:ser>
          <c:idx val="0"/>
          <c:order val="0"/>
          <c:tx>
            <c:strRef>
              <c:f>ExpBase!$B$1950</c:f>
              <c:strCache>
                <c:ptCount val="1"/>
                <c:pt idx="0">
                  <c:v>Flow Rate</c:v>
                </c:pt>
              </c:strCache>
            </c:strRef>
          </c:tx>
          <c:spPr>
            <a:solidFill>
              <a:srgbClr val="6666FF"/>
            </a:solidFill>
            <a:ln>
              <a:noFill/>
            </a:ln>
            <a:effectLst/>
          </c:spPr>
          <c:invertIfNegative val="0"/>
          <c:cat>
            <c:strRef>
              <c:f>ExpBase!$A$1951:$A$2008</c:f>
              <c:strCache>
                <c:ptCount val="57"/>
                <c:pt idx="1">
                  <c:v>Ethyl Acetate</c:v>
                </c:pt>
                <c:pt idx="2">
                  <c:v>Propyl Acetate</c:v>
                </c:pt>
                <c:pt idx="3">
                  <c:v>Ethyl Propionate</c:v>
                </c:pt>
                <c:pt idx="4">
                  <c:v>Butyl Acetate</c:v>
                </c:pt>
                <c:pt idx="5">
                  <c:v>Propyl Propionate</c:v>
                </c:pt>
                <c:pt idx="6">
                  <c:v>Ethyl Butyrate</c:v>
                </c:pt>
                <c:pt idx="7">
                  <c:v>Isobutyl Acetate</c:v>
                </c:pt>
                <c:pt idx="8">
                  <c:v>Ethyl Isobutyrate</c:v>
                </c:pt>
                <c:pt idx="9">
                  <c:v>Ethyl valerate</c:v>
                </c:pt>
                <c:pt idx="10">
                  <c:v>Ethyl Isovalerate</c:v>
                </c:pt>
                <c:pt idx="11">
                  <c:v>Propyl Butyrate</c:v>
                </c:pt>
                <c:pt idx="12">
                  <c:v>Propyl Isobutyrate</c:v>
                </c:pt>
                <c:pt idx="13">
                  <c:v>Butyl Propionate</c:v>
                </c:pt>
                <c:pt idx="14">
                  <c:v>Pentyl Acetate</c:v>
                </c:pt>
                <c:pt idx="15">
                  <c:v>Isopentyl Acetate</c:v>
                </c:pt>
                <c:pt idx="16">
                  <c:v>Isobutyl Propionate</c:v>
                </c:pt>
                <c:pt idx="17">
                  <c:v>Hexyl Acetate</c:v>
                </c:pt>
                <c:pt idx="18">
                  <c:v>Pentyl Propionate</c:v>
                </c:pt>
                <c:pt idx="19">
                  <c:v>Butyl Butyrate</c:v>
                </c:pt>
                <c:pt idx="20">
                  <c:v>Butyl Isobutyrate</c:v>
                </c:pt>
                <c:pt idx="21">
                  <c:v>Isobutyl Isobutyrate</c:v>
                </c:pt>
                <c:pt idx="22">
                  <c:v>Isobutyl Butyrate</c:v>
                </c:pt>
                <c:pt idx="23">
                  <c:v>Propyl Valerate</c:v>
                </c:pt>
                <c:pt idx="24">
                  <c:v>Propyl Isovalerate</c:v>
                </c:pt>
                <c:pt idx="25">
                  <c:v>Isopentyl Propionate</c:v>
                </c:pt>
                <c:pt idx="26">
                  <c:v>Ethyl Caproate</c:v>
                </c:pt>
                <c:pt idx="27">
                  <c:v>Hexyl Propionate</c:v>
                </c:pt>
                <c:pt idx="28">
                  <c:v>Pentyl Butyrate</c:v>
                </c:pt>
                <c:pt idx="29">
                  <c:v>Isopentyl Butyrate</c:v>
                </c:pt>
                <c:pt idx="30">
                  <c:v>Pentyl Isobutyrate</c:v>
                </c:pt>
                <c:pt idx="31">
                  <c:v>Isopentyl Isobutyrate</c:v>
                </c:pt>
                <c:pt idx="32">
                  <c:v>Butyl Valerate</c:v>
                </c:pt>
                <c:pt idx="33">
                  <c:v>Isobutyl Valerate</c:v>
                </c:pt>
                <c:pt idx="34">
                  <c:v>Butyl Isovalerate</c:v>
                </c:pt>
                <c:pt idx="35">
                  <c:v>Isobutyl Isovalerate</c:v>
                </c:pt>
                <c:pt idx="36">
                  <c:v>Propyl Caproate</c:v>
                </c:pt>
                <c:pt idx="37">
                  <c:v>Ethyl Heptanoate</c:v>
                </c:pt>
                <c:pt idx="38">
                  <c:v>Hexyl Butyrate</c:v>
                </c:pt>
                <c:pt idx="39">
                  <c:v>Hexyl Isobutyrate</c:v>
                </c:pt>
                <c:pt idx="40">
                  <c:v>Pentyl Valerate</c:v>
                </c:pt>
                <c:pt idx="41">
                  <c:v>Isopentyl Valerate</c:v>
                </c:pt>
                <c:pt idx="42">
                  <c:v>Pentyl Isovalerate</c:v>
                </c:pt>
                <c:pt idx="43">
                  <c:v>Isopentyl Isovalerate</c:v>
                </c:pt>
                <c:pt idx="44">
                  <c:v>Butyl Caproate</c:v>
                </c:pt>
                <c:pt idx="45">
                  <c:v>Isobutyl Caproate</c:v>
                </c:pt>
                <c:pt idx="46">
                  <c:v>Propyl Heptanoate</c:v>
                </c:pt>
                <c:pt idx="47">
                  <c:v>Hexyl Valerate</c:v>
                </c:pt>
                <c:pt idx="48">
                  <c:v>Hexyl Isovalerate</c:v>
                </c:pt>
                <c:pt idx="49">
                  <c:v>Pentyl Caproate</c:v>
                </c:pt>
                <c:pt idx="50">
                  <c:v>Isopentyl Caproate</c:v>
                </c:pt>
                <c:pt idx="51">
                  <c:v>Butyl Heptanoate</c:v>
                </c:pt>
                <c:pt idx="52">
                  <c:v>Isobutyl Heptanoate</c:v>
                </c:pt>
                <c:pt idx="53">
                  <c:v>Hexyl Caproate</c:v>
                </c:pt>
                <c:pt idx="54">
                  <c:v>Pentyl Heptanoate</c:v>
                </c:pt>
                <c:pt idx="55">
                  <c:v>Isopentyl Heptanoate</c:v>
                </c:pt>
                <c:pt idx="56">
                  <c:v>Hexyl Heptanoate</c:v>
                </c:pt>
              </c:strCache>
            </c:strRef>
          </c:cat>
          <c:val>
            <c:numRef>
              <c:f>ExpBase!$B$1951:$B$2008</c:f>
              <c:numCache>
                <c:formatCode>_(* #,##0.00_);_(* \(#,##0.00\);_(* "-"??_);_(@_)</c:formatCode>
                <c:ptCount val="58"/>
                <c:pt idx="1">
                  <c:v>1.3100439196292857</c:v>
                </c:pt>
                <c:pt idx="2">
                  <c:v>0</c:v>
                </c:pt>
                <c:pt idx="3">
                  <c:v>4.8210075242730861</c:v>
                </c:pt>
                <c:pt idx="4">
                  <c:v>1.2251680789163411</c:v>
                </c:pt>
                <c:pt idx="5">
                  <c:v>0</c:v>
                </c:pt>
                <c:pt idx="6">
                  <c:v>11.415889065932015</c:v>
                </c:pt>
                <c:pt idx="7">
                  <c:v>0</c:v>
                </c:pt>
                <c:pt idx="8">
                  <c:v>6.2498677130648232</c:v>
                </c:pt>
                <c:pt idx="9">
                  <c:v>12.061255425780793</c:v>
                </c:pt>
                <c:pt idx="10">
                  <c:v>5.3707140347786959</c:v>
                </c:pt>
                <c:pt idx="11">
                  <c:v>0</c:v>
                </c:pt>
                <c:pt idx="12">
                  <c:v>0</c:v>
                </c:pt>
                <c:pt idx="13">
                  <c:v>4.5229322550929476</c:v>
                </c:pt>
                <c:pt idx="14">
                  <c:v>0.79156336223238799</c:v>
                </c:pt>
                <c:pt idx="15">
                  <c:v>5.001053541606106E-4</c:v>
                </c:pt>
                <c:pt idx="16">
                  <c:v>0</c:v>
                </c:pt>
                <c:pt idx="17">
                  <c:v>1.9400192801273614E-2</c:v>
                </c:pt>
                <c:pt idx="18">
                  <c:v>2.9417340853667278</c:v>
                </c:pt>
                <c:pt idx="19">
                  <c:v>11.921800415447205</c:v>
                </c:pt>
                <c:pt idx="20">
                  <c:v>8.8765530781024289</c:v>
                </c:pt>
                <c:pt idx="21">
                  <c:v>0</c:v>
                </c:pt>
                <c:pt idx="22">
                  <c:v>0</c:v>
                </c:pt>
                <c:pt idx="23">
                  <c:v>0</c:v>
                </c:pt>
                <c:pt idx="24">
                  <c:v>0</c:v>
                </c:pt>
                <c:pt idx="25">
                  <c:v>1.7210824800066044E-3</c:v>
                </c:pt>
                <c:pt idx="26">
                  <c:v>5.2544947870039662</c:v>
                </c:pt>
                <c:pt idx="27">
                  <c:v>6.6130746594024931E-2</c:v>
                </c:pt>
                <c:pt idx="28">
                  <c:v>8.3655012570173479</c:v>
                </c:pt>
                <c:pt idx="29">
                  <c:v>4.1920490832417943E-3</c:v>
                </c:pt>
                <c:pt idx="30">
                  <c:v>7.7879822608912068</c:v>
                </c:pt>
                <c:pt idx="31">
                  <c:v>0.89080146625272771</c:v>
                </c:pt>
                <c:pt idx="32">
                  <c:v>19.702642859346561</c:v>
                </c:pt>
                <c:pt idx="33">
                  <c:v>0</c:v>
                </c:pt>
                <c:pt idx="34">
                  <c:v>13.267234898643958</c:v>
                </c:pt>
                <c:pt idx="35">
                  <c:v>0</c:v>
                </c:pt>
                <c:pt idx="36">
                  <c:v>0</c:v>
                </c:pt>
                <c:pt idx="37">
                  <c:v>0</c:v>
                </c:pt>
                <c:pt idx="38">
                  <c:v>0.15979436590338766</c:v>
                </c:pt>
                <c:pt idx="39">
                  <c:v>7.7850718383141795E-2</c:v>
                </c:pt>
                <c:pt idx="40">
                  <c:v>20.116667383934178</c:v>
                </c:pt>
                <c:pt idx="41">
                  <c:v>-1.3859535309691657E-3</c:v>
                </c:pt>
                <c:pt idx="42">
                  <c:v>20.721767457322663</c:v>
                </c:pt>
                <c:pt idx="43">
                  <c:v>-3.0747435160932993E-2</c:v>
                </c:pt>
                <c:pt idx="44">
                  <c:v>18.753076811262986</c:v>
                </c:pt>
                <c:pt idx="45">
                  <c:v>0</c:v>
                </c:pt>
                <c:pt idx="46">
                  <c:v>0</c:v>
                </c:pt>
                <c:pt idx="47">
                  <c:v>-5.2423111621602708E-2</c:v>
                </c:pt>
                <c:pt idx="48">
                  <c:v>-1.1592302104222572</c:v>
                </c:pt>
                <c:pt idx="49">
                  <c:v>63.583090932759781</c:v>
                </c:pt>
                <c:pt idx="50">
                  <c:v>0</c:v>
                </c:pt>
                <c:pt idx="51">
                  <c:v>0</c:v>
                </c:pt>
                <c:pt idx="52">
                  <c:v>0</c:v>
                </c:pt>
                <c:pt idx="53">
                  <c:v>0</c:v>
                </c:pt>
                <c:pt idx="54">
                  <c:v>0</c:v>
                </c:pt>
                <c:pt idx="55">
                  <c:v>0</c:v>
                </c:pt>
                <c:pt idx="56">
                  <c:v>0</c:v>
                </c:pt>
              </c:numCache>
            </c:numRef>
          </c:val>
          <c:extLst>
            <c:ext xmlns:c16="http://schemas.microsoft.com/office/drawing/2014/chart" uri="{C3380CC4-5D6E-409C-BE32-E72D297353CC}">
              <c16:uniqueId val="{00000000-A260-4671-B5A3-E630CD18ACA6}"/>
            </c:ext>
          </c:extLst>
        </c:ser>
        <c:dLbls>
          <c:showLegendKey val="0"/>
          <c:showVal val="0"/>
          <c:showCatName val="0"/>
          <c:showSerName val="0"/>
          <c:showPercent val="0"/>
          <c:showBubbleSize val="0"/>
        </c:dLbls>
        <c:gapWidth val="35"/>
        <c:axId val="1245706384"/>
        <c:axId val="1245713104"/>
      </c:barChart>
      <c:catAx>
        <c:axId val="124570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3600000" spcFirstLastPara="1" vertOverflow="ellipsis" wrap="square" anchor="ctr" anchorCtr="1"/>
          <a:lstStyle/>
          <a:p>
            <a:pPr>
              <a:defRPr sz="1100" b="1" i="0" u="none" strike="noStrike" kern="1200" baseline="0">
                <a:solidFill>
                  <a:sysClr val="windowText" lastClr="000000"/>
                </a:solidFill>
                <a:latin typeface="Arial Nova Cond" panose="020B0506020202020204" pitchFamily="34" charset="0"/>
                <a:ea typeface="+mn-ea"/>
                <a:cs typeface="+mn-cs"/>
              </a:defRPr>
            </a:pPr>
            <a:endParaRPr lang="en-US"/>
          </a:p>
        </c:txPr>
        <c:crossAx val="1245713104"/>
        <c:crosses val="autoZero"/>
        <c:auto val="1"/>
        <c:lblAlgn val="ctr"/>
        <c:lblOffset val="100"/>
        <c:noMultiLvlLbl val="0"/>
      </c:catAx>
      <c:valAx>
        <c:axId val="1245713104"/>
        <c:scaling>
          <c:orientation val="minMax"/>
          <c:max val="260"/>
          <c:min val="0"/>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mn-cs"/>
                  </a:defRPr>
                </a:pPr>
                <a:r>
                  <a:rPr lang="en-US" sz="1800" b="1"/>
                  <a:t>Pure Ester Flow</a:t>
                </a:r>
                <a:r>
                  <a:rPr lang="en-US" sz="1800" b="1" baseline="0"/>
                  <a:t> Rate </a:t>
                </a:r>
                <a:r>
                  <a:rPr lang="en-US" sz="1800" b="0" baseline="0"/>
                  <a:t>[kg/hr]</a:t>
                </a:r>
                <a:endParaRPr lang="en-US" sz="1800" b="0"/>
              </a:p>
            </c:rich>
          </c:tx>
          <c:layout>
            <c:manualLayout>
              <c:xMode val="edge"/>
              <c:yMode val="edge"/>
              <c:x val="1.2624775032148811E-2"/>
              <c:y val="0.24451561297460286"/>
            </c:manualLayout>
          </c:layout>
          <c:overlay val="0"/>
          <c:spPr>
            <a:noFill/>
            <a:ln>
              <a:noFill/>
            </a:ln>
            <a:effectLst/>
          </c:spPr>
          <c:txPr>
            <a:bodyPr rot="-540000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General" sourceLinked="1"/>
        <c:majorTickMark val="cross"/>
        <c:minorTickMark val="none"/>
        <c:tickLblPos val="nextTo"/>
        <c:spPr>
          <a:noFill/>
          <a:ln>
            <a:solidFill>
              <a:schemeClr val="tx1"/>
            </a:solidFill>
          </a:ln>
          <a:effectLst/>
        </c:spPr>
        <c:txPr>
          <a:bodyPr rot="0" spcFirstLastPara="1" vertOverflow="ellipsis" wrap="square" anchor="ctr" anchorCtr="1"/>
          <a:lstStyle/>
          <a:p>
            <a:pPr>
              <a:defRPr sz="1600" b="0" i="0" u="none" strike="noStrike" kern="1200" baseline="0">
                <a:solidFill>
                  <a:sysClr val="windowText" lastClr="000000"/>
                </a:solidFill>
                <a:latin typeface="Arial Nova Cond" panose="020B0506020202020204" pitchFamily="34" charset="0"/>
                <a:ea typeface="+mn-ea"/>
                <a:cs typeface="+mn-cs"/>
              </a:defRPr>
            </a:pPr>
            <a:endParaRPr lang="en-US"/>
          </a:p>
        </c:txPr>
        <c:crossAx val="1245706384"/>
        <c:crosses val="autoZero"/>
        <c:crossBetween val="midCat"/>
        <c:majorUnit val="20"/>
      </c:valAx>
      <c:valAx>
        <c:axId val="1106489216"/>
        <c:scaling>
          <c:orientation val="minMax"/>
          <c:max val="13"/>
          <c:min val="0"/>
        </c:scaling>
        <c:delete val="0"/>
        <c:axPos val="r"/>
        <c:title>
          <c:tx>
            <c:rich>
              <a:bodyPr rot="-5400000" spcFirstLastPara="1" vertOverflow="ellipsis" vert="horz" wrap="square" anchor="ctr" anchorCtr="1"/>
              <a:lstStyle/>
              <a:p>
                <a:pPr>
                  <a:defRPr sz="2000" b="1" i="0" u="none" strike="noStrike" kern="1200" baseline="0">
                    <a:solidFill>
                      <a:sysClr val="windowText" lastClr="000000"/>
                    </a:solidFill>
                    <a:latin typeface="Arial Nova Cond" panose="020B0506020202020204" pitchFamily="34" charset="0"/>
                    <a:ea typeface="+mn-ea"/>
                    <a:cs typeface="+mn-cs"/>
                  </a:defRPr>
                </a:pPr>
                <a:r>
                  <a:rPr lang="en-US" sz="2000" b="1"/>
                  <a:t>Carbon Number</a:t>
                </a:r>
              </a:p>
            </c:rich>
          </c:tx>
          <c:layout>
            <c:manualLayout>
              <c:xMode val="edge"/>
              <c:yMode val="edge"/>
              <c:x val="0.96919435303010859"/>
              <c:y val="0.29213988629439114"/>
            </c:manualLayout>
          </c:layout>
          <c:overlay val="0"/>
          <c:spPr>
            <a:noFill/>
            <a:ln>
              <a:noFill/>
            </a:ln>
            <a:effectLst/>
          </c:spPr>
          <c:txPr>
            <a:bodyPr rot="-5400000" spcFirstLastPara="1" vertOverflow="ellipsis" vert="horz" wrap="square" anchor="ctr" anchorCtr="1"/>
            <a:lstStyle/>
            <a:p>
              <a:pPr>
                <a:defRPr sz="2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General" sourceLinked="1"/>
        <c:majorTickMark val="cross"/>
        <c:minorTickMark val="none"/>
        <c:tickLblPos val="nextTo"/>
        <c:spPr>
          <a:noFill/>
          <a:ln>
            <a:solidFill>
              <a:schemeClr val="tx1"/>
            </a:solidFill>
          </a:ln>
          <a:effectLst/>
        </c:spPr>
        <c:txPr>
          <a:bodyPr rot="0" spcFirstLastPara="1" vertOverflow="ellipsis" wrap="square" anchor="ctr" anchorCtr="1"/>
          <a:lstStyle/>
          <a:p>
            <a:pPr>
              <a:defRPr sz="1600" b="0" i="0" u="none" strike="noStrike" kern="1200" baseline="0">
                <a:solidFill>
                  <a:sysClr val="windowText" lastClr="000000"/>
                </a:solidFill>
                <a:latin typeface="Arial Nova Cond" panose="020B0506020202020204" pitchFamily="34" charset="0"/>
                <a:ea typeface="+mn-ea"/>
                <a:cs typeface="+mn-cs"/>
              </a:defRPr>
            </a:pPr>
            <a:endParaRPr lang="en-US"/>
          </a:p>
        </c:txPr>
        <c:crossAx val="1106482016"/>
        <c:crosses val="max"/>
        <c:crossBetween val="between"/>
        <c:majorUnit val="1"/>
        <c:minorUnit val="0.1"/>
      </c:valAx>
      <c:catAx>
        <c:axId val="1106482016"/>
        <c:scaling>
          <c:orientation val="minMax"/>
        </c:scaling>
        <c:delete val="1"/>
        <c:axPos val="b"/>
        <c:majorTickMark val="out"/>
        <c:minorTickMark val="none"/>
        <c:tickLblPos val="nextTo"/>
        <c:crossAx val="1106489216"/>
        <c:crossesAt val="0"/>
        <c:auto val="1"/>
        <c:lblAlgn val="ctr"/>
        <c:lblOffset val="100"/>
        <c:noMultiLvlLbl val="0"/>
      </c:catAx>
      <c:spPr>
        <a:noFill/>
        <a:ln w="19050">
          <a:solidFill>
            <a:schemeClr val="tx1"/>
          </a:solidFill>
        </a:ln>
        <a:effectLst/>
      </c:spPr>
    </c:plotArea>
    <c:legend>
      <c:legendPos val="b"/>
      <c:layout>
        <c:manualLayout>
          <c:xMode val="edge"/>
          <c:yMode val="edge"/>
          <c:x val="0.12350583698375507"/>
          <c:y val="0.93185913683792521"/>
          <c:w val="0.76726933690033794"/>
          <c:h val="5.8045072495977193E-2"/>
        </c:manualLayout>
      </c:layout>
      <c:overlay val="0"/>
      <c:spPr>
        <a:noFill/>
        <a:ln>
          <a:noFill/>
        </a:ln>
        <a:effectLst/>
      </c:spPr>
      <c:txPr>
        <a:bodyPr rot="0" spcFirstLastPara="1" vertOverflow="ellipsis" vert="horz" wrap="square" anchor="ctr" anchorCtr="1"/>
        <a:lstStyle/>
        <a:p>
          <a:pPr>
            <a:defRPr sz="2400" b="0"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0" baseline="0">
                <a:solidFill>
                  <a:sysClr val="windowText" lastClr="000000"/>
                </a:solidFill>
                <a:latin typeface="Arial Nova Cond" panose="020B0506020202020204" pitchFamily="34" charset="0"/>
                <a:ea typeface="+mn-ea"/>
                <a:cs typeface="+mn-cs"/>
              </a:defRPr>
            </a:pPr>
            <a:r>
              <a:rPr lang="en-US" b="1" cap="all" baseline="0"/>
              <a:t>Digestion Effluent Characteristics</a:t>
            </a:r>
          </a:p>
        </c:rich>
      </c:tx>
      <c:layout>
        <c:manualLayout>
          <c:xMode val="edge"/>
          <c:yMode val="edge"/>
          <c:x val="3.7818636148568723E-2"/>
          <c:y val="2.4451229423767859E-2"/>
        </c:manualLayout>
      </c:layout>
      <c:overlay val="0"/>
      <c:spPr>
        <a:noFill/>
        <a:ln>
          <a:noFill/>
        </a:ln>
        <a:effectLst/>
      </c:spPr>
      <c:txPr>
        <a:bodyPr rot="0" spcFirstLastPara="1" vertOverflow="ellipsis" vert="horz" wrap="square" anchor="ctr" anchorCtr="1"/>
        <a:lstStyle/>
        <a:p>
          <a:pPr>
            <a:defRPr sz="1400" b="1" i="0" u="none" strike="noStrike" kern="1200" cap="all"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barChart>
        <c:barDir val="col"/>
        <c:grouping val="stacked"/>
        <c:varyColors val="0"/>
        <c:ser>
          <c:idx val="0"/>
          <c:order val="0"/>
          <c:tx>
            <c:strRef>
              <c:f>ExpBase!$K$259</c:f>
              <c:strCache>
                <c:ptCount val="1"/>
                <c:pt idx="0">
                  <c:v>Acetate</c:v>
                </c:pt>
              </c:strCache>
            </c:strRef>
          </c:tx>
          <c:spPr>
            <a:solidFill>
              <a:srgbClr val="F6C6AD"/>
            </a:solidFill>
            <a:ln>
              <a:noFill/>
            </a:ln>
            <a:effectLst/>
          </c:spPr>
          <c:invertIfNegative val="0"/>
          <c:cat>
            <c:strRef>
              <c:f>ExpBase!$L$258:$M$258</c:f>
              <c:strCache>
                <c:ptCount val="2"/>
                <c:pt idx="0">
                  <c:v>Manure Digestate</c:v>
                </c:pt>
                <c:pt idx="1">
                  <c:v>Food Waste Digestate</c:v>
                </c:pt>
              </c:strCache>
            </c:strRef>
          </c:cat>
          <c:val>
            <c:numRef>
              <c:f>ExpBase!$L$259:$M$259</c:f>
              <c:numCache>
                <c:formatCode>_(* #,##0.00_);_(* \(#,##0.00\);_(* "-"??_);_(@_)</c:formatCode>
                <c:ptCount val="2"/>
                <c:pt idx="0" formatCode="0.00">
                  <c:v>1.6847212956611322</c:v>
                </c:pt>
                <c:pt idx="1">
                  <c:v>7.5300949920786744</c:v>
                </c:pt>
              </c:numCache>
            </c:numRef>
          </c:val>
          <c:extLst>
            <c:ext xmlns:c16="http://schemas.microsoft.com/office/drawing/2014/chart" uri="{C3380CC4-5D6E-409C-BE32-E72D297353CC}">
              <c16:uniqueId val="{00000000-9BEF-485F-A62F-7AB7C8B4590E}"/>
            </c:ext>
          </c:extLst>
        </c:ser>
        <c:ser>
          <c:idx val="1"/>
          <c:order val="1"/>
          <c:tx>
            <c:strRef>
              <c:f>ExpBase!$K$260</c:f>
              <c:strCache>
                <c:ptCount val="1"/>
                <c:pt idx="0">
                  <c:v>Propionate</c:v>
                </c:pt>
              </c:strCache>
            </c:strRef>
          </c:tx>
          <c:spPr>
            <a:solidFill>
              <a:srgbClr val="F2AA84"/>
            </a:solidFill>
            <a:ln>
              <a:noFill/>
            </a:ln>
            <a:effectLst/>
          </c:spPr>
          <c:invertIfNegative val="0"/>
          <c:cat>
            <c:strRef>
              <c:f>ExpBase!$L$258:$M$258</c:f>
              <c:strCache>
                <c:ptCount val="2"/>
                <c:pt idx="0">
                  <c:v>Manure Digestate</c:v>
                </c:pt>
                <c:pt idx="1">
                  <c:v>Food Waste Digestate</c:v>
                </c:pt>
              </c:strCache>
            </c:strRef>
          </c:cat>
          <c:val>
            <c:numRef>
              <c:f>ExpBase!$L$260:$M$260</c:f>
              <c:numCache>
                <c:formatCode>_(* #,##0.00_);_(* \(#,##0.00\);_(* "-"??_);_(@_)</c:formatCode>
                <c:ptCount val="2"/>
                <c:pt idx="0" formatCode="0.00">
                  <c:v>0</c:v>
                </c:pt>
                <c:pt idx="1">
                  <c:v>6.3929425407901537</c:v>
                </c:pt>
              </c:numCache>
            </c:numRef>
          </c:val>
          <c:extLst>
            <c:ext xmlns:c16="http://schemas.microsoft.com/office/drawing/2014/chart" uri="{C3380CC4-5D6E-409C-BE32-E72D297353CC}">
              <c16:uniqueId val="{00000001-9BEF-485F-A62F-7AB7C8B4590E}"/>
            </c:ext>
          </c:extLst>
        </c:ser>
        <c:ser>
          <c:idx val="2"/>
          <c:order val="2"/>
          <c:tx>
            <c:strRef>
              <c:f>ExpBase!$K$261</c:f>
              <c:strCache>
                <c:ptCount val="1"/>
                <c:pt idx="0">
                  <c:v>Butyrate</c:v>
                </c:pt>
              </c:strCache>
            </c:strRef>
          </c:tx>
          <c:spPr>
            <a:solidFill>
              <a:srgbClr val="FFCC66"/>
            </a:solidFill>
            <a:ln>
              <a:noFill/>
            </a:ln>
            <a:effectLst/>
          </c:spPr>
          <c:invertIfNegative val="0"/>
          <c:cat>
            <c:strRef>
              <c:f>ExpBase!$L$258:$M$258</c:f>
              <c:strCache>
                <c:ptCount val="2"/>
                <c:pt idx="0">
                  <c:v>Manure Digestate</c:v>
                </c:pt>
                <c:pt idx="1">
                  <c:v>Food Waste Digestate</c:v>
                </c:pt>
              </c:strCache>
            </c:strRef>
          </c:cat>
          <c:val>
            <c:numRef>
              <c:f>ExpBase!$L$261:$M$261</c:f>
              <c:numCache>
                <c:formatCode>_(* #,##0.00_);_(* \(#,##0.00\);_(* "-"??_);_(@_)</c:formatCode>
                <c:ptCount val="2"/>
                <c:pt idx="0" formatCode="0.00">
                  <c:v>1.7335058389177831</c:v>
                </c:pt>
                <c:pt idx="1">
                  <c:v>19.420268325786253</c:v>
                </c:pt>
              </c:numCache>
            </c:numRef>
          </c:val>
          <c:extLst>
            <c:ext xmlns:c16="http://schemas.microsoft.com/office/drawing/2014/chart" uri="{C3380CC4-5D6E-409C-BE32-E72D297353CC}">
              <c16:uniqueId val="{00000002-9BEF-485F-A62F-7AB7C8B4590E}"/>
            </c:ext>
          </c:extLst>
        </c:ser>
        <c:ser>
          <c:idx val="3"/>
          <c:order val="3"/>
          <c:tx>
            <c:strRef>
              <c:f>ExpBase!$K$262</c:f>
              <c:strCache>
                <c:ptCount val="1"/>
                <c:pt idx="0">
                  <c:v>Isobutyrate</c:v>
                </c:pt>
              </c:strCache>
            </c:strRef>
          </c:tx>
          <c:spPr>
            <a:solidFill>
              <a:srgbClr val="FF9933"/>
            </a:solidFill>
            <a:ln>
              <a:noFill/>
            </a:ln>
            <a:effectLst/>
          </c:spPr>
          <c:invertIfNegative val="0"/>
          <c:cat>
            <c:strRef>
              <c:f>ExpBase!$L$258:$M$258</c:f>
              <c:strCache>
                <c:ptCount val="2"/>
                <c:pt idx="0">
                  <c:v>Manure Digestate</c:v>
                </c:pt>
                <c:pt idx="1">
                  <c:v>Food Waste Digestate</c:v>
                </c:pt>
              </c:strCache>
            </c:strRef>
          </c:cat>
          <c:val>
            <c:numRef>
              <c:f>ExpBase!$L$262:$M$262</c:f>
              <c:numCache>
                <c:formatCode>_(* #,##0.00_);_(* \(#,##0.00\);_(* "-"??_);_(@_)</c:formatCode>
                <c:ptCount val="2"/>
                <c:pt idx="0" formatCode="0.00">
                  <c:v>7.9494962292768298E-2</c:v>
                </c:pt>
                <c:pt idx="1">
                  <c:v>0</c:v>
                </c:pt>
              </c:numCache>
            </c:numRef>
          </c:val>
          <c:extLst>
            <c:ext xmlns:c16="http://schemas.microsoft.com/office/drawing/2014/chart" uri="{C3380CC4-5D6E-409C-BE32-E72D297353CC}">
              <c16:uniqueId val="{00000003-9BEF-485F-A62F-7AB7C8B4590E}"/>
            </c:ext>
          </c:extLst>
        </c:ser>
        <c:ser>
          <c:idx val="4"/>
          <c:order val="4"/>
          <c:tx>
            <c:strRef>
              <c:f>ExpBase!$K$263</c:f>
              <c:strCache>
                <c:ptCount val="1"/>
                <c:pt idx="0">
                  <c:v>Valerate</c:v>
                </c:pt>
              </c:strCache>
            </c:strRef>
          </c:tx>
          <c:spPr>
            <a:solidFill>
              <a:srgbClr val="FFCCCC"/>
            </a:solidFill>
            <a:ln>
              <a:noFill/>
            </a:ln>
            <a:effectLst/>
          </c:spPr>
          <c:invertIfNegative val="0"/>
          <c:cat>
            <c:strRef>
              <c:f>ExpBase!$L$258:$M$258</c:f>
              <c:strCache>
                <c:ptCount val="2"/>
                <c:pt idx="0">
                  <c:v>Manure Digestate</c:v>
                </c:pt>
                <c:pt idx="1">
                  <c:v>Food Waste Digestate</c:v>
                </c:pt>
              </c:strCache>
            </c:strRef>
          </c:cat>
          <c:val>
            <c:numRef>
              <c:f>ExpBase!$L$263:$M$263</c:f>
              <c:numCache>
                <c:formatCode>_(* #,##0.00_);_(* \(#,##0.00\);_(* "-"??_);_(@_)</c:formatCode>
                <c:ptCount val="2"/>
                <c:pt idx="0" formatCode="0.00">
                  <c:v>1.0228562012312925</c:v>
                </c:pt>
                <c:pt idx="1">
                  <c:v>12.150102472745317</c:v>
                </c:pt>
              </c:numCache>
            </c:numRef>
          </c:val>
          <c:extLst>
            <c:ext xmlns:c16="http://schemas.microsoft.com/office/drawing/2014/chart" uri="{C3380CC4-5D6E-409C-BE32-E72D297353CC}">
              <c16:uniqueId val="{00000004-9BEF-485F-A62F-7AB7C8B4590E}"/>
            </c:ext>
          </c:extLst>
        </c:ser>
        <c:ser>
          <c:idx val="5"/>
          <c:order val="5"/>
          <c:tx>
            <c:strRef>
              <c:f>ExpBase!$K$264</c:f>
              <c:strCache>
                <c:ptCount val="1"/>
                <c:pt idx="0">
                  <c:v>Isovalerate</c:v>
                </c:pt>
              </c:strCache>
            </c:strRef>
          </c:tx>
          <c:spPr>
            <a:solidFill>
              <a:srgbClr val="FF9999"/>
            </a:solidFill>
            <a:ln>
              <a:noFill/>
            </a:ln>
            <a:effectLst/>
          </c:spPr>
          <c:invertIfNegative val="0"/>
          <c:cat>
            <c:strRef>
              <c:f>ExpBase!$L$258:$M$258</c:f>
              <c:strCache>
                <c:ptCount val="2"/>
                <c:pt idx="0">
                  <c:v>Manure Digestate</c:v>
                </c:pt>
                <c:pt idx="1">
                  <c:v>Food Waste Digestate</c:v>
                </c:pt>
              </c:strCache>
            </c:strRef>
          </c:cat>
          <c:val>
            <c:numRef>
              <c:f>ExpBase!$L$264:$M$264</c:f>
              <c:numCache>
                <c:formatCode>_(* #,##0.00_);_(* \(#,##0.00\);_(* "-"??_);_(@_)</c:formatCode>
                <c:ptCount val="2"/>
                <c:pt idx="0" formatCode="0.00">
                  <c:v>0</c:v>
                </c:pt>
                <c:pt idx="1">
                  <c:v>1.149068837881877</c:v>
                </c:pt>
              </c:numCache>
            </c:numRef>
          </c:val>
          <c:extLst>
            <c:ext xmlns:c16="http://schemas.microsoft.com/office/drawing/2014/chart" uri="{C3380CC4-5D6E-409C-BE32-E72D297353CC}">
              <c16:uniqueId val="{00000005-9BEF-485F-A62F-7AB7C8B4590E}"/>
            </c:ext>
          </c:extLst>
        </c:ser>
        <c:ser>
          <c:idx val="6"/>
          <c:order val="6"/>
          <c:tx>
            <c:strRef>
              <c:f>ExpBase!$K$265</c:f>
              <c:strCache>
                <c:ptCount val="1"/>
                <c:pt idx="0">
                  <c:v>Caproate</c:v>
                </c:pt>
              </c:strCache>
            </c:strRef>
          </c:tx>
          <c:spPr>
            <a:solidFill>
              <a:srgbClr val="FFCCFF"/>
            </a:solidFill>
            <a:ln>
              <a:noFill/>
            </a:ln>
            <a:effectLst/>
          </c:spPr>
          <c:invertIfNegative val="0"/>
          <c:cat>
            <c:strRef>
              <c:f>ExpBase!$L$258:$M$258</c:f>
              <c:strCache>
                <c:ptCount val="2"/>
                <c:pt idx="0">
                  <c:v>Manure Digestate</c:v>
                </c:pt>
                <c:pt idx="1">
                  <c:v>Food Waste Digestate</c:v>
                </c:pt>
              </c:strCache>
            </c:strRef>
          </c:cat>
          <c:val>
            <c:numRef>
              <c:f>ExpBase!$L$265:$M$265</c:f>
              <c:numCache>
                <c:formatCode>_(* #,##0.00_);_(* \(#,##0.00\);_(* "-"??_);_(@_)</c:formatCode>
                <c:ptCount val="2"/>
                <c:pt idx="0" formatCode="0.00">
                  <c:v>0.35972138181229085</c:v>
                </c:pt>
                <c:pt idx="1">
                  <c:v>7.3236173081712614</c:v>
                </c:pt>
              </c:numCache>
            </c:numRef>
          </c:val>
          <c:extLst>
            <c:ext xmlns:c16="http://schemas.microsoft.com/office/drawing/2014/chart" uri="{C3380CC4-5D6E-409C-BE32-E72D297353CC}">
              <c16:uniqueId val="{00000006-9BEF-485F-A62F-7AB7C8B4590E}"/>
            </c:ext>
          </c:extLst>
        </c:ser>
        <c:ser>
          <c:idx val="7"/>
          <c:order val="7"/>
          <c:tx>
            <c:strRef>
              <c:f>ExpBase!$K$266</c:f>
              <c:strCache>
                <c:ptCount val="1"/>
                <c:pt idx="0">
                  <c:v>Heptanoate</c:v>
                </c:pt>
              </c:strCache>
            </c:strRef>
          </c:tx>
          <c:spPr>
            <a:solidFill>
              <a:srgbClr val="FF99FF"/>
            </a:solidFill>
            <a:ln>
              <a:noFill/>
            </a:ln>
            <a:effectLst/>
          </c:spPr>
          <c:invertIfNegative val="0"/>
          <c:cat>
            <c:strRef>
              <c:f>ExpBase!$L$258:$M$258</c:f>
              <c:strCache>
                <c:ptCount val="2"/>
                <c:pt idx="0">
                  <c:v>Manure Digestate</c:v>
                </c:pt>
                <c:pt idx="1">
                  <c:v>Food Waste Digestate</c:v>
                </c:pt>
              </c:strCache>
            </c:strRef>
          </c:cat>
          <c:val>
            <c:numRef>
              <c:f>ExpBase!$L$266:$M$266</c:f>
              <c:numCache>
                <c:formatCode>_(* #,##0.00_);_(* \(#,##0.00\);_(* "-"??_);_(@_)</c:formatCode>
                <c:ptCount val="2"/>
                <c:pt idx="0" formatCode="0.00">
                  <c:v>0</c:v>
                </c:pt>
                <c:pt idx="1">
                  <c:v>0</c:v>
                </c:pt>
              </c:numCache>
            </c:numRef>
          </c:val>
          <c:extLst>
            <c:ext xmlns:c16="http://schemas.microsoft.com/office/drawing/2014/chart" uri="{C3380CC4-5D6E-409C-BE32-E72D297353CC}">
              <c16:uniqueId val="{00000007-9BEF-485F-A62F-7AB7C8B4590E}"/>
            </c:ext>
          </c:extLst>
        </c:ser>
        <c:ser>
          <c:idx val="8"/>
          <c:order val="8"/>
          <c:tx>
            <c:strRef>
              <c:f>ExpBase!$K$267</c:f>
              <c:strCache>
                <c:ptCount val="1"/>
                <c:pt idx="0">
                  <c:v>Phosphate</c:v>
                </c:pt>
              </c:strCache>
            </c:strRef>
          </c:tx>
          <c:spPr>
            <a:solidFill>
              <a:srgbClr val="33CC33"/>
            </a:solidFill>
            <a:ln>
              <a:noFill/>
            </a:ln>
            <a:effectLst/>
          </c:spPr>
          <c:invertIfNegative val="0"/>
          <c:cat>
            <c:strRef>
              <c:f>ExpBase!$L$258:$M$258</c:f>
              <c:strCache>
                <c:ptCount val="2"/>
                <c:pt idx="0">
                  <c:v>Manure Digestate</c:v>
                </c:pt>
                <c:pt idx="1">
                  <c:v>Food Waste Digestate</c:v>
                </c:pt>
              </c:strCache>
            </c:strRef>
          </c:cat>
          <c:val>
            <c:numRef>
              <c:f>ExpBase!$L$267:$M$267</c:f>
              <c:numCache>
                <c:formatCode>0.00</c:formatCode>
                <c:ptCount val="2"/>
                <c:pt idx="0">
                  <c:v>4.9834981831999992</c:v>
                </c:pt>
                <c:pt idx="1">
                  <c:v>4.21408</c:v>
                </c:pt>
              </c:numCache>
            </c:numRef>
          </c:val>
          <c:extLst>
            <c:ext xmlns:c16="http://schemas.microsoft.com/office/drawing/2014/chart" uri="{C3380CC4-5D6E-409C-BE32-E72D297353CC}">
              <c16:uniqueId val="{00000008-9BEF-485F-A62F-7AB7C8B4590E}"/>
            </c:ext>
          </c:extLst>
        </c:ser>
        <c:ser>
          <c:idx val="9"/>
          <c:order val="9"/>
          <c:tx>
            <c:strRef>
              <c:f>ExpBase!$K$268</c:f>
              <c:strCache>
                <c:ptCount val="1"/>
                <c:pt idx="0">
                  <c:v>Sulfate</c:v>
                </c:pt>
              </c:strCache>
            </c:strRef>
          </c:tx>
          <c:spPr>
            <a:solidFill>
              <a:srgbClr val="CCFF66"/>
            </a:solidFill>
            <a:ln>
              <a:noFill/>
            </a:ln>
            <a:effectLst/>
          </c:spPr>
          <c:invertIfNegative val="0"/>
          <c:cat>
            <c:strRef>
              <c:f>ExpBase!$L$258:$M$258</c:f>
              <c:strCache>
                <c:ptCount val="2"/>
                <c:pt idx="0">
                  <c:v>Manure Digestate</c:v>
                </c:pt>
                <c:pt idx="1">
                  <c:v>Food Waste Digestate</c:v>
                </c:pt>
              </c:strCache>
            </c:strRef>
          </c:cat>
          <c:val>
            <c:numRef>
              <c:f>ExpBase!$L$268:$M$268</c:f>
              <c:numCache>
                <c:formatCode>General</c:formatCode>
                <c:ptCount val="2"/>
                <c:pt idx="0" formatCode="0.00">
                  <c:v>1.0360661655999999</c:v>
                </c:pt>
                <c:pt idx="1">
                  <c:v>0</c:v>
                </c:pt>
              </c:numCache>
            </c:numRef>
          </c:val>
          <c:extLst>
            <c:ext xmlns:c16="http://schemas.microsoft.com/office/drawing/2014/chart" uri="{C3380CC4-5D6E-409C-BE32-E72D297353CC}">
              <c16:uniqueId val="{00000009-9BEF-485F-A62F-7AB7C8B4590E}"/>
            </c:ext>
          </c:extLst>
        </c:ser>
        <c:ser>
          <c:idx val="10"/>
          <c:order val="10"/>
          <c:tx>
            <c:strRef>
              <c:f>ExpBase!$K$269</c:f>
              <c:strCache>
                <c:ptCount val="1"/>
                <c:pt idx="0">
                  <c:v>Ammonia</c:v>
                </c:pt>
              </c:strCache>
            </c:strRef>
          </c:tx>
          <c:spPr>
            <a:solidFill>
              <a:srgbClr val="CCCC00"/>
            </a:solidFill>
            <a:ln>
              <a:noFill/>
            </a:ln>
            <a:effectLst/>
          </c:spPr>
          <c:invertIfNegative val="0"/>
          <c:cat>
            <c:strRef>
              <c:f>ExpBase!$L$258:$M$258</c:f>
              <c:strCache>
                <c:ptCount val="2"/>
                <c:pt idx="0">
                  <c:v>Manure Digestate</c:v>
                </c:pt>
                <c:pt idx="1">
                  <c:v>Food Waste Digestate</c:v>
                </c:pt>
              </c:strCache>
            </c:strRef>
          </c:cat>
          <c:val>
            <c:numRef>
              <c:f>ExpBase!$L$269:$M$269</c:f>
              <c:numCache>
                <c:formatCode>0.00</c:formatCode>
                <c:ptCount val="2"/>
                <c:pt idx="0">
                  <c:v>7.0295506570399997</c:v>
                </c:pt>
                <c:pt idx="1">
                  <c:v>0.54026666666666678</c:v>
                </c:pt>
              </c:numCache>
            </c:numRef>
          </c:val>
          <c:extLst>
            <c:ext xmlns:c16="http://schemas.microsoft.com/office/drawing/2014/chart" uri="{C3380CC4-5D6E-409C-BE32-E72D297353CC}">
              <c16:uniqueId val="{0000000A-9BEF-485F-A62F-7AB7C8B4590E}"/>
            </c:ext>
          </c:extLst>
        </c:ser>
        <c:ser>
          <c:idx val="13"/>
          <c:order val="13"/>
          <c:tx>
            <c:strRef>
              <c:f>ExpBase!$K$272</c:f>
              <c:strCache>
                <c:ptCount val="1"/>
                <c:pt idx="0">
                  <c:v>m:m% VFAs </c:v>
                </c:pt>
              </c:strCache>
            </c:strRef>
          </c:tx>
          <c:spPr>
            <a:solidFill>
              <a:srgbClr val="FF00FF"/>
            </a:solidFill>
            <a:ln w="25400">
              <a:solidFill>
                <a:schemeClr val="tx1"/>
              </a:solidFill>
            </a:ln>
            <a:effectLst/>
          </c:spPr>
          <c:invertIfNegative val="0"/>
          <c:cat>
            <c:strRef>
              <c:f>ExpBase!$L$258:$M$258</c:f>
              <c:strCache>
                <c:ptCount val="2"/>
                <c:pt idx="0">
                  <c:v>Manure Digestate</c:v>
                </c:pt>
                <c:pt idx="1">
                  <c:v>Food Waste Digestate</c:v>
                </c:pt>
              </c:strCache>
            </c:strRef>
          </c:cat>
          <c:val>
            <c:numRef>
              <c:f>ExpBase!$L$273:$M$273</c:f>
              <c:numCache>
                <c:formatCode>General</c:formatCode>
                <c:ptCount val="2"/>
              </c:numCache>
            </c:numRef>
          </c:val>
          <c:extLst>
            <c:ext xmlns:c16="http://schemas.microsoft.com/office/drawing/2014/chart" uri="{C3380CC4-5D6E-409C-BE32-E72D297353CC}">
              <c16:uniqueId val="{0000000D-9BEF-485F-A62F-7AB7C8B4590E}"/>
            </c:ext>
          </c:extLst>
        </c:ser>
        <c:dLbls>
          <c:showLegendKey val="0"/>
          <c:showVal val="0"/>
          <c:showCatName val="0"/>
          <c:showSerName val="0"/>
          <c:showPercent val="0"/>
          <c:showBubbleSize val="0"/>
        </c:dLbls>
        <c:gapWidth val="30"/>
        <c:overlap val="100"/>
        <c:axId val="1439776575"/>
        <c:axId val="1439769855"/>
      </c:barChart>
      <c:barChart>
        <c:barDir val="col"/>
        <c:grouping val="stacked"/>
        <c:varyColors val="0"/>
        <c:ser>
          <c:idx val="11"/>
          <c:order val="11"/>
          <c:tx>
            <c:strRef>
              <c:f>ExpBase!$K$270</c:f>
              <c:strCache>
                <c:ptCount val="1"/>
                <c:pt idx="0">
                  <c:v>Total Flow Rate  </c:v>
                </c:pt>
              </c:strCache>
            </c:strRef>
          </c:tx>
          <c:spPr>
            <a:solidFill>
              <a:schemeClr val="tx1">
                <a:alpha val="35000"/>
              </a:schemeClr>
            </a:solidFill>
            <a:ln>
              <a:noFill/>
            </a:ln>
            <a:effectLst/>
          </c:spPr>
          <c:invertIfNegative val="0"/>
          <c:cat>
            <c:strRef>
              <c:f>ExpBase!$L$258:$M$258</c:f>
              <c:strCache>
                <c:ptCount val="2"/>
                <c:pt idx="0">
                  <c:v>Manure Digestate</c:v>
                </c:pt>
                <c:pt idx="1">
                  <c:v>Food Waste Digestate</c:v>
                </c:pt>
              </c:strCache>
            </c:strRef>
          </c:cat>
          <c:val>
            <c:numRef>
              <c:f>ExpBase!$L$270:$M$270</c:f>
              <c:numCache>
                <c:formatCode>_(* #,##0.00_);_(* \(#,##0.00\);_(* "-"??_);_(@_)</c:formatCode>
                <c:ptCount val="2"/>
                <c:pt idx="0">
                  <c:v>36.512693737579752</c:v>
                </c:pt>
                <c:pt idx="1">
                  <c:v>2.8155770997694836</c:v>
                </c:pt>
              </c:numCache>
            </c:numRef>
          </c:val>
          <c:extLst>
            <c:ext xmlns:c16="http://schemas.microsoft.com/office/drawing/2014/chart" uri="{C3380CC4-5D6E-409C-BE32-E72D297353CC}">
              <c16:uniqueId val="{0000000B-9BEF-485F-A62F-7AB7C8B4590E}"/>
            </c:ext>
          </c:extLst>
        </c:ser>
        <c:ser>
          <c:idx val="12"/>
          <c:order val="12"/>
          <c:tx>
            <c:strRef>
              <c:f>ExpBase!$K$271</c:f>
              <c:strCache>
                <c:ptCount val="1"/>
                <c:pt idx="0">
                  <c:v>VFAs in Flow</c:v>
                </c:pt>
              </c:strCache>
            </c:strRef>
          </c:tx>
          <c:spPr>
            <a:solidFill>
              <a:srgbClr val="FF00FF"/>
            </a:solidFill>
            <a:ln>
              <a:noFill/>
            </a:ln>
            <a:effectLst/>
          </c:spPr>
          <c:invertIfNegative val="0"/>
          <c:dLbls>
            <c:dLbl>
              <c:idx val="0"/>
              <c:tx>
                <c:rich>
                  <a:bodyPr/>
                  <a:lstStyle/>
                  <a:p>
                    <a:fld id="{414F19E4-2771-AA45-BFC2-1E8AA75B6722}"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9BEF-485F-A62F-7AB7C8B4590E}"/>
                </c:ext>
              </c:extLst>
            </c:dLbl>
            <c:dLbl>
              <c:idx val="1"/>
              <c:tx>
                <c:rich>
                  <a:bodyPr/>
                  <a:lstStyle/>
                  <a:p>
                    <a:fld id="{FA355ED1-6B3B-3946-B704-2F483E0F3B23}"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9BEF-485F-A62F-7AB7C8B4590E}"/>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00FF"/>
                    </a:solidFill>
                    <a:latin typeface="Arial Nova Cond" panose="020B0506020202020204" pitchFamily="34" charset="0"/>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ExpBase!$L$258:$M$258</c:f>
              <c:strCache>
                <c:ptCount val="2"/>
                <c:pt idx="0">
                  <c:v>Manure Digestate</c:v>
                </c:pt>
                <c:pt idx="1">
                  <c:v>Food Waste Digestate</c:v>
                </c:pt>
              </c:strCache>
            </c:strRef>
          </c:cat>
          <c:val>
            <c:numRef>
              <c:f>ExpBase!$L$271:$M$271</c:f>
              <c:numCache>
                <c:formatCode>_(* #,##0.00_);_(* \(#,##0.00\);_(* "-"??_);_(@_)</c:formatCode>
                <c:ptCount val="2"/>
                <c:pt idx="0" formatCode="0.00">
                  <c:v>0.18006555791926931</c:v>
                </c:pt>
                <c:pt idx="1">
                  <c:v>0.16061337642099269</c:v>
                </c:pt>
              </c:numCache>
            </c:numRef>
          </c:val>
          <c:extLst>
            <c:ext xmlns:c15="http://schemas.microsoft.com/office/drawing/2012/chart" uri="{02D57815-91ED-43cb-92C2-25804820EDAC}">
              <c15:datalabelsRange>
                <c15:f>ExpBase!$L$272:$M$272</c15:f>
                <c15:dlblRangeCache>
                  <c:ptCount val="2"/>
                  <c:pt idx="0">
                    <c:v>0.47%</c:v>
                  </c:pt>
                  <c:pt idx="1">
                    <c:v>5.14%</c:v>
                  </c:pt>
                </c15:dlblRangeCache>
              </c15:datalabelsRange>
            </c:ext>
            <c:ext xmlns:c16="http://schemas.microsoft.com/office/drawing/2014/chart" uri="{C3380CC4-5D6E-409C-BE32-E72D297353CC}">
              <c16:uniqueId val="{0000000C-9BEF-485F-A62F-7AB7C8B4590E}"/>
            </c:ext>
          </c:extLst>
        </c:ser>
        <c:dLbls>
          <c:showLegendKey val="0"/>
          <c:showVal val="0"/>
          <c:showCatName val="0"/>
          <c:showSerName val="0"/>
          <c:showPercent val="0"/>
          <c:showBubbleSize val="0"/>
        </c:dLbls>
        <c:gapWidth val="500"/>
        <c:overlap val="100"/>
        <c:axId val="1439809695"/>
        <c:axId val="1439813535"/>
      </c:barChart>
      <c:catAx>
        <c:axId val="143977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crossAx val="1439769855"/>
        <c:crosses val="autoZero"/>
        <c:auto val="1"/>
        <c:lblAlgn val="ctr"/>
        <c:lblOffset val="100"/>
        <c:noMultiLvlLbl val="0"/>
      </c:catAx>
      <c:valAx>
        <c:axId val="1439769855"/>
        <c:scaling>
          <c:orientation val="minMax"/>
          <c:max val="60"/>
          <c:min val="0"/>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t>Species Concentration </a:t>
                </a:r>
                <a:r>
                  <a:rPr lang="en-US" b="0"/>
                  <a:t>[g/L]</a:t>
                </a:r>
              </a:p>
            </c:rich>
          </c:tx>
          <c:layout>
            <c:manualLayout>
              <c:xMode val="edge"/>
              <c:yMode val="edge"/>
              <c:x val="1.6674446866515705E-2"/>
              <c:y val="0.1910309369936649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0"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crossAx val="1439776575"/>
        <c:crosses val="autoZero"/>
        <c:crossBetween val="between"/>
      </c:valAx>
      <c:valAx>
        <c:axId val="1439813535"/>
        <c:scaling>
          <c:orientation val="minMax"/>
          <c:max val="240"/>
          <c:min val="0"/>
        </c:scaling>
        <c:delete val="0"/>
        <c:axPos val="r"/>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solidFill>
                      <a:sysClr val="windowText" lastClr="000000"/>
                    </a:solidFill>
                  </a:rPr>
                  <a:t>Volumetric Flow Rate </a:t>
                </a:r>
                <a:r>
                  <a:rPr lang="en-US" b="0">
                    <a:solidFill>
                      <a:sysClr val="windowText" lastClr="000000"/>
                    </a:solidFill>
                  </a:rPr>
                  <a:t>[m</a:t>
                </a:r>
                <a:r>
                  <a:rPr lang="en-US" b="0" baseline="30000">
                    <a:solidFill>
                      <a:sysClr val="windowText" lastClr="000000"/>
                    </a:solidFill>
                  </a:rPr>
                  <a:t>3</a:t>
                </a:r>
                <a:r>
                  <a:rPr lang="en-US" b="0">
                    <a:solidFill>
                      <a:sysClr val="windowText" lastClr="000000"/>
                    </a:solidFill>
                  </a:rPr>
                  <a:t>/hr]</a:t>
                </a:r>
              </a:p>
            </c:rich>
          </c:tx>
          <c:layout>
            <c:manualLayout>
              <c:xMode val="edge"/>
              <c:yMode val="edge"/>
              <c:x val="0.94316106351459439"/>
              <c:y val="0.16805145704848631"/>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_(* #,##0_);_(* \(#,##0\);_(* &quot;-&quot;_);_(@_)"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crossAx val="1439809695"/>
        <c:crosses val="max"/>
        <c:crossBetween val="between"/>
        <c:majorUnit val="40"/>
      </c:valAx>
      <c:catAx>
        <c:axId val="1439809695"/>
        <c:scaling>
          <c:orientation val="minMax"/>
        </c:scaling>
        <c:delete val="1"/>
        <c:axPos val="b"/>
        <c:numFmt formatCode="General" sourceLinked="1"/>
        <c:majorTickMark val="out"/>
        <c:minorTickMark val="none"/>
        <c:tickLblPos val="nextTo"/>
        <c:crossAx val="1439813535"/>
        <c:crosses val="autoZero"/>
        <c:auto val="1"/>
        <c:lblAlgn val="ctr"/>
        <c:lblOffset val="100"/>
        <c:noMultiLvlLbl val="0"/>
      </c:catAx>
      <c:spPr>
        <a:noFill/>
        <a:ln w="15875">
          <a:solidFill>
            <a:schemeClr val="tx1"/>
          </a:solidFill>
        </a:ln>
        <a:effectLst/>
      </c:spPr>
    </c:plotArea>
    <c:legend>
      <c:legendPos val="b"/>
      <c:layout>
        <c:manualLayout>
          <c:xMode val="edge"/>
          <c:yMode val="edge"/>
          <c:x val="1.8667675526876634E-2"/>
          <c:y val="0.7972134951615778"/>
          <c:w val="0.96266446394743077"/>
          <c:h val="0.1805951137003009"/>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9050"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0" baseline="0">
                <a:solidFill>
                  <a:sysClr val="windowText" lastClr="000000"/>
                </a:solidFill>
                <a:latin typeface="Arial Nova Cond" panose="020B0506020202020204" pitchFamily="34" charset="0"/>
                <a:ea typeface="+mn-ea"/>
                <a:cs typeface="+mn-cs"/>
              </a:defRPr>
            </a:pPr>
            <a:r>
              <a:rPr lang="en-US" sz="1400" b="1" cap="all" baseline="0"/>
              <a:t>Digestate Characteristics</a:t>
            </a:r>
          </a:p>
        </c:rich>
      </c:tx>
      <c:layout>
        <c:manualLayout>
          <c:xMode val="edge"/>
          <c:yMode val="edge"/>
          <c:x val="0.12228183099147631"/>
          <c:y val="2.2327471932433906E-2"/>
        </c:manualLayout>
      </c:layout>
      <c:overlay val="0"/>
      <c:spPr>
        <a:noFill/>
        <a:ln>
          <a:noFill/>
        </a:ln>
        <a:effectLst/>
      </c:spPr>
      <c:txPr>
        <a:bodyPr rot="0" spcFirstLastPara="1" vertOverflow="ellipsis" vert="horz" wrap="square" anchor="ctr" anchorCtr="1"/>
        <a:lstStyle/>
        <a:p>
          <a:pPr>
            <a:defRPr sz="1400" b="1" i="0" u="none" strike="noStrike" kern="1200" cap="all"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2680657815050272"/>
          <c:y val="0.13564734368817924"/>
          <c:w val="0.71071777100164346"/>
          <c:h val="0.56409114362200574"/>
        </c:manualLayout>
      </c:layout>
      <c:barChart>
        <c:barDir val="col"/>
        <c:grouping val="stacked"/>
        <c:varyColors val="0"/>
        <c:ser>
          <c:idx val="0"/>
          <c:order val="0"/>
          <c:tx>
            <c:strRef>
              <c:f>ExpBase!$K$259</c:f>
              <c:strCache>
                <c:ptCount val="1"/>
                <c:pt idx="0">
                  <c:v>Acetate</c:v>
                </c:pt>
              </c:strCache>
            </c:strRef>
          </c:tx>
          <c:spPr>
            <a:solidFill>
              <a:srgbClr val="F6C6AD"/>
            </a:solidFill>
            <a:ln>
              <a:noFill/>
            </a:ln>
            <a:effectLst/>
          </c:spPr>
          <c:invertIfNegative val="0"/>
          <c:cat>
            <c:strRef>
              <c:extLst>
                <c:ext xmlns:c15="http://schemas.microsoft.com/office/drawing/2012/chart" uri="{02D57815-91ED-43cb-92C2-25804820EDAC}">
                  <c15:fullRef>
                    <c15:sqref>ExpBase!$L$258:$M$258</c15:sqref>
                  </c15:fullRef>
                </c:ext>
              </c:extLst>
              <c:f>ExpBase!$L$258</c:f>
              <c:strCache>
                <c:ptCount val="1"/>
                <c:pt idx="0">
                  <c:v>Manure Digestate</c:v>
                </c:pt>
              </c:strCache>
            </c:strRef>
          </c:cat>
          <c:val>
            <c:numRef>
              <c:extLst>
                <c:ext xmlns:c15="http://schemas.microsoft.com/office/drawing/2012/chart" uri="{02D57815-91ED-43cb-92C2-25804820EDAC}">
                  <c15:fullRef>
                    <c15:sqref>ExpBase!$L$259:$M$259</c15:sqref>
                  </c15:fullRef>
                </c:ext>
              </c:extLst>
              <c:f>ExpBase!$L$259</c:f>
              <c:numCache>
                <c:formatCode>_(* #,##0.00_);_(* \(#,##0.00\);_(* "-"??_);_(@_)</c:formatCode>
                <c:ptCount val="1"/>
                <c:pt idx="0" formatCode="0.00">
                  <c:v>1.6847212956611322</c:v>
                </c:pt>
              </c:numCache>
            </c:numRef>
          </c:val>
          <c:extLst>
            <c:ext xmlns:c16="http://schemas.microsoft.com/office/drawing/2014/chart" uri="{C3380CC4-5D6E-409C-BE32-E72D297353CC}">
              <c16:uniqueId val="{00000000-CDEE-4EBE-92A7-F08948C39733}"/>
            </c:ext>
          </c:extLst>
        </c:ser>
        <c:ser>
          <c:idx val="1"/>
          <c:order val="1"/>
          <c:tx>
            <c:strRef>
              <c:f>ExpBase!$K$260</c:f>
              <c:strCache>
                <c:ptCount val="1"/>
                <c:pt idx="0">
                  <c:v>Propionate</c:v>
                </c:pt>
              </c:strCache>
            </c:strRef>
          </c:tx>
          <c:spPr>
            <a:solidFill>
              <a:srgbClr val="F2AA84"/>
            </a:solidFill>
            <a:ln>
              <a:noFill/>
            </a:ln>
            <a:effectLst/>
          </c:spPr>
          <c:invertIfNegative val="0"/>
          <c:cat>
            <c:strRef>
              <c:extLst>
                <c:ext xmlns:c15="http://schemas.microsoft.com/office/drawing/2012/chart" uri="{02D57815-91ED-43cb-92C2-25804820EDAC}">
                  <c15:fullRef>
                    <c15:sqref>ExpBase!$L$258:$M$258</c15:sqref>
                  </c15:fullRef>
                </c:ext>
              </c:extLst>
              <c:f>ExpBase!$L$258</c:f>
              <c:strCache>
                <c:ptCount val="1"/>
                <c:pt idx="0">
                  <c:v>Manure Digestate</c:v>
                </c:pt>
              </c:strCache>
            </c:strRef>
          </c:cat>
          <c:val>
            <c:numRef>
              <c:extLst>
                <c:ext xmlns:c15="http://schemas.microsoft.com/office/drawing/2012/chart" uri="{02D57815-91ED-43cb-92C2-25804820EDAC}">
                  <c15:fullRef>
                    <c15:sqref>ExpBase!$L$260:$M$260</c15:sqref>
                  </c15:fullRef>
                </c:ext>
              </c:extLst>
              <c:f>ExpBase!$L$260</c:f>
              <c:numCache>
                <c:formatCode>_(* #,##0.00_);_(* \(#,##0.00\);_(* "-"??_);_(@_)</c:formatCode>
                <c:ptCount val="1"/>
                <c:pt idx="0" formatCode="0.00">
                  <c:v>0</c:v>
                </c:pt>
              </c:numCache>
            </c:numRef>
          </c:val>
          <c:extLst>
            <c:ext xmlns:c16="http://schemas.microsoft.com/office/drawing/2014/chart" uri="{C3380CC4-5D6E-409C-BE32-E72D297353CC}">
              <c16:uniqueId val="{00000001-CDEE-4EBE-92A7-F08948C39733}"/>
            </c:ext>
          </c:extLst>
        </c:ser>
        <c:ser>
          <c:idx val="2"/>
          <c:order val="2"/>
          <c:tx>
            <c:strRef>
              <c:f>ExpBase!$K$261</c:f>
              <c:strCache>
                <c:ptCount val="1"/>
                <c:pt idx="0">
                  <c:v>Butyrate</c:v>
                </c:pt>
              </c:strCache>
            </c:strRef>
          </c:tx>
          <c:spPr>
            <a:solidFill>
              <a:srgbClr val="FFCC66"/>
            </a:solidFill>
            <a:ln>
              <a:noFill/>
            </a:ln>
            <a:effectLst/>
          </c:spPr>
          <c:invertIfNegative val="0"/>
          <c:cat>
            <c:strRef>
              <c:extLst>
                <c:ext xmlns:c15="http://schemas.microsoft.com/office/drawing/2012/chart" uri="{02D57815-91ED-43cb-92C2-25804820EDAC}">
                  <c15:fullRef>
                    <c15:sqref>ExpBase!$L$258:$M$258</c15:sqref>
                  </c15:fullRef>
                </c:ext>
              </c:extLst>
              <c:f>ExpBase!$L$258</c:f>
              <c:strCache>
                <c:ptCount val="1"/>
                <c:pt idx="0">
                  <c:v>Manure Digestate</c:v>
                </c:pt>
              </c:strCache>
            </c:strRef>
          </c:cat>
          <c:val>
            <c:numRef>
              <c:extLst>
                <c:ext xmlns:c15="http://schemas.microsoft.com/office/drawing/2012/chart" uri="{02D57815-91ED-43cb-92C2-25804820EDAC}">
                  <c15:fullRef>
                    <c15:sqref>ExpBase!$L$261:$M$261</c15:sqref>
                  </c15:fullRef>
                </c:ext>
              </c:extLst>
              <c:f>ExpBase!$L$261</c:f>
              <c:numCache>
                <c:formatCode>_(* #,##0.00_);_(* \(#,##0.00\);_(* "-"??_);_(@_)</c:formatCode>
                <c:ptCount val="1"/>
                <c:pt idx="0" formatCode="0.00">
                  <c:v>1.7335058389177831</c:v>
                </c:pt>
              </c:numCache>
            </c:numRef>
          </c:val>
          <c:extLst>
            <c:ext xmlns:c16="http://schemas.microsoft.com/office/drawing/2014/chart" uri="{C3380CC4-5D6E-409C-BE32-E72D297353CC}">
              <c16:uniqueId val="{00000002-CDEE-4EBE-92A7-F08948C39733}"/>
            </c:ext>
          </c:extLst>
        </c:ser>
        <c:ser>
          <c:idx val="3"/>
          <c:order val="3"/>
          <c:tx>
            <c:strRef>
              <c:f>ExpBase!$K$262</c:f>
              <c:strCache>
                <c:ptCount val="1"/>
                <c:pt idx="0">
                  <c:v>Isobutyrate</c:v>
                </c:pt>
              </c:strCache>
            </c:strRef>
          </c:tx>
          <c:spPr>
            <a:solidFill>
              <a:srgbClr val="FF9933"/>
            </a:solidFill>
            <a:ln>
              <a:noFill/>
            </a:ln>
            <a:effectLst/>
          </c:spPr>
          <c:invertIfNegative val="0"/>
          <c:cat>
            <c:strRef>
              <c:extLst>
                <c:ext xmlns:c15="http://schemas.microsoft.com/office/drawing/2012/chart" uri="{02D57815-91ED-43cb-92C2-25804820EDAC}">
                  <c15:fullRef>
                    <c15:sqref>ExpBase!$L$258:$M$258</c15:sqref>
                  </c15:fullRef>
                </c:ext>
              </c:extLst>
              <c:f>ExpBase!$L$258</c:f>
              <c:strCache>
                <c:ptCount val="1"/>
                <c:pt idx="0">
                  <c:v>Manure Digestate</c:v>
                </c:pt>
              </c:strCache>
            </c:strRef>
          </c:cat>
          <c:val>
            <c:numRef>
              <c:extLst>
                <c:ext xmlns:c15="http://schemas.microsoft.com/office/drawing/2012/chart" uri="{02D57815-91ED-43cb-92C2-25804820EDAC}">
                  <c15:fullRef>
                    <c15:sqref>ExpBase!$L$262:$M$262</c15:sqref>
                  </c15:fullRef>
                </c:ext>
              </c:extLst>
              <c:f>ExpBase!$L$262</c:f>
              <c:numCache>
                <c:formatCode>_(* #,##0.00_);_(* \(#,##0.00\);_(* "-"??_);_(@_)</c:formatCode>
                <c:ptCount val="1"/>
                <c:pt idx="0" formatCode="0.00">
                  <c:v>7.9494962292768298E-2</c:v>
                </c:pt>
              </c:numCache>
            </c:numRef>
          </c:val>
          <c:extLst>
            <c:ext xmlns:c16="http://schemas.microsoft.com/office/drawing/2014/chart" uri="{C3380CC4-5D6E-409C-BE32-E72D297353CC}">
              <c16:uniqueId val="{00000003-CDEE-4EBE-92A7-F08948C39733}"/>
            </c:ext>
          </c:extLst>
        </c:ser>
        <c:ser>
          <c:idx val="4"/>
          <c:order val="4"/>
          <c:tx>
            <c:strRef>
              <c:f>ExpBase!$K$263</c:f>
              <c:strCache>
                <c:ptCount val="1"/>
                <c:pt idx="0">
                  <c:v>Valerate</c:v>
                </c:pt>
              </c:strCache>
            </c:strRef>
          </c:tx>
          <c:spPr>
            <a:solidFill>
              <a:srgbClr val="FFCCCC"/>
            </a:solidFill>
            <a:ln>
              <a:noFill/>
            </a:ln>
            <a:effectLst/>
          </c:spPr>
          <c:invertIfNegative val="0"/>
          <c:cat>
            <c:strRef>
              <c:extLst>
                <c:ext xmlns:c15="http://schemas.microsoft.com/office/drawing/2012/chart" uri="{02D57815-91ED-43cb-92C2-25804820EDAC}">
                  <c15:fullRef>
                    <c15:sqref>ExpBase!$L$258:$M$258</c15:sqref>
                  </c15:fullRef>
                </c:ext>
              </c:extLst>
              <c:f>ExpBase!$L$258</c:f>
              <c:strCache>
                <c:ptCount val="1"/>
                <c:pt idx="0">
                  <c:v>Manure Digestate</c:v>
                </c:pt>
              </c:strCache>
            </c:strRef>
          </c:cat>
          <c:val>
            <c:numRef>
              <c:extLst>
                <c:ext xmlns:c15="http://schemas.microsoft.com/office/drawing/2012/chart" uri="{02D57815-91ED-43cb-92C2-25804820EDAC}">
                  <c15:fullRef>
                    <c15:sqref>ExpBase!$L$263:$M$263</c15:sqref>
                  </c15:fullRef>
                </c:ext>
              </c:extLst>
              <c:f>ExpBase!$L$263</c:f>
              <c:numCache>
                <c:formatCode>_(* #,##0.00_);_(* \(#,##0.00\);_(* "-"??_);_(@_)</c:formatCode>
                <c:ptCount val="1"/>
                <c:pt idx="0" formatCode="0.00">
                  <c:v>1.0228562012312925</c:v>
                </c:pt>
              </c:numCache>
            </c:numRef>
          </c:val>
          <c:extLst>
            <c:ext xmlns:c16="http://schemas.microsoft.com/office/drawing/2014/chart" uri="{C3380CC4-5D6E-409C-BE32-E72D297353CC}">
              <c16:uniqueId val="{00000004-CDEE-4EBE-92A7-F08948C39733}"/>
            </c:ext>
          </c:extLst>
        </c:ser>
        <c:ser>
          <c:idx val="5"/>
          <c:order val="5"/>
          <c:tx>
            <c:strRef>
              <c:f>ExpBase!$K$264</c:f>
              <c:strCache>
                <c:ptCount val="1"/>
                <c:pt idx="0">
                  <c:v>Isovalerate</c:v>
                </c:pt>
              </c:strCache>
            </c:strRef>
          </c:tx>
          <c:spPr>
            <a:solidFill>
              <a:srgbClr val="FF9999"/>
            </a:solidFill>
            <a:ln>
              <a:noFill/>
            </a:ln>
            <a:effectLst/>
          </c:spPr>
          <c:invertIfNegative val="0"/>
          <c:cat>
            <c:strRef>
              <c:extLst>
                <c:ext xmlns:c15="http://schemas.microsoft.com/office/drawing/2012/chart" uri="{02D57815-91ED-43cb-92C2-25804820EDAC}">
                  <c15:fullRef>
                    <c15:sqref>ExpBase!$L$258:$M$258</c15:sqref>
                  </c15:fullRef>
                </c:ext>
              </c:extLst>
              <c:f>ExpBase!$L$258</c:f>
              <c:strCache>
                <c:ptCount val="1"/>
                <c:pt idx="0">
                  <c:v>Manure Digestate</c:v>
                </c:pt>
              </c:strCache>
            </c:strRef>
          </c:cat>
          <c:val>
            <c:numRef>
              <c:extLst>
                <c:ext xmlns:c15="http://schemas.microsoft.com/office/drawing/2012/chart" uri="{02D57815-91ED-43cb-92C2-25804820EDAC}">
                  <c15:fullRef>
                    <c15:sqref>ExpBase!$L$264:$M$264</c15:sqref>
                  </c15:fullRef>
                </c:ext>
              </c:extLst>
              <c:f>ExpBase!$L$264</c:f>
              <c:numCache>
                <c:formatCode>_(* #,##0.00_);_(* \(#,##0.00\);_(* "-"??_);_(@_)</c:formatCode>
                <c:ptCount val="1"/>
                <c:pt idx="0" formatCode="0.00">
                  <c:v>0</c:v>
                </c:pt>
              </c:numCache>
            </c:numRef>
          </c:val>
          <c:extLst>
            <c:ext xmlns:c16="http://schemas.microsoft.com/office/drawing/2014/chart" uri="{C3380CC4-5D6E-409C-BE32-E72D297353CC}">
              <c16:uniqueId val="{00000005-CDEE-4EBE-92A7-F08948C39733}"/>
            </c:ext>
          </c:extLst>
        </c:ser>
        <c:ser>
          <c:idx val="6"/>
          <c:order val="6"/>
          <c:tx>
            <c:strRef>
              <c:f>ExpBase!$K$265</c:f>
              <c:strCache>
                <c:ptCount val="1"/>
                <c:pt idx="0">
                  <c:v>Caproate</c:v>
                </c:pt>
              </c:strCache>
            </c:strRef>
          </c:tx>
          <c:spPr>
            <a:solidFill>
              <a:srgbClr val="FFCCFF"/>
            </a:solidFill>
            <a:ln>
              <a:noFill/>
            </a:ln>
            <a:effectLst/>
          </c:spPr>
          <c:invertIfNegative val="0"/>
          <c:cat>
            <c:strRef>
              <c:extLst>
                <c:ext xmlns:c15="http://schemas.microsoft.com/office/drawing/2012/chart" uri="{02D57815-91ED-43cb-92C2-25804820EDAC}">
                  <c15:fullRef>
                    <c15:sqref>ExpBase!$L$258:$M$258</c15:sqref>
                  </c15:fullRef>
                </c:ext>
              </c:extLst>
              <c:f>ExpBase!$L$258</c:f>
              <c:strCache>
                <c:ptCount val="1"/>
                <c:pt idx="0">
                  <c:v>Manure Digestate</c:v>
                </c:pt>
              </c:strCache>
            </c:strRef>
          </c:cat>
          <c:val>
            <c:numRef>
              <c:extLst>
                <c:ext xmlns:c15="http://schemas.microsoft.com/office/drawing/2012/chart" uri="{02D57815-91ED-43cb-92C2-25804820EDAC}">
                  <c15:fullRef>
                    <c15:sqref>ExpBase!$L$265:$M$265</c15:sqref>
                  </c15:fullRef>
                </c:ext>
              </c:extLst>
              <c:f>ExpBase!$L$265</c:f>
              <c:numCache>
                <c:formatCode>_(* #,##0.00_);_(* \(#,##0.00\);_(* "-"??_);_(@_)</c:formatCode>
                <c:ptCount val="1"/>
                <c:pt idx="0" formatCode="0.00">
                  <c:v>0.35972138181229085</c:v>
                </c:pt>
              </c:numCache>
            </c:numRef>
          </c:val>
          <c:extLst>
            <c:ext xmlns:c16="http://schemas.microsoft.com/office/drawing/2014/chart" uri="{C3380CC4-5D6E-409C-BE32-E72D297353CC}">
              <c16:uniqueId val="{00000006-CDEE-4EBE-92A7-F08948C39733}"/>
            </c:ext>
          </c:extLst>
        </c:ser>
        <c:ser>
          <c:idx val="7"/>
          <c:order val="7"/>
          <c:tx>
            <c:strRef>
              <c:f>ExpBase!$K$266</c:f>
              <c:strCache>
                <c:ptCount val="1"/>
                <c:pt idx="0">
                  <c:v>Heptanoate</c:v>
                </c:pt>
              </c:strCache>
            </c:strRef>
          </c:tx>
          <c:spPr>
            <a:solidFill>
              <a:srgbClr val="FF99FF"/>
            </a:solidFill>
            <a:ln>
              <a:noFill/>
            </a:ln>
            <a:effectLst/>
          </c:spPr>
          <c:invertIfNegative val="0"/>
          <c:cat>
            <c:strRef>
              <c:extLst>
                <c:ext xmlns:c15="http://schemas.microsoft.com/office/drawing/2012/chart" uri="{02D57815-91ED-43cb-92C2-25804820EDAC}">
                  <c15:fullRef>
                    <c15:sqref>ExpBase!$L$258:$M$258</c15:sqref>
                  </c15:fullRef>
                </c:ext>
              </c:extLst>
              <c:f>ExpBase!$L$258</c:f>
              <c:strCache>
                <c:ptCount val="1"/>
                <c:pt idx="0">
                  <c:v>Manure Digestate</c:v>
                </c:pt>
              </c:strCache>
            </c:strRef>
          </c:cat>
          <c:val>
            <c:numRef>
              <c:extLst>
                <c:ext xmlns:c15="http://schemas.microsoft.com/office/drawing/2012/chart" uri="{02D57815-91ED-43cb-92C2-25804820EDAC}">
                  <c15:fullRef>
                    <c15:sqref>ExpBase!$L$266:$M$266</c15:sqref>
                  </c15:fullRef>
                </c:ext>
              </c:extLst>
              <c:f>ExpBase!$L$266</c:f>
              <c:numCache>
                <c:formatCode>_(* #,##0.00_);_(* \(#,##0.00\);_(* "-"??_);_(@_)</c:formatCode>
                <c:ptCount val="1"/>
                <c:pt idx="0" formatCode="0.00">
                  <c:v>0</c:v>
                </c:pt>
              </c:numCache>
            </c:numRef>
          </c:val>
          <c:extLst>
            <c:ext xmlns:c16="http://schemas.microsoft.com/office/drawing/2014/chart" uri="{C3380CC4-5D6E-409C-BE32-E72D297353CC}">
              <c16:uniqueId val="{00000007-CDEE-4EBE-92A7-F08948C39733}"/>
            </c:ext>
          </c:extLst>
        </c:ser>
        <c:ser>
          <c:idx val="8"/>
          <c:order val="8"/>
          <c:tx>
            <c:strRef>
              <c:f>ExpBase!$K$267</c:f>
              <c:strCache>
                <c:ptCount val="1"/>
                <c:pt idx="0">
                  <c:v>Phosphate</c:v>
                </c:pt>
              </c:strCache>
            </c:strRef>
          </c:tx>
          <c:spPr>
            <a:solidFill>
              <a:srgbClr val="33CC33"/>
            </a:solidFill>
            <a:ln>
              <a:noFill/>
            </a:ln>
            <a:effectLst/>
          </c:spPr>
          <c:invertIfNegative val="0"/>
          <c:cat>
            <c:strRef>
              <c:extLst>
                <c:ext xmlns:c15="http://schemas.microsoft.com/office/drawing/2012/chart" uri="{02D57815-91ED-43cb-92C2-25804820EDAC}">
                  <c15:fullRef>
                    <c15:sqref>ExpBase!$L$258:$M$258</c15:sqref>
                  </c15:fullRef>
                </c:ext>
              </c:extLst>
              <c:f>ExpBase!$L$258</c:f>
              <c:strCache>
                <c:ptCount val="1"/>
                <c:pt idx="0">
                  <c:v>Manure Digestate</c:v>
                </c:pt>
              </c:strCache>
            </c:strRef>
          </c:cat>
          <c:val>
            <c:numRef>
              <c:extLst>
                <c:ext xmlns:c15="http://schemas.microsoft.com/office/drawing/2012/chart" uri="{02D57815-91ED-43cb-92C2-25804820EDAC}">
                  <c15:fullRef>
                    <c15:sqref>ExpBase!$L$267:$M$267</c15:sqref>
                  </c15:fullRef>
                </c:ext>
              </c:extLst>
              <c:f>ExpBase!$L$267</c:f>
              <c:numCache>
                <c:formatCode>0.00</c:formatCode>
                <c:ptCount val="1"/>
                <c:pt idx="0">
                  <c:v>4.9834981831999992</c:v>
                </c:pt>
              </c:numCache>
            </c:numRef>
          </c:val>
          <c:extLst>
            <c:ext xmlns:c16="http://schemas.microsoft.com/office/drawing/2014/chart" uri="{C3380CC4-5D6E-409C-BE32-E72D297353CC}">
              <c16:uniqueId val="{00000008-CDEE-4EBE-92A7-F08948C39733}"/>
            </c:ext>
          </c:extLst>
        </c:ser>
        <c:ser>
          <c:idx val="9"/>
          <c:order val="9"/>
          <c:tx>
            <c:strRef>
              <c:f>ExpBase!$K$268</c:f>
              <c:strCache>
                <c:ptCount val="1"/>
                <c:pt idx="0">
                  <c:v>Sulfate</c:v>
                </c:pt>
              </c:strCache>
            </c:strRef>
          </c:tx>
          <c:spPr>
            <a:solidFill>
              <a:srgbClr val="CCFF66"/>
            </a:solidFill>
            <a:ln>
              <a:noFill/>
            </a:ln>
            <a:effectLst/>
          </c:spPr>
          <c:invertIfNegative val="0"/>
          <c:cat>
            <c:strRef>
              <c:extLst>
                <c:ext xmlns:c15="http://schemas.microsoft.com/office/drawing/2012/chart" uri="{02D57815-91ED-43cb-92C2-25804820EDAC}">
                  <c15:fullRef>
                    <c15:sqref>ExpBase!$L$258:$M$258</c15:sqref>
                  </c15:fullRef>
                </c:ext>
              </c:extLst>
              <c:f>ExpBase!$L$258</c:f>
              <c:strCache>
                <c:ptCount val="1"/>
                <c:pt idx="0">
                  <c:v>Manure Digestate</c:v>
                </c:pt>
              </c:strCache>
            </c:strRef>
          </c:cat>
          <c:val>
            <c:numRef>
              <c:extLst>
                <c:ext xmlns:c15="http://schemas.microsoft.com/office/drawing/2012/chart" uri="{02D57815-91ED-43cb-92C2-25804820EDAC}">
                  <c15:fullRef>
                    <c15:sqref>ExpBase!$L$268:$M$268</c15:sqref>
                  </c15:fullRef>
                </c:ext>
              </c:extLst>
              <c:f>ExpBase!$L$268</c:f>
              <c:numCache>
                <c:formatCode>General</c:formatCode>
                <c:ptCount val="1"/>
                <c:pt idx="0" formatCode="0.00">
                  <c:v>1.0360661655999999</c:v>
                </c:pt>
              </c:numCache>
            </c:numRef>
          </c:val>
          <c:extLst>
            <c:ext xmlns:c16="http://schemas.microsoft.com/office/drawing/2014/chart" uri="{C3380CC4-5D6E-409C-BE32-E72D297353CC}">
              <c16:uniqueId val="{00000009-CDEE-4EBE-92A7-F08948C39733}"/>
            </c:ext>
          </c:extLst>
        </c:ser>
        <c:ser>
          <c:idx val="10"/>
          <c:order val="10"/>
          <c:tx>
            <c:strRef>
              <c:f>ExpBase!$K$269</c:f>
              <c:strCache>
                <c:ptCount val="1"/>
                <c:pt idx="0">
                  <c:v>Ammonia</c:v>
                </c:pt>
              </c:strCache>
            </c:strRef>
          </c:tx>
          <c:spPr>
            <a:solidFill>
              <a:srgbClr val="CCCC00"/>
            </a:solidFill>
            <a:ln>
              <a:noFill/>
            </a:ln>
            <a:effectLst/>
          </c:spPr>
          <c:invertIfNegative val="0"/>
          <c:cat>
            <c:strRef>
              <c:extLst>
                <c:ext xmlns:c15="http://schemas.microsoft.com/office/drawing/2012/chart" uri="{02D57815-91ED-43cb-92C2-25804820EDAC}">
                  <c15:fullRef>
                    <c15:sqref>ExpBase!$L$258:$M$258</c15:sqref>
                  </c15:fullRef>
                </c:ext>
              </c:extLst>
              <c:f>ExpBase!$L$258</c:f>
              <c:strCache>
                <c:ptCount val="1"/>
                <c:pt idx="0">
                  <c:v>Manure Digestate</c:v>
                </c:pt>
              </c:strCache>
            </c:strRef>
          </c:cat>
          <c:val>
            <c:numRef>
              <c:extLst>
                <c:ext xmlns:c15="http://schemas.microsoft.com/office/drawing/2012/chart" uri="{02D57815-91ED-43cb-92C2-25804820EDAC}">
                  <c15:fullRef>
                    <c15:sqref>ExpBase!$L$269:$M$269</c15:sqref>
                  </c15:fullRef>
                </c:ext>
              </c:extLst>
              <c:f>ExpBase!$L$269</c:f>
              <c:numCache>
                <c:formatCode>0.00</c:formatCode>
                <c:ptCount val="1"/>
                <c:pt idx="0">
                  <c:v>7.0295506570399997</c:v>
                </c:pt>
              </c:numCache>
            </c:numRef>
          </c:val>
          <c:extLst>
            <c:ext xmlns:c16="http://schemas.microsoft.com/office/drawing/2014/chart" uri="{C3380CC4-5D6E-409C-BE32-E72D297353CC}">
              <c16:uniqueId val="{0000000A-CDEE-4EBE-92A7-F08948C39733}"/>
            </c:ext>
          </c:extLst>
        </c:ser>
        <c:ser>
          <c:idx val="13"/>
          <c:order val="13"/>
          <c:tx>
            <c:strRef>
              <c:f>ExpBase!$K$272</c:f>
              <c:strCache>
                <c:ptCount val="1"/>
                <c:pt idx="0">
                  <c:v>m:m% VFAs </c:v>
                </c:pt>
              </c:strCache>
            </c:strRef>
          </c:tx>
          <c:spPr>
            <a:solidFill>
              <a:srgbClr val="FF00FF"/>
            </a:solidFill>
            <a:ln w="25400">
              <a:solidFill>
                <a:schemeClr val="tx1"/>
              </a:solidFill>
            </a:ln>
            <a:effectLst/>
          </c:spPr>
          <c:invertIfNegative val="0"/>
          <c:cat>
            <c:strRef>
              <c:extLst>
                <c:ext xmlns:c15="http://schemas.microsoft.com/office/drawing/2012/chart" uri="{02D57815-91ED-43cb-92C2-25804820EDAC}">
                  <c15:fullRef>
                    <c15:sqref>ExpBase!$L$258:$M$258</c15:sqref>
                  </c15:fullRef>
                </c:ext>
              </c:extLst>
              <c:f>ExpBase!$L$258</c:f>
              <c:strCache>
                <c:ptCount val="1"/>
                <c:pt idx="0">
                  <c:v>Manure Digestate</c:v>
                </c:pt>
              </c:strCache>
            </c:strRef>
          </c:cat>
          <c:val>
            <c:numRef>
              <c:extLst>
                <c:ext xmlns:c15="http://schemas.microsoft.com/office/drawing/2012/chart" uri="{02D57815-91ED-43cb-92C2-25804820EDAC}">
                  <c15:fullRef>
                    <c15:sqref>ExpBase!$L$273:$M$273</c15:sqref>
                  </c15:fullRef>
                </c:ext>
              </c:extLst>
              <c:f>ExpBase!$L$273</c:f>
              <c:numCache>
                <c:formatCode>General</c:formatCode>
                <c:ptCount val="1"/>
              </c:numCache>
            </c:numRef>
          </c:val>
          <c:extLst>
            <c:ext xmlns:c16="http://schemas.microsoft.com/office/drawing/2014/chart" uri="{C3380CC4-5D6E-409C-BE32-E72D297353CC}">
              <c16:uniqueId val="{0000000B-CDEE-4EBE-92A7-F08948C39733}"/>
            </c:ext>
          </c:extLst>
        </c:ser>
        <c:dLbls>
          <c:showLegendKey val="0"/>
          <c:showVal val="0"/>
          <c:showCatName val="0"/>
          <c:showSerName val="0"/>
          <c:showPercent val="0"/>
          <c:showBubbleSize val="0"/>
        </c:dLbls>
        <c:gapWidth val="70"/>
        <c:overlap val="100"/>
        <c:axId val="1439776575"/>
        <c:axId val="1439769855"/>
      </c:barChart>
      <c:barChart>
        <c:barDir val="col"/>
        <c:grouping val="stacked"/>
        <c:varyColors val="0"/>
        <c:ser>
          <c:idx val="11"/>
          <c:order val="11"/>
          <c:tx>
            <c:strRef>
              <c:f>ExpBase!$K$270</c:f>
              <c:strCache>
                <c:ptCount val="1"/>
                <c:pt idx="0">
                  <c:v>Total Flow Rate  </c:v>
                </c:pt>
              </c:strCache>
            </c:strRef>
          </c:tx>
          <c:spPr>
            <a:solidFill>
              <a:schemeClr val="tx1">
                <a:alpha val="35000"/>
              </a:schemeClr>
            </a:solidFill>
            <a:ln>
              <a:noFill/>
            </a:ln>
            <a:effectLst/>
          </c:spPr>
          <c:invertIfNegative val="0"/>
          <c:cat>
            <c:strRef>
              <c:extLst>
                <c:ext xmlns:c15="http://schemas.microsoft.com/office/drawing/2012/chart" uri="{02D57815-91ED-43cb-92C2-25804820EDAC}">
                  <c15:fullRef>
                    <c15:sqref>ExpBase!$L$258:$M$258</c15:sqref>
                  </c15:fullRef>
                </c:ext>
              </c:extLst>
              <c:f>ExpBase!$L$258</c:f>
              <c:strCache>
                <c:ptCount val="1"/>
                <c:pt idx="0">
                  <c:v>Manure Digestate</c:v>
                </c:pt>
              </c:strCache>
            </c:strRef>
          </c:cat>
          <c:val>
            <c:numRef>
              <c:extLst>
                <c:ext xmlns:c15="http://schemas.microsoft.com/office/drawing/2012/chart" uri="{02D57815-91ED-43cb-92C2-25804820EDAC}">
                  <c15:fullRef>
                    <c15:sqref>ExpBase!$L$270:$M$270</c15:sqref>
                  </c15:fullRef>
                </c:ext>
              </c:extLst>
              <c:f>ExpBase!$L$270</c:f>
              <c:numCache>
                <c:formatCode>_(* #,##0.00_);_(* \(#,##0.00\);_(* "-"??_);_(@_)</c:formatCode>
                <c:ptCount val="1"/>
                <c:pt idx="0">
                  <c:v>36.512693737579752</c:v>
                </c:pt>
              </c:numCache>
            </c:numRef>
          </c:val>
          <c:extLst>
            <c:ext xmlns:c16="http://schemas.microsoft.com/office/drawing/2014/chart" uri="{C3380CC4-5D6E-409C-BE32-E72D297353CC}">
              <c16:uniqueId val="{0000000C-CDEE-4EBE-92A7-F08948C39733}"/>
            </c:ext>
          </c:extLst>
        </c:ser>
        <c:ser>
          <c:idx val="12"/>
          <c:order val="12"/>
          <c:tx>
            <c:strRef>
              <c:f>ExpBase!$K$271</c:f>
              <c:strCache>
                <c:ptCount val="1"/>
                <c:pt idx="0">
                  <c:v>VFAs in Flow</c:v>
                </c:pt>
              </c:strCache>
            </c:strRef>
          </c:tx>
          <c:spPr>
            <a:solidFill>
              <a:srgbClr val="FF00FF"/>
            </a:solidFill>
            <a:ln>
              <a:noFill/>
            </a:ln>
            <a:effectLst/>
          </c:spPr>
          <c:invertIfNegative val="0"/>
          <c:dLbls>
            <c:dLbl>
              <c:idx val="0"/>
              <c:tx>
                <c:rich>
                  <a:bodyPr/>
                  <a:lstStyle/>
                  <a:p>
                    <a:fld id="{2FAD4649-A793-F94D-BB66-6CAB88543404}"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CDEE-4EBE-92A7-F08948C39733}"/>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00FF"/>
                    </a:solidFill>
                    <a:latin typeface="Arial Nova Cond" panose="020B0506020202020204" pitchFamily="34" charset="0"/>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ExpBase!$L$258:$M$258</c15:sqref>
                  </c15:fullRef>
                </c:ext>
              </c:extLst>
              <c:f>ExpBase!$L$258</c:f>
              <c:strCache>
                <c:ptCount val="1"/>
                <c:pt idx="0">
                  <c:v>Manure Digestate</c:v>
                </c:pt>
              </c:strCache>
            </c:strRef>
          </c:cat>
          <c:val>
            <c:numRef>
              <c:extLst>
                <c:ext xmlns:c15="http://schemas.microsoft.com/office/drawing/2012/chart" uri="{02D57815-91ED-43cb-92C2-25804820EDAC}">
                  <c15:fullRef>
                    <c15:sqref>ExpBase!$L$271:$M$271</c15:sqref>
                  </c15:fullRef>
                </c:ext>
              </c:extLst>
              <c:f>ExpBase!$L$271</c:f>
              <c:numCache>
                <c:formatCode>_(* #,##0.00_);_(* \(#,##0.00\);_(* "-"??_);_(@_)</c:formatCode>
                <c:ptCount val="1"/>
                <c:pt idx="0" formatCode="0.00">
                  <c:v>0.18006555791926931</c:v>
                </c:pt>
              </c:numCache>
            </c:numRef>
          </c:val>
          <c:extLst>
            <c:ext xmlns:c15="http://schemas.microsoft.com/office/drawing/2012/chart" uri="{02D57815-91ED-43cb-92C2-25804820EDAC}">
              <c15:datalabelsRange>
                <c15:f>ExpBase!$L$272:$M$272</c15:f>
                <c15:dlblRangeCache>
                  <c:ptCount val="2"/>
                  <c:pt idx="0">
                    <c:v>0.47%</c:v>
                  </c:pt>
                  <c:pt idx="1">
                    <c:v>5.14%</c:v>
                  </c:pt>
                </c15:dlblRangeCache>
              </c15:datalabelsRange>
            </c:ext>
            <c:ext xmlns:c16="http://schemas.microsoft.com/office/drawing/2014/chart" uri="{C3380CC4-5D6E-409C-BE32-E72D297353CC}">
              <c16:uniqueId val="{0000000F-CDEE-4EBE-92A7-F08948C39733}"/>
            </c:ext>
          </c:extLst>
        </c:ser>
        <c:dLbls>
          <c:showLegendKey val="0"/>
          <c:showVal val="0"/>
          <c:showCatName val="0"/>
          <c:showSerName val="0"/>
          <c:showPercent val="0"/>
          <c:showBubbleSize val="0"/>
        </c:dLbls>
        <c:gapWidth val="500"/>
        <c:overlap val="100"/>
        <c:axId val="1439809695"/>
        <c:axId val="1439813535"/>
      </c:barChart>
      <c:catAx>
        <c:axId val="143977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crossAx val="1439769855"/>
        <c:crosses val="autoZero"/>
        <c:auto val="1"/>
        <c:lblAlgn val="ctr"/>
        <c:lblOffset val="100"/>
        <c:noMultiLvlLbl val="0"/>
      </c:catAx>
      <c:valAx>
        <c:axId val="1439769855"/>
        <c:scaling>
          <c:orientation val="minMax"/>
          <c:max val="20"/>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t>Species Concentration </a:t>
                </a:r>
                <a:r>
                  <a:rPr lang="en-US" b="0"/>
                  <a:t>[g/L]</a:t>
                </a:r>
              </a:p>
            </c:rich>
          </c:tx>
          <c:layout>
            <c:manualLayout>
              <c:xMode val="edge"/>
              <c:yMode val="edge"/>
              <c:x val="2.1145364669666114E-2"/>
              <c:y val="0.19103089204732765"/>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0"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crossAx val="1439776575"/>
        <c:crosses val="autoZero"/>
        <c:crossBetween val="between"/>
        <c:majorUnit val="4"/>
      </c:valAx>
      <c:valAx>
        <c:axId val="1439813535"/>
        <c:scaling>
          <c:orientation val="minMax"/>
          <c:max val="250"/>
          <c:min val="0"/>
        </c:scaling>
        <c:delete val="0"/>
        <c:axPos val="r"/>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solidFill>
                      <a:sysClr val="windowText" lastClr="000000"/>
                    </a:solidFill>
                  </a:rPr>
                  <a:t>Volumetric Flow Rate </a:t>
                </a:r>
                <a:r>
                  <a:rPr lang="en-US" b="0">
                    <a:solidFill>
                      <a:sysClr val="windowText" lastClr="000000"/>
                    </a:solidFill>
                  </a:rPr>
                  <a:t>[m</a:t>
                </a:r>
                <a:r>
                  <a:rPr lang="en-US" b="0" baseline="30000">
                    <a:solidFill>
                      <a:sysClr val="windowText" lastClr="000000"/>
                    </a:solidFill>
                  </a:rPr>
                  <a:t>3</a:t>
                </a:r>
                <a:r>
                  <a:rPr lang="en-US" b="0">
                    <a:solidFill>
                      <a:sysClr val="windowText" lastClr="000000"/>
                    </a:solidFill>
                  </a:rPr>
                  <a:t>/hr]</a:t>
                </a:r>
              </a:p>
            </c:rich>
          </c:tx>
          <c:layout>
            <c:manualLayout>
              <c:xMode val="edge"/>
              <c:yMode val="edge"/>
              <c:x val="0.926650906785636"/>
              <c:y val="0.15306422904033545"/>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_(* #,##0_);_(* \(#,##0\);_(* &quot;-&quot;_);_(@_)"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crossAx val="1439809695"/>
        <c:crosses val="max"/>
        <c:crossBetween val="between"/>
        <c:majorUnit val="50"/>
      </c:valAx>
      <c:catAx>
        <c:axId val="1439809695"/>
        <c:scaling>
          <c:orientation val="minMax"/>
        </c:scaling>
        <c:delete val="1"/>
        <c:axPos val="b"/>
        <c:numFmt formatCode="General" sourceLinked="1"/>
        <c:majorTickMark val="out"/>
        <c:minorTickMark val="none"/>
        <c:tickLblPos val="nextTo"/>
        <c:crossAx val="1439813535"/>
        <c:crosses val="autoZero"/>
        <c:auto val="1"/>
        <c:lblAlgn val="ctr"/>
        <c:lblOffset val="100"/>
        <c:noMultiLvlLbl val="0"/>
      </c:catAx>
      <c:spPr>
        <a:noFill/>
        <a:ln w="15875">
          <a:solidFill>
            <a:schemeClr val="tx1"/>
          </a:solidFill>
        </a:ln>
        <a:effectLst/>
      </c:spPr>
    </c:plotArea>
    <c:legend>
      <c:legendPos val="b"/>
      <c:layout>
        <c:manualLayout>
          <c:xMode val="edge"/>
          <c:yMode val="edge"/>
          <c:x val="1.8667675526876634E-2"/>
          <c:y val="0.7972134951615778"/>
          <c:w val="0.96266446394743077"/>
          <c:h val="0.1805951137003009"/>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9050"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0" baseline="0">
                <a:solidFill>
                  <a:sysClr val="windowText" lastClr="000000"/>
                </a:solidFill>
                <a:latin typeface="Arial Nova Cond" panose="020B0506020202020204" pitchFamily="34" charset="0"/>
                <a:ea typeface="+mn-ea"/>
                <a:cs typeface="+mn-cs"/>
              </a:defRPr>
            </a:pPr>
            <a:r>
              <a:rPr lang="en-US" b="1" cap="all" baseline="0"/>
              <a:t>Digestate Characteristics</a:t>
            </a:r>
          </a:p>
        </c:rich>
      </c:tx>
      <c:layout>
        <c:manualLayout>
          <c:xMode val="edge"/>
          <c:yMode val="edge"/>
          <c:x val="5.6827282041912688E-2"/>
          <c:y val="1.8763328242118443E-2"/>
        </c:manualLayout>
      </c:layout>
      <c:overlay val="0"/>
      <c:spPr>
        <a:noFill/>
        <a:ln>
          <a:noFill/>
        </a:ln>
        <a:effectLst/>
      </c:spPr>
      <c:txPr>
        <a:bodyPr rot="0" spcFirstLastPara="1" vertOverflow="ellipsis" vert="horz" wrap="square" anchor="ctr" anchorCtr="1"/>
        <a:lstStyle/>
        <a:p>
          <a:pPr>
            <a:defRPr sz="1400" b="1" i="0" u="none" strike="noStrike" kern="1200" cap="all"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2211353369316698"/>
          <c:y val="0.14068571428571428"/>
          <c:w val="0.73604743724735033"/>
          <c:h val="0.57075725534308219"/>
        </c:manualLayout>
      </c:layout>
      <c:barChart>
        <c:barDir val="col"/>
        <c:grouping val="stacked"/>
        <c:varyColors val="0"/>
        <c:ser>
          <c:idx val="0"/>
          <c:order val="0"/>
          <c:tx>
            <c:strRef>
              <c:f>ExpBase!$K$259</c:f>
              <c:strCache>
                <c:ptCount val="1"/>
                <c:pt idx="0">
                  <c:v>Acetate</c:v>
                </c:pt>
              </c:strCache>
            </c:strRef>
          </c:tx>
          <c:spPr>
            <a:solidFill>
              <a:srgbClr val="F6C6AD"/>
            </a:solidFill>
            <a:ln>
              <a:noFill/>
            </a:ln>
            <a:effectLst/>
          </c:spPr>
          <c:invertIfNegative val="0"/>
          <c:cat>
            <c:strRef>
              <c:extLst>
                <c:ext xmlns:c15="http://schemas.microsoft.com/office/drawing/2012/chart" uri="{02D57815-91ED-43cb-92C2-25804820EDAC}">
                  <c15:fullRef>
                    <c15:sqref>ExpBase!$L$258:$M$258</c15:sqref>
                  </c15:fullRef>
                </c:ext>
              </c:extLst>
              <c:f>ExpBase!$M$258</c:f>
              <c:strCache>
                <c:ptCount val="1"/>
                <c:pt idx="0">
                  <c:v>Food Waste Digestate</c:v>
                </c:pt>
              </c:strCache>
            </c:strRef>
          </c:cat>
          <c:val>
            <c:numRef>
              <c:extLst>
                <c:ext xmlns:c15="http://schemas.microsoft.com/office/drawing/2012/chart" uri="{02D57815-91ED-43cb-92C2-25804820EDAC}">
                  <c15:fullRef>
                    <c15:sqref>ExpBase!$L$259:$M$259</c15:sqref>
                  </c15:fullRef>
                </c:ext>
              </c:extLst>
              <c:f>ExpBase!$M$259</c:f>
              <c:numCache>
                <c:formatCode>_(* #,##0.00_);_(* \(#,##0.00\);_(* "-"??_);_(@_)</c:formatCode>
                <c:ptCount val="1"/>
                <c:pt idx="0">
                  <c:v>7.5300949920786744</c:v>
                </c:pt>
              </c:numCache>
            </c:numRef>
          </c:val>
          <c:extLst>
            <c:ext xmlns:c16="http://schemas.microsoft.com/office/drawing/2014/chart" uri="{C3380CC4-5D6E-409C-BE32-E72D297353CC}">
              <c16:uniqueId val="{00000000-7AC8-4235-9932-9755C6373090}"/>
            </c:ext>
          </c:extLst>
        </c:ser>
        <c:ser>
          <c:idx val="1"/>
          <c:order val="1"/>
          <c:tx>
            <c:strRef>
              <c:f>ExpBase!$K$260</c:f>
              <c:strCache>
                <c:ptCount val="1"/>
                <c:pt idx="0">
                  <c:v>Propionate</c:v>
                </c:pt>
              </c:strCache>
            </c:strRef>
          </c:tx>
          <c:spPr>
            <a:solidFill>
              <a:srgbClr val="F2AA84"/>
            </a:solidFill>
            <a:ln>
              <a:noFill/>
            </a:ln>
            <a:effectLst/>
          </c:spPr>
          <c:invertIfNegative val="0"/>
          <c:cat>
            <c:strRef>
              <c:extLst>
                <c:ext xmlns:c15="http://schemas.microsoft.com/office/drawing/2012/chart" uri="{02D57815-91ED-43cb-92C2-25804820EDAC}">
                  <c15:fullRef>
                    <c15:sqref>ExpBase!$L$258:$M$258</c15:sqref>
                  </c15:fullRef>
                </c:ext>
              </c:extLst>
              <c:f>ExpBase!$M$258</c:f>
              <c:strCache>
                <c:ptCount val="1"/>
                <c:pt idx="0">
                  <c:v>Food Waste Digestate</c:v>
                </c:pt>
              </c:strCache>
            </c:strRef>
          </c:cat>
          <c:val>
            <c:numRef>
              <c:extLst>
                <c:ext xmlns:c15="http://schemas.microsoft.com/office/drawing/2012/chart" uri="{02D57815-91ED-43cb-92C2-25804820EDAC}">
                  <c15:fullRef>
                    <c15:sqref>ExpBase!$L$260:$M$260</c15:sqref>
                  </c15:fullRef>
                </c:ext>
              </c:extLst>
              <c:f>ExpBase!$M$260</c:f>
              <c:numCache>
                <c:formatCode>_(* #,##0.00_);_(* \(#,##0.00\);_(* "-"??_);_(@_)</c:formatCode>
                <c:ptCount val="1"/>
                <c:pt idx="0">
                  <c:v>6.3929425407901537</c:v>
                </c:pt>
              </c:numCache>
            </c:numRef>
          </c:val>
          <c:extLst>
            <c:ext xmlns:c16="http://schemas.microsoft.com/office/drawing/2014/chart" uri="{C3380CC4-5D6E-409C-BE32-E72D297353CC}">
              <c16:uniqueId val="{00000001-7AC8-4235-9932-9755C6373090}"/>
            </c:ext>
          </c:extLst>
        </c:ser>
        <c:ser>
          <c:idx val="2"/>
          <c:order val="2"/>
          <c:tx>
            <c:strRef>
              <c:f>ExpBase!$K$261</c:f>
              <c:strCache>
                <c:ptCount val="1"/>
                <c:pt idx="0">
                  <c:v>Butyrate</c:v>
                </c:pt>
              </c:strCache>
            </c:strRef>
          </c:tx>
          <c:spPr>
            <a:solidFill>
              <a:srgbClr val="FFCC66"/>
            </a:solidFill>
            <a:ln>
              <a:noFill/>
            </a:ln>
            <a:effectLst/>
          </c:spPr>
          <c:invertIfNegative val="0"/>
          <c:cat>
            <c:strRef>
              <c:extLst>
                <c:ext xmlns:c15="http://schemas.microsoft.com/office/drawing/2012/chart" uri="{02D57815-91ED-43cb-92C2-25804820EDAC}">
                  <c15:fullRef>
                    <c15:sqref>ExpBase!$L$258:$M$258</c15:sqref>
                  </c15:fullRef>
                </c:ext>
              </c:extLst>
              <c:f>ExpBase!$M$258</c:f>
              <c:strCache>
                <c:ptCount val="1"/>
                <c:pt idx="0">
                  <c:v>Food Waste Digestate</c:v>
                </c:pt>
              </c:strCache>
            </c:strRef>
          </c:cat>
          <c:val>
            <c:numRef>
              <c:extLst>
                <c:ext xmlns:c15="http://schemas.microsoft.com/office/drawing/2012/chart" uri="{02D57815-91ED-43cb-92C2-25804820EDAC}">
                  <c15:fullRef>
                    <c15:sqref>ExpBase!$L$261:$M$261</c15:sqref>
                  </c15:fullRef>
                </c:ext>
              </c:extLst>
              <c:f>ExpBase!$M$261</c:f>
              <c:numCache>
                <c:formatCode>_(* #,##0.00_);_(* \(#,##0.00\);_(* "-"??_);_(@_)</c:formatCode>
                <c:ptCount val="1"/>
                <c:pt idx="0">
                  <c:v>19.420268325786253</c:v>
                </c:pt>
              </c:numCache>
            </c:numRef>
          </c:val>
          <c:extLst>
            <c:ext xmlns:c16="http://schemas.microsoft.com/office/drawing/2014/chart" uri="{C3380CC4-5D6E-409C-BE32-E72D297353CC}">
              <c16:uniqueId val="{00000002-7AC8-4235-9932-9755C6373090}"/>
            </c:ext>
          </c:extLst>
        </c:ser>
        <c:ser>
          <c:idx val="3"/>
          <c:order val="3"/>
          <c:tx>
            <c:strRef>
              <c:f>ExpBase!$K$262</c:f>
              <c:strCache>
                <c:ptCount val="1"/>
                <c:pt idx="0">
                  <c:v>Isobutyrate</c:v>
                </c:pt>
              </c:strCache>
            </c:strRef>
          </c:tx>
          <c:spPr>
            <a:solidFill>
              <a:srgbClr val="FF9933"/>
            </a:solidFill>
            <a:ln>
              <a:noFill/>
            </a:ln>
            <a:effectLst/>
          </c:spPr>
          <c:invertIfNegative val="0"/>
          <c:cat>
            <c:strRef>
              <c:extLst>
                <c:ext xmlns:c15="http://schemas.microsoft.com/office/drawing/2012/chart" uri="{02D57815-91ED-43cb-92C2-25804820EDAC}">
                  <c15:fullRef>
                    <c15:sqref>ExpBase!$L$258:$M$258</c15:sqref>
                  </c15:fullRef>
                </c:ext>
              </c:extLst>
              <c:f>ExpBase!$M$258</c:f>
              <c:strCache>
                <c:ptCount val="1"/>
                <c:pt idx="0">
                  <c:v>Food Waste Digestate</c:v>
                </c:pt>
              </c:strCache>
            </c:strRef>
          </c:cat>
          <c:val>
            <c:numRef>
              <c:extLst>
                <c:ext xmlns:c15="http://schemas.microsoft.com/office/drawing/2012/chart" uri="{02D57815-91ED-43cb-92C2-25804820EDAC}">
                  <c15:fullRef>
                    <c15:sqref>ExpBase!$L$262:$M$262</c15:sqref>
                  </c15:fullRef>
                </c:ext>
              </c:extLst>
              <c:f>ExpBase!$M$262</c:f>
              <c:numCache>
                <c:formatCode>_(* #,##0.00_);_(* \(#,##0.00\);_(* "-"??_);_(@_)</c:formatCode>
                <c:ptCount val="1"/>
                <c:pt idx="0">
                  <c:v>0</c:v>
                </c:pt>
              </c:numCache>
            </c:numRef>
          </c:val>
          <c:extLst>
            <c:ext xmlns:c16="http://schemas.microsoft.com/office/drawing/2014/chart" uri="{C3380CC4-5D6E-409C-BE32-E72D297353CC}">
              <c16:uniqueId val="{00000003-7AC8-4235-9932-9755C6373090}"/>
            </c:ext>
          </c:extLst>
        </c:ser>
        <c:ser>
          <c:idx val="4"/>
          <c:order val="4"/>
          <c:tx>
            <c:strRef>
              <c:f>ExpBase!$K$263</c:f>
              <c:strCache>
                <c:ptCount val="1"/>
                <c:pt idx="0">
                  <c:v>Valerate</c:v>
                </c:pt>
              </c:strCache>
            </c:strRef>
          </c:tx>
          <c:spPr>
            <a:solidFill>
              <a:srgbClr val="FFCCCC"/>
            </a:solidFill>
            <a:ln>
              <a:noFill/>
            </a:ln>
            <a:effectLst/>
          </c:spPr>
          <c:invertIfNegative val="0"/>
          <c:cat>
            <c:strRef>
              <c:extLst>
                <c:ext xmlns:c15="http://schemas.microsoft.com/office/drawing/2012/chart" uri="{02D57815-91ED-43cb-92C2-25804820EDAC}">
                  <c15:fullRef>
                    <c15:sqref>ExpBase!$L$258:$M$258</c15:sqref>
                  </c15:fullRef>
                </c:ext>
              </c:extLst>
              <c:f>ExpBase!$M$258</c:f>
              <c:strCache>
                <c:ptCount val="1"/>
                <c:pt idx="0">
                  <c:v>Food Waste Digestate</c:v>
                </c:pt>
              </c:strCache>
            </c:strRef>
          </c:cat>
          <c:val>
            <c:numRef>
              <c:extLst>
                <c:ext xmlns:c15="http://schemas.microsoft.com/office/drawing/2012/chart" uri="{02D57815-91ED-43cb-92C2-25804820EDAC}">
                  <c15:fullRef>
                    <c15:sqref>ExpBase!$L$263:$M$263</c15:sqref>
                  </c15:fullRef>
                </c:ext>
              </c:extLst>
              <c:f>ExpBase!$M$263</c:f>
              <c:numCache>
                <c:formatCode>_(* #,##0.00_);_(* \(#,##0.00\);_(* "-"??_);_(@_)</c:formatCode>
                <c:ptCount val="1"/>
                <c:pt idx="0">
                  <c:v>12.150102472745317</c:v>
                </c:pt>
              </c:numCache>
            </c:numRef>
          </c:val>
          <c:extLst>
            <c:ext xmlns:c16="http://schemas.microsoft.com/office/drawing/2014/chart" uri="{C3380CC4-5D6E-409C-BE32-E72D297353CC}">
              <c16:uniqueId val="{00000004-7AC8-4235-9932-9755C6373090}"/>
            </c:ext>
          </c:extLst>
        </c:ser>
        <c:ser>
          <c:idx val="5"/>
          <c:order val="5"/>
          <c:tx>
            <c:strRef>
              <c:f>ExpBase!$K$264</c:f>
              <c:strCache>
                <c:ptCount val="1"/>
                <c:pt idx="0">
                  <c:v>Isovalerate</c:v>
                </c:pt>
              </c:strCache>
            </c:strRef>
          </c:tx>
          <c:spPr>
            <a:solidFill>
              <a:srgbClr val="FF9999"/>
            </a:solidFill>
            <a:ln>
              <a:noFill/>
            </a:ln>
            <a:effectLst/>
          </c:spPr>
          <c:invertIfNegative val="0"/>
          <c:cat>
            <c:strRef>
              <c:extLst>
                <c:ext xmlns:c15="http://schemas.microsoft.com/office/drawing/2012/chart" uri="{02D57815-91ED-43cb-92C2-25804820EDAC}">
                  <c15:fullRef>
                    <c15:sqref>ExpBase!$L$258:$M$258</c15:sqref>
                  </c15:fullRef>
                </c:ext>
              </c:extLst>
              <c:f>ExpBase!$M$258</c:f>
              <c:strCache>
                <c:ptCount val="1"/>
                <c:pt idx="0">
                  <c:v>Food Waste Digestate</c:v>
                </c:pt>
              </c:strCache>
            </c:strRef>
          </c:cat>
          <c:val>
            <c:numRef>
              <c:extLst>
                <c:ext xmlns:c15="http://schemas.microsoft.com/office/drawing/2012/chart" uri="{02D57815-91ED-43cb-92C2-25804820EDAC}">
                  <c15:fullRef>
                    <c15:sqref>ExpBase!$L$264:$M$264</c15:sqref>
                  </c15:fullRef>
                </c:ext>
              </c:extLst>
              <c:f>ExpBase!$M$264</c:f>
              <c:numCache>
                <c:formatCode>_(* #,##0.00_);_(* \(#,##0.00\);_(* "-"??_);_(@_)</c:formatCode>
                <c:ptCount val="1"/>
                <c:pt idx="0">
                  <c:v>1.149068837881877</c:v>
                </c:pt>
              </c:numCache>
            </c:numRef>
          </c:val>
          <c:extLst>
            <c:ext xmlns:c16="http://schemas.microsoft.com/office/drawing/2014/chart" uri="{C3380CC4-5D6E-409C-BE32-E72D297353CC}">
              <c16:uniqueId val="{00000005-7AC8-4235-9932-9755C6373090}"/>
            </c:ext>
          </c:extLst>
        </c:ser>
        <c:ser>
          <c:idx val="6"/>
          <c:order val="6"/>
          <c:tx>
            <c:strRef>
              <c:f>ExpBase!$K$265</c:f>
              <c:strCache>
                <c:ptCount val="1"/>
                <c:pt idx="0">
                  <c:v>Caproate</c:v>
                </c:pt>
              </c:strCache>
            </c:strRef>
          </c:tx>
          <c:spPr>
            <a:solidFill>
              <a:srgbClr val="FFCCFF"/>
            </a:solidFill>
            <a:ln>
              <a:noFill/>
            </a:ln>
            <a:effectLst/>
          </c:spPr>
          <c:invertIfNegative val="0"/>
          <c:cat>
            <c:strRef>
              <c:extLst>
                <c:ext xmlns:c15="http://schemas.microsoft.com/office/drawing/2012/chart" uri="{02D57815-91ED-43cb-92C2-25804820EDAC}">
                  <c15:fullRef>
                    <c15:sqref>ExpBase!$L$258:$M$258</c15:sqref>
                  </c15:fullRef>
                </c:ext>
              </c:extLst>
              <c:f>ExpBase!$M$258</c:f>
              <c:strCache>
                <c:ptCount val="1"/>
                <c:pt idx="0">
                  <c:v>Food Waste Digestate</c:v>
                </c:pt>
              </c:strCache>
            </c:strRef>
          </c:cat>
          <c:val>
            <c:numRef>
              <c:extLst>
                <c:ext xmlns:c15="http://schemas.microsoft.com/office/drawing/2012/chart" uri="{02D57815-91ED-43cb-92C2-25804820EDAC}">
                  <c15:fullRef>
                    <c15:sqref>ExpBase!$L$265:$M$265</c15:sqref>
                  </c15:fullRef>
                </c:ext>
              </c:extLst>
              <c:f>ExpBase!$M$265</c:f>
              <c:numCache>
                <c:formatCode>_(* #,##0.00_);_(* \(#,##0.00\);_(* "-"??_);_(@_)</c:formatCode>
                <c:ptCount val="1"/>
                <c:pt idx="0">
                  <c:v>7.3236173081712614</c:v>
                </c:pt>
              </c:numCache>
            </c:numRef>
          </c:val>
          <c:extLst>
            <c:ext xmlns:c16="http://schemas.microsoft.com/office/drawing/2014/chart" uri="{C3380CC4-5D6E-409C-BE32-E72D297353CC}">
              <c16:uniqueId val="{00000006-7AC8-4235-9932-9755C6373090}"/>
            </c:ext>
          </c:extLst>
        </c:ser>
        <c:ser>
          <c:idx val="7"/>
          <c:order val="7"/>
          <c:tx>
            <c:strRef>
              <c:f>ExpBase!$K$266</c:f>
              <c:strCache>
                <c:ptCount val="1"/>
                <c:pt idx="0">
                  <c:v>Heptanoate</c:v>
                </c:pt>
              </c:strCache>
            </c:strRef>
          </c:tx>
          <c:spPr>
            <a:solidFill>
              <a:srgbClr val="FF99FF"/>
            </a:solidFill>
            <a:ln>
              <a:noFill/>
            </a:ln>
            <a:effectLst/>
          </c:spPr>
          <c:invertIfNegative val="0"/>
          <c:cat>
            <c:strRef>
              <c:extLst>
                <c:ext xmlns:c15="http://schemas.microsoft.com/office/drawing/2012/chart" uri="{02D57815-91ED-43cb-92C2-25804820EDAC}">
                  <c15:fullRef>
                    <c15:sqref>ExpBase!$L$258:$M$258</c15:sqref>
                  </c15:fullRef>
                </c:ext>
              </c:extLst>
              <c:f>ExpBase!$M$258</c:f>
              <c:strCache>
                <c:ptCount val="1"/>
                <c:pt idx="0">
                  <c:v>Food Waste Digestate</c:v>
                </c:pt>
              </c:strCache>
            </c:strRef>
          </c:cat>
          <c:val>
            <c:numRef>
              <c:extLst>
                <c:ext xmlns:c15="http://schemas.microsoft.com/office/drawing/2012/chart" uri="{02D57815-91ED-43cb-92C2-25804820EDAC}">
                  <c15:fullRef>
                    <c15:sqref>ExpBase!$L$266:$M$266</c15:sqref>
                  </c15:fullRef>
                </c:ext>
              </c:extLst>
              <c:f>ExpBase!$M$266</c:f>
              <c:numCache>
                <c:formatCode>_(* #,##0.00_);_(* \(#,##0.00\);_(* "-"??_);_(@_)</c:formatCode>
                <c:ptCount val="1"/>
                <c:pt idx="0">
                  <c:v>0</c:v>
                </c:pt>
              </c:numCache>
            </c:numRef>
          </c:val>
          <c:extLst>
            <c:ext xmlns:c16="http://schemas.microsoft.com/office/drawing/2014/chart" uri="{C3380CC4-5D6E-409C-BE32-E72D297353CC}">
              <c16:uniqueId val="{00000007-7AC8-4235-9932-9755C6373090}"/>
            </c:ext>
          </c:extLst>
        </c:ser>
        <c:ser>
          <c:idx val="8"/>
          <c:order val="8"/>
          <c:tx>
            <c:strRef>
              <c:f>ExpBase!$K$267</c:f>
              <c:strCache>
                <c:ptCount val="1"/>
                <c:pt idx="0">
                  <c:v>Phosphate</c:v>
                </c:pt>
              </c:strCache>
            </c:strRef>
          </c:tx>
          <c:spPr>
            <a:solidFill>
              <a:srgbClr val="33CC33"/>
            </a:solidFill>
            <a:ln>
              <a:noFill/>
            </a:ln>
            <a:effectLst/>
          </c:spPr>
          <c:invertIfNegative val="0"/>
          <c:cat>
            <c:strRef>
              <c:extLst>
                <c:ext xmlns:c15="http://schemas.microsoft.com/office/drawing/2012/chart" uri="{02D57815-91ED-43cb-92C2-25804820EDAC}">
                  <c15:fullRef>
                    <c15:sqref>ExpBase!$L$258:$M$258</c15:sqref>
                  </c15:fullRef>
                </c:ext>
              </c:extLst>
              <c:f>ExpBase!$M$258</c:f>
              <c:strCache>
                <c:ptCount val="1"/>
                <c:pt idx="0">
                  <c:v>Food Waste Digestate</c:v>
                </c:pt>
              </c:strCache>
            </c:strRef>
          </c:cat>
          <c:val>
            <c:numRef>
              <c:extLst>
                <c:ext xmlns:c15="http://schemas.microsoft.com/office/drawing/2012/chart" uri="{02D57815-91ED-43cb-92C2-25804820EDAC}">
                  <c15:fullRef>
                    <c15:sqref>ExpBase!$L$267:$M$267</c15:sqref>
                  </c15:fullRef>
                </c:ext>
              </c:extLst>
              <c:f>ExpBase!$M$267</c:f>
              <c:numCache>
                <c:formatCode>0.00</c:formatCode>
                <c:ptCount val="1"/>
                <c:pt idx="0">
                  <c:v>4.21408</c:v>
                </c:pt>
              </c:numCache>
            </c:numRef>
          </c:val>
          <c:extLst>
            <c:ext xmlns:c16="http://schemas.microsoft.com/office/drawing/2014/chart" uri="{C3380CC4-5D6E-409C-BE32-E72D297353CC}">
              <c16:uniqueId val="{00000008-7AC8-4235-9932-9755C6373090}"/>
            </c:ext>
          </c:extLst>
        </c:ser>
        <c:ser>
          <c:idx val="9"/>
          <c:order val="9"/>
          <c:tx>
            <c:strRef>
              <c:f>ExpBase!$K$268</c:f>
              <c:strCache>
                <c:ptCount val="1"/>
                <c:pt idx="0">
                  <c:v>Sulfate</c:v>
                </c:pt>
              </c:strCache>
            </c:strRef>
          </c:tx>
          <c:spPr>
            <a:solidFill>
              <a:srgbClr val="CCFF66"/>
            </a:solidFill>
            <a:ln>
              <a:noFill/>
            </a:ln>
            <a:effectLst/>
          </c:spPr>
          <c:invertIfNegative val="0"/>
          <c:cat>
            <c:strRef>
              <c:extLst>
                <c:ext xmlns:c15="http://schemas.microsoft.com/office/drawing/2012/chart" uri="{02D57815-91ED-43cb-92C2-25804820EDAC}">
                  <c15:fullRef>
                    <c15:sqref>ExpBase!$L$258:$M$258</c15:sqref>
                  </c15:fullRef>
                </c:ext>
              </c:extLst>
              <c:f>ExpBase!$M$258</c:f>
              <c:strCache>
                <c:ptCount val="1"/>
                <c:pt idx="0">
                  <c:v>Food Waste Digestate</c:v>
                </c:pt>
              </c:strCache>
            </c:strRef>
          </c:cat>
          <c:val>
            <c:numRef>
              <c:extLst>
                <c:ext xmlns:c15="http://schemas.microsoft.com/office/drawing/2012/chart" uri="{02D57815-91ED-43cb-92C2-25804820EDAC}">
                  <c15:fullRef>
                    <c15:sqref>ExpBase!$L$268:$M$268</c15:sqref>
                  </c15:fullRef>
                </c:ext>
              </c:extLst>
              <c:f>ExpBase!$M$268</c:f>
              <c:numCache>
                <c:formatCode>General</c:formatCode>
                <c:ptCount val="1"/>
                <c:pt idx="0">
                  <c:v>0</c:v>
                </c:pt>
              </c:numCache>
            </c:numRef>
          </c:val>
          <c:extLst>
            <c:ext xmlns:c16="http://schemas.microsoft.com/office/drawing/2014/chart" uri="{C3380CC4-5D6E-409C-BE32-E72D297353CC}">
              <c16:uniqueId val="{00000009-7AC8-4235-9932-9755C6373090}"/>
            </c:ext>
          </c:extLst>
        </c:ser>
        <c:ser>
          <c:idx val="10"/>
          <c:order val="10"/>
          <c:tx>
            <c:strRef>
              <c:f>ExpBase!$K$269</c:f>
              <c:strCache>
                <c:ptCount val="1"/>
                <c:pt idx="0">
                  <c:v>Ammonia</c:v>
                </c:pt>
              </c:strCache>
            </c:strRef>
          </c:tx>
          <c:spPr>
            <a:solidFill>
              <a:srgbClr val="CCCC00"/>
            </a:solidFill>
            <a:ln>
              <a:noFill/>
            </a:ln>
            <a:effectLst/>
          </c:spPr>
          <c:invertIfNegative val="0"/>
          <c:cat>
            <c:strRef>
              <c:extLst>
                <c:ext xmlns:c15="http://schemas.microsoft.com/office/drawing/2012/chart" uri="{02D57815-91ED-43cb-92C2-25804820EDAC}">
                  <c15:fullRef>
                    <c15:sqref>ExpBase!$L$258:$M$258</c15:sqref>
                  </c15:fullRef>
                </c:ext>
              </c:extLst>
              <c:f>ExpBase!$M$258</c:f>
              <c:strCache>
                <c:ptCount val="1"/>
                <c:pt idx="0">
                  <c:v>Food Waste Digestate</c:v>
                </c:pt>
              </c:strCache>
            </c:strRef>
          </c:cat>
          <c:val>
            <c:numRef>
              <c:extLst>
                <c:ext xmlns:c15="http://schemas.microsoft.com/office/drawing/2012/chart" uri="{02D57815-91ED-43cb-92C2-25804820EDAC}">
                  <c15:fullRef>
                    <c15:sqref>ExpBase!$L$269:$M$269</c15:sqref>
                  </c15:fullRef>
                </c:ext>
              </c:extLst>
              <c:f>ExpBase!$M$269</c:f>
              <c:numCache>
                <c:formatCode>0.00</c:formatCode>
                <c:ptCount val="1"/>
                <c:pt idx="0">
                  <c:v>0.54026666666666678</c:v>
                </c:pt>
              </c:numCache>
            </c:numRef>
          </c:val>
          <c:extLst>
            <c:ext xmlns:c16="http://schemas.microsoft.com/office/drawing/2014/chart" uri="{C3380CC4-5D6E-409C-BE32-E72D297353CC}">
              <c16:uniqueId val="{0000000A-7AC8-4235-9932-9755C6373090}"/>
            </c:ext>
          </c:extLst>
        </c:ser>
        <c:ser>
          <c:idx val="13"/>
          <c:order val="13"/>
          <c:tx>
            <c:strRef>
              <c:f>ExpBase!$K$272</c:f>
              <c:strCache>
                <c:ptCount val="1"/>
                <c:pt idx="0">
                  <c:v>m:m% VFAs </c:v>
                </c:pt>
              </c:strCache>
            </c:strRef>
          </c:tx>
          <c:spPr>
            <a:solidFill>
              <a:srgbClr val="FF00FF"/>
            </a:solidFill>
            <a:ln w="25400">
              <a:solidFill>
                <a:schemeClr val="tx1"/>
              </a:solidFill>
            </a:ln>
            <a:effectLst/>
          </c:spPr>
          <c:invertIfNegative val="0"/>
          <c:cat>
            <c:strRef>
              <c:extLst>
                <c:ext xmlns:c15="http://schemas.microsoft.com/office/drawing/2012/chart" uri="{02D57815-91ED-43cb-92C2-25804820EDAC}">
                  <c15:fullRef>
                    <c15:sqref>ExpBase!$L$258:$M$258</c15:sqref>
                  </c15:fullRef>
                </c:ext>
              </c:extLst>
              <c:f>ExpBase!$M$258</c:f>
              <c:strCache>
                <c:ptCount val="1"/>
                <c:pt idx="0">
                  <c:v>Food Waste Digestate</c:v>
                </c:pt>
              </c:strCache>
            </c:strRef>
          </c:cat>
          <c:val>
            <c:numRef>
              <c:extLst>
                <c:ext xmlns:c15="http://schemas.microsoft.com/office/drawing/2012/chart" uri="{02D57815-91ED-43cb-92C2-25804820EDAC}">
                  <c15:fullRef>
                    <c15:sqref>ExpBase!$L$273:$M$273</c15:sqref>
                  </c15:fullRef>
                </c:ext>
              </c:extLst>
              <c:f>ExpBase!$M$273</c:f>
              <c:numCache>
                <c:formatCode>General</c:formatCode>
                <c:ptCount val="1"/>
              </c:numCache>
            </c:numRef>
          </c:val>
          <c:extLst>
            <c:ext xmlns:c16="http://schemas.microsoft.com/office/drawing/2014/chart" uri="{C3380CC4-5D6E-409C-BE32-E72D297353CC}">
              <c16:uniqueId val="{0000000B-7AC8-4235-9932-9755C6373090}"/>
            </c:ext>
          </c:extLst>
        </c:ser>
        <c:dLbls>
          <c:showLegendKey val="0"/>
          <c:showVal val="0"/>
          <c:showCatName val="0"/>
          <c:showSerName val="0"/>
          <c:showPercent val="0"/>
          <c:showBubbleSize val="0"/>
        </c:dLbls>
        <c:gapWidth val="70"/>
        <c:overlap val="100"/>
        <c:axId val="1439776575"/>
        <c:axId val="1439769855"/>
      </c:barChart>
      <c:barChart>
        <c:barDir val="col"/>
        <c:grouping val="stacked"/>
        <c:varyColors val="0"/>
        <c:ser>
          <c:idx val="11"/>
          <c:order val="11"/>
          <c:tx>
            <c:strRef>
              <c:f>ExpBase!$K$270</c:f>
              <c:strCache>
                <c:ptCount val="1"/>
                <c:pt idx="0">
                  <c:v>Total Flow Rate  </c:v>
                </c:pt>
              </c:strCache>
            </c:strRef>
          </c:tx>
          <c:spPr>
            <a:solidFill>
              <a:schemeClr val="tx1">
                <a:alpha val="35000"/>
              </a:schemeClr>
            </a:solidFill>
            <a:ln>
              <a:noFill/>
            </a:ln>
            <a:effectLst/>
          </c:spPr>
          <c:invertIfNegative val="0"/>
          <c:cat>
            <c:strRef>
              <c:extLst>
                <c:ext xmlns:c15="http://schemas.microsoft.com/office/drawing/2012/chart" uri="{02D57815-91ED-43cb-92C2-25804820EDAC}">
                  <c15:fullRef>
                    <c15:sqref>ExpBase!$L$258:$M$258</c15:sqref>
                  </c15:fullRef>
                </c:ext>
              </c:extLst>
              <c:f>ExpBase!$M$258</c:f>
              <c:strCache>
                <c:ptCount val="1"/>
                <c:pt idx="0">
                  <c:v>Food Waste Digestate</c:v>
                </c:pt>
              </c:strCache>
            </c:strRef>
          </c:cat>
          <c:val>
            <c:numRef>
              <c:extLst>
                <c:ext xmlns:c15="http://schemas.microsoft.com/office/drawing/2012/chart" uri="{02D57815-91ED-43cb-92C2-25804820EDAC}">
                  <c15:fullRef>
                    <c15:sqref>ExpBase!$L$270:$M$270</c15:sqref>
                  </c15:fullRef>
                </c:ext>
              </c:extLst>
              <c:f>ExpBase!$M$270</c:f>
              <c:numCache>
                <c:formatCode>_(* #,##0.00_);_(* \(#,##0.00\);_(* "-"??_);_(@_)</c:formatCode>
                <c:ptCount val="1"/>
                <c:pt idx="0">
                  <c:v>2.8155770997694836</c:v>
                </c:pt>
              </c:numCache>
            </c:numRef>
          </c:val>
          <c:extLst>
            <c:ext xmlns:c16="http://schemas.microsoft.com/office/drawing/2014/chart" uri="{C3380CC4-5D6E-409C-BE32-E72D297353CC}">
              <c16:uniqueId val="{0000000C-7AC8-4235-9932-9755C6373090}"/>
            </c:ext>
          </c:extLst>
        </c:ser>
        <c:ser>
          <c:idx val="12"/>
          <c:order val="12"/>
          <c:tx>
            <c:strRef>
              <c:f>ExpBase!$K$271</c:f>
              <c:strCache>
                <c:ptCount val="1"/>
                <c:pt idx="0">
                  <c:v>VFAs in Flow</c:v>
                </c:pt>
              </c:strCache>
            </c:strRef>
          </c:tx>
          <c:spPr>
            <a:solidFill>
              <a:srgbClr val="FF00FF"/>
            </a:solidFill>
            <a:ln>
              <a:noFill/>
            </a:ln>
            <a:effectLst/>
          </c:spPr>
          <c:invertIfNegative val="0"/>
          <c:dLbls>
            <c:dLbl>
              <c:idx val="0"/>
              <c:layout>
                <c:manualLayout>
                  <c:x val="0"/>
                  <c:y val="5.9402628816158091E-2"/>
                </c:manualLayout>
              </c:layout>
              <c:tx>
                <c:rich>
                  <a:bodyPr/>
                  <a:lstStyle/>
                  <a:p>
                    <a:fld id="{9C5056FD-8FF9-B640-B7D9-E587EF4388C0}"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7AC8-4235-9932-9755C6373090}"/>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00FF"/>
                    </a:solidFill>
                    <a:latin typeface="Arial Nova Cond" panose="020B0506020202020204" pitchFamily="34" charset="0"/>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ExpBase!$L$258:$M$258</c15:sqref>
                  </c15:fullRef>
                </c:ext>
              </c:extLst>
              <c:f>ExpBase!$M$258</c:f>
              <c:strCache>
                <c:ptCount val="1"/>
                <c:pt idx="0">
                  <c:v>Food Waste Digestate</c:v>
                </c:pt>
              </c:strCache>
            </c:strRef>
          </c:cat>
          <c:val>
            <c:numRef>
              <c:extLst>
                <c:ext xmlns:c15="http://schemas.microsoft.com/office/drawing/2012/chart" uri="{02D57815-91ED-43cb-92C2-25804820EDAC}">
                  <c15:fullRef>
                    <c15:sqref>ExpBase!$L$271:$M$271</c15:sqref>
                  </c15:fullRef>
                </c:ext>
              </c:extLst>
              <c:f>ExpBase!$M$271</c:f>
              <c:numCache>
                <c:formatCode>_(* #,##0.00_);_(* \(#,##0.00\);_(* "-"??_);_(@_)</c:formatCode>
                <c:ptCount val="1"/>
                <c:pt idx="0">
                  <c:v>0.16061337642099269</c:v>
                </c:pt>
              </c:numCache>
            </c:numRef>
          </c:val>
          <c:extLst>
            <c:ext xmlns:c15="http://schemas.microsoft.com/office/drawing/2012/chart" uri="{02D57815-91ED-43cb-92C2-25804820EDAC}">
              <c15:datalabelsRange>
                <c15:f>ExpBase!$L$272:$M$272</c15:f>
                <c15:dlblRangeCache>
                  <c:ptCount val="2"/>
                  <c:pt idx="0">
                    <c:v>0.47%</c:v>
                  </c:pt>
                  <c:pt idx="1">
                    <c:v>5.14%</c:v>
                  </c:pt>
                </c15:dlblRangeCache>
              </c15:datalabelsRange>
            </c:ext>
            <c:ext xmlns:c16="http://schemas.microsoft.com/office/drawing/2014/chart" uri="{C3380CC4-5D6E-409C-BE32-E72D297353CC}">
              <c16:uniqueId val="{0000000F-7AC8-4235-9932-9755C6373090}"/>
            </c:ext>
          </c:extLst>
        </c:ser>
        <c:dLbls>
          <c:showLegendKey val="0"/>
          <c:showVal val="0"/>
          <c:showCatName val="0"/>
          <c:showSerName val="0"/>
          <c:showPercent val="0"/>
          <c:showBubbleSize val="0"/>
        </c:dLbls>
        <c:gapWidth val="500"/>
        <c:overlap val="100"/>
        <c:axId val="1439809695"/>
        <c:axId val="1439813535"/>
      </c:barChart>
      <c:catAx>
        <c:axId val="143977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crossAx val="1439769855"/>
        <c:crosses val="autoZero"/>
        <c:auto val="1"/>
        <c:lblAlgn val="ctr"/>
        <c:lblOffset val="100"/>
        <c:noMultiLvlLbl val="0"/>
      </c:catAx>
      <c:valAx>
        <c:axId val="1439769855"/>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t>Species Concentration</a:t>
                </a:r>
                <a:r>
                  <a:rPr lang="en-US" b="0"/>
                  <a:t> [g/L]</a:t>
                </a:r>
              </a:p>
            </c:rich>
          </c:tx>
          <c:layout>
            <c:manualLayout>
              <c:xMode val="edge"/>
              <c:yMode val="edge"/>
              <c:x val="2.1145364669666114E-2"/>
              <c:y val="0.19103089204732765"/>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0"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crossAx val="1439776575"/>
        <c:crosses val="autoZero"/>
        <c:crossBetween val="between"/>
      </c:valAx>
      <c:valAx>
        <c:axId val="1439813535"/>
        <c:scaling>
          <c:orientation val="minMax"/>
          <c:max val="18"/>
          <c:min val="0"/>
        </c:scaling>
        <c:delete val="0"/>
        <c:axPos val="r"/>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solidFill>
                      <a:sysClr val="windowText" lastClr="000000"/>
                    </a:solidFill>
                  </a:rPr>
                  <a:t>Volumetric Flow Rate </a:t>
                </a:r>
                <a:r>
                  <a:rPr lang="en-US" b="0">
                    <a:solidFill>
                      <a:sysClr val="windowText" lastClr="000000"/>
                    </a:solidFill>
                  </a:rPr>
                  <a:t>[m</a:t>
                </a:r>
                <a:r>
                  <a:rPr lang="en-US" b="0" baseline="30000">
                    <a:solidFill>
                      <a:sysClr val="windowText" lastClr="000000"/>
                    </a:solidFill>
                  </a:rPr>
                  <a:t>3</a:t>
                </a:r>
                <a:r>
                  <a:rPr lang="en-US" b="0">
                    <a:solidFill>
                      <a:sysClr val="windowText" lastClr="000000"/>
                    </a:solidFill>
                  </a:rPr>
                  <a:t>/hr]</a:t>
                </a:r>
              </a:p>
            </c:rich>
          </c:tx>
          <c:layout>
            <c:manualLayout>
              <c:xMode val="edge"/>
              <c:yMode val="edge"/>
              <c:x val="0.93283212080395006"/>
              <c:y val="0.15693948256467943"/>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_(* #,##0_);_(* \(#,##0\);_(* &quot;-&quot;_);_(@_)"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crossAx val="1439809695"/>
        <c:crosses val="max"/>
        <c:crossBetween val="between"/>
        <c:majorUnit val="3"/>
      </c:valAx>
      <c:catAx>
        <c:axId val="1439809695"/>
        <c:scaling>
          <c:orientation val="minMax"/>
        </c:scaling>
        <c:delete val="1"/>
        <c:axPos val="b"/>
        <c:numFmt formatCode="General" sourceLinked="1"/>
        <c:majorTickMark val="out"/>
        <c:minorTickMark val="none"/>
        <c:tickLblPos val="nextTo"/>
        <c:crossAx val="1439813535"/>
        <c:crosses val="autoZero"/>
        <c:auto val="1"/>
        <c:lblAlgn val="ctr"/>
        <c:lblOffset val="100"/>
        <c:noMultiLvlLbl val="0"/>
      </c:catAx>
      <c:spPr>
        <a:noFill/>
        <a:ln w="15875">
          <a:solidFill>
            <a:schemeClr val="tx1"/>
          </a:solidFill>
        </a:ln>
        <a:effectLst/>
      </c:spPr>
    </c:plotArea>
    <c:legend>
      <c:legendPos val="b"/>
      <c:layout>
        <c:manualLayout>
          <c:xMode val="edge"/>
          <c:yMode val="edge"/>
          <c:x val="1.8667675526876634E-2"/>
          <c:y val="0.7972134951615778"/>
          <c:w val="0.96266446394743077"/>
          <c:h val="0.1805951137003009"/>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9050"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0" baseline="0">
                <a:solidFill>
                  <a:sysClr val="windowText" lastClr="000000"/>
                </a:solidFill>
                <a:latin typeface="Arial Nova Cond" panose="020B0506020202020204" pitchFamily="34" charset="0"/>
                <a:ea typeface="+mn-ea"/>
                <a:cs typeface="+mn-cs"/>
              </a:defRPr>
            </a:pPr>
            <a:r>
              <a:rPr lang="en-US" b="1" cap="all" baseline="0"/>
              <a:t>Sea Water Effluent characteristics </a:t>
            </a:r>
          </a:p>
        </c:rich>
      </c:tx>
      <c:layout>
        <c:manualLayout>
          <c:xMode val="edge"/>
          <c:yMode val="edge"/>
          <c:x val="1.9790366217532891E-2"/>
          <c:y val="2.1534337293255341E-2"/>
        </c:manualLayout>
      </c:layout>
      <c:overlay val="0"/>
      <c:spPr>
        <a:noFill/>
        <a:ln>
          <a:noFill/>
        </a:ln>
        <a:effectLst/>
      </c:spPr>
      <c:txPr>
        <a:bodyPr rot="0" spcFirstLastPara="1" vertOverflow="ellipsis" vert="horz" wrap="square" anchor="ctr" anchorCtr="1"/>
        <a:lstStyle/>
        <a:p>
          <a:pPr>
            <a:defRPr sz="1400" b="1" i="0" u="none" strike="noStrike" kern="1200" cap="all"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261928051886971"/>
          <c:y val="0.13568644434820268"/>
          <c:w val="0.74761438962260574"/>
          <c:h val="0.62911419815690928"/>
        </c:manualLayout>
      </c:layout>
      <c:barChart>
        <c:barDir val="col"/>
        <c:grouping val="stacked"/>
        <c:varyColors val="0"/>
        <c:ser>
          <c:idx val="0"/>
          <c:order val="0"/>
          <c:tx>
            <c:strRef>
              <c:f>ExpBase!$M$90</c:f>
              <c:strCache>
                <c:ptCount val="1"/>
                <c:pt idx="0">
                  <c:v>Na+</c:v>
                </c:pt>
              </c:strCache>
            </c:strRef>
          </c:tx>
          <c:spPr>
            <a:solidFill>
              <a:srgbClr val="003399"/>
            </a:solidFill>
            <a:ln>
              <a:noFill/>
            </a:ln>
            <a:effectLst/>
          </c:spPr>
          <c:invertIfNegative val="0"/>
          <c:cat>
            <c:strRef>
              <c:extLst>
                <c:ext xmlns:c15="http://schemas.microsoft.com/office/drawing/2012/chart" uri="{02D57815-91ED-43cb-92C2-25804820EDAC}">
                  <c15:fullRef>
                    <c15:sqref>ExpBase!$N$89:$Q$89</c15:sqref>
                  </c15:fullRef>
                </c:ext>
              </c:extLst>
              <c:f>(ExpBase!$N$89:$O$89,ExpBase!$Q$89)</c:f>
              <c:strCache>
                <c:ptCount val="3"/>
                <c:pt idx="0">
                  <c:v>Acid</c:v>
                </c:pt>
                <c:pt idx="1">
                  <c:v>Base</c:v>
                </c:pt>
                <c:pt idx="2">
                  <c:v>Water</c:v>
                </c:pt>
              </c:strCache>
            </c:strRef>
          </c:cat>
          <c:val>
            <c:numRef>
              <c:extLst>
                <c:ext xmlns:c15="http://schemas.microsoft.com/office/drawing/2012/chart" uri="{02D57815-91ED-43cb-92C2-25804820EDAC}">
                  <c15:fullRef>
                    <c15:sqref>ExpBase!$N$90:$Q$90</c15:sqref>
                  </c15:fullRef>
                </c:ext>
              </c:extLst>
              <c:f>(ExpBase!$N$90:$O$90,ExpBase!$Q$90)</c:f>
              <c:numCache>
                <c:formatCode>_(* #,##0.00_);_(* \(#,##0.00\);_(* "-"??_);_(@_)</c:formatCode>
                <c:ptCount val="3"/>
                <c:pt idx="0">
                  <c:v>4.2</c:v>
                </c:pt>
                <c:pt idx="1">
                  <c:v>39.900000000000006</c:v>
                </c:pt>
                <c:pt idx="2">
                  <c:v>1.26</c:v>
                </c:pt>
              </c:numCache>
            </c:numRef>
          </c:val>
          <c:extLst>
            <c:ext xmlns:c16="http://schemas.microsoft.com/office/drawing/2014/chart" uri="{C3380CC4-5D6E-409C-BE32-E72D297353CC}">
              <c16:uniqueId val="{00000000-3446-48D2-97C3-2E5A469BB779}"/>
            </c:ext>
          </c:extLst>
        </c:ser>
        <c:ser>
          <c:idx val="1"/>
          <c:order val="1"/>
          <c:tx>
            <c:strRef>
              <c:f>ExpBase!$M$91</c:f>
              <c:strCache>
                <c:ptCount val="1"/>
                <c:pt idx="0">
                  <c:v>Cl-</c:v>
                </c:pt>
              </c:strCache>
            </c:strRef>
          </c:tx>
          <c:spPr>
            <a:solidFill>
              <a:schemeClr val="accent3"/>
            </a:solidFill>
            <a:ln>
              <a:noFill/>
            </a:ln>
            <a:effectLst/>
          </c:spPr>
          <c:invertIfNegative val="0"/>
          <c:cat>
            <c:strRef>
              <c:extLst>
                <c:ext xmlns:c15="http://schemas.microsoft.com/office/drawing/2012/chart" uri="{02D57815-91ED-43cb-92C2-25804820EDAC}">
                  <c15:fullRef>
                    <c15:sqref>ExpBase!$N$89:$Q$89</c15:sqref>
                  </c15:fullRef>
                </c:ext>
              </c:extLst>
              <c:f>(ExpBase!$N$89:$O$89,ExpBase!$Q$89)</c:f>
              <c:strCache>
                <c:ptCount val="3"/>
                <c:pt idx="0">
                  <c:v>Acid</c:v>
                </c:pt>
                <c:pt idx="1">
                  <c:v>Base</c:v>
                </c:pt>
                <c:pt idx="2">
                  <c:v>Water</c:v>
                </c:pt>
              </c:strCache>
            </c:strRef>
          </c:cat>
          <c:val>
            <c:numRef>
              <c:extLst>
                <c:ext xmlns:c15="http://schemas.microsoft.com/office/drawing/2012/chart" uri="{02D57815-91ED-43cb-92C2-25804820EDAC}">
                  <c15:fullRef>
                    <c15:sqref>ExpBase!$N$91:$Q$91</c15:sqref>
                  </c15:fullRef>
                </c:ext>
              </c:extLst>
              <c:f>(ExpBase!$N$91:$O$91,ExpBase!$Q$91)</c:f>
              <c:numCache>
                <c:formatCode>_(* #,##0.00_);_(* \(#,##0.00\);_(* "-"??_);_(@_)</c:formatCode>
                <c:ptCount val="3"/>
                <c:pt idx="0">
                  <c:v>70.275619999999989</c:v>
                </c:pt>
                <c:pt idx="1">
                  <c:v>6.6141759999999996</c:v>
                </c:pt>
                <c:pt idx="2">
                  <c:v>1.3228351999999999</c:v>
                </c:pt>
              </c:numCache>
            </c:numRef>
          </c:val>
          <c:extLst>
            <c:ext xmlns:c16="http://schemas.microsoft.com/office/drawing/2014/chart" uri="{C3380CC4-5D6E-409C-BE32-E72D297353CC}">
              <c16:uniqueId val="{00000001-3446-48D2-97C3-2E5A469BB779}"/>
            </c:ext>
          </c:extLst>
        </c:ser>
        <c:ser>
          <c:idx val="2"/>
          <c:order val="2"/>
          <c:tx>
            <c:strRef>
              <c:f>ExpBase!$M$92</c:f>
              <c:strCache>
                <c:ptCount val="1"/>
                <c:pt idx="0">
                  <c:v>SO4--</c:v>
                </c:pt>
              </c:strCache>
            </c:strRef>
          </c:tx>
          <c:spPr>
            <a:solidFill>
              <a:schemeClr val="accent6"/>
            </a:solidFill>
            <a:ln>
              <a:noFill/>
            </a:ln>
            <a:effectLst/>
          </c:spPr>
          <c:invertIfNegative val="0"/>
          <c:cat>
            <c:strRef>
              <c:extLst>
                <c:ext xmlns:c15="http://schemas.microsoft.com/office/drawing/2012/chart" uri="{02D57815-91ED-43cb-92C2-25804820EDAC}">
                  <c15:fullRef>
                    <c15:sqref>ExpBase!$N$89:$Q$89</c15:sqref>
                  </c15:fullRef>
                </c:ext>
              </c:extLst>
              <c:f>(ExpBase!$N$89:$O$89,ExpBase!$Q$89)</c:f>
              <c:strCache>
                <c:ptCount val="3"/>
                <c:pt idx="0">
                  <c:v>Acid</c:v>
                </c:pt>
                <c:pt idx="1">
                  <c:v>Base</c:v>
                </c:pt>
                <c:pt idx="2">
                  <c:v>Water</c:v>
                </c:pt>
              </c:strCache>
            </c:strRef>
          </c:cat>
          <c:val>
            <c:numRef>
              <c:extLst>
                <c:ext xmlns:c15="http://schemas.microsoft.com/office/drawing/2012/chart" uri="{02D57815-91ED-43cb-92C2-25804820EDAC}">
                  <c15:fullRef>
                    <c15:sqref>ExpBase!$N$92:$Q$92</c15:sqref>
                  </c15:fullRef>
                </c:ext>
              </c:extLst>
              <c:f>(ExpBase!$N$92:$O$92,ExpBase!$Q$92)</c:f>
              <c:numCache>
                <c:formatCode>_(* #,##0.00_);_(* \(#,##0.00\);_(* "-"??_);_(@_)</c:formatCode>
                <c:ptCount val="3"/>
                <c:pt idx="0">
                  <c:v>26.547289767500001</c:v>
                </c:pt>
                <c:pt idx="1">
                  <c:v>0.88486049999999994</c:v>
                </c:pt>
                <c:pt idx="2">
                  <c:v>0.64889770000000002</c:v>
                </c:pt>
              </c:numCache>
            </c:numRef>
          </c:val>
          <c:extLst>
            <c:ext xmlns:c16="http://schemas.microsoft.com/office/drawing/2014/chart" uri="{C3380CC4-5D6E-409C-BE32-E72D297353CC}">
              <c16:uniqueId val="{00000002-3446-48D2-97C3-2E5A469BB779}"/>
            </c:ext>
          </c:extLst>
        </c:ser>
        <c:ser>
          <c:idx val="3"/>
          <c:order val="3"/>
          <c:tx>
            <c:strRef>
              <c:f>ExpBase!$M$93</c:f>
              <c:strCache>
                <c:ptCount val="1"/>
                <c:pt idx="0">
                  <c:v>Mg++</c:v>
                </c:pt>
              </c:strCache>
            </c:strRef>
          </c:tx>
          <c:spPr>
            <a:solidFill>
              <a:srgbClr val="6666FF"/>
            </a:solidFill>
            <a:ln>
              <a:noFill/>
            </a:ln>
            <a:effectLst/>
          </c:spPr>
          <c:invertIfNegative val="0"/>
          <c:cat>
            <c:strRef>
              <c:extLst>
                <c:ext xmlns:c15="http://schemas.microsoft.com/office/drawing/2012/chart" uri="{02D57815-91ED-43cb-92C2-25804820EDAC}">
                  <c15:fullRef>
                    <c15:sqref>ExpBase!$N$89:$Q$89</c15:sqref>
                  </c15:fullRef>
                </c:ext>
              </c:extLst>
              <c:f>(ExpBase!$N$89:$O$89,ExpBase!$Q$89)</c:f>
              <c:strCache>
                <c:ptCount val="3"/>
                <c:pt idx="0">
                  <c:v>Acid</c:v>
                </c:pt>
                <c:pt idx="1">
                  <c:v>Base</c:v>
                </c:pt>
                <c:pt idx="2">
                  <c:v>Water</c:v>
                </c:pt>
              </c:strCache>
            </c:strRef>
          </c:cat>
          <c:val>
            <c:numRef>
              <c:extLst>
                <c:ext xmlns:c15="http://schemas.microsoft.com/office/drawing/2012/chart" uri="{02D57815-91ED-43cb-92C2-25804820EDAC}">
                  <c15:fullRef>
                    <c15:sqref>ExpBase!$N$93:$Q$93</c15:sqref>
                  </c15:fullRef>
                </c:ext>
              </c:extLst>
              <c:f>(ExpBase!$N$93:$O$93,ExpBase!$Q$93)</c:f>
              <c:numCache>
                <c:formatCode>_(* #,##0.00_);_(* \(#,##0.00\);_(* "-"??_);_(@_)</c:formatCode>
                <c:ptCount val="3"/>
                <c:pt idx="0">
                  <c:v>0.3125</c:v>
                </c:pt>
                <c:pt idx="1">
                  <c:v>5.4375</c:v>
                </c:pt>
                <c:pt idx="2">
                  <c:v>7.4999999999999997E-2</c:v>
                </c:pt>
              </c:numCache>
            </c:numRef>
          </c:val>
          <c:extLst>
            <c:ext xmlns:c16="http://schemas.microsoft.com/office/drawing/2014/chart" uri="{C3380CC4-5D6E-409C-BE32-E72D297353CC}">
              <c16:uniqueId val="{00000003-3446-48D2-97C3-2E5A469BB779}"/>
            </c:ext>
          </c:extLst>
        </c:ser>
        <c:ser>
          <c:idx val="4"/>
          <c:order val="4"/>
          <c:tx>
            <c:strRef>
              <c:f>ExpBase!$M$94</c:f>
              <c:strCache>
                <c:ptCount val="1"/>
                <c:pt idx="0">
                  <c:v>Ca++</c:v>
                </c:pt>
              </c:strCache>
            </c:strRef>
          </c:tx>
          <c:spPr>
            <a:solidFill>
              <a:schemeClr val="tx2">
                <a:lumMod val="50000"/>
                <a:lumOff val="50000"/>
              </a:schemeClr>
            </a:solidFill>
            <a:ln>
              <a:noFill/>
            </a:ln>
            <a:effectLst/>
          </c:spPr>
          <c:invertIfNegative val="0"/>
          <c:cat>
            <c:strRef>
              <c:extLst>
                <c:ext xmlns:c15="http://schemas.microsoft.com/office/drawing/2012/chart" uri="{02D57815-91ED-43cb-92C2-25804820EDAC}">
                  <c15:fullRef>
                    <c15:sqref>ExpBase!$N$89:$Q$89</c15:sqref>
                  </c15:fullRef>
                </c:ext>
              </c:extLst>
              <c:f>(ExpBase!$N$89:$O$89,ExpBase!$Q$89)</c:f>
              <c:strCache>
                <c:ptCount val="3"/>
                <c:pt idx="0">
                  <c:v>Acid</c:v>
                </c:pt>
                <c:pt idx="1">
                  <c:v>Base</c:v>
                </c:pt>
                <c:pt idx="2">
                  <c:v>Water</c:v>
                </c:pt>
              </c:strCache>
            </c:strRef>
          </c:cat>
          <c:val>
            <c:numRef>
              <c:extLst>
                <c:ext xmlns:c15="http://schemas.microsoft.com/office/drawing/2012/chart" uri="{02D57815-91ED-43cb-92C2-25804820EDAC}">
                  <c15:fullRef>
                    <c15:sqref>ExpBase!$N$94:$Q$94</c15:sqref>
                  </c15:fullRef>
                </c:ext>
              </c:extLst>
              <c:f>(ExpBase!$N$94:$O$94,ExpBase!$Q$94)</c:f>
              <c:numCache>
                <c:formatCode>_(* #,##0.00_);_(* \(#,##0.00\);_(* "-"??_);_(@_)</c:formatCode>
                <c:ptCount val="3"/>
                <c:pt idx="0">
                  <c:v>0.04</c:v>
                </c:pt>
                <c:pt idx="1">
                  <c:v>1.8600000000000003</c:v>
                </c:pt>
                <c:pt idx="2">
                  <c:v>1.6E-2</c:v>
                </c:pt>
              </c:numCache>
            </c:numRef>
          </c:val>
          <c:extLst>
            <c:ext xmlns:c16="http://schemas.microsoft.com/office/drawing/2014/chart" uri="{C3380CC4-5D6E-409C-BE32-E72D297353CC}">
              <c16:uniqueId val="{00000004-3446-48D2-97C3-2E5A469BB779}"/>
            </c:ext>
          </c:extLst>
        </c:ser>
        <c:ser>
          <c:idx val="5"/>
          <c:order val="5"/>
          <c:tx>
            <c:strRef>
              <c:f>ExpBase!$M$95</c:f>
              <c:strCache>
                <c:ptCount val="1"/>
                <c:pt idx="0">
                  <c:v>K+</c:v>
                </c:pt>
              </c:strCache>
            </c:strRef>
          </c:tx>
          <c:spPr>
            <a:solidFill>
              <a:schemeClr val="accent4">
                <a:lumMod val="75000"/>
              </a:schemeClr>
            </a:solidFill>
            <a:ln>
              <a:noFill/>
            </a:ln>
            <a:effectLst/>
          </c:spPr>
          <c:invertIfNegative val="0"/>
          <c:cat>
            <c:strRef>
              <c:extLst>
                <c:ext xmlns:c15="http://schemas.microsoft.com/office/drawing/2012/chart" uri="{02D57815-91ED-43cb-92C2-25804820EDAC}">
                  <c15:fullRef>
                    <c15:sqref>ExpBase!$N$89:$Q$89</c15:sqref>
                  </c15:fullRef>
                </c:ext>
              </c:extLst>
              <c:f>(ExpBase!$N$89:$O$89,ExpBase!$Q$89)</c:f>
              <c:strCache>
                <c:ptCount val="3"/>
                <c:pt idx="0">
                  <c:v>Acid</c:v>
                </c:pt>
                <c:pt idx="1">
                  <c:v>Base</c:v>
                </c:pt>
                <c:pt idx="2">
                  <c:v>Water</c:v>
                </c:pt>
              </c:strCache>
            </c:strRef>
          </c:cat>
          <c:val>
            <c:numRef>
              <c:extLst>
                <c:ext xmlns:c15="http://schemas.microsoft.com/office/drawing/2012/chart" uri="{02D57815-91ED-43cb-92C2-25804820EDAC}">
                  <c15:fullRef>
                    <c15:sqref>ExpBase!$N$95:$Q$95</c15:sqref>
                  </c15:fullRef>
                </c:ext>
              </c:extLst>
              <c:f>(ExpBase!$N$95:$O$95,ExpBase!$Q$95)</c:f>
              <c:numCache>
                <c:formatCode>_(* #,##0.00_);_(* \(#,##0.00\);_(* "-"??_);_(@_)</c:formatCode>
                <c:ptCount val="3"/>
                <c:pt idx="0">
                  <c:v>1.9E-2</c:v>
                </c:pt>
                <c:pt idx="1">
                  <c:v>1.8049999999999999</c:v>
                </c:pt>
              </c:numCache>
            </c:numRef>
          </c:val>
          <c:extLst>
            <c:ext xmlns:c16="http://schemas.microsoft.com/office/drawing/2014/chart" uri="{C3380CC4-5D6E-409C-BE32-E72D297353CC}">
              <c16:uniqueId val="{00000005-3446-48D2-97C3-2E5A469BB779}"/>
            </c:ext>
          </c:extLst>
        </c:ser>
        <c:ser>
          <c:idx val="6"/>
          <c:order val="6"/>
          <c:tx>
            <c:strRef>
              <c:f>ExpBase!$M$96</c:f>
              <c:strCache>
                <c:ptCount val="1"/>
                <c:pt idx="0">
                  <c:v>H+</c:v>
                </c:pt>
              </c:strCache>
            </c:strRef>
          </c:tx>
          <c:spPr>
            <a:solidFill>
              <a:srgbClr val="CC00FF"/>
            </a:solidFill>
            <a:ln>
              <a:noFill/>
            </a:ln>
            <a:effectLst/>
          </c:spPr>
          <c:invertIfNegative val="0"/>
          <c:cat>
            <c:strRef>
              <c:extLst>
                <c:ext xmlns:c15="http://schemas.microsoft.com/office/drawing/2012/chart" uri="{02D57815-91ED-43cb-92C2-25804820EDAC}">
                  <c15:fullRef>
                    <c15:sqref>ExpBase!$N$89:$Q$89</c15:sqref>
                  </c15:fullRef>
                </c:ext>
              </c:extLst>
              <c:f>(ExpBase!$N$89:$O$89,ExpBase!$Q$89)</c:f>
              <c:strCache>
                <c:ptCount val="3"/>
                <c:pt idx="0">
                  <c:v>Acid</c:v>
                </c:pt>
                <c:pt idx="1">
                  <c:v>Base</c:v>
                </c:pt>
                <c:pt idx="2">
                  <c:v>Water</c:v>
                </c:pt>
              </c:strCache>
            </c:strRef>
          </c:cat>
          <c:val>
            <c:numRef>
              <c:extLst>
                <c:ext xmlns:c15="http://schemas.microsoft.com/office/drawing/2012/chart" uri="{02D57815-91ED-43cb-92C2-25804820EDAC}">
                  <c15:fullRef>
                    <c15:sqref>ExpBase!$N$96:$Q$96</c15:sqref>
                  </c15:fullRef>
                </c:ext>
              </c:extLst>
              <c:f>(ExpBase!$N$96:$O$96,ExpBase!$Q$96)</c:f>
              <c:numCache>
                <c:formatCode>_(* #,##0.00_);_(* \(#,##0.00\);_(* "-"??_);_(@_)</c:formatCode>
                <c:ptCount val="3"/>
                <c:pt idx="0">
                  <c:v>2.5553909897432683</c:v>
                </c:pt>
                <c:pt idx="1">
                  <c:v>0</c:v>
                </c:pt>
              </c:numCache>
            </c:numRef>
          </c:val>
          <c:extLst>
            <c:ext xmlns:c16="http://schemas.microsoft.com/office/drawing/2014/chart" uri="{C3380CC4-5D6E-409C-BE32-E72D297353CC}">
              <c16:uniqueId val="{00000006-3446-48D2-97C3-2E5A469BB779}"/>
            </c:ext>
          </c:extLst>
        </c:ser>
        <c:ser>
          <c:idx val="7"/>
          <c:order val="7"/>
          <c:tx>
            <c:strRef>
              <c:f>ExpBase!$M$97</c:f>
              <c:strCache>
                <c:ptCount val="1"/>
                <c:pt idx="0">
                  <c:v>OH-</c:v>
                </c:pt>
              </c:strCache>
            </c:strRef>
          </c:tx>
          <c:spPr>
            <a:solidFill>
              <a:srgbClr val="00FFFF"/>
            </a:solidFill>
            <a:ln>
              <a:noFill/>
            </a:ln>
            <a:effectLst/>
          </c:spPr>
          <c:invertIfNegative val="0"/>
          <c:cat>
            <c:strRef>
              <c:extLst>
                <c:ext xmlns:c15="http://schemas.microsoft.com/office/drawing/2012/chart" uri="{02D57815-91ED-43cb-92C2-25804820EDAC}">
                  <c15:fullRef>
                    <c15:sqref>ExpBase!$N$89:$Q$89</c15:sqref>
                  </c15:fullRef>
                </c:ext>
              </c:extLst>
              <c:f>(ExpBase!$N$89:$O$89,ExpBase!$Q$89)</c:f>
              <c:strCache>
                <c:ptCount val="3"/>
                <c:pt idx="0">
                  <c:v>Acid</c:v>
                </c:pt>
                <c:pt idx="1">
                  <c:v>Base</c:v>
                </c:pt>
                <c:pt idx="2">
                  <c:v>Water</c:v>
                </c:pt>
              </c:strCache>
            </c:strRef>
          </c:cat>
          <c:val>
            <c:numRef>
              <c:extLst>
                <c:ext xmlns:c15="http://schemas.microsoft.com/office/drawing/2012/chart" uri="{02D57815-91ED-43cb-92C2-25804820EDAC}">
                  <c15:fullRef>
                    <c15:sqref>ExpBase!$N$97:$Q$97</c15:sqref>
                  </c15:fullRef>
                </c:ext>
              </c:extLst>
              <c:f>(ExpBase!$N$97:$O$97,ExpBase!$Q$97)</c:f>
              <c:numCache>
                <c:formatCode>_(* #,##0.00_);_(* \(#,##0.00\);_(* "-"??_);_(@_)</c:formatCode>
                <c:ptCount val="3"/>
                <c:pt idx="1">
                  <c:v>34.897851525440949</c:v>
                </c:pt>
              </c:numCache>
            </c:numRef>
          </c:val>
          <c:extLst>
            <c:ext xmlns:c16="http://schemas.microsoft.com/office/drawing/2014/chart" uri="{C3380CC4-5D6E-409C-BE32-E72D297353CC}">
              <c16:uniqueId val="{00000007-3446-48D2-97C3-2E5A469BB779}"/>
            </c:ext>
          </c:extLst>
        </c:ser>
        <c:ser>
          <c:idx val="8"/>
          <c:order val="8"/>
          <c:tx>
            <c:strRef>
              <c:f>ExpBase!$M$98</c:f>
              <c:strCache>
                <c:ptCount val="1"/>
                <c:pt idx="0">
                  <c:v>MgSO4*7H2O</c:v>
                </c:pt>
              </c:strCache>
            </c:strRef>
          </c:tx>
          <c:spPr>
            <a:solidFill>
              <a:srgbClr val="6699FF"/>
            </a:solidFill>
            <a:ln>
              <a:noFill/>
            </a:ln>
            <a:effectLst/>
          </c:spPr>
          <c:invertIfNegative val="0"/>
          <c:cat>
            <c:strRef>
              <c:extLst>
                <c:ext xmlns:c15="http://schemas.microsoft.com/office/drawing/2012/chart" uri="{02D57815-91ED-43cb-92C2-25804820EDAC}">
                  <c15:fullRef>
                    <c15:sqref>ExpBase!$N$89:$Q$89</c15:sqref>
                  </c15:fullRef>
                </c:ext>
              </c:extLst>
              <c:f>(ExpBase!$N$89:$O$89,ExpBase!$Q$89)</c:f>
              <c:strCache>
                <c:ptCount val="3"/>
                <c:pt idx="0">
                  <c:v>Acid</c:v>
                </c:pt>
                <c:pt idx="1">
                  <c:v>Base</c:v>
                </c:pt>
                <c:pt idx="2">
                  <c:v>Water</c:v>
                </c:pt>
              </c:strCache>
            </c:strRef>
          </c:cat>
          <c:val>
            <c:numRef>
              <c:extLst>
                <c:ext xmlns:c15="http://schemas.microsoft.com/office/drawing/2012/chart" uri="{02D57815-91ED-43cb-92C2-25804820EDAC}">
                  <c15:fullRef>
                    <c15:sqref>ExpBase!$N$98:$Q$98</c15:sqref>
                  </c15:fullRef>
                </c:ext>
              </c:extLst>
              <c:f>(ExpBase!$N$98:$O$98,ExpBase!$Q$98)</c:f>
              <c:numCache>
                <c:formatCode>General</c:formatCode>
                <c:ptCount val="3"/>
              </c:numCache>
            </c:numRef>
          </c:val>
          <c:extLst>
            <c:ext xmlns:c16="http://schemas.microsoft.com/office/drawing/2014/chart" uri="{C3380CC4-5D6E-409C-BE32-E72D297353CC}">
              <c16:uniqueId val="{00000008-3446-48D2-97C3-2E5A469BB779}"/>
            </c:ext>
          </c:extLst>
        </c:ser>
        <c:ser>
          <c:idx val="9"/>
          <c:order val="9"/>
          <c:tx>
            <c:strRef>
              <c:f>ExpBase!$M$99</c:f>
              <c:strCache>
                <c:ptCount val="1"/>
                <c:pt idx="0">
                  <c:v>CaSO4*10H2O</c:v>
                </c:pt>
              </c:strCache>
            </c:strRef>
          </c:tx>
          <c:spPr>
            <a:solidFill>
              <a:srgbClr val="0066FF"/>
            </a:solidFill>
            <a:ln>
              <a:noFill/>
            </a:ln>
            <a:effectLst/>
          </c:spPr>
          <c:invertIfNegative val="0"/>
          <c:cat>
            <c:strRef>
              <c:extLst>
                <c:ext xmlns:c15="http://schemas.microsoft.com/office/drawing/2012/chart" uri="{02D57815-91ED-43cb-92C2-25804820EDAC}">
                  <c15:fullRef>
                    <c15:sqref>ExpBase!$N$89:$Q$89</c15:sqref>
                  </c15:fullRef>
                </c:ext>
              </c:extLst>
              <c:f>(ExpBase!$N$89:$O$89,ExpBase!$Q$89)</c:f>
              <c:strCache>
                <c:ptCount val="3"/>
                <c:pt idx="0">
                  <c:v>Acid</c:v>
                </c:pt>
                <c:pt idx="1">
                  <c:v>Base</c:v>
                </c:pt>
                <c:pt idx="2">
                  <c:v>Water</c:v>
                </c:pt>
              </c:strCache>
            </c:strRef>
          </c:cat>
          <c:val>
            <c:numRef>
              <c:extLst>
                <c:ext xmlns:c15="http://schemas.microsoft.com/office/drawing/2012/chart" uri="{02D57815-91ED-43cb-92C2-25804820EDAC}">
                  <c15:fullRef>
                    <c15:sqref>ExpBase!$N$99:$Q$99</c15:sqref>
                  </c15:fullRef>
                </c:ext>
              </c:extLst>
              <c:f>(ExpBase!$N$99:$O$99,ExpBase!$Q$99)</c:f>
              <c:numCache>
                <c:formatCode>General</c:formatCode>
                <c:ptCount val="3"/>
              </c:numCache>
            </c:numRef>
          </c:val>
          <c:extLst>
            <c:ext xmlns:c16="http://schemas.microsoft.com/office/drawing/2014/chart" uri="{C3380CC4-5D6E-409C-BE32-E72D297353CC}">
              <c16:uniqueId val="{00000009-3446-48D2-97C3-2E5A469BB779}"/>
            </c:ext>
          </c:extLst>
        </c:ser>
        <c:ser>
          <c:idx val="10"/>
          <c:order val="10"/>
          <c:tx>
            <c:strRef>
              <c:f>ExpBase!$M$100</c:f>
              <c:strCache>
                <c:ptCount val="1"/>
                <c:pt idx="0">
                  <c:v>KCl</c:v>
                </c:pt>
              </c:strCache>
            </c:strRef>
          </c:tx>
          <c:spPr>
            <a:solidFill>
              <a:srgbClr val="66FF99"/>
            </a:solidFill>
            <a:ln>
              <a:noFill/>
            </a:ln>
            <a:effectLst/>
          </c:spPr>
          <c:invertIfNegative val="0"/>
          <c:cat>
            <c:strRef>
              <c:extLst>
                <c:ext xmlns:c15="http://schemas.microsoft.com/office/drawing/2012/chart" uri="{02D57815-91ED-43cb-92C2-25804820EDAC}">
                  <c15:fullRef>
                    <c15:sqref>ExpBase!$N$89:$Q$89</c15:sqref>
                  </c15:fullRef>
                </c:ext>
              </c:extLst>
              <c:f>(ExpBase!$N$89:$O$89,ExpBase!$Q$89)</c:f>
              <c:strCache>
                <c:ptCount val="3"/>
                <c:pt idx="0">
                  <c:v>Acid</c:v>
                </c:pt>
                <c:pt idx="1">
                  <c:v>Base</c:v>
                </c:pt>
                <c:pt idx="2">
                  <c:v>Water</c:v>
                </c:pt>
              </c:strCache>
            </c:strRef>
          </c:cat>
          <c:val>
            <c:numRef>
              <c:extLst>
                <c:ext xmlns:c15="http://schemas.microsoft.com/office/drawing/2012/chart" uri="{02D57815-91ED-43cb-92C2-25804820EDAC}">
                  <c15:fullRef>
                    <c15:sqref>ExpBase!$N$100:$Q$100</c15:sqref>
                  </c15:fullRef>
                </c:ext>
              </c:extLst>
              <c:f>(ExpBase!$N$100:$O$100,ExpBase!$Q$100)</c:f>
              <c:numCache>
                <c:formatCode>General</c:formatCode>
                <c:ptCount val="3"/>
              </c:numCache>
            </c:numRef>
          </c:val>
          <c:extLst>
            <c:ext xmlns:c16="http://schemas.microsoft.com/office/drawing/2014/chart" uri="{C3380CC4-5D6E-409C-BE32-E72D297353CC}">
              <c16:uniqueId val="{0000000A-3446-48D2-97C3-2E5A469BB779}"/>
            </c:ext>
          </c:extLst>
        </c:ser>
        <c:ser>
          <c:idx val="11"/>
          <c:order val="11"/>
          <c:tx>
            <c:strRef>
              <c:f>ExpBase!$M$101</c:f>
              <c:strCache>
                <c:ptCount val="1"/>
                <c:pt idx="0">
                  <c:v>NaCl</c:v>
                </c:pt>
              </c:strCache>
            </c:strRef>
          </c:tx>
          <c:spPr>
            <a:solidFill>
              <a:srgbClr val="006666"/>
            </a:solidFill>
            <a:ln>
              <a:noFill/>
            </a:ln>
            <a:effectLst/>
          </c:spPr>
          <c:invertIfNegative val="0"/>
          <c:cat>
            <c:strRef>
              <c:extLst>
                <c:ext xmlns:c15="http://schemas.microsoft.com/office/drawing/2012/chart" uri="{02D57815-91ED-43cb-92C2-25804820EDAC}">
                  <c15:fullRef>
                    <c15:sqref>ExpBase!$N$89:$Q$89</c15:sqref>
                  </c15:fullRef>
                </c:ext>
              </c:extLst>
              <c:f>(ExpBase!$N$89:$O$89,ExpBase!$Q$89)</c:f>
              <c:strCache>
                <c:ptCount val="3"/>
                <c:pt idx="0">
                  <c:v>Acid</c:v>
                </c:pt>
                <c:pt idx="1">
                  <c:v>Base</c:v>
                </c:pt>
                <c:pt idx="2">
                  <c:v>Water</c:v>
                </c:pt>
              </c:strCache>
            </c:strRef>
          </c:cat>
          <c:val>
            <c:numRef>
              <c:extLst>
                <c:ext xmlns:c15="http://schemas.microsoft.com/office/drawing/2012/chart" uri="{02D57815-91ED-43cb-92C2-25804820EDAC}">
                  <c15:fullRef>
                    <c15:sqref>ExpBase!$N$101:$Q$101</c15:sqref>
                  </c15:fullRef>
                </c:ext>
              </c:extLst>
              <c:f>(ExpBase!$N$101:$O$101,ExpBase!$Q$101)</c:f>
              <c:numCache>
                <c:formatCode>General</c:formatCode>
                <c:ptCount val="3"/>
              </c:numCache>
            </c:numRef>
          </c:val>
          <c:extLst>
            <c:ext xmlns:c16="http://schemas.microsoft.com/office/drawing/2014/chart" uri="{C3380CC4-5D6E-409C-BE32-E72D297353CC}">
              <c16:uniqueId val="{0000000B-3446-48D2-97C3-2E5A469BB779}"/>
            </c:ext>
          </c:extLst>
        </c:ser>
        <c:dLbls>
          <c:showLegendKey val="0"/>
          <c:showVal val="0"/>
          <c:showCatName val="0"/>
          <c:showSerName val="0"/>
          <c:showPercent val="0"/>
          <c:showBubbleSize val="0"/>
        </c:dLbls>
        <c:gapWidth val="20"/>
        <c:overlap val="100"/>
        <c:axId val="1198776815"/>
        <c:axId val="1198778735"/>
      </c:barChart>
      <c:barChart>
        <c:barDir val="col"/>
        <c:grouping val="stacked"/>
        <c:varyColors val="0"/>
        <c:ser>
          <c:idx val="12"/>
          <c:order val="12"/>
          <c:tx>
            <c:strRef>
              <c:f>ExpBase!$M$102</c:f>
              <c:strCache>
                <c:ptCount val="1"/>
                <c:pt idx="0">
                  <c:v>Flow Rate</c:v>
                </c:pt>
              </c:strCache>
            </c:strRef>
          </c:tx>
          <c:spPr>
            <a:solidFill>
              <a:schemeClr val="accent4">
                <a:alpha val="50000"/>
              </a:schemeClr>
            </a:solidFill>
            <a:ln>
              <a:noFill/>
            </a:ln>
            <a:effectLst/>
          </c:spPr>
          <c:invertIfNegative val="0"/>
          <c:cat>
            <c:strRef>
              <c:extLst>
                <c:ext xmlns:c15="http://schemas.microsoft.com/office/drawing/2012/chart" uri="{02D57815-91ED-43cb-92C2-25804820EDAC}">
                  <c15:fullRef>
                    <c15:sqref>ExpBase!$N$89:$Q$89</c15:sqref>
                  </c15:fullRef>
                </c:ext>
              </c:extLst>
              <c:f>(ExpBase!$N$89:$O$89,ExpBase!$Q$89)</c:f>
              <c:strCache>
                <c:ptCount val="3"/>
                <c:pt idx="0">
                  <c:v>Acid</c:v>
                </c:pt>
                <c:pt idx="1">
                  <c:v>Base</c:v>
                </c:pt>
                <c:pt idx="2">
                  <c:v>Water</c:v>
                </c:pt>
              </c:strCache>
            </c:strRef>
          </c:cat>
          <c:val>
            <c:numRef>
              <c:extLst>
                <c:ext xmlns:c15="http://schemas.microsoft.com/office/drawing/2012/chart" uri="{02D57815-91ED-43cb-92C2-25804820EDAC}">
                  <c15:fullRef>
                    <c15:sqref>ExpBase!$N$102:$Q$102</c15:sqref>
                  </c15:fullRef>
                </c:ext>
              </c:extLst>
              <c:f>(ExpBase!$N$102:$O$102,ExpBase!$Q$102)</c:f>
              <c:numCache>
                <c:formatCode>_(* #,##0.00_);_(* \(#,##0.00\);_(* "-"??_);_(@_)</c:formatCode>
                <c:ptCount val="3"/>
                <c:pt idx="0">
                  <c:v>6.7911896763888713</c:v>
                </c:pt>
                <c:pt idx="1">
                  <c:v>6.7911896763888713</c:v>
                </c:pt>
                <c:pt idx="2">
                  <c:v>33.955948381944353</c:v>
                </c:pt>
              </c:numCache>
            </c:numRef>
          </c:val>
          <c:extLst>
            <c:ext xmlns:c16="http://schemas.microsoft.com/office/drawing/2014/chart" uri="{C3380CC4-5D6E-409C-BE32-E72D297353CC}">
              <c16:uniqueId val="{0000000C-3446-48D2-97C3-2E5A469BB779}"/>
            </c:ext>
          </c:extLst>
        </c:ser>
        <c:dLbls>
          <c:showLegendKey val="0"/>
          <c:showVal val="0"/>
          <c:showCatName val="0"/>
          <c:showSerName val="0"/>
          <c:showPercent val="0"/>
          <c:showBubbleSize val="0"/>
        </c:dLbls>
        <c:gapWidth val="250"/>
        <c:overlap val="100"/>
        <c:axId val="1198816175"/>
        <c:axId val="1198820495"/>
      </c:barChart>
      <c:catAx>
        <c:axId val="119877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crossAx val="1198778735"/>
        <c:crosses val="autoZero"/>
        <c:auto val="1"/>
        <c:lblAlgn val="ctr"/>
        <c:lblOffset val="100"/>
        <c:noMultiLvlLbl val="0"/>
      </c:catAx>
      <c:valAx>
        <c:axId val="1198778735"/>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solidFill>
                      <a:sysClr val="windowText" lastClr="000000"/>
                    </a:solidFill>
                  </a:rPr>
                  <a:t>Species Concentration </a:t>
                </a:r>
                <a:r>
                  <a:rPr lang="en-US" b="0">
                    <a:solidFill>
                      <a:sysClr val="windowText" lastClr="000000"/>
                    </a:solidFill>
                  </a:rPr>
                  <a:t>[g/L]</a:t>
                </a:r>
              </a:p>
            </c:rich>
          </c:tx>
          <c:layout>
            <c:manualLayout>
              <c:xMode val="edge"/>
              <c:yMode val="edge"/>
              <c:x val="2.1028671668189308E-2"/>
              <c:y val="0.24233352155297652"/>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_(* #,##0_);_(* \(#,##0\);_(* &quot;-&quot;_);_(@_)"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Nova Cond" panose="020B0506020202020204" pitchFamily="34" charset="0"/>
                <a:ea typeface="+mn-ea"/>
                <a:cs typeface="+mn-cs"/>
              </a:defRPr>
            </a:pPr>
            <a:endParaRPr lang="en-US"/>
          </a:p>
        </c:txPr>
        <c:crossAx val="1198776815"/>
        <c:crosses val="autoZero"/>
        <c:crossBetween val="between"/>
      </c:valAx>
      <c:valAx>
        <c:axId val="1198820495"/>
        <c:scaling>
          <c:orientation val="minMax"/>
          <c:max val="240"/>
        </c:scaling>
        <c:delete val="0"/>
        <c:axPos val="r"/>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t>Volumetric Flow Rate </a:t>
                </a:r>
                <a:r>
                  <a:rPr lang="en-US" b="0"/>
                  <a:t>[m</a:t>
                </a:r>
                <a:r>
                  <a:rPr lang="en-US" b="0" baseline="30000"/>
                  <a:t>3</a:t>
                </a:r>
                <a:r>
                  <a:rPr lang="en-US" b="0"/>
                  <a:t>/hr]</a:t>
                </a:r>
              </a:p>
            </c:rich>
          </c:tx>
          <c:layout>
            <c:manualLayout>
              <c:xMode val="edge"/>
              <c:yMode val="edge"/>
              <c:x val="0.95116890063860104"/>
              <c:y val="0.21434699661752854"/>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_(* #,##0_);_(* \(#,##0\);_(* &quot;-&quot;_);_(@_)"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Nova Cond" panose="020B0506020202020204" pitchFamily="34" charset="0"/>
                <a:ea typeface="+mn-ea"/>
                <a:cs typeface="+mn-cs"/>
              </a:defRPr>
            </a:pPr>
            <a:endParaRPr lang="en-US"/>
          </a:p>
        </c:txPr>
        <c:crossAx val="1198816175"/>
        <c:crosses val="max"/>
        <c:crossBetween val="between"/>
        <c:majorUnit val="40"/>
      </c:valAx>
      <c:catAx>
        <c:axId val="1198816175"/>
        <c:scaling>
          <c:orientation val="minMax"/>
        </c:scaling>
        <c:delete val="1"/>
        <c:axPos val="b"/>
        <c:numFmt formatCode="General" sourceLinked="1"/>
        <c:majorTickMark val="out"/>
        <c:minorTickMark val="none"/>
        <c:tickLblPos val="nextTo"/>
        <c:crossAx val="1198820495"/>
        <c:crosses val="autoZero"/>
        <c:auto val="1"/>
        <c:lblAlgn val="ctr"/>
        <c:lblOffset val="100"/>
        <c:noMultiLvlLbl val="0"/>
      </c:catAx>
      <c:spPr>
        <a:noFill/>
        <a:ln w="19050">
          <a:solidFill>
            <a:schemeClr val="tx1"/>
          </a:solidFill>
        </a:ln>
        <a:effectLst/>
      </c:spPr>
    </c:plotArea>
    <c:legend>
      <c:legendPos val="b"/>
      <c:layout>
        <c:manualLayout>
          <c:xMode val="edge"/>
          <c:yMode val="edge"/>
          <c:x val="1.6666058541662702E-2"/>
          <c:y val="0.84143911277280425"/>
          <c:w val="0.97824175290839421"/>
          <c:h val="0.15095121323678665"/>
        </c:manualLayout>
      </c:layout>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22225"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0" baseline="0">
                <a:solidFill>
                  <a:sysClr val="windowText" lastClr="000000"/>
                </a:solidFill>
                <a:latin typeface="Arial Nova Cond" panose="020B0506020202020204" pitchFamily="34" charset="0"/>
                <a:ea typeface="+mn-ea"/>
                <a:cs typeface="+mn-cs"/>
              </a:defRPr>
            </a:pPr>
            <a:r>
              <a:rPr lang="en-US" b="1" cap="all" baseline="0"/>
              <a:t>Cheese Whey Effluent characteristics</a:t>
            </a:r>
          </a:p>
        </c:rich>
      </c:tx>
      <c:layout>
        <c:manualLayout>
          <c:xMode val="edge"/>
          <c:yMode val="edge"/>
          <c:x val="6.9424023829754211E-2"/>
          <c:y val="2.1107337458959111E-2"/>
        </c:manualLayout>
      </c:layout>
      <c:overlay val="0"/>
      <c:spPr>
        <a:noFill/>
        <a:ln>
          <a:noFill/>
        </a:ln>
        <a:effectLst/>
      </c:spPr>
      <c:txPr>
        <a:bodyPr rot="0" spcFirstLastPara="1" vertOverflow="ellipsis" vert="horz" wrap="square" anchor="ctr" anchorCtr="1"/>
        <a:lstStyle/>
        <a:p>
          <a:pPr>
            <a:defRPr sz="1400" b="1" i="0" u="none" strike="noStrike" kern="1200" cap="all"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barChart>
        <c:barDir val="col"/>
        <c:grouping val="stacked"/>
        <c:varyColors val="0"/>
        <c:ser>
          <c:idx val="0"/>
          <c:order val="0"/>
          <c:tx>
            <c:strRef>
              <c:f>ExpBase!$H$173</c:f>
              <c:strCache>
                <c:ptCount val="1"/>
                <c:pt idx="0">
                  <c:v>Lactate</c:v>
                </c:pt>
              </c:strCache>
            </c:strRef>
          </c:tx>
          <c:spPr>
            <a:solidFill>
              <a:srgbClr val="FFCC99"/>
            </a:solidFill>
            <a:ln>
              <a:noFill/>
            </a:ln>
            <a:effectLst/>
          </c:spPr>
          <c:invertIfNegative val="0"/>
          <c:cat>
            <c:strRef>
              <c:extLst>
                <c:ext xmlns:c15="http://schemas.microsoft.com/office/drawing/2012/chart" uri="{02D57815-91ED-43cb-92C2-25804820EDAC}">
                  <c15:fullRef>
                    <c15:sqref>ExpBase!$I$172:$K$172</c15:sqref>
                  </c15:fullRef>
                </c:ext>
              </c:extLst>
              <c:f>ExpBase!$I$172:$J$172</c:f>
              <c:strCache>
                <c:ptCount val="2"/>
                <c:pt idx="0">
                  <c:v>Concentrate</c:v>
                </c:pt>
                <c:pt idx="1">
                  <c:v>Water</c:v>
                </c:pt>
              </c:strCache>
            </c:strRef>
          </c:cat>
          <c:val>
            <c:numRef>
              <c:extLst>
                <c:ext xmlns:c15="http://schemas.microsoft.com/office/drawing/2012/chart" uri="{02D57815-91ED-43cb-92C2-25804820EDAC}">
                  <c15:fullRef>
                    <c15:sqref>ExpBase!$I$173:$K$173</c15:sqref>
                  </c15:fullRef>
                </c:ext>
              </c:extLst>
              <c:f>ExpBase!$I$173:$J$173</c:f>
              <c:numCache>
                <c:formatCode>_(* #,##0.00_);_(* \(#,##0.00\);_(* "-"??_);_(@_)</c:formatCode>
                <c:ptCount val="2"/>
                <c:pt idx="0">
                  <c:v>54.823581682067385</c:v>
                </c:pt>
                <c:pt idx="1">
                  <c:v>0.83066032851617311</c:v>
                </c:pt>
              </c:numCache>
            </c:numRef>
          </c:val>
          <c:extLst>
            <c:ext xmlns:c16="http://schemas.microsoft.com/office/drawing/2014/chart" uri="{C3380CC4-5D6E-409C-BE32-E72D297353CC}">
              <c16:uniqueId val="{00000000-D08B-4FA6-B2F3-FB3269018330}"/>
            </c:ext>
          </c:extLst>
        </c:ser>
        <c:ser>
          <c:idx val="1"/>
          <c:order val="1"/>
          <c:tx>
            <c:strRef>
              <c:f>ExpBase!$H$174</c:f>
              <c:strCache>
                <c:ptCount val="1"/>
                <c:pt idx="0">
                  <c:v>Glucose </c:v>
                </c:pt>
              </c:strCache>
            </c:strRef>
          </c:tx>
          <c:spPr>
            <a:solidFill>
              <a:srgbClr val="DDB247"/>
            </a:solidFill>
            <a:ln>
              <a:noFill/>
            </a:ln>
            <a:effectLst/>
          </c:spPr>
          <c:invertIfNegative val="0"/>
          <c:cat>
            <c:strRef>
              <c:extLst>
                <c:ext xmlns:c15="http://schemas.microsoft.com/office/drawing/2012/chart" uri="{02D57815-91ED-43cb-92C2-25804820EDAC}">
                  <c15:fullRef>
                    <c15:sqref>ExpBase!$I$172:$K$172</c15:sqref>
                  </c15:fullRef>
                </c:ext>
              </c:extLst>
              <c:f>ExpBase!$I$172:$J$172</c:f>
              <c:strCache>
                <c:ptCount val="2"/>
                <c:pt idx="0">
                  <c:v>Concentrate</c:v>
                </c:pt>
                <c:pt idx="1">
                  <c:v>Water</c:v>
                </c:pt>
              </c:strCache>
            </c:strRef>
          </c:cat>
          <c:val>
            <c:numRef>
              <c:extLst>
                <c:ext xmlns:c15="http://schemas.microsoft.com/office/drawing/2012/chart" uri="{02D57815-91ED-43cb-92C2-25804820EDAC}">
                  <c15:fullRef>
                    <c15:sqref>ExpBase!$I$174:$K$174</c15:sqref>
                  </c15:fullRef>
                </c:ext>
              </c:extLst>
              <c:f>ExpBase!$I$174:$J$174</c:f>
              <c:numCache>
                <c:formatCode>_(* #,##0.00_);_(* \(#,##0.00\);_(* "-"??_);_(@_)</c:formatCode>
                <c:ptCount val="2"/>
                <c:pt idx="0">
                  <c:v>2.9314088043881323</c:v>
                </c:pt>
                <c:pt idx="1">
                  <c:v>4.4415284914971737E-2</c:v>
                </c:pt>
              </c:numCache>
            </c:numRef>
          </c:val>
          <c:extLst>
            <c:ext xmlns:c16="http://schemas.microsoft.com/office/drawing/2014/chart" uri="{C3380CC4-5D6E-409C-BE32-E72D297353CC}">
              <c16:uniqueId val="{00000001-D08B-4FA6-B2F3-FB3269018330}"/>
            </c:ext>
          </c:extLst>
        </c:ser>
        <c:ser>
          <c:idx val="2"/>
          <c:order val="2"/>
          <c:tx>
            <c:strRef>
              <c:f>ExpBase!$H$175</c:f>
              <c:strCache>
                <c:ptCount val="1"/>
                <c:pt idx="0">
                  <c:v>Galactose </c:v>
                </c:pt>
              </c:strCache>
            </c:strRef>
          </c:tx>
          <c:spPr>
            <a:solidFill>
              <a:srgbClr val="FBB433"/>
            </a:solidFill>
            <a:ln>
              <a:noFill/>
            </a:ln>
            <a:effectLst/>
          </c:spPr>
          <c:invertIfNegative val="0"/>
          <c:cat>
            <c:strRef>
              <c:extLst>
                <c:ext xmlns:c15="http://schemas.microsoft.com/office/drawing/2012/chart" uri="{02D57815-91ED-43cb-92C2-25804820EDAC}">
                  <c15:fullRef>
                    <c15:sqref>ExpBase!$I$172:$K$172</c15:sqref>
                  </c15:fullRef>
                </c:ext>
              </c:extLst>
              <c:f>ExpBase!$I$172:$J$172</c:f>
              <c:strCache>
                <c:ptCount val="2"/>
                <c:pt idx="0">
                  <c:v>Concentrate</c:v>
                </c:pt>
                <c:pt idx="1">
                  <c:v>Water</c:v>
                </c:pt>
              </c:strCache>
            </c:strRef>
          </c:cat>
          <c:val>
            <c:numRef>
              <c:extLst>
                <c:ext xmlns:c15="http://schemas.microsoft.com/office/drawing/2012/chart" uri="{02D57815-91ED-43cb-92C2-25804820EDAC}">
                  <c15:fullRef>
                    <c15:sqref>ExpBase!$I$175:$K$175</c15:sqref>
                  </c15:fullRef>
                </c:ext>
              </c:extLst>
              <c:f>ExpBase!$I$175:$J$175</c:f>
              <c:numCache>
                <c:formatCode>_(* #,##0.00_);_(* \(#,##0.00\);_(* "-"??_);_(@_)</c:formatCode>
                <c:ptCount val="2"/>
                <c:pt idx="0">
                  <c:v>6.6944229433544535</c:v>
                </c:pt>
                <c:pt idx="1">
                  <c:v>0.10143065065688572</c:v>
                </c:pt>
              </c:numCache>
            </c:numRef>
          </c:val>
          <c:extLst>
            <c:ext xmlns:c16="http://schemas.microsoft.com/office/drawing/2014/chart" uri="{C3380CC4-5D6E-409C-BE32-E72D297353CC}">
              <c16:uniqueId val="{00000002-D08B-4FA6-B2F3-FB3269018330}"/>
            </c:ext>
          </c:extLst>
        </c:ser>
        <c:ser>
          <c:idx val="3"/>
          <c:order val="3"/>
          <c:tx>
            <c:strRef>
              <c:f>ExpBase!$H$176</c:f>
              <c:strCache>
                <c:ptCount val="1"/>
                <c:pt idx="0">
                  <c:v>Lactose </c:v>
                </c:pt>
              </c:strCache>
            </c:strRef>
          </c:tx>
          <c:spPr>
            <a:solidFill>
              <a:srgbClr val="CCD18B"/>
            </a:solidFill>
            <a:ln>
              <a:noFill/>
            </a:ln>
            <a:effectLst/>
          </c:spPr>
          <c:invertIfNegative val="0"/>
          <c:cat>
            <c:strRef>
              <c:extLst>
                <c:ext xmlns:c15="http://schemas.microsoft.com/office/drawing/2012/chart" uri="{02D57815-91ED-43cb-92C2-25804820EDAC}">
                  <c15:fullRef>
                    <c15:sqref>ExpBase!$I$172:$K$172</c15:sqref>
                  </c15:fullRef>
                </c:ext>
              </c:extLst>
              <c:f>ExpBase!$I$172:$J$172</c:f>
              <c:strCache>
                <c:ptCount val="2"/>
                <c:pt idx="0">
                  <c:v>Concentrate</c:v>
                </c:pt>
                <c:pt idx="1">
                  <c:v>Water</c:v>
                </c:pt>
              </c:strCache>
            </c:strRef>
          </c:cat>
          <c:val>
            <c:numRef>
              <c:extLst>
                <c:ext xmlns:c15="http://schemas.microsoft.com/office/drawing/2012/chart" uri="{02D57815-91ED-43cb-92C2-25804820EDAC}">
                  <c15:fullRef>
                    <c15:sqref>ExpBase!$I$176:$K$176</c15:sqref>
                  </c15:fullRef>
                </c:ext>
              </c:extLst>
              <c:f>ExpBase!$I$176:$J$176</c:f>
              <c:numCache>
                <c:formatCode>_(* #,##0.00_);_(* \(#,##0.00\);_(* "-"??_);_(@_)</c:formatCode>
                <c:ptCount val="2"/>
                <c:pt idx="0">
                  <c:v>4.8510311183727932</c:v>
                </c:pt>
                <c:pt idx="1">
                  <c:v>7.3500471490496933E-2</c:v>
                </c:pt>
              </c:numCache>
            </c:numRef>
          </c:val>
          <c:extLst>
            <c:ext xmlns:c16="http://schemas.microsoft.com/office/drawing/2014/chart" uri="{C3380CC4-5D6E-409C-BE32-E72D297353CC}">
              <c16:uniqueId val="{00000003-D08B-4FA6-B2F3-FB3269018330}"/>
            </c:ext>
          </c:extLst>
        </c:ser>
        <c:dLbls>
          <c:showLegendKey val="0"/>
          <c:showVal val="0"/>
          <c:showCatName val="0"/>
          <c:showSerName val="0"/>
          <c:showPercent val="0"/>
          <c:showBubbleSize val="0"/>
        </c:dLbls>
        <c:gapWidth val="30"/>
        <c:overlap val="100"/>
        <c:axId val="961696576"/>
        <c:axId val="961685536"/>
      </c:barChart>
      <c:barChart>
        <c:barDir val="col"/>
        <c:grouping val="stacked"/>
        <c:varyColors val="0"/>
        <c:ser>
          <c:idx val="6"/>
          <c:order val="4"/>
          <c:tx>
            <c:strRef>
              <c:f>ExpBase!$H$179</c:f>
              <c:strCache>
                <c:ptCount val="1"/>
                <c:pt idx="0">
                  <c:v>Flow Rate</c:v>
                </c:pt>
              </c:strCache>
            </c:strRef>
          </c:tx>
          <c:spPr>
            <a:solidFill>
              <a:srgbClr val="993300">
                <a:alpha val="40000"/>
              </a:srgbClr>
            </a:solidFill>
            <a:ln>
              <a:noFill/>
            </a:ln>
            <a:effectLst/>
          </c:spPr>
          <c:invertIfNegative val="0"/>
          <c:cat>
            <c:strRef>
              <c:extLst>
                <c:ext xmlns:c15="http://schemas.microsoft.com/office/drawing/2012/chart" uri="{02D57815-91ED-43cb-92C2-25804820EDAC}">
                  <c15:fullRef>
                    <c15:sqref>ExpBase!$I$172:$K$172</c15:sqref>
                  </c15:fullRef>
                </c:ext>
              </c:extLst>
              <c:f>ExpBase!$I$172:$J$172</c:f>
              <c:strCache>
                <c:ptCount val="2"/>
                <c:pt idx="0">
                  <c:v>Concentrate</c:v>
                </c:pt>
                <c:pt idx="1">
                  <c:v>Water</c:v>
                </c:pt>
              </c:strCache>
            </c:strRef>
          </c:cat>
          <c:val>
            <c:numRef>
              <c:extLst>
                <c:ext xmlns:c15="http://schemas.microsoft.com/office/drawing/2012/chart" uri="{02D57815-91ED-43cb-92C2-25804820EDAC}">
                  <c15:fullRef>
                    <c15:sqref>ExpBase!$I$179:$K$179</c15:sqref>
                  </c15:fullRef>
                </c:ext>
              </c:extLst>
              <c:f>ExpBase!$I$179:$J$179</c:f>
              <c:numCache>
                <c:formatCode>_(* #,##0.00_);_(* \(#,##0.00\);_(* "-"??_);_(@_)</c:formatCode>
                <c:ptCount val="2"/>
                <c:pt idx="0">
                  <c:v>6.277160386105658</c:v>
                </c:pt>
                <c:pt idx="1">
                  <c:v>9.4157405791584861</c:v>
                </c:pt>
              </c:numCache>
            </c:numRef>
          </c:val>
          <c:extLst>
            <c:ext xmlns:c16="http://schemas.microsoft.com/office/drawing/2014/chart" uri="{C3380CC4-5D6E-409C-BE32-E72D297353CC}">
              <c16:uniqueId val="{00000006-D08B-4FA6-B2F3-FB3269018330}"/>
            </c:ext>
          </c:extLst>
        </c:ser>
        <c:dLbls>
          <c:showLegendKey val="0"/>
          <c:showVal val="0"/>
          <c:showCatName val="0"/>
          <c:showSerName val="0"/>
          <c:showPercent val="0"/>
          <c:showBubbleSize val="0"/>
        </c:dLbls>
        <c:gapWidth val="250"/>
        <c:overlap val="100"/>
        <c:axId val="961690816"/>
        <c:axId val="961693696"/>
      </c:barChart>
      <c:catAx>
        <c:axId val="96169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Arial Nova Cond" panose="020B0506020202020204" pitchFamily="34" charset="0"/>
                <a:ea typeface="+mn-ea"/>
                <a:cs typeface="+mn-cs"/>
              </a:defRPr>
            </a:pPr>
            <a:endParaRPr lang="en-US"/>
          </a:p>
        </c:txPr>
        <c:crossAx val="961685536"/>
        <c:crosses val="autoZero"/>
        <c:auto val="1"/>
        <c:lblAlgn val="ctr"/>
        <c:lblOffset val="100"/>
        <c:noMultiLvlLbl val="0"/>
      </c:catAx>
      <c:valAx>
        <c:axId val="961685536"/>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t>Species Concentration</a:t>
                </a:r>
                <a:r>
                  <a:rPr lang="en-US" b="1" baseline="0"/>
                  <a:t> </a:t>
                </a:r>
                <a:r>
                  <a:rPr lang="en-US" b="0" baseline="0"/>
                  <a:t>[g/L]</a:t>
                </a:r>
                <a:endParaRPr lang="en-US" b="0"/>
              </a:p>
            </c:rich>
          </c:tx>
          <c:layout>
            <c:manualLayout>
              <c:xMode val="edge"/>
              <c:yMode val="edge"/>
              <c:x val="1.9785650262406536E-2"/>
              <c:y val="0.23769832166669475"/>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_(* #,##0_);_(* \(#,##0\);_(* &quot;-&quot;_);_(@_)"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Nova Cond" panose="020B0506020202020204" pitchFamily="34" charset="0"/>
                <a:ea typeface="+mn-ea"/>
                <a:cs typeface="+mn-cs"/>
              </a:defRPr>
            </a:pPr>
            <a:endParaRPr lang="en-US"/>
          </a:p>
        </c:txPr>
        <c:crossAx val="961696576"/>
        <c:crosses val="autoZero"/>
        <c:crossBetween val="between"/>
      </c:valAx>
      <c:valAx>
        <c:axId val="961693696"/>
        <c:scaling>
          <c:orientation val="minMax"/>
          <c:max val="80"/>
        </c:scaling>
        <c:delete val="0"/>
        <c:axPos val="r"/>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solidFill>
                      <a:sysClr val="windowText" lastClr="000000"/>
                    </a:solidFill>
                  </a:rPr>
                  <a:t>Volumetric Flow</a:t>
                </a:r>
                <a:r>
                  <a:rPr lang="en-US" b="1" baseline="0">
                    <a:solidFill>
                      <a:sysClr val="windowText" lastClr="000000"/>
                    </a:solidFill>
                  </a:rPr>
                  <a:t> Rate </a:t>
                </a:r>
                <a:r>
                  <a:rPr lang="en-US" b="0" baseline="0">
                    <a:solidFill>
                      <a:sysClr val="windowText" lastClr="000000"/>
                    </a:solidFill>
                  </a:rPr>
                  <a:t>[m</a:t>
                </a:r>
                <a:r>
                  <a:rPr lang="en-US" b="0" baseline="30000">
                    <a:solidFill>
                      <a:sysClr val="windowText" lastClr="000000"/>
                    </a:solidFill>
                  </a:rPr>
                  <a:t>3</a:t>
                </a:r>
                <a:r>
                  <a:rPr lang="en-US" b="0" baseline="0">
                    <a:solidFill>
                      <a:sysClr val="windowText" lastClr="000000"/>
                    </a:solidFill>
                  </a:rPr>
                  <a:t>/hr]</a:t>
                </a:r>
                <a:endParaRPr lang="en-US" b="0">
                  <a:solidFill>
                    <a:sysClr val="windowText" lastClr="000000"/>
                  </a:solidFill>
                </a:endParaRPr>
              </a:p>
            </c:rich>
          </c:tx>
          <c:layout>
            <c:manualLayout>
              <c:xMode val="edge"/>
              <c:yMode val="edge"/>
              <c:x val="0.94472086387792287"/>
              <c:y val="0.21325862111470564"/>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_(* #,##0_);_(* \(#,##0\);_(* &quot;-&quot;_);_(@_)"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Nova Cond" panose="020B0506020202020204" pitchFamily="34" charset="0"/>
                <a:ea typeface="+mn-ea"/>
                <a:cs typeface="+mn-cs"/>
              </a:defRPr>
            </a:pPr>
            <a:endParaRPr lang="en-US"/>
          </a:p>
        </c:txPr>
        <c:crossAx val="961690816"/>
        <c:crosses val="max"/>
        <c:crossBetween val="between"/>
      </c:valAx>
      <c:catAx>
        <c:axId val="961690816"/>
        <c:scaling>
          <c:orientation val="minMax"/>
        </c:scaling>
        <c:delete val="1"/>
        <c:axPos val="b"/>
        <c:numFmt formatCode="General" sourceLinked="1"/>
        <c:majorTickMark val="out"/>
        <c:minorTickMark val="none"/>
        <c:tickLblPos val="nextTo"/>
        <c:crossAx val="961693696"/>
        <c:crosses val="autoZero"/>
        <c:auto val="1"/>
        <c:lblAlgn val="ctr"/>
        <c:lblOffset val="100"/>
        <c:noMultiLvlLbl val="0"/>
      </c:catAx>
      <c:spPr>
        <a:noFill/>
        <a:ln w="19050">
          <a:solidFill>
            <a:schemeClr val="tx1"/>
          </a:solidFill>
        </a:ln>
        <a:effectLst/>
      </c:spPr>
    </c:plotArea>
    <c:legend>
      <c:legendPos val="b"/>
      <c:layout>
        <c:manualLayout>
          <c:xMode val="edge"/>
          <c:yMode val="edge"/>
          <c:x val="9.5509990282008697E-2"/>
          <c:y val="0.91084627433660426"/>
          <c:w val="0.80458320826655894"/>
          <c:h val="6.7385015070975426E-2"/>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9050"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0" baseline="0">
                <a:solidFill>
                  <a:schemeClr val="tx1"/>
                </a:solidFill>
                <a:latin typeface="Arial Nova Cond" panose="020B0506020202020204" pitchFamily="34" charset="0"/>
                <a:ea typeface="+mn-ea"/>
                <a:cs typeface="+mn-cs"/>
              </a:defRPr>
            </a:pPr>
            <a:r>
              <a:rPr lang="en-US" b="1" cap="all" baseline="0"/>
              <a:t>Digester Biogas Production</a:t>
            </a:r>
          </a:p>
        </c:rich>
      </c:tx>
      <c:layout>
        <c:manualLayout>
          <c:xMode val="edge"/>
          <c:yMode val="edge"/>
          <c:x val="7.032816569494367E-2"/>
          <c:y val="2.6982830845979026E-2"/>
        </c:manualLayout>
      </c:layout>
      <c:overlay val="0"/>
      <c:spPr>
        <a:noFill/>
        <a:ln>
          <a:noFill/>
        </a:ln>
        <a:effectLst/>
      </c:spPr>
      <c:txPr>
        <a:bodyPr rot="0" spcFirstLastPara="1" vertOverflow="ellipsis" vert="horz" wrap="square" anchor="ctr" anchorCtr="1"/>
        <a:lstStyle/>
        <a:p>
          <a:pPr>
            <a:defRPr sz="1400" b="1" i="0" u="none" strike="noStrike" kern="1200" cap="all" spc="0" baseline="0">
              <a:solidFill>
                <a:schemeClr val="tx1"/>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3834835883767155"/>
          <c:y val="0.16607932385700092"/>
          <c:w val="0.83250203755103269"/>
          <c:h val="0.63732986121193269"/>
        </c:manualLayout>
      </c:layout>
      <c:barChart>
        <c:barDir val="col"/>
        <c:grouping val="stacked"/>
        <c:varyColors val="0"/>
        <c:ser>
          <c:idx val="0"/>
          <c:order val="0"/>
          <c:tx>
            <c:strRef>
              <c:f>ExpBase!$K$277</c:f>
              <c:strCache>
                <c:ptCount val="1"/>
                <c:pt idx="0">
                  <c:v>CH4</c:v>
                </c:pt>
              </c:strCache>
            </c:strRef>
          </c:tx>
          <c:spPr>
            <a:solidFill>
              <a:srgbClr val="CCFF99"/>
            </a:solidFill>
            <a:ln>
              <a:noFill/>
            </a:ln>
            <a:effectLst/>
          </c:spPr>
          <c:invertIfNegative val="0"/>
          <c:cat>
            <c:strRef>
              <c:f>ExpBase!$L$276:$M$276</c:f>
              <c:strCache>
                <c:ptCount val="2"/>
                <c:pt idx="0">
                  <c:v>Manure</c:v>
                </c:pt>
                <c:pt idx="1">
                  <c:v>Food Waste</c:v>
                </c:pt>
              </c:strCache>
            </c:strRef>
          </c:cat>
          <c:val>
            <c:numRef>
              <c:f>ExpBase!$L$277:$M$277</c:f>
              <c:numCache>
                <c:formatCode>_(* #,##0.00_);_(* \(#,##0.00\);_(* "-"??_);_(@_)</c:formatCode>
                <c:ptCount val="2"/>
                <c:pt idx="0">
                  <c:v>1.1697474830830171E-2</c:v>
                </c:pt>
                <c:pt idx="1">
                  <c:v>3.3546720293708247E-3</c:v>
                </c:pt>
              </c:numCache>
            </c:numRef>
          </c:val>
          <c:extLst>
            <c:ext xmlns:c16="http://schemas.microsoft.com/office/drawing/2014/chart" uri="{C3380CC4-5D6E-409C-BE32-E72D297353CC}">
              <c16:uniqueId val="{00000000-CF1C-4291-A97E-68A4D31ED523}"/>
            </c:ext>
          </c:extLst>
        </c:ser>
        <c:ser>
          <c:idx val="1"/>
          <c:order val="1"/>
          <c:tx>
            <c:strRef>
              <c:f>ExpBase!$K$278</c:f>
              <c:strCache>
                <c:ptCount val="1"/>
                <c:pt idx="0">
                  <c:v>CO2</c:v>
                </c:pt>
              </c:strCache>
            </c:strRef>
          </c:tx>
          <c:spPr>
            <a:solidFill>
              <a:srgbClr val="CCCCFF"/>
            </a:solidFill>
            <a:ln>
              <a:noFill/>
            </a:ln>
            <a:effectLst/>
          </c:spPr>
          <c:invertIfNegative val="0"/>
          <c:cat>
            <c:strRef>
              <c:f>ExpBase!$L$276:$M$276</c:f>
              <c:strCache>
                <c:ptCount val="2"/>
                <c:pt idx="0">
                  <c:v>Manure</c:v>
                </c:pt>
                <c:pt idx="1">
                  <c:v>Food Waste</c:v>
                </c:pt>
              </c:strCache>
            </c:strRef>
          </c:cat>
          <c:val>
            <c:numRef>
              <c:f>ExpBase!$L$278:$M$278</c:f>
              <c:numCache>
                <c:formatCode>_(* #,##0.00_);_(* \(#,##0.00\);_(* "-"??_);_(@_)</c:formatCode>
                <c:ptCount val="2"/>
                <c:pt idx="0">
                  <c:v>0.18326043901633934</c:v>
                </c:pt>
                <c:pt idx="1">
                  <c:v>5.2556528460142922E-2</c:v>
                </c:pt>
              </c:numCache>
            </c:numRef>
          </c:val>
          <c:extLst>
            <c:ext xmlns:c16="http://schemas.microsoft.com/office/drawing/2014/chart" uri="{C3380CC4-5D6E-409C-BE32-E72D297353CC}">
              <c16:uniqueId val="{00000001-CF1C-4291-A97E-68A4D31ED523}"/>
            </c:ext>
          </c:extLst>
        </c:ser>
        <c:ser>
          <c:idx val="2"/>
          <c:order val="2"/>
          <c:tx>
            <c:strRef>
              <c:f>ExpBase!$K$279</c:f>
              <c:strCache>
                <c:ptCount val="1"/>
                <c:pt idx="0">
                  <c:v>H2</c:v>
                </c:pt>
              </c:strCache>
            </c:strRef>
          </c:tx>
          <c:spPr>
            <a:solidFill>
              <a:srgbClr val="CCFFFF"/>
            </a:solidFill>
            <a:ln>
              <a:noFill/>
            </a:ln>
            <a:effectLst/>
          </c:spPr>
          <c:invertIfNegative val="0"/>
          <c:cat>
            <c:strRef>
              <c:f>ExpBase!$L$276:$M$276</c:f>
              <c:strCache>
                <c:ptCount val="2"/>
                <c:pt idx="0">
                  <c:v>Manure</c:v>
                </c:pt>
                <c:pt idx="1">
                  <c:v>Food Waste</c:v>
                </c:pt>
              </c:strCache>
            </c:strRef>
          </c:cat>
          <c:val>
            <c:numRef>
              <c:f>ExpBase!$L$279:$M$279</c:f>
              <c:numCache>
                <c:formatCode>_(* #,##0.00_);_(* \(#,##0.00\);_(* "-"??_);_(@_)</c:formatCode>
                <c:ptCount val="2"/>
                <c:pt idx="0">
                  <c:v>0.19495791384716951</c:v>
                </c:pt>
                <c:pt idx="1">
                  <c:v>5.591120048951375E-2</c:v>
                </c:pt>
              </c:numCache>
            </c:numRef>
          </c:val>
          <c:extLst>
            <c:ext xmlns:c16="http://schemas.microsoft.com/office/drawing/2014/chart" uri="{C3380CC4-5D6E-409C-BE32-E72D297353CC}">
              <c16:uniqueId val="{00000002-CF1C-4291-A97E-68A4D31ED523}"/>
            </c:ext>
          </c:extLst>
        </c:ser>
        <c:dLbls>
          <c:showLegendKey val="0"/>
          <c:showVal val="0"/>
          <c:showCatName val="0"/>
          <c:showSerName val="0"/>
          <c:showPercent val="0"/>
          <c:showBubbleSize val="0"/>
        </c:dLbls>
        <c:gapWidth val="30"/>
        <c:overlap val="100"/>
        <c:axId val="894041392"/>
        <c:axId val="894050992"/>
      </c:barChart>
      <c:catAx>
        <c:axId val="89404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Arial Nova Cond" panose="020B0506020202020204" pitchFamily="34" charset="0"/>
                <a:ea typeface="+mn-ea"/>
                <a:cs typeface="+mn-cs"/>
              </a:defRPr>
            </a:pPr>
            <a:endParaRPr lang="en-US"/>
          </a:p>
        </c:txPr>
        <c:crossAx val="894050992"/>
        <c:crosses val="autoZero"/>
        <c:auto val="1"/>
        <c:lblAlgn val="ctr"/>
        <c:lblOffset val="100"/>
        <c:noMultiLvlLbl val="0"/>
      </c:catAx>
      <c:valAx>
        <c:axId val="894050992"/>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Arial Nova Cond" panose="020B0506020202020204" pitchFamily="34" charset="0"/>
                    <a:ea typeface="+mn-ea"/>
                    <a:cs typeface="+mn-cs"/>
                  </a:defRPr>
                </a:pPr>
                <a:r>
                  <a:rPr lang="en-US" b="1"/>
                  <a:t>Volumetric</a:t>
                </a:r>
                <a:r>
                  <a:rPr lang="en-US" b="1" baseline="0"/>
                  <a:t> Flow Rate </a:t>
                </a:r>
                <a:r>
                  <a:rPr lang="en-US" b="0" baseline="0"/>
                  <a:t>[1E6 L/hr]</a:t>
                </a:r>
                <a:endParaRPr lang="en-US" b="0"/>
              </a:p>
            </c:rich>
          </c:tx>
          <c:layout>
            <c:manualLayout>
              <c:xMode val="edge"/>
              <c:yMode val="edge"/>
              <c:x val="2.5000010432928994E-2"/>
              <c:y val="0.15042680322859131"/>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Arial Nova Cond" panose="020B0506020202020204" pitchFamily="34" charset="0"/>
                  <a:ea typeface="+mn-ea"/>
                  <a:cs typeface="+mn-cs"/>
                </a:defRPr>
              </a:pPr>
              <a:endParaRPr lang="en-US"/>
            </a:p>
          </c:txPr>
        </c:title>
        <c:numFmt formatCode="_(* #,##0.0_);_(* \(#,##0.0\);_(* &quot;-&quot;?_);_(@_)"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Arial Nova Cond" panose="020B0506020202020204" pitchFamily="34" charset="0"/>
                <a:ea typeface="+mn-ea"/>
                <a:cs typeface="+mn-cs"/>
              </a:defRPr>
            </a:pPr>
            <a:endParaRPr lang="en-US"/>
          </a:p>
        </c:txPr>
        <c:crossAx val="894041392"/>
        <c:crosses val="autoZero"/>
        <c:crossBetween val="between"/>
      </c:valAx>
      <c:spPr>
        <a:noFill/>
        <a:ln w="19050">
          <a:solidFill>
            <a:schemeClr val="tx1"/>
          </a:solidFill>
        </a:ln>
        <a:effectLst/>
      </c:spPr>
    </c:plotArea>
    <c:legend>
      <c:legendPos val="b"/>
      <c:layout>
        <c:manualLayout>
          <c:xMode val="edge"/>
          <c:yMode val="edge"/>
          <c:x val="0.2480310586176728"/>
          <c:y val="0.8945548993875766"/>
          <c:w val="0.52060454943132106"/>
          <c:h val="7.7667322834645669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5875" cap="flat" cmpd="sng" algn="ctr">
      <a:noFill/>
      <a:round/>
    </a:ln>
    <a:effectLst/>
  </c:spPr>
  <c:txPr>
    <a:bodyPr/>
    <a:lstStyle/>
    <a:p>
      <a:pPr>
        <a:defRPr>
          <a:solidFill>
            <a:schemeClr val="tx1"/>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0" baseline="0">
                <a:solidFill>
                  <a:schemeClr val="tx1"/>
                </a:solidFill>
                <a:latin typeface="Arial Nova Cond" panose="020B0506020202020204" pitchFamily="34" charset="0"/>
                <a:ea typeface="+mn-ea"/>
                <a:cs typeface="+mn-cs"/>
              </a:defRPr>
            </a:pPr>
            <a:r>
              <a:rPr lang="en-US" b="1" cap="all" baseline="0"/>
              <a:t>Digester Biogas Production</a:t>
            </a:r>
          </a:p>
        </c:rich>
      </c:tx>
      <c:layout>
        <c:manualLayout>
          <c:xMode val="edge"/>
          <c:yMode val="edge"/>
          <c:x val="6.4510908596475514E-2"/>
          <c:y val="2.3413094392457839E-2"/>
        </c:manualLayout>
      </c:layout>
      <c:overlay val="0"/>
      <c:spPr>
        <a:noFill/>
        <a:ln>
          <a:noFill/>
        </a:ln>
        <a:effectLst/>
      </c:spPr>
      <c:txPr>
        <a:bodyPr rot="0" spcFirstLastPara="1" vertOverflow="ellipsis" vert="horz" wrap="square" anchor="ctr" anchorCtr="1"/>
        <a:lstStyle/>
        <a:p>
          <a:pPr>
            <a:defRPr sz="1400" b="1" i="0" u="none" strike="noStrike" kern="1200" cap="all" spc="0" baseline="0">
              <a:solidFill>
                <a:schemeClr val="tx1"/>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4578477690288713"/>
          <c:y val="0.17097222222222222"/>
          <c:w val="0.82365966754155728"/>
          <c:h val="0.62201552930883641"/>
        </c:manualLayout>
      </c:layout>
      <c:barChart>
        <c:barDir val="col"/>
        <c:grouping val="stacked"/>
        <c:varyColors val="0"/>
        <c:ser>
          <c:idx val="0"/>
          <c:order val="0"/>
          <c:tx>
            <c:strRef>
              <c:f>ExpBase!$K$277</c:f>
              <c:strCache>
                <c:ptCount val="1"/>
                <c:pt idx="0">
                  <c:v>CH4</c:v>
                </c:pt>
              </c:strCache>
            </c:strRef>
          </c:tx>
          <c:spPr>
            <a:solidFill>
              <a:srgbClr val="CCFF99"/>
            </a:solidFill>
            <a:ln>
              <a:noFill/>
            </a:ln>
            <a:effectLst/>
          </c:spPr>
          <c:invertIfNegative val="0"/>
          <c:cat>
            <c:strRef>
              <c:extLst>
                <c:ext xmlns:c15="http://schemas.microsoft.com/office/drawing/2012/chart" uri="{02D57815-91ED-43cb-92C2-25804820EDAC}">
                  <c15:fullRef>
                    <c15:sqref>ExpBase!$L$276:$M$276</c15:sqref>
                  </c15:fullRef>
                </c:ext>
              </c:extLst>
              <c:f>ExpBase!$L$276</c:f>
              <c:strCache>
                <c:ptCount val="1"/>
                <c:pt idx="0">
                  <c:v>Manure</c:v>
                </c:pt>
              </c:strCache>
            </c:strRef>
          </c:cat>
          <c:val>
            <c:numRef>
              <c:extLst>
                <c:ext xmlns:c15="http://schemas.microsoft.com/office/drawing/2012/chart" uri="{02D57815-91ED-43cb-92C2-25804820EDAC}">
                  <c15:fullRef>
                    <c15:sqref>ExpBase!$L$277:$M$277</c15:sqref>
                  </c15:fullRef>
                </c:ext>
              </c:extLst>
              <c:f>ExpBase!$L$277</c:f>
              <c:numCache>
                <c:formatCode>_(* #,##0.00_);_(* \(#,##0.00\);_(* "-"??_);_(@_)</c:formatCode>
                <c:ptCount val="1"/>
                <c:pt idx="0">
                  <c:v>1.1697474830830171E-2</c:v>
                </c:pt>
              </c:numCache>
            </c:numRef>
          </c:val>
          <c:extLst>
            <c:ext xmlns:c16="http://schemas.microsoft.com/office/drawing/2014/chart" uri="{C3380CC4-5D6E-409C-BE32-E72D297353CC}">
              <c16:uniqueId val="{00000000-BCB4-4780-BB71-6C166AF75BC1}"/>
            </c:ext>
          </c:extLst>
        </c:ser>
        <c:ser>
          <c:idx val="1"/>
          <c:order val="1"/>
          <c:tx>
            <c:strRef>
              <c:f>ExpBase!$K$278</c:f>
              <c:strCache>
                <c:ptCount val="1"/>
                <c:pt idx="0">
                  <c:v>CO2</c:v>
                </c:pt>
              </c:strCache>
            </c:strRef>
          </c:tx>
          <c:spPr>
            <a:solidFill>
              <a:srgbClr val="CCCCFF"/>
            </a:solidFill>
            <a:ln>
              <a:noFill/>
            </a:ln>
            <a:effectLst/>
          </c:spPr>
          <c:invertIfNegative val="0"/>
          <c:cat>
            <c:strRef>
              <c:extLst>
                <c:ext xmlns:c15="http://schemas.microsoft.com/office/drawing/2012/chart" uri="{02D57815-91ED-43cb-92C2-25804820EDAC}">
                  <c15:fullRef>
                    <c15:sqref>ExpBase!$L$276:$M$276</c15:sqref>
                  </c15:fullRef>
                </c:ext>
              </c:extLst>
              <c:f>ExpBase!$L$276</c:f>
              <c:strCache>
                <c:ptCount val="1"/>
                <c:pt idx="0">
                  <c:v>Manure</c:v>
                </c:pt>
              </c:strCache>
            </c:strRef>
          </c:cat>
          <c:val>
            <c:numRef>
              <c:extLst>
                <c:ext xmlns:c15="http://schemas.microsoft.com/office/drawing/2012/chart" uri="{02D57815-91ED-43cb-92C2-25804820EDAC}">
                  <c15:fullRef>
                    <c15:sqref>ExpBase!$L$278:$M$278</c15:sqref>
                  </c15:fullRef>
                </c:ext>
              </c:extLst>
              <c:f>ExpBase!$L$278</c:f>
              <c:numCache>
                <c:formatCode>_(* #,##0.00_);_(* \(#,##0.00\);_(* "-"??_);_(@_)</c:formatCode>
                <c:ptCount val="1"/>
                <c:pt idx="0">
                  <c:v>0.18326043901633934</c:v>
                </c:pt>
              </c:numCache>
            </c:numRef>
          </c:val>
          <c:extLst>
            <c:ext xmlns:c16="http://schemas.microsoft.com/office/drawing/2014/chart" uri="{C3380CC4-5D6E-409C-BE32-E72D297353CC}">
              <c16:uniqueId val="{00000001-BCB4-4780-BB71-6C166AF75BC1}"/>
            </c:ext>
          </c:extLst>
        </c:ser>
        <c:ser>
          <c:idx val="2"/>
          <c:order val="2"/>
          <c:tx>
            <c:strRef>
              <c:f>ExpBase!$K$279</c:f>
              <c:strCache>
                <c:ptCount val="1"/>
                <c:pt idx="0">
                  <c:v>H2</c:v>
                </c:pt>
              </c:strCache>
            </c:strRef>
          </c:tx>
          <c:spPr>
            <a:solidFill>
              <a:srgbClr val="CCFFFF"/>
            </a:solidFill>
            <a:ln>
              <a:noFill/>
            </a:ln>
            <a:effectLst/>
          </c:spPr>
          <c:invertIfNegative val="0"/>
          <c:cat>
            <c:strRef>
              <c:extLst>
                <c:ext xmlns:c15="http://schemas.microsoft.com/office/drawing/2012/chart" uri="{02D57815-91ED-43cb-92C2-25804820EDAC}">
                  <c15:fullRef>
                    <c15:sqref>ExpBase!$L$276:$M$276</c15:sqref>
                  </c15:fullRef>
                </c:ext>
              </c:extLst>
              <c:f>ExpBase!$L$276</c:f>
              <c:strCache>
                <c:ptCount val="1"/>
                <c:pt idx="0">
                  <c:v>Manure</c:v>
                </c:pt>
              </c:strCache>
            </c:strRef>
          </c:cat>
          <c:val>
            <c:numRef>
              <c:extLst>
                <c:ext xmlns:c15="http://schemas.microsoft.com/office/drawing/2012/chart" uri="{02D57815-91ED-43cb-92C2-25804820EDAC}">
                  <c15:fullRef>
                    <c15:sqref>ExpBase!$L$279:$M$279</c15:sqref>
                  </c15:fullRef>
                </c:ext>
              </c:extLst>
              <c:f>ExpBase!$L$279</c:f>
              <c:numCache>
                <c:formatCode>_(* #,##0.00_);_(* \(#,##0.00\);_(* "-"??_);_(@_)</c:formatCode>
                <c:ptCount val="1"/>
                <c:pt idx="0">
                  <c:v>0.19495791384716951</c:v>
                </c:pt>
              </c:numCache>
            </c:numRef>
          </c:val>
          <c:extLst>
            <c:ext xmlns:c16="http://schemas.microsoft.com/office/drawing/2014/chart" uri="{C3380CC4-5D6E-409C-BE32-E72D297353CC}">
              <c16:uniqueId val="{00000002-BCB4-4780-BB71-6C166AF75BC1}"/>
            </c:ext>
          </c:extLst>
        </c:ser>
        <c:dLbls>
          <c:showLegendKey val="0"/>
          <c:showVal val="0"/>
          <c:showCatName val="0"/>
          <c:showSerName val="0"/>
          <c:showPercent val="0"/>
          <c:showBubbleSize val="0"/>
        </c:dLbls>
        <c:gapWidth val="80"/>
        <c:overlap val="100"/>
        <c:axId val="894041392"/>
        <c:axId val="894050992"/>
      </c:barChart>
      <c:catAx>
        <c:axId val="89404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Arial Nova Cond" panose="020B0506020202020204" pitchFamily="34" charset="0"/>
                <a:ea typeface="+mn-ea"/>
                <a:cs typeface="+mn-cs"/>
              </a:defRPr>
            </a:pPr>
            <a:endParaRPr lang="en-US"/>
          </a:p>
        </c:txPr>
        <c:crossAx val="894050992"/>
        <c:crosses val="autoZero"/>
        <c:auto val="1"/>
        <c:lblAlgn val="ctr"/>
        <c:lblOffset val="100"/>
        <c:noMultiLvlLbl val="0"/>
      </c:catAx>
      <c:valAx>
        <c:axId val="894050992"/>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Arial Nova Cond" panose="020B0506020202020204" pitchFamily="34" charset="0"/>
                    <a:ea typeface="+mn-ea"/>
                    <a:cs typeface="+mn-cs"/>
                  </a:defRPr>
                </a:pPr>
                <a:r>
                  <a:rPr lang="en-US" b="1"/>
                  <a:t>Volumetric</a:t>
                </a:r>
                <a:r>
                  <a:rPr lang="en-US" b="1" baseline="0"/>
                  <a:t> Flow Rate </a:t>
                </a:r>
                <a:r>
                  <a:rPr lang="en-US" b="0" baseline="0"/>
                  <a:t>[1E6 L/hr]</a:t>
                </a:r>
                <a:endParaRPr lang="en-US" b="0"/>
              </a:p>
            </c:rich>
          </c:tx>
          <c:layout>
            <c:manualLayout>
              <c:xMode val="edge"/>
              <c:yMode val="edge"/>
              <c:x val="2.5000057129929459E-2"/>
              <c:y val="0.15942108017725098"/>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Arial Nova Cond" panose="020B0506020202020204" pitchFamily="34" charset="0"/>
                  <a:ea typeface="+mn-ea"/>
                  <a:cs typeface="+mn-cs"/>
                </a:defRPr>
              </a:pPr>
              <a:endParaRPr lang="en-US"/>
            </a:p>
          </c:txPr>
        </c:title>
        <c:numFmt formatCode="_(* #,##0.0_);_(* \(#,##0.0\);_(* &quot;-&quot;?_);_(@_)"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Arial Nova Cond" panose="020B0506020202020204" pitchFamily="34" charset="0"/>
                <a:ea typeface="+mn-ea"/>
                <a:cs typeface="+mn-cs"/>
              </a:defRPr>
            </a:pPr>
            <a:endParaRPr lang="en-US"/>
          </a:p>
        </c:txPr>
        <c:crossAx val="894041392"/>
        <c:crosses val="autoZero"/>
        <c:crossBetween val="between"/>
      </c:valAx>
      <c:spPr>
        <a:noFill/>
        <a:ln w="19050">
          <a:solidFill>
            <a:schemeClr val="tx1"/>
          </a:solidFill>
        </a:ln>
        <a:effectLst/>
      </c:spPr>
    </c:plotArea>
    <c:legend>
      <c:legendPos val="b"/>
      <c:layout>
        <c:manualLayout>
          <c:xMode val="edge"/>
          <c:yMode val="edge"/>
          <c:x val="0.27580883639545056"/>
          <c:y val="0.8852956401283173"/>
          <c:w val="0.52060454943132106"/>
          <c:h val="7.7667322834645669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5875" cap="flat" cmpd="sng" algn="ctr">
      <a:noFill/>
      <a:round/>
    </a:ln>
    <a:effectLst/>
  </c:spPr>
  <c:txPr>
    <a:bodyPr/>
    <a:lstStyle/>
    <a:p>
      <a:pPr>
        <a:defRPr>
          <a:solidFill>
            <a:schemeClr val="tx1"/>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0" baseline="0">
                <a:solidFill>
                  <a:schemeClr val="tx1"/>
                </a:solidFill>
                <a:latin typeface="Arial Nova Cond" panose="020B0506020202020204" pitchFamily="34" charset="0"/>
                <a:ea typeface="+mn-ea"/>
                <a:cs typeface="+mn-cs"/>
              </a:defRPr>
            </a:pPr>
            <a:r>
              <a:rPr lang="en-US" b="1" cap="all" baseline="0"/>
              <a:t>Digester Biogas Production</a:t>
            </a:r>
          </a:p>
        </c:rich>
      </c:tx>
      <c:layout>
        <c:manualLayout>
          <c:xMode val="edge"/>
          <c:yMode val="edge"/>
          <c:x val="9.4001071292901819E-2"/>
          <c:y val="2.7910232866787676E-2"/>
        </c:manualLayout>
      </c:layout>
      <c:overlay val="0"/>
      <c:spPr>
        <a:noFill/>
        <a:ln>
          <a:noFill/>
        </a:ln>
        <a:effectLst/>
      </c:spPr>
      <c:txPr>
        <a:bodyPr rot="0" spcFirstLastPara="1" vertOverflow="ellipsis" vert="horz" wrap="square" anchor="ctr" anchorCtr="1"/>
        <a:lstStyle/>
        <a:p>
          <a:pPr>
            <a:defRPr sz="1400" b="1" i="0" u="none" strike="noStrike" kern="1200" cap="all" spc="0" baseline="0">
              <a:solidFill>
                <a:schemeClr val="tx1"/>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4578477690288713"/>
          <c:y val="0.17097222222222222"/>
          <c:w val="0.82365966754155728"/>
          <c:h val="0.62201552930883641"/>
        </c:manualLayout>
      </c:layout>
      <c:barChart>
        <c:barDir val="col"/>
        <c:grouping val="stacked"/>
        <c:varyColors val="0"/>
        <c:ser>
          <c:idx val="0"/>
          <c:order val="0"/>
          <c:tx>
            <c:strRef>
              <c:f>ExpBase!$K$277</c:f>
              <c:strCache>
                <c:ptCount val="1"/>
                <c:pt idx="0">
                  <c:v>CH4</c:v>
                </c:pt>
              </c:strCache>
            </c:strRef>
          </c:tx>
          <c:spPr>
            <a:solidFill>
              <a:srgbClr val="CCFF99"/>
            </a:solidFill>
            <a:ln>
              <a:noFill/>
            </a:ln>
            <a:effectLst/>
          </c:spPr>
          <c:invertIfNegative val="0"/>
          <c:cat>
            <c:strRef>
              <c:extLst>
                <c:ext xmlns:c15="http://schemas.microsoft.com/office/drawing/2012/chart" uri="{02D57815-91ED-43cb-92C2-25804820EDAC}">
                  <c15:fullRef>
                    <c15:sqref>ExpBase!$L$276:$M$276</c15:sqref>
                  </c15:fullRef>
                </c:ext>
              </c:extLst>
              <c:f>ExpBase!$M$276</c:f>
              <c:strCache>
                <c:ptCount val="1"/>
                <c:pt idx="0">
                  <c:v>Food Waste</c:v>
                </c:pt>
              </c:strCache>
            </c:strRef>
          </c:cat>
          <c:val>
            <c:numRef>
              <c:extLst>
                <c:ext xmlns:c15="http://schemas.microsoft.com/office/drawing/2012/chart" uri="{02D57815-91ED-43cb-92C2-25804820EDAC}">
                  <c15:fullRef>
                    <c15:sqref>ExpBase!$L$277:$M$277</c15:sqref>
                  </c15:fullRef>
                </c:ext>
              </c:extLst>
              <c:f>ExpBase!$M$277</c:f>
              <c:numCache>
                <c:formatCode>_(* #,##0.00_);_(* \(#,##0.00\);_(* "-"??_);_(@_)</c:formatCode>
                <c:ptCount val="1"/>
                <c:pt idx="0">
                  <c:v>3.3546720293708247E-3</c:v>
                </c:pt>
              </c:numCache>
            </c:numRef>
          </c:val>
          <c:extLst>
            <c:ext xmlns:c16="http://schemas.microsoft.com/office/drawing/2014/chart" uri="{C3380CC4-5D6E-409C-BE32-E72D297353CC}">
              <c16:uniqueId val="{00000000-6BCC-48AA-99BB-BB807CEA1F47}"/>
            </c:ext>
          </c:extLst>
        </c:ser>
        <c:ser>
          <c:idx val="1"/>
          <c:order val="1"/>
          <c:tx>
            <c:strRef>
              <c:f>ExpBase!$K$278</c:f>
              <c:strCache>
                <c:ptCount val="1"/>
                <c:pt idx="0">
                  <c:v>CO2</c:v>
                </c:pt>
              </c:strCache>
            </c:strRef>
          </c:tx>
          <c:spPr>
            <a:solidFill>
              <a:srgbClr val="CCCCFF"/>
            </a:solidFill>
            <a:ln>
              <a:noFill/>
            </a:ln>
            <a:effectLst/>
          </c:spPr>
          <c:invertIfNegative val="0"/>
          <c:cat>
            <c:strRef>
              <c:extLst>
                <c:ext xmlns:c15="http://schemas.microsoft.com/office/drawing/2012/chart" uri="{02D57815-91ED-43cb-92C2-25804820EDAC}">
                  <c15:fullRef>
                    <c15:sqref>ExpBase!$L$276:$M$276</c15:sqref>
                  </c15:fullRef>
                </c:ext>
              </c:extLst>
              <c:f>ExpBase!$M$276</c:f>
              <c:strCache>
                <c:ptCount val="1"/>
                <c:pt idx="0">
                  <c:v>Food Waste</c:v>
                </c:pt>
              </c:strCache>
            </c:strRef>
          </c:cat>
          <c:val>
            <c:numRef>
              <c:extLst>
                <c:ext xmlns:c15="http://schemas.microsoft.com/office/drawing/2012/chart" uri="{02D57815-91ED-43cb-92C2-25804820EDAC}">
                  <c15:fullRef>
                    <c15:sqref>ExpBase!$L$278:$M$278</c15:sqref>
                  </c15:fullRef>
                </c:ext>
              </c:extLst>
              <c:f>ExpBase!$M$278</c:f>
              <c:numCache>
                <c:formatCode>_(* #,##0.00_);_(* \(#,##0.00\);_(* "-"??_);_(@_)</c:formatCode>
                <c:ptCount val="1"/>
                <c:pt idx="0">
                  <c:v>5.2556528460142922E-2</c:v>
                </c:pt>
              </c:numCache>
            </c:numRef>
          </c:val>
          <c:extLst>
            <c:ext xmlns:c16="http://schemas.microsoft.com/office/drawing/2014/chart" uri="{C3380CC4-5D6E-409C-BE32-E72D297353CC}">
              <c16:uniqueId val="{00000001-6BCC-48AA-99BB-BB807CEA1F47}"/>
            </c:ext>
          </c:extLst>
        </c:ser>
        <c:ser>
          <c:idx val="2"/>
          <c:order val="2"/>
          <c:tx>
            <c:strRef>
              <c:f>ExpBase!$K$279</c:f>
              <c:strCache>
                <c:ptCount val="1"/>
                <c:pt idx="0">
                  <c:v>H2</c:v>
                </c:pt>
              </c:strCache>
            </c:strRef>
          </c:tx>
          <c:spPr>
            <a:solidFill>
              <a:srgbClr val="CCFFFF"/>
            </a:solidFill>
            <a:ln>
              <a:noFill/>
            </a:ln>
            <a:effectLst/>
          </c:spPr>
          <c:invertIfNegative val="0"/>
          <c:cat>
            <c:strRef>
              <c:extLst>
                <c:ext xmlns:c15="http://schemas.microsoft.com/office/drawing/2012/chart" uri="{02D57815-91ED-43cb-92C2-25804820EDAC}">
                  <c15:fullRef>
                    <c15:sqref>ExpBase!$L$276:$M$276</c15:sqref>
                  </c15:fullRef>
                </c:ext>
              </c:extLst>
              <c:f>ExpBase!$M$276</c:f>
              <c:strCache>
                <c:ptCount val="1"/>
                <c:pt idx="0">
                  <c:v>Food Waste</c:v>
                </c:pt>
              </c:strCache>
            </c:strRef>
          </c:cat>
          <c:val>
            <c:numRef>
              <c:extLst>
                <c:ext xmlns:c15="http://schemas.microsoft.com/office/drawing/2012/chart" uri="{02D57815-91ED-43cb-92C2-25804820EDAC}">
                  <c15:fullRef>
                    <c15:sqref>ExpBase!$L$279:$M$279</c15:sqref>
                  </c15:fullRef>
                </c:ext>
              </c:extLst>
              <c:f>ExpBase!$M$279</c:f>
              <c:numCache>
                <c:formatCode>_(* #,##0.00_);_(* \(#,##0.00\);_(* "-"??_);_(@_)</c:formatCode>
                <c:ptCount val="1"/>
                <c:pt idx="0">
                  <c:v>5.591120048951375E-2</c:v>
                </c:pt>
              </c:numCache>
            </c:numRef>
          </c:val>
          <c:extLst>
            <c:ext xmlns:c16="http://schemas.microsoft.com/office/drawing/2014/chart" uri="{C3380CC4-5D6E-409C-BE32-E72D297353CC}">
              <c16:uniqueId val="{00000002-6BCC-48AA-99BB-BB807CEA1F47}"/>
            </c:ext>
          </c:extLst>
        </c:ser>
        <c:dLbls>
          <c:showLegendKey val="0"/>
          <c:showVal val="0"/>
          <c:showCatName val="0"/>
          <c:showSerName val="0"/>
          <c:showPercent val="0"/>
          <c:showBubbleSize val="0"/>
        </c:dLbls>
        <c:gapWidth val="80"/>
        <c:overlap val="100"/>
        <c:axId val="894041392"/>
        <c:axId val="894050992"/>
      </c:barChart>
      <c:catAx>
        <c:axId val="89404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Arial Nova Cond" panose="020B0506020202020204" pitchFamily="34" charset="0"/>
                <a:ea typeface="+mn-ea"/>
                <a:cs typeface="+mn-cs"/>
              </a:defRPr>
            </a:pPr>
            <a:endParaRPr lang="en-US"/>
          </a:p>
        </c:txPr>
        <c:crossAx val="894050992"/>
        <c:crosses val="autoZero"/>
        <c:auto val="1"/>
        <c:lblAlgn val="ctr"/>
        <c:lblOffset val="100"/>
        <c:noMultiLvlLbl val="0"/>
      </c:catAx>
      <c:valAx>
        <c:axId val="894050992"/>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Arial Nova Cond" panose="020B0506020202020204" pitchFamily="34" charset="0"/>
                    <a:ea typeface="+mn-ea"/>
                    <a:cs typeface="+mn-cs"/>
                  </a:defRPr>
                </a:pPr>
                <a:r>
                  <a:rPr lang="en-US" b="1"/>
                  <a:t>Volumetric</a:t>
                </a:r>
                <a:r>
                  <a:rPr lang="en-US" b="1" baseline="0"/>
                  <a:t> Flow Rate </a:t>
                </a:r>
                <a:r>
                  <a:rPr lang="en-US" b="0" baseline="0"/>
                  <a:t>[1E6 L/hr]</a:t>
                </a:r>
                <a:endParaRPr lang="en-US" b="0"/>
              </a:p>
            </c:rich>
          </c:tx>
          <c:layout>
            <c:manualLayout>
              <c:xMode val="edge"/>
              <c:yMode val="edge"/>
              <c:x val="1.6666666666666666E-2"/>
              <c:y val="0.1375976961213181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Arial Nova Cond" panose="020B0506020202020204" pitchFamily="34" charset="0"/>
                  <a:ea typeface="+mn-ea"/>
                  <a:cs typeface="+mn-cs"/>
                </a:defRPr>
              </a:pPr>
              <a:endParaRPr lang="en-US"/>
            </a:p>
          </c:txPr>
        </c:title>
        <c:numFmt formatCode="_(* #,##0.00_);_(* \(#,##0.00\);_(* &quot;-&quot;??_);_(@_)"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Arial Nova Cond" panose="020B0506020202020204" pitchFamily="34" charset="0"/>
                <a:ea typeface="+mn-ea"/>
                <a:cs typeface="+mn-cs"/>
              </a:defRPr>
            </a:pPr>
            <a:endParaRPr lang="en-US"/>
          </a:p>
        </c:txPr>
        <c:crossAx val="894041392"/>
        <c:crosses val="autoZero"/>
        <c:crossBetween val="between"/>
      </c:valAx>
      <c:spPr>
        <a:noFill/>
        <a:ln w="19050">
          <a:solidFill>
            <a:schemeClr val="tx1"/>
          </a:solidFill>
        </a:ln>
        <a:effectLst/>
      </c:spPr>
    </c:plotArea>
    <c:legend>
      <c:legendPos val="b"/>
      <c:layout>
        <c:manualLayout>
          <c:xMode val="edge"/>
          <c:yMode val="edge"/>
          <c:x val="0.27580883639545056"/>
          <c:y val="0.8852956401283173"/>
          <c:w val="0.52060454943132106"/>
          <c:h val="7.7667322834645669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5875" cap="flat" cmpd="sng" algn="ctr">
      <a:noFill/>
      <a:round/>
    </a:ln>
    <a:effectLst/>
  </c:spPr>
  <c:txPr>
    <a:bodyPr/>
    <a:lstStyle/>
    <a:p>
      <a:pPr>
        <a:defRPr>
          <a:solidFill>
            <a:schemeClr val="tx1"/>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0" baseline="0">
                <a:solidFill>
                  <a:sysClr val="windowText" lastClr="000000"/>
                </a:solidFill>
                <a:latin typeface="Arial Nova Cond" panose="020B0506020202020204" pitchFamily="34" charset="0"/>
                <a:ea typeface="+mn-ea"/>
                <a:cs typeface="+mn-cs"/>
              </a:defRPr>
            </a:pPr>
            <a:r>
              <a:rPr lang="en-US" b="1" cap="all" baseline="0"/>
              <a:t>Nitrogen Removal Influent &amp; Effluent Characteristics</a:t>
            </a:r>
          </a:p>
        </c:rich>
      </c:tx>
      <c:layout>
        <c:manualLayout>
          <c:xMode val="edge"/>
          <c:yMode val="edge"/>
          <c:x val="7.4322666146557316E-3"/>
          <c:y val="2.14942401341401E-2"/>
        </c:manualLayout>
      </c:layout>
      <c:overlay val="0"/>
      <c:spPr>
        <a:noFill/>
        <a:ln>
          <a:noFill/>
        </a:ln>
        <a:effectLst/>
      </c:spPr>
      <c:txPr>
        <a:bodyPr rot="0" spcFirstLastPara="1" vertOverflow="ellipsis" vert="horz" wrap="square" anchor="ctr" anchorCtr="1"/>
        <a:lstStyle/>
        <a:p>
          <a:pPr>
            <a:defRPr sz="1400" b="1" i="0" u="none" strike="noStrike" kern="1200" cap="all"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9.8006572707823286E-2"/>
          <c:y val="0.11625344973402384"/>
          <c:w val="0.78814262452474504"/>
          <c:h val="0.61748962837839394"/>
        </c:manualLayout>
      </c:layout>
      <c:barChart>
        <c:barDir val="col"/>
        <c:grouping val="stacked"/>
        <c:varyColors val="0"/>
        <c:ser>
          <c:idx val="0"/>
          <c:order val="0"/>
          <c:tx>
            <c:strRef>
              <c:f>ExpBase!$F$603</c:f>
              <c:strCache>
                <c:ptCount val="1"/>
                <c:pt idx="0">
                  <c:v>Acetate</c:v>
                </c:pt>
              </c:strCache>
            </c:strRef>
          </c:tx>
          <c:spPr>
            <a:solidFill>
              <a:srgbClr val="F6C6AD"/>
            </a:solidFill>
            <a:ln>
              <a:noFill/>
            </a:ln>
            <a:effectLst/>
          </c:spPr>
          <c:invertIfNegative val="0"/>
          <c:cat>
            <c:strRef>
              <c:extLst>
                <c:ext xmlns:c15="http://schemas.microsoft.com/office/drawing/2012/chart" uri="{02D57815-91ED-43cb-92C2-25804820EDAC}">
                  <c15:fullRef>
                    <c15:sqref>ExpBase!$G$602:$I$602</c15:sqref>
                  </c15:fullRef>
                </c:ext>
              </c:extLst>
              <c:f>ExpBase!$G$602:$H$602</c:f>
              <c:strCache>
                <c:ptCount val="2"/>
                <c:pt idx="0">
                  <c:v>Manure Digestate</c:v>
                </c:pt>
                <c:pt idx="1">
                  <c:v>Treated Manure Liquid Digestate</c:v>
                </c:pt>
              </c:strCache>
            </c:strRef>
          </c:cat>
          <c:val>
            <c:numRef>
              <c:extLst>
                <c:ext xmlns:c15="http://schemas.microsoft.com/office/drawing/2012/chart" uri="{02D57815-91ED-43cb-92C2-25804820EDAC}">
                  <c15:fullRef>
                    <c15:sqref>ExpBase!$G$603:$I$603</c15:sqref>
                  </c15:fullRef>
                </c:ext>
              </c:extLst>
              <c:f>ExpBase!$G$603:$H$603</c:f>
              <c:numCache>
                <c:formatCode>_(* #,##0.00_);_(* \(#,##0.00\);_(* "-"??_);_(@_)</c:formatCode>
                <c:ptCount val="2"/>
                <c:pt idx="0">
                  <c:v>9.4171993698658418E-2</c:v>
                </c:pt>
                <c:pt idx="1">
                  <c:v>0.2410787271848103</c:v>
                </c:pt>
              </c:numCache>
            </c:numRef>
          </c:val>
          <c:extLst>
            <c:ext xmlns:c16="http://schemas.microsoft.com/office/drawing/2014/chart" uri="{C3380CC4-5D6E-409C-BE32-E72D297353CC}">
              <c16:uniqueId val="{00000000-50B7-4DCF-B291-CEF8AA41684B}"/>
            </c:ext>
          </c:extLst>
        </c:ser>
        <c:ser>
          <c:idx val="1"/>
          <c:order val="1"/>
          <c:tx>
            <c:strRef>
              <c:f>ExpBase!$F$604</c:f>
              <c:strCache>
                <c:ptCount val="1"/>
                <c:pt idx="0">
                  <c:v>Propionate</c:v>
                </c:pt>
              </c:strCache>
            </c:strRef>
          </c:tx>
          <c:spPr>
            <a:solidFill>
              <a:srgbClr val="F2AA84"/>
            </a:solidFill>
            <a:ln>
              <a:noFill/>
            </a:ln>
            <a:effectLst/>
          </c:spPr>
          <c:invertIfNegative val="0"/>
          <c:cat>
            <c:strRef>
              <c:extLst>
                <c:ext xmlns:c15="http://schemas.microsoft.com/office/drawing/2012/chart" uri="{02D57815-91ED-43cb-92C2-25804820EDAC}">
                  <c15:fullRef>
                    <c15:sqref>ExpBase!$G$602:$I$602</c15:sqref>
                  </c15:fullRef>
                </c:ext>
              </c:extLst>
              <c:f>ExpBase!$G$602:$H$602</c:f>
              <c:strCache>
                <c:ptCount val="2"/>
                <c:pt idx="0">
                  <c:v>Manure Digestate</c:v>
                </c:pt>
                <c:pt idx="1">
                  <c:v>Treated Manure Liquid Digestate</c:v>
                </c:pt>
              </c:strCache>
            </c:strRef>
          </c:cat>
          <c:val>
            <c:numRef>
              <c:extLst>
                <c:ext xmlns:c15="http://schemas.microsoft.com/office/drawing/2012/chart" uri="{02D57815-91ED-43cb-92C2-25804820EDAC}">
                  <c15:fullRef>
                    <c15:sqref>ExpBase!$G$604:$I$604</c15:sqref>
                  </c15:fullRef>
                </c:ext>
              </c:extLst>
              <c:f>ExpBase!$G$604:$H$604</c:f>
              <c:numCache>
                <c:formatCode>_(* #,##0.00_);_(* \(#,##0.00\);_(* "-"??_);_(@_)</c:formatCode>
                <c:ptCount val="2"/>
                <c:pt idx="0">
                  <c:v>0</c:v>
                </c:pt>
                <c:pt idx="1">
                  <c:v>1.411282098929566E-8</c:v>
                </c:pt>
              </c:numCache>
            </c:numRef>
          </c:val>
          <c:extLst>
            <c:ext xmlns:c16="http://schemas.microsoft.com/office/drawing/2014/chart" uri="{C3380CC4-5D6E-409C-BE32-E72D297353CC}">
              <c16:uniqueId val="{00000001-50B7-4DCF-B291-CEF8AA41684B}"/>
            </c:ext>
          </c:extLst>
        </c:ser>
        <c:ser>
          <c:idx val="2"/>
          <c:order val="2"/>
          <c:tx>
            <c:strRef>
              <c:f>ExpBase!$F$605</c:f>
              <c:strCache>
                <c:ptCount val="1"/>
                <c:pt idx="0">
                  <c:v>Butyrate</c:v>
                </c:pt>
              </c:strCache>
            </c:strRef>
          </c:tx>
          <c:spPr>
            <a:solidFill>
              <a:srgbClr val="FFCC66"/>
            </a:solidFill>
            <a:ln>
              <a:noFill/>
            </a:ln>
            <a:effectLst/>
          </c:spPr>
          <c:invertIfNegative val="0"/>
          <c:cat>
            <c:strRef>
              <c:extLst>
                <c:ext xmlns:c15="http://schemas.microsoft.com/office/drawing/2012/chart" uri="{02D57815-91ED-43cb-92C2-25804820EDAC}">
                  <c15:fullRef>
                    <c15:sqref>ExpBase!$G$602:$I$602</c15:sqref>
                  </c15:fullRef>
                </c:ext>
              </c:extLst>
              <c:f>ExpBase!$G$602:$H$602</c:f>
              <c:strCache>
                <c:ptCount val="2"/>
                <c:pt idx="0">
                  <c:v>Manure Digestate</c:v>
                </c:pt>
                <c:pt idx="1">
                  <c:v>Treated Manure Liquid Digestate</c:v>
                </c:pt>
              </c:strCache>
            </c:strRef>
          </c:cat>
          <c:val>
            <c:numRef>
              <c:extLst>
                <c:ext xmlns:c15="http://schemas.microsoft.com/office/drawing/2012/chart" uri="{02D57815-91ED-43cb-92C2-25804820EDAC}">
                  <c15:fullRef>
                    <c15:sqref>ExpBase!$G$605:$I$605</c15:sqref>
                  </c15:fullRef>
                </c:ext>
              </c:extLst>
              <c:f>ExpBase!$G$605:$H$605</c:f>
              <c:numCache>
                <c:formatCode>_(* #,##0.00_);_(* \(#,##0.00\);_(* "-"??_);_(@_)</c:formatCode>
                <c:ptCount val="2"/>
                <c:pt idx="0">
                  <c:v>9.6898935960259266E-2</c:v>
                </c:pt>
                <c:pt idx="1">
                  <c:v>0.24805966866707654</c:v>
                </c:pt>
              </c:numCache>
            </c:numRef>
          </c:val>
          <c:extLst>
            <c:ext xmlns:c16="http://schemas.microsoft.com/office/drawing/2014/chart" uri="{C3380CC4-5D6E-409C-BE32-E72D297353CC}">
              <c16:uniqueId val="{00000002-50B7-4DCF-B291-CEF8AA41684B}"/>
            </c:ext>
          </c:extLst>
        </c:ser>
        <c:ser>
          <c:idx val="3"/>
          <c:order val="3"/>
          <c:tx>
            <c:strRef>
              <c:f>ExpBase!$F$606</c:f>
              <c:strCache>
                <c:ptCount val="1"/>
                <c:pt idx="0">
                  <c:v>Isobutyrate</c:v>
                </c:pt>
              </c:strCache>
            </c:strRef>
          </c:tx>
          <c:spPr>
            <a:solidFill>
              <a:srgbClr val="FF9933"/>
            </a:solidFill>
            <a:ln>
              <a:noFill/>
            </a:ln>
            <a:effectLst/>
          </c:spPr>
          <c:invertIfNegative val="0"/>
          <c:cat>
            <c:strRef>
              <c:extLst>
                <c:ext xmlns:c15="http://schemas.microsoft.com/office/drawing/2012/chart" uri="{02D57815-91ED-43cb-92C2-25804820EDAC}">
                  <c15:fullRef>
                    <c15:sqref>ExpBase!$G$602:$I$602</c15:sqref>
                  </c15:fullRef>
                </c:ext>
              </c:extLst>
              <c:f>ExpBase!$G$602:$H$602</c:f>
              <c:strCache>
                <c:ptCount val="2"/>
                <c:pt idx="0">
                  <c:v>Manure Digestate</c:v>
                </c:pt>
                <c:pt idx="1">
                  <c:v>Treated Manure Liquid Digestate</c:v>
                </c:pt>
              </c:strCache>
            </c:strRef>
          </c:cat>
          <c:val>
            <c:numRef>
              <c:extLst>
                <c:ext xmlns:c15="http://schemas.microsoft.com/office/drawing/2012/chart" uri="{02D57815-91ED-43cb-92C2-25804820EDAC}">
                  <c15:fullRef>
                    <c15:sqref>ExpBase!$G$606:$I$606</c15:sqref>
                  </c15:fullRef>
                </c:ext>
              </c:extLst>
              <c:f>ExpBase!$G$606:$H$606</c:f>
              <c:numCache>
                <c:formatCode>_(* #,##0.00_);_(* \(#,##0.00\);_(* "-"??_);_(@_)</c:formatCode>
                <c:ptCount val="2"/>
                <c:pt idx="0">
                  <c:v>4.4435831062323398E-3</c:v>
                </c:pt>
                <c:pt idx="1">
                  <c:v>1.137549814727349E-2</c:v>
                </c:pt>
              </c:numCache>
            </c:numRef>
          </c:val>
          <c:extLst>
            <c:ext xmlns:c16="http://schemas.microsoft.com/office/drawing/2014/chart" uri="{C3380CC4-5D6E-409C-BE32-E72D297353CC}">
              <c16:uniqueId val="{00000003-50B7-4DCF-B291-CEF8AA41684B}"/>
            </c:ext>
          </c:extLst>
        </c:ser>
        <c:ser>
          <c:idx val="4"/>
          <c:order val="4"/>
          <c:tx>
            <c:strRef>
              <c:f>ExpBase!$F$607</c:f>
              <c:strCache>
                <c:ptCount val="1"/>
                <c:pt idx="0">
                  <c:v>Valerate</c:v>
                </c:pt>
              </c:strCache>
            </c:strRef>
          </c:tx>
          <c:spPr>
            <a:solidFill>
              <a:srgbClr val="FFCCCC"/>
            </a:solidFill>
            <a:ln>
              <a:noFill/>
            </a:ln>
            <a:effectLst/>
          </c:spPr>
          <c:invertIfNegative val="0"/>
          <c:cat>
            <c:strRef>
              <c:extLst>
                <c:ext xmlns:c15="http://schemas.microsoft.com/office/drawing/2012/chart" uri="{02D57815-91ED-43cb-92C2-25804820EDAC}">
                  <c15:fullRef>
                    <c15:sqref>ExpBase!$G$602:$I$602</c15:sqref>
                  </c15:fullRef>
                </c:ext>
              </c:extLst>
              <c:f>ExpBase!$G$602:$H$602</c:f>
              <c:strCache>
                <c:ptCount val="2"/>
                <c:pt idx="0">
                  <c:v>Manure Digestate</c:v>
                </c:pt>
                <c:pt idx="1">
                  <c:v>Treated Manure Liquid Digestate</c:v>
                </c:pt>
              </c:strCache>
            </c:strRef>
          </c:cat>
          <c:val>
            <c:numRef>
              <c:extLst>
                <c:ext xmlns:c15="http://schemas.microsoft.com/office/drawing/2012/chart" uri="{02D57815-91ED-43cb-92C2-25804820EDAC}">
                  <c15:fullRef>
                    <c15:sqref>ExpBase!$G$607:$I$607</c15:sqref>
                  </c15:fullRef>
                </c:ext>
              </c:extLst>
              <c:f>ExpBase!$G$607:$H$607</c:f>
              <c:numCache>
                <c:formatCode>_(* #,##0.00_);_(* \(#,##0.00\);_(* "-"??_);_(@_)</c:formatCode>
                <c:ptCount val="2"/>
                <c:pt idx="0">
                  <c:v>5.7175277587493516E-2</c:v>
                </c:pt>
                <c:pt idx="1">
                  <c:v>0.1463677814884852</c:v>
                </c:pt>
              </c:numCache>
            </c:numRef>
          </c:val>
          <c:extLst>
            <c:ext xmlns:c16="http://schemas.microsoft.com/office/drawing/2014/chart" uri="{C3380CC4-5D6E-409C-BE32-E72D297353CC}">
              <c16:uniqueId val="{00000004-50B7-4DCF-B291-CEF8AA41684B}"/>
            </c:ext>
          </c:extLst>
        </c:ser>
        <c:ser>
          <c:idx val="5"/>
          <c:order val="5"/>
          <c:tx>
            <c:strRef>
              <c:f>ExpBase!$F$608</c:f>
              <c:strCache>
                <c:ptCount val="1"/>
                <c:pt idx="0">
                  <c:v>Isovalerate</c:v>
                </c:pt>
              </c:strCache>
            </c:strRef>
          </c:tx>
          <c:spPr>
            <a:solidFill>
              <a:srgbClr val="FF9999"/>
            </a:solidFill>
            <a:ln>
              <a:noFill/>
            </a:ln>
            <a:effectLst/>
          </c:spPr>
          <c:invertIfNegative val="0"/>
          <c:cat>
            <c:strRef>
              <c:extLst>
                <c:ext xmlns:c15="http://schemas.microsoft.com/office/drawing/2012/chart" uri="{02D57815-91ED-43cb-92C2-25804820EDAC}">
                  <c15:fullRef>
                    <c15:sqref>ExpBase!$G$602:$I$602</c15:sqref>
                  </c15:fullRef>
                </c:ext>
              </c:extLst>
              <c:f>ExpBase!$G$602:$H$602</c:f>
              <c:strCache>
                <c:ptCount val="2"/>
                <c:pt idx="0">
                  <c:v>Manure Digestate</c:v>
                </c:pt>
                <c:pt idx="1">
                  <c:v>Treated Manure Liquid Digestate</c:v>
                </c:pt>
              </c:strCache>
            </c:strRef>
          </c:cat>
          <c:val>
            <c:numRef>
              <c:extLst>
                <c:ext xmlns:c15="http://schemas.microsoft.com/office/drawing/2012/chart" uri="{02D57815-91ED-43cb-92C2-25804820EDAC}">
                  <c15:fullRef>
                    <c15:sqref>ExpBase!$G$608:$I$608</c15:sqref>
                  </c15:fullRef>
                </c:ext>
              </c:extLst>
              <c:f>ExpBase!$G$608:$H$608</c:f>
              <c:numCache>
                <c:formatCode>_(* #,##0.00_);_(* \(#,##0.00\);_(* "-"??_);_(@_)</c:formatCode>
                <c:ptCount val="2"/>
                <c:pt idx="0">
                  <c:v>0</c:v>
                </c:pt>
                <c:pt idx="1">
                  <c:v>2.6842766049857781E-9</c:v>
                </c:pt>
              </c:numCache>
            </c:numRef>
          </c:val>
          <c:extLst>
            <c:ext xmlns:c16="http://schemas.microsoft.com/office/drawing/2014/chart" uri="{C3380CC4-5D6E-409C-BE32-E72D297353CC}">
              <c16:uniqueId val="{00000005-50B7-4DCF-B291-CEF8AA41684B}"/>
            </c:ext>
          </c:extLst>
        </c:ser>
        <c:ser>
          <c:idx val="6"/>
          <c:order val="6"/>
          <c:tx>
            <c:strRef>
              <c:f>ExpBase!$F$609</c:f>
              <c:strCache>
                <c:ptCount val="1"/>
                <c:pt idx="0">
                  <c:v>Caproate</c:v>
                </c:pt>
              </c:strCache>
            </c:strRef>
          </c:tx>
          <c:spPr>
            <a:solidFill>
              <a:srgbClr val="FFCCFF"/>
            </a:solidFill>
            <a:ln>
              <a:noFill/>
            </a:ln>
            <a:effectLst/>
          </c:spPr>
          <c:invertIfNegative val="0"/>
          <c:cat>
            <c:strRef>
              <c:extLst>
                <c:ext xmlns:c15="http://schemas.microsoft.com/office/drawing/2012/chart" uri="{02D57815-91ED-43cb-92C2-25804820EDAC}">
                  <c15:fullRef>
                    <c15:sqref>ExpBase!$G$602:$I$602</c15:sqref>
                  </c15:fullRef>
                </c:ext>
              </c:extLst>
              <c:f>ExpBase!$G$602:$H$602</c:f>
              <c:strCache>
                <c:ptCount val="2"/>
                <c:pt idx="0">
                  <c:v>Manure Digestate</c:v>
                </c:pt>
                <c:pt idx="1">
                  <c:v>Treated Manure Liquid Digestate</c:v>
                </c:pt>
              </c:strCache>
            </c:strRef>
          </c:cat>
          <c:val>
            <c:numRef>
              <c:extLst>
                <c:ext xmlns:c15="http://schemas.microsoft.com/office/drawing/2012/chart" uri="{02D57815-91ED-43cb-92C2-25804820EDAC}">
                  <c15:fullRef>
                    <c15:sqref>ExpBase!$G$609:$I$609</c15:sqref>
                  </c15:fullRef>
                </c:ext>
              </c:extLst>
              <c:f>ExpBase!$G$609:$H$609</c:f>
              <c:numCache>
                <c:formatCode>_(* #,##0.00_);_(* \(#,##0.00\);_(* "-"??_);_(@_)</c:formatCode>
                <c:ptCount val="2"/>
                <c:pt idx="0">
                  <c:v>2.0107586808894694E-2</c:v>
                </c:pt>
                <c:pt idx="1">
                  <c:v>5.1475154153980913E-2</c:v>
                </c:pt>
              </c:numCache>
            </c:numRef>
          </c:val>
          <c:extLst>
            <c:ext xmlns:c16="http://schemas.microsoft.com/office/drawing/2014/chart" uri="{C3380CC4-5D6E-409C-BE32-E72D297353CC}">
              <c16:uniqueId val="{00000006-50B7-4DCF-B291-CEF8AA41684B}"/>
            </c:ext>
          </c:extLst>
        </c:ser>
        <c:ser>
          <c:idx val="7"/>
          <c:order val="7"/>
          <c:tx>
            <c:strRef>
              <c:f>ExpBase!$F$610</c:f>
              <c:strCache>
                <c:ptCount val="1"/>
                <c:pt idx="0">
                  <c:v>Heptanoate</c:v>
                </c:pt>
              </c:strCache>
            </c:strRef>
          </c:tx>
          <c:spPr>
            <a:solidFill>
              <a:srgbClr val="FF99FF"/>
            </a:solidFill>
            <a:ln>
              <a:noFill/>
            </a:ln>
            <a:effectLst/>
          </c:spPr>
          <c:invertIfNegative val="0"/>
          <c:cat>
            <c:strRef>
              <c:extLst>
                <c:ext xmlns:c15="http://schemas.microsoft.com/office/drawing/2012/chart" uri="{02D57815-91ED-43cb-92C2-25804820EDAC}">
                  <c15:fullRef>
                    <c15:sqref>ExpBase!$G$602:$I$602</c15:sqref>
                  </c15:fullRef>
                </c:ext>
              </c:extLst>
              <c:f>ExpBase!$G$602:$H$602</c:f>
              <c:strCache>
                <c:ptCount val="2"/>
                <c:pt idx="0">
                  <c:v>Manure Digestate</c:v>
                </c:pt>
                <c:pt idx="1">
                  <c:v>Treated Manure Liquid Digestate</c:v>
                </c:pt>
              </c:strCache>
            </c:strRef>
          </c:cat>
          <c:val>
            <c:numRef>
              <c:extLst>
                <c:ext xmlns:c15="http://schemas.microsoft.com/office/drawing/2012/chart" uri="{02D57815-91ED-43cb-92C2-25804820EDAC}">
                  <c15:fullRef>
                    <c15:sqref>ExpBase!$G$610:$I$610</c15:sqref>
                  </c15:fullRef>
                </c:ext>
              </c:extLst>
              <c:f>ExpBase!$G$610:$H$610</c:f>
              <c:numCache>
                <c:formatCode>_(* #,##0.00_);_(* \(#,##0.00\);_(* "-"??_);_(@_)</c:formatCode>
                <c:ptCount val="2"/>
                <c:pt idx="0">
                  <c:v>0</c:v>
                </c:pt>
                <c:pt idx="1">
                  <c:v>3.8374620350078435E-9</c:v>
                </c:pt>
              </c:numCache>
            </c:numRef>
          </c:val>
          <c:extLst>
            <c:ext xmlns:c16="http://schemas.microsoft.com/office/drawing/2014/chart" uri="{C3380CC4-5D6E-409C-BE32-E72D297353CC}">
              <c16:uniqueId val="{00000007-50B7-4DCF-B291-CEF8AA41684B}"/>
            </c:ext>
          </c:extLst>
        </c:ser>
        <c:ser>
          <c:idx val="8"/>
          <c:order val="8"/>
          <c:tx>
            <c:strRef>
              <c:f>ExpBase!$F$611</c:f>
              <c:strCache>
                <c:ptCount val="1"/>
                <c:pt idx="0">
                  <c:v>Phosphate</c:v>
                </c:pt>
              </c:strCache>
            </c:strRef>
          </c:tx>
          <c:spPr>
            <a:solidFill>
              <a:srgbClr val="33CC33"/>
            </a:solidFill>
            <a:ln>
              <a:noFill/>
            </a:ln>
            <a:effectLst/>
          </c:spPr>
          <c:invertIfNegative val="0"/>
          <c:cat>
            <c:strRef>
              <c:extLst>
                <c:ext xmlns:c15="http://schemas.microsoft.com/office/drawing/2012/chart" uri="{02D57815-91ED-43cb-92C2-25804820EDAC}">
                  <c15:fullRef>
                    <c15:sqref>ExpBase!$G$602:$I$602</c15:sqref>
                  </c15:fullRef>
                </c:ext>
              </c:extLst>
              <c:f>ExpBase!$G$602:$H$602</c:f>
              <c:strCache>
                <c:ptCount val="2"/>
                <c:pt idx="0">
                  <c:v>Manure Digestate</c:v>
                </c:pt>
                <c:pt idx="1">
                  <c:v>Treated Manure Liquid Digestate</c:v>
                </c:pt>
              </c:strCache>
            </c:strRef>
          </c:cat>
          <c:val>
            <c:numRef>
              <c:extLst>
                <c:ext xmlns:c15="http://schemas.microsoft.com/office/drawing/2012/chart" uri="{02D57815-91ED-43cb-92C2-25804820EDAC}">
                  <c15:fullRef>
                    <c15:sqref>ExpBase!$G$611:$I$611</c15:sqref>
                  </c15:fullRef>
                </c:ext>
              </c:extLst>
              <c:f>ExpBase!$G$611:$H$611</c:f>
              <c:numCache>
                <c:formatCode>_(* #,##0.00_);_(* \(#,##0.00\);_(* "-"??_);_(@_)</c:formatCode>
                <c:ptCount val="2"/>
                <c:pt idx="0">
                  <c:v>0.27856593296128374</c:v>
                </c:pt>
                <c:pt idx="1">
                  <c:v>0</c:v>
                </c:pt>
              </c:numCache>
            </c:numRef>
          </c:val>
          <c:extLst>
            <c:ext xmlns:c16="http://schemas.microsoft.com/office/drawing/2014/chart" uri="{C3380CC4-5D6E-409C-BE32-E72D297353CC}">
              <c16:uniqueId val="{00000008-50B7-4DCF-B291-CEF8AA41684B}"/>
            </c:ext>
          </c:extLst>
        </c:ser>
        <c:ser>
          <c:idx val="9"/>
          <c:order val="9"/>
          <c:tx>
            <c:strRef>
              <c:f>ExpBase!$F$612</c:f>
              <c:strCache>
                <c:ptCount val="1"/>
                <c:pt idx="0">
                  <c:v>Sulfate</c:v>
                </c:pt>
              </c:strCache>
            </c:strRef>
          </c:tx>
          <c:spPr>
            <a:solidFill>
              <a:srgbClr val="CCFF66"/>
            </a:solidFill>
            <a:ln>
              <a:noFill/>
            </a:ln>
            <a:effectLst/>
          </c:spPr>
          <c:invertIfNegative val="0"/>
          <c:cat>
            <c:strRef>
              <c:extLst>
                <c:ext xmlns:c15="http://schemas.microsoft.com/office/drawing/2012/chart" uri="{02D57815-91ED-43cb-92C2-25804820EDAC}">
                  <c15:fullRef>
                    <c15:sqref>ExpBase!$G$602:$I$602</c15:sqref>
                  </c15:fullRef>
                </c:ext>
              </c:extLst>
              <c:f>ExpBase!$G$602:$H$602</c:f>
              <c:strCache>
                <c:ptCount val="2"/>
                <c:pt idx="0">
                  <c:v>Manure Digestate</c:v>
                </c:pt>
                <c:pt idx="1">
                  <c:v>Treated Manure Liquid Digestate</c:v>
                </c:pt>
              </c:strCache>
            </c:strRef>
          </c:cat>
          <c:val>
            <c:numRef>
              <c:extLst>
                <c:ext xmlns:c15="http://schemas.microsoft.com/office/drawing/2012/chart" uri="{02D57815-91ED-43cb-92C2-25804820EDAC}">
                  <c15:fullRef>
                    <c15:sqref>ExpBase!$G$612:$I$612</c15:sqref>
                  </c15:fullRef>
                </c:ext>
              </c:extLst>
              <c:f>ExpBase!$G$612:$H$612</c:f>
              <c:numCache>
                <c:formatCode>_(* #,##0.00_);_(* \(#,##0.00\);_(* "-"??_);_(@_)</c:formatCode>
                <c:ptCount val="2"/>
                <c:pt idx="0">
                  <c:v>5.7629478966046671E-2</c:v>
                </c:pt>
                <c:pt idx="1">
                  <c:v>0.24740560314312107</c:v>
                </c:pt>
              </c:numCache>
            </c:numRef>
          </c:val>
          <c:extLst>
            <c:ext xmlns:c16="http://schemas.microsoft.com/office/drawing/2014/chart" uri="{C3380CC4-5D6E-409C-BE32-E72D297353CC}">
              <c16:uniqueId val="{00000009-50B7-4DCF-B291-CEF8AA41684B}"/>
            </c:ext>
          </c:extLst>
        </c:ser>
        <c:ser>
          <c:idx val="10"/>
          <c:order val="10"/>
          <c:tx>
            <c:strRef>
              <c:f>ExpBase!$F$613</c:f>
              <c:strCache>
                <c:ptCount val="1"/>
                <c:pt idx="0">
                  <c:v>Ammonia</c:v>
                </c:pt>
              </c:strCache>
            </c:strRef>
          </c:tx>
          <c:spPr>
            <a:solidFill>
              <a:srgbClr val="CCCC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6="http://schemas.microsoft.com/office/drawing/2014/chart" uri="{C3380CC4-5D6E-409C-BE32-E72D297353CC}">
                  <c16:uniqueId val="{00000000-4AC9-4EA6-878A-C1CC61AA3EA8}"/>
                </c:ext>
              </c:extLst>
            </c:dLbl>
            <c:dLbl>
              <c:idx val="1"/>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6="http://schemas.microsoft.com/office/drawing/2014/chart" uri="{C3380CC4-5D6E-409C-BE32-E72D297353CC}">
                  <c16:uniqueId val="{00000001-4AC9-4EA6-878A-C1CC61AA3EA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ExpBase!$G$602:$I$602</c15:sqref>
                  </c15:fullRef>
                </c:ext>
              </c:extLst>
              <c:f>ExpBase!$G$602:$H$602</c:f>
              <c:strCache>
                <c:ptCount val="2"/>
                <c:pt idx="0">
                  <c:v>Manure Digestate</c:v>
                </c:pt>
                <c:pt idx="1">
                  <c:v>Treated Manure Liquid Digestate</c:v>
                </c:pt>
              </c:strCache>
            </c:strRef>
          </c:cat>
          <c:val>
            <c:numRef>
              <c:extLst>
                <c:ext xmlns:c15="http://schemas.microsoft.com/office/drawing/2012/chart" uri="{02D57815-91ED-43cb-92C2-25804820EDAC}">
                  <c15:fullRef>
                    <c15:sqref>ExpBase!$G$613:$I$613</c15:sqref>
                  </c15:fullRef>
                </c:ext>
              </c:extLst>
              <c:f>ExpBase!$G$613:$H$613</c:f>
              <c:numCache>
                <c:formatCode>_(* #,##0.00_);_(* \(#,##0.00\);_(* "-"??_);_(@_)</c:formatCode>
                <c:ptCount val="2"/>
                <c:pt idx="0">
                  <c:v>0.39100721091113133</c:v>
                </c:pt>
                <c:pt idx="1">
                  <c:v>5.4237546580693005E-2</c:v>
                </c:pt>
              </c:numCache>
            </c:numRef>
          </c:val>
          <c:extLst>
            <c:ext xmlns:c16="http://schemas.microsoft.com/office/drawing/2014/chart" uri="{C3380CC4-5D6E-409C-BE32-E72D297353CC}">
              <c16:uniqueId val="{0000000A-50B7-4DCF-B291-CEF8AA41684B}"/>
            </c:ext>
          </c:extLst>
        </c:ser>
        <c:dLbls>
          <c:showLegendKey val="0"/>
          <c:showVal val="0"/>
          <c:showCatName val="0"/>
          <c:showSerName val="0"/>
          <c:showPercent val="0"/>
          <c:showBubbleSize val="0"/>
        </c:dLbls>
        <c:gapWidth val="40"/>
        <c:overlap val="100"/>
        <c:axId val="387565472"/>
        <c:axId val="387558752"/>
      </c:barChart>
      <c:barChart>
        <c:barDir val="col"/>
        <c:grouping val="stacked"/>
        <c:varyColors val="0"/>
        <c:ser>
          <c:idx val="21"/>
          <c:order val="11"/>
          <c:tx>
            <c:strRef>
              <c:f>ExpBase!$F$614</c:f>
              <c:strCache>
                <c:ptCount val="1"/>
                <c:pt idx="0">
                  <c:v>Total Flow Rate</c:v>
                </c:pt>
              </c:strCache>
            </c:strRef>
          </c:tx>
          <c:spPr>
            <a:solidFill>
              <a:schemeClr val="tx1">
                <a:alpha val="30000"/>
              </a:schemeClr>
            </a:solidFill>
            <a:ln>
              <a:noFill/>
            </a:ln>
            <a:effectLst/>
          </c:spPr>
          <c:invertIfNegative val="0"/>
          <c:cat>
            <c:strRef>
              <c:extLst>
                <c:ext xmlns:c15="http://schemas.microsoft.com/office/drawing/2012/chart" uri="{02D57815-91ED-43cb-92C2-25804820EDAC}">
                  <c15:fullRef>
                    <c15:sqref>ExpBase!$G$602:$I$602</c15:sqref>
                  </c15:fullRef>
                </c:ext>
              </c:extLst>
              <c:f>ExpBase!$G$602:$H$602</c:f>
              <c:strCache>
                <c:ptCount val="2"/>
                <c:pt idx="0">
                  <c:v>Manure Digestate</c:v>
                </c:pt>
                <c:pt idx="1">
                  <c:v>Treated Manure Liquid Digestate</c:v>
                </c:pt>
              </c:strCache>
            </c:strRef>
          </c:cat>
          <c:val>
            <c:numRef>
              <c:extLst>
                <c:ext xmlns:c15="http://schemas.microsoft.com/office/drawing/2012/chart" uri="{02D57815-91ED-43cb-92C2-25804820EDAC}">
                  <c15:fullRef>
                    <c15:sqref>ExpBase!$G$614:$I$614</c15:sqref>
                  </c15:fullRef>
                </c:ext>
              </c:extLst>
              <c:f>ExpBase!$G$614:$H$614</c:f>
              <c:numCache>
                <c:formatCode>_(* #,##0.00_);_(* \(#,##0.00\);_(* "-"??_);_(@_)</c:formatCode>
                <c:ptCount val="2"/>
                <c:pt idx="0">
                  <c:v>38338.328424458741</c:v>
                </c:pt>
                <c:pt idx="1">
                  <c:v>55272.474816103837</c:v>
                </c:pt>
              </c:numCache>
            </c:numRef>
          </c:val>
          <c:extLst>
            <c:ext xmlns:c16="http://schemas.microsoft.com/office/drawing/2014/chart" uri="{C3380CC4-5D6E-409C-BE32-E72D297353CC}">
              <c16:uniqueId val="{00000015-50B7-4DCF-B291-CEF8AA41684B}"/>
            </c:ext>
          </c:extLst>
        </c:ser>
        <c:dLbls>
          <c:showLegendKey val="0"/>
          <c:showVal val="0"/>
          <c:showCatName val="0"/>
          <c:showSerName val="0"/>
          <c:showPercent val="0"/>
          <c:showBubbleSize val="0"/>
        </c:dLbls>
        <c:gapWidth val="250"/>
        <c:overlap val="100"/>
        <c:axId val="578904448"/>
        <c:axId val="578879008"/>
      </c:barChart>
      <c:catAx>
        <c:axId val="38756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crossAx val="387558752"/>
        <c:crosses val="autoZero"/>
        <c:auto val="1"/>
        <c:lblAlgn val="ctr"/>
        <c:lblOffset val="100"/>
        <c:noMultiLvlLbl val="0"/>
      </c:catAx>
      <c:valAx>
        <c:axId val="387558752"/>
        <c:scaling>
          <c:orientation val="minMax"/>
          <c:max val="1"/>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t>Species Mass Fraction</a:t>
                </a:r>
              </a:p>
            </c:rich>
          </c:tx>
          <c:layout>
            <c:manualLayout>
              <c:xMode val="edge"/>
              <c:yMode val="edge"/>
              <c:x val="1.3252856287778706E-2"/>
              <c:y val="0.23437151491209474"/>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_(* #,##0.0_);_(* \(#,##0.0\);_(* &quot;-&quot;?_);_(@_)"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Nova Cond" panose="020B0506020202020204" pitchFamily="34" charset="0"/>
                <a:ea typeface="+mn-ea"/>
                <a:cs typeface="+mn-cs"/>
              </a:defRPr>
            </a:pPr>
            <a:endParaRPr lang="en-US"/>
          </a:p>
        </c:txPr>
        <c:crossAx val="387565472"/>
        <c:crosses val="autoZero"/>
        <c:crossBetween val="between"/>
      </c:valAx>
      <c:valAx>
        <c:axId val="578879008"/>
        <c:scaling>
          <c:orientation val="minMax"/>
        </c:scaling>
        <c:delete val="0"/>
        <c:axPos val="r"/>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solidFill>
                      <a:sysClr val="windowText" lastClr="000000"/>
                    </a:solidFill>
                  </a:rPr>
                  <a:t>Mass</a:t>
                </a:r>
                <a:r>
                  <a:rPr lang="en-US" b="1" baseline="0">
                    <a:solidFill>
                      <a:sysClr val="windowText" lastClr="000000"/>
                    </a:solidFill>
                  </a:rPr>
                  <a:t> Flow Rate </a:t>
                </a:r>
                <a:r>
                  <a:rPr lang="en-US" b="0" baseline="0">
                    <a:solidFill>
                      <a:sysClr val="windowText" lastClr="000000"/>
                    </a:solidFill>
                  </a:rPr>
                  <a:t>[ 1E3 kg/hr]</a:t>
                </a:r>
                <a:endParaRPr lang="en-US" b="0">
                  <a:solidFill>
                    <a:sysClr val="windowText" lastClr="000000"/>
                  </a:solidFill>
                </a:endParaRPr>
              </a:p>
            </c:rich>
          </c:tx>
          <c:layout>
            <c:manualLayout>
              <c:xMode val="edge"/>
              <c:yMode val="edge"/>
              <c:x val="0.95126982345848321"/>
              <c:y val="0.19876170587134268"/>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_(* #,##0_);_(* \(#,##0\);_(* &quot;-&quot;_);_(@_)"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Arial Nova Cond" panose="020B0506020202020204" pitchFamily="34" charset="0"/>
                <a:ea typeface="+mn-ea"/>
                <a:cs typeface="+mn-cs"/>
              </a:defRPr>
            </a:pPr>
            <a:endParaRPr lang="en-US"/>
          </a:p>
        </c:txPr>
        <c:crossAx val="578904448"/>
        <c:crosses val="max"/>
        <c:crossBetween val="between"/>
        <c:majorUnit val="70000"/>
        <c:dispUnits>
          <c:builtInUnit val="thousands"/>
        </c:dispUnits>
      </c:valAx>
      <c:catAx>
        <c:axId val="578904448"/>
        <c:scaling>
          <c:orientation val="minMax"/>
        </c:scaling>
        <c:delete val="1"/>
        <c:axPos val="b"/>
        <c:numFmt formatCode="General" sourceLinked="1"/>
        <c:majorTickMark val="out"/>
        <c:minorTickMark val="none"/>
        <c:tickLblPos val="nextTo"/>
        <c:crossAx val="578879008"/>
        <c:crosses val="autoZero"/>
        <c:auto val="1"/>
        <c:lblAlgn val="ctr"/>
        <c:lblOffset val="100"/>
        <c:noMultiLvlLbl val="0"/>
      </c:catAx>
      <c:spPr>
        <a:noFill/>
        <a:ln w="19050">
          <a:solidFill>
            <a:schemeClr val="tx1"/>
          </a:solidFill>
        </a:ln>
        <a:effectLst/>
      </c:spPr>
    </c:plotArea>
    <c:legend>
      <c:legendPos val="b"/>
      <c:layout>
        <c:manualLayout>
          <c:xMode val="edge"/>
          <c:yMode val="edge"/>
          <c:x val="1.2867469764833626E-2"/>
          <c:y val="0.82919663723976178"/>
          <c:w val="0.97203908334987543"/>
          <c:h val="0.14458484432565197"/>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9050"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0" baseline="0">
                <a:solidFill>
                  <a:sysClr val="windowText" lastClr="000000"/>
                </a:solidFill>
                <a:latin typeface="Arial Nova Cond" panose="020B0506020202020204" pitchFamily="34" charset="0"/>
                <a:ea typeface="+mn-ea"/>
                <a:cs typeface="+mn-cs"/>
              </a:defRPr>
            </a:pPr>
            <a:r>
              <a:rPr lang="en-US" sz="1600" b="1" cap="all" baseline="0"/>
              <a:t>Crystalization Effluent Characteristics</a:t>
            </a:r>
          </a:p>
        </c:rich>
      </c:tx>
      <c:layout>
        <c:manualLayout>
          <c:xMode val="edge"/>
          <c:yMode val="edge"/>
          <c:x val="7.4909398238201834E-3"/>
          <c:y val="2.0846010357348455E-2"/>
        </c:manualLayout>
      </c:layout>
      <c:overlay val="0"/>
      <c:spPr>
        <a:noFill/>
        <a:ln>
          <a:noFill/>
        </a:ln>
        <a:effectLst/>
      </c:spPr>
      <c:txPr>
        <a:bodyPr rot="0" spcFirstLastPara="1" vertOverflow="ellipsis" vert="horz" wrap="square" anchor="ctr" anchorCtr="1"/>
        <a:lstStyle/>
        <a:p>
          <a:pPr>
            <a:defRPr sz="1600" b="1" i="0" u="none" strike="noStrike" kern="1200" cap="all"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2239441057762847"/>
          <c:y val="0.13418687076528776"/>
          <c:w val="0.76597394995762735"/>
          <c:h val="0.50594533374134298"/>
        </c:manualLayout>
      </c:layout>
      <c:barChart>
        <c:barDir val="col"/>
        <c:grouping val="stacked"/>
        <c:varyColors val="0"/>
        <c:ser>
          <c:idx val="12"/>
          <c:order val="12"/>
          <c:tx>
            <c:strRef>
              <c:f>ExpBase!$A$635</c:f>
              <c:strCache>
                <c:ptCount val="1"/>
                <c:pt idx="0">
                  <c:v>Sodium Sulfate Decahydrate</c:v>
                </c:pt>
              </c:strCache>
            </c:strRef>
          </c:tx>
          <c:spPr>
            <a:solidFill>
              <a:srgbClr val="0099CC"/>
            </a:solidFill>
            <a:ln>
              <a:noFill/>
            </a:ln>
            <a:effectLst/>
          </c:spPr>
          <c:invertIfNegative val="0"/>
          <c:dPt>
            <c:idx val="0"/>
            <c:invertIfNegative val="0"/>
            <c:bubble3D val="0"/>
            <c:spPr>
              <a:solidFill>
                <a:srgbClr val="336699"/>
              </a:solidFill>
              <a:ln>
                <a:noFill/>
              </a:ln>
              <a:effectLst/>
            </c:spPr>
            <c:extLst>
              <c:ext xmlns:c16="http://schemas.microsoft.com/office/drawing/2014/chart" uri="{C3380CC4-5D6E-409C-BE32-E72D297353CC}">
                <c16:uniqueId val="{0000000D-A978-4154-9479-FF591D1FB87F}"/>
              </c:ext>
            </c:extLst>
          </c:dPt>
          <c:dLbls>
            <c:dLbl>
              <c:idx val="0"/>
              <c:spPr>
                <a:solidFill>
                  <a:srgbClr val="336699"/>
                </a:solid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13072496879521436"/>
                      <c:h val="0.1494658942621884"/>
                    </c:manualLayout>
                  </c15:layout>
                </c:ext>
                <c:ext xmlns:c16="http://schemas.microsoft.com/office/drawing/2014/chart" uri="{C3380CC4-5D6E-409C-BE32-E72D297353CC}">
                  <c16:uniqueId val="{0000000D-A978-4154-9479-FF591D1FB87F}"/>
                </c:ext>
              </c:extLst>
            </c:dLbl>
            <c:dLbl>
              <c:idx val="1"/>
              <c:delete val="1"/>
              <c:extLst>
                <c:ext xmlns:c15="http://schemas.microsoft.com/office/drawing/2012/chart" uri="{CE6537A1-D6FC-4f65-9D91-7224C49458BB}"/>
                <c:ext xmlns:c16="http://schemas.microsoft.com/office/drawing/2014/chart" uri="{C3380CC4-5D6E-409C-BE32-E72D297353CC}">
                  <c16:uniqueId val="{0000000E-A978-4154-9479-FF591D1FB87F}"/>
                </c:ext>
              </c:extLst>
            </c:dLbl>
            <c:dLbl>
              <c:idx val="2"/>
              <c:delete val="1"/>
              <c:extLst>
                <c:ext xmlns:c15="http://schemas.microsoft.com/office/drawing/2012/chart" uri="{CE6537A1-D6FC-4f65-9D91-7224C49458BB}"/>
                <c:ext xmlns:c16="http://schemas.microsoft.com/office/drawing/2014/chart" uri="{C3380CC4-5D6E-409C-BE32-E72D297353CC}">
                  <c16:uniqueId val="{0000000F-A978-4154-9479-FF591D1FB87F}"/>
                </c:ext>
              </c:extLst>
            </c:dLbl>
            <c:spPr>
              <a:solidFill>
                <a:srgbClr val="336699"/>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ExpBase!$B$622:$D$622</c:f>
              <c:strCache>
                <c:ptCount val="3"/>
                <c:pt idx="0">
                  <c:v>32°C Crystals</c:v>
                </c:pt>
                <c:pt idx="1">
                  <c:v>2°C Crystals</c:v>
                </c:pt>
                <c:pt idx="2">
                  <c:v> 100°C Crystals </c:v>
                </c:pt>
              </c:strCache>
            </c:strRef>
          </c:cat>
          <c:val>
            <c:numRef>
              <c:f>ExpBase!$B$635:$D$635</c:f>
              <c:numCache>
                <c:formatCode>_(* #,##0.00_);_(* \(#,##0.00\);_(* "-"??_);_(@_)</c:formatCode>
                <c:ptCount val="3"/>
                <c:pt idx="0">
                  <c:v>386.11611192160132</c:v>
                </c:pt>
                <c:pt idx="1">
                  <c:v>0</c:v>
                </c:pt>
                <c:pt idx="2">
                  <c:v>0</c:v>
                </c:pt>
              </c:numCache>
            </c:numRef>
          </c:val>
          <c:extLst>
            <c:ext xmlns:c16="http://schemas.microsoft.com/office/drawing/2014/chart" uri="{C3380CC4-5D6E-409C-BE32-E72D297353CC}">
              <c16:uniqueId val="{0000000C-A978-4154-9479-FF591D1FB87F}"/>
            </c:ext>
          </c:extLst>
        </c:ser>
        <c:dLbls>
          <c:showLegendKey val="0"/>
          <c:showVal val="0"/>
          <c:showCatName val="0"/>
          <c:showSerName val="0"/>
          <c:showPercent val="0"/>
          <c:showBubbleSize val="0"/>
        </c:dLbls>
        <c:gapWidth val="72"/>
        <c:overlap val="100"/>
        <c:axId val="677711520"/>
        <c:axId val="677712480"/>
      </c:barChart>
      <c:barChart>
        <c:barDir val="col"/>
        <c:grouping val="stacked"/>
        <c:varyColors val="0"/>
        <c:ser>
          <c:idx val="0"/>
          <c:order val="0"/>
          <c:tx>
            <c:strRef>
              <c:f>ExpBase!$A$623</c:f>
              <c:strCache>
                <c:ptCount val="1"/>
                <c:pt idx="0">
                  <c:v>Ammonium Sulfate</c:v>
                </c:pt>
              </c:strCache>
            </c:strRef>
          </c:tx>
          <c:spPr>
            <a:solidFill>
              <a:srgbClr val="99CC00"/>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14-A978-4154-9479-FF591D1FB87F}"/>
                </c:ext>
              </c:extLst>
            </c:dLbl>
            <c:dLbl>
              <c:idx val="1"/>
              <c:delete val="1"/>
              <c:extLst>
                <c:ext xmlns:c15="http://schemas.microsoft.com/office/drawing/2012/chart" uri="{CE6537A1-D6FC-4f65-9D91-7224C49458BB}"/>
                <c:ext xmlns:c16="http://schemas.microsoft.com/office/drawing/2014/chart" uri="{C3380CC4-5D6E-409C-BE32-E72D297353CC}">
                  <c16:uniqueId val="{00000013-A978-4154-9479-FF591D1FB87F}"/>
                </c:ext>
              </c:extLst>
            </c:dLbl>
            <c:dLbl>
              <c:idx val="2"/>
              <c:spPr>
                <a:solidFill>
                  <a:srgbClr val="99CC00"/>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ysClr val="windowText" lastClr="000000"/>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13032160673909379"/>
                      <c:h val="0.15098467501679522"/>
                    </c:manualLayout>
                  </c15:layout>
                </c:ext>
                <c:ext xmlns:c16="http://schemas.microsoft.com/office/drawing/2014/chart" uri="{C3380CC4-5D6E-409C-BE32-E72D297353CC}">
                  <c16:uniqueId val="{00000015-A978-4154-9479-FF591D1FB87F}"/>
                </c:ext>
              </c:extLst>
            </c:dLbl>
            <c:spPr>
              <a:solidFill>
                <a:srgbClr val="99CC00"/>
              </a:solid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ExpBase!$B$622:$D$622</c:f>
              <c:strCache>
                <c:ptCount val="3"/>
                <c:pt idx="0">
                  <c:v>32°C Crystals</c:v>
                </c:pt>
                <c:pt idx="1">
                  <c:v>2°C Crystals</c:v>
                </c:pt>
                <c:pt idx="2">
                  <c:v> 100°C Crystals </c:v>
                </c:pt>
              </c:strCache>
            </c:strRef>
          </c:cat>
          <c:val>
            <c:numRef>
              <c:f>ExpBase!$B$623:$D$623</c:f>
              <c:numCache>
                <c:formatCode>_(* #,##0.00_);_(* \(#,##0.00\);_(* "-"??_);_(@_)</c:formatCode>
                <c:ptCount val="3"/>
                <c:pt idx="0">
                  <c:v>0</c:v>
                </c:pt>
                <c:pt idx="1">
                  <c:v>0</c:v>
                </c:pt>
                <c:pt idx="2">
                  <c:v>47.942225030693983</c:v>
                </c:pt>
              </c:numCache>
            </c:numRef>
          </c:val>
          <c:extLst>
            <c:ext xmlns:c16="http://schemas.microsoft.com/office/drawing/2014/chart" uri="{C3380CC4-5D6E-409C-BE32-E72D297353CC}">
              <c16:uniqueId val="{00000000-A978-4154-9479-FF591D1FB87F}"/>
            </c:ext>
          </c:extLst>
        </c:ser>
        <c:ser>
          <c:idx val="1"/>
          <c:order val="1"/>
          <c:tx>
            <c:strRef>
              <c:f>ExpBase!$A$624</c:f>
              <c:strCache>
                <c:ptCount val="1"/>
                <c:pt idx="0">
                  <c:v>Sodium Acetate Trihydrate</c:v>
                </c:pt>
              </c:strCache>
            </c:strRef>
          </c:tx>
          <c:spPr>
            <a:solidFill>
              <a:srgbClr val="F6C6AD"/>
            </a:solidFill>
            <a:ln>
              <a:noFill/>
            </a:ln>
            <a:effectLst/>
          </c:spPr>
          <c:invertIfNegative val="0"/>
          <c:cat>
            <c:strRef>
              <c:f>ExpBase!$B$622:$D$622</c:f>
              <c:strCache>
                <c:ptCount val="3"/>
                <c:pt idx="0">
                  <c:v>32°C Crystals</c:v>
                </c:pt>
                <c:pt idx="1">
                  <c:v>2°C Crystals</c:v>
                </c:pt>
                <c:pt idx="2">
                  <c:v> 100°C Crystals </c:v>
                </c:pt>
              </c:strCache>
            </c:strRef>
          </c:cat>
          <c:val>
            <c:numRef>
              <c:f>ExpBase!$B$624:$D$624</c:f>
              <c:numCache>
                <c:formatCode>_(* #,##0.00_);_(* \(#,##0.00\);_(* "-"??_);_(@_)</c:formatCode>
                <c:ptCount val="3"/>
                <c:pt idx="0">
                  <c:v>0</c:v>
                </c:pt>
                <c:pt idx="1">
                  <c:v>0</c:v>
                </c:pt>
                <c:pt idx="2">
                  <c:v>2.6248085570632997</c:v>
                </c:pt>
              </c:numCache>
            </c:numRef>
          </c:val>
          <c:extLst>
            <c:ext xmlns:c16="http://schemas.microsoft.com/office/drawing/2014/chart" uri="{C3380CC4-5D6E-409C-BE32-E72D297353CC}">
              <c16:uniqueId val="{00000001-A978-4154-9479-FF591D1FB87F}"/>
            </c:ext>
          </c:extLst>
        </c:ser>
        <c:ser>
          <c:idx val="2"/>
          <c:order val="2"/>
          <c:tx>
            <c:strRef>
              <c:f>ExpBase!$A$625</c:f>
              <c:strCache>
                <c:ptCount val="1"/>
                <c:pt idx="0">
                  <c:v>Sodium Propionate</c:v>
                </c:pt>
              </c:strCache>
            </c:strRef>
          </c:tx>
          <c:spPr>
            <a:solidFill>
              <a:srgbClr val="F2AA84"/>
            </a:solidFill>
            <a:ln>
              <a:noFill/>
            </a:ln>
            <a:effectLst/>
          </c:spPr>
          <c:invertIfNegative val="0"/>
          <c:cat>
            <c:strRef>
              <c:f>ExpBase!$B$622:$D$622</c:f>
              <c:strCache>
                <c:ptCount val="3"/>
                <c:pt idx="0">
                  <c:v>32°C Crystals</c:v>
                </c:pt>
                <c:pt idx="1">
                  <c:v>2°C Crystals</c:v>
                </c:pt>
                <c:pt idx="2">
                  <c:v> 100°C Crystals </c:v>
                </c:pt>
              </c:strCache>
            </c:strRef>
          </c:cat>
          <c:val>
            <c:numRef>
              <c:f>ExpBase!$B$625:$D$625</c:f>
              <c:numCache>
                <c:formatCode>_(* #,##0.00_);_(* \(#,##0.00\);_(* "-"??_);_(@_)</c:formatCode>
                <c:ptCount val="3"/>
                <c:pt idx="0">
                  <c:v>0</c:v>
                </c:pt>
                <c:pt idx="1">
                  <c:v>0</c:v>
                </c:pt>
                <c:pt idx="2">
                  <c:v>8.7641156410698397E-8</c:v>
                </c:pt>
              </c:numCache>
            </c:numRef>
          </c:val>
          <c:extLst>
            <c:ext xmlns:c16="http://schemas.microsoft.com/office/drawing/2014/chart" uri="{C3380CC4-5D6E-409C-BE32-E72D297353CC}">
              <c16:uniqueId val="{00000002-A978-4154-9479-FF591D1FB87F}"/>
            </c:ext>
          </c:extLst>
        </c:ser>
        <c:ser>
          <c:idx val="3"/>
          <c:order val="3"/>
          <c:tx>
            <c:strRef>
              <c:f>ExpBase!$A$626</c:f>
              <c:strCache>
                <c:ptCount val="1"/>
                <c:pt idx="0">
                  <c:v>Sodium Butyrate</c:v>
                </c:pt>
              </c:strCache>
            </c:strRef>
          </c:tx>
          <c:spPr>
            <a:solidFill>
              <a:srgbClr val="FFCC66"/>
            </a:solidFill>
            <a:ln>
              <a:noFill/>
            </a:ln>
            <a:effectLst/>
          </c:spPr>
          <c:invertIfNegative val="0"/>
          <c:cat>
            <c:strRef>
              <c:f>ExpBase!$B$622:$D$622</c:f>
              <c:strCache>
                <c:ptCount val="3"/>
                <c:pt idx="0">
                  <c:v>32°C Crystals</c:v>
                </c:pt>
                <c:pt idx="1">
                  <c:v>2°C Crystals</c:v>
                </c:pt>
                <c:pt idx="2">
                  <c:v> 100°C Crystals </c:v>
                </c:pt>
              </c:strCache>
            </c:strRef>
          </c:cat>
          <c:val>
            <c:numRef>
              <c:f>ExpBase!$B$626:$D$626</c:f>
              <c:numCache>
                <c:formatCode>_(* #,##0.00_);_(* \(#,##0.00\);_(* "-"??_);_(@_)</c:formatCode>
                <c:ptCount val="3"/>
                <c:pt idx="0">
                  <c:v>0</c:v>
                </c:pt>
                <c:pt idx="1">
                  <c:v>0</c:v>
                </c:pt>
                <c:pt idx="2">
                  <c:v>1.481073691374498</c:v>
                </c:pt>
              </c:numCache>
            </c:numRef>
          </c:val>
          <c:extLst>
            <c:ext xmlns:c16="http://schemas.microsoft.com/office/drawing/2014/chart" uri="{C3380CC4-5D6E-409C-BE32-E72D297353CC}">
              <c16:uniqueId val="{00000003-A978-4154-9479-FF591D1FB87F}"/>
            </c:ext>
          </c:extLst>
        </c:ser>
        <c:ser>
          <c:idx val="4"/>
          <c:order val="4"/>
          <c:tx>
            <c:strRef>
              <c:f>ExpBase!$A$627</c:f>
              <c:strCache>
                <c:ptCount val="1"/>
                <c:pt idx="0">
                  <c:v>Sodium Isobutyrate</c:v>
                </c:pt>
              </c:strCache>
            </c:strRef>
          </c:tx>
          <c:spPr>
            <a:solidFill>
              <a:srgbClr val="FF9933"/>
            </a:solidFill>
            <a:ln>
              <a:noFill/>
            </a:ln>
            <a:effectLst/>
          </c:spPr>
          <c:invertIfNegative val="0"/>
          <c:cat>
            <c:strRef>
              <c:f>ExpBase!$B$622:$D$622</c:f>
              <c:strCache>
                <c:ptCount val="3"/>
                <c:pt idx="0">
                  <c:v>32°C Crystals</c:v>
                </c:pt>
                <c:pt idx="1">
                  <c:v>2°C Crystals</c:v>
                </c:pt>
                <c:pt idx="2">
                  <c:v> 100°C Crystals </c:v>
                </c:pt>
              </c:strCache>
            </c:strRef>
          </c:cat>
          <c:val>
            <c:numRef>
              <c:f>ExpBase!$B$627:$D$627</c:f>
              <c:numCache>
                <c:formatCode>_(* #,##0.00_);_(* \(#,##0.00\);_(* "-"??_);_(@_)</c:formatCode>
                <c:ptCount val="3"/>
                <c:pt idx="0">
                  <c:v>0</c:v>
                </c:pt>
                <c:pt idx="1">
                  <c:v>0</c:v>
                </c:pt>
                <c:pt idx="2">
                  <c:v>6.7918945158384147E-2</c:v>
                </c:pt>
              </c:numCache>
            </c:numRef>
          </c:val>
          <c:extLst>
            <c:ext xmlns:c16="http://schemas.microsoft.com/office/drawing/2014/chart" uri="{C3380CC4-5D6E-409C-BE32-E72D297353CC}">
              <c16:uniqueId val="{00000004-A978-4154-9479-FF591D1FB87F}"/>
            </c:ext>
          </c:extLst>
        </c:ser>
        <c:ser>
          <c:idx val="5"/>
          <c:order val="5"/>
          <c:tx>
            <c:strRef>
              <c:f>ExpBase!$A$628</c:f>
              <c:strCache>
                <c:ptCount val="1"/>
                <c:pt idx="0">
                  <c:v>Sodium Valerate</c:v>
                </c:pt>
              </c:strCache>
            </c:strRef>
          </c:tx>
          <c:spPr>
            <a:solidFill>
              <a:srgbClr val="FFCCCC"/>
            </a:solidFill>
            <a:ln>
              <a:noFill/>
            </a:ln>
            <a:effectLst/>
          </c:spPr>
          <c:invertIfNegative val="0"/>
          <c:cat>
            <c:strRef>
              <c:f>ExpBase!$B$622:$D$622</c:f>
              <c:strCache>
                <c:ptCount val="3"/>
                <c:pt idx="0">
                  <c:v>32°C Crystals</c:v>
                </c:pt>
                <c:pt idx="1">
                  <c:v>2°C Crystals</c:v>
                </c:pt>
                <c:pt idx="2">
                  <c:v> 100°C Crystals </c:v>
                </c:pt>
              </c:strCache>
            </c:strRef>
          </c:cat>
          <c:val>
            <c:numRef>
              <c:f>ExpBase!$B$628:$D$628</c:f>
              <c:numCache>
                <c:formatCode>_(* #,##0.00_);_(* \(#,##0.00\);_(* "-"??_);_(@_)</c:formatCode>
                <c:ptCount val="3"/>
                <c:pt idx="0">
                  <c:v>0</c:v>
                </c:pt>
                <c:pt idx="1">
                  <c:v>0</c:v>
                </c:pt>
                <c:pt idx="2">
                  <c:v>0.84867417672592205</c:v>
                </c:pt>
              </c:numCache>
            </c:numRef>
          </c:val>
          <c:extLst>
            <c:ext xmlns:c16="http://schemas.microsoft.com/office/drawing/2014/chart" uri="{C3380CC4-5D6E-409C-BE32-E72D297353CC}">
              <c16:uniqueId val="{00000005-A978-4154-9479-FF591D1FB87F}"/>
            </c:ext>
          </c:extLst>
        </c:ser>
        <c:ser>
          <c:idx val="6"/>
          <c:order val="6"/>
          <c:tx>
            <c:strRef>
              <c:f>ExpBase!$A$629</c:f>
              <c:strCache>
                <c:ptCount val="1"/>
                <c:pt idx="0">
                  <c:v>Sodium Isovalerate</c:v>
                </c:pt>
              </c:strCache>
            </c:strRef>
          </c:tx>
          <c:spPr>
            <a:solidFill>
              <a:srgbClr val="FF9999"/>
            </a:solidFill>
            <a:ln>
              <a:noFill/>
            </a:ln>
            <a:effectLst/>
          </c:spPr>
          <c:invertIfNegative val="0"/>
          <c:cat>
            <c:strRef>
              <c:f>ExpBase!$B$622:$D$622</c:f>
              <c:strCache>
                <c:ptCount val="3"/>
                <c:pt idx="0">
                  <c:v>32°C Crystals</c:v>
                </c:pt>
                <c:pt idx="1">
                  <c:v>2°C Crystals</c:v>
                </c:pt>
                <c:pt idx="2">
                  <c:v> 100°C Crystals </c:v>
                </c:pt>
              </c:strCache>
            </c:strRef>
          </c:cat>
          <c:val>
            <c:numRef>
              <c:f>ExpBase!$B$629:$D$629</c:f>
              <c:numCache>
                <c:formatCode>_(* #,##0.00_);_(* \(#,##0.00\);_(* "-"??_);_(@_)</c:formatCode>
                <c:ptCount val="3"/>
                <c:pt idx="0">
                  <c:v>0</c:v>
                </c:pt>
                <c:pt idx="1">
                  <c:v>0</c:v>
                </c:pt>
                <c:pt idx="2">
                  <c:v>1.556405524955077E-8</c:v>
                </c:pt>
              </c:numCache>
            </c:numRef>
          </c:val>
          <c:extLst>
            <c:ext xmlns:c16="http://schemas.microsoft.com/office/drawing/2014/chart" uri="{C3380CC4-5D6E-409C-BE32-E72D297353CC}">
              <c16:uniqueId val="{00000006-A978-4154-9479-FF591D1FB87F}"/>
            </c:ext>
          </c:extLst>
        </c:ser>
        <c:ser>
          <c:idx val="7"/>
          <c:order val="7"/>
          <c:tx>
            <c:strRef>
              <c:f>ExpBase!$A$630</c:f>
              <c:strCache>
                <c:ptCount val="1"/>
                <c:pt idx="0">
                  <c:v>Sodium Caproate</c:v>
                </c:pt>
              </c:strCache>
            </c:strRef>
          </c:tx>
          <c:spPr>
            <a:solidFill>
              <a:srgbClr val="FFCCFF"/>
            </a:solidFill>
            <a:ln>
              <a:noFill/>
            </a:ln>
            <a:effectLst/>
          </c:spPr>
          <c:invertIfNegative val="0"/>
          <c:cat>
            <c:strRef>
              <c:f>ExpBase!$B$622:$D$622</c:f>
              <c:strCache>
                <c:ptCount val="3"/>
                <c:pt idx="0">
                  <c:v>32°C Crystals</c:v>
                </c:pt>
                <c:pt idx="1">
                  <c:v>2°C Crystals</c:v>
                </c:pt>
                <c:pt idx="2">
                  <c:v> 100°C Crystals </c:v>
                </c:pt>
              </c:strCache>
            </c:strRef>
          </c:cat>
          <c:val>
            <c:numRef>
              <c:f>ExpBase!$B$630:$D$630</c:f>
              <c:numCache>
                <c:formatCode>_(* #,##0.00_);_(* \(#,##0.00\);_(* "-"??_);_(@_)</c:formatCode>
                <c:ptCount val="3"/>
                <c:pt idx="0">
                  <c:v>0</c:v>
                </c:pt>
                <c:pt idx="1">
                  <c:v>0</c:v>
                </c:pt>
                <c:pt idx="2">
                  <c:v>0.29172617274281604</c:v>
                </c:pt>
              </c:numCache>
            </c:numRef>
          </c:val>
          <c:extLst>
            <c:ext xmlns:c16="http://schemas.microsoft.com/office/drawing/2014/chart" uri="{C3380CC4-5D6E-409C-BE32-E72D297353CC}">
              <c16:uniqueId val="{00000007-A978-4154-9479-FF591D1FB87F}"/>
            </c:ext>
          </c:extLst>
        </c:ser>
        <c:ser>
          <c:idx val="8"/>
          <c:order val="8"/>
          <c:tx>
            <c:strRef>
              <c:f>ExpBase!$A$631</c:f>
              <c:strCache>
                <c:ptCount val="1"/>
                <c:pt idx="0">
                  <c:v>Sodium Heptanoate</c:v>
                </c:pt>
              </c:strCache>
            </c:strRef>
          </c:tx>
          <c:spPr>
            <a:solidFill>
              <a:srgbClr val="FF99FF"/>
            </a:solidFill>
            <a:ln>
              <a:noFill/>
            </a:ln>
            <a:effectLst/>
          </c:spPr>
          <c:invertIfNegative val="0"/>
          <c:cat>
            <c:strRef>
              <c:f>ExpBase!$B$622:$D$622</c:f>
              <c:strCache>
                <c:ptCount val="3"/>
                <c:pt idx="0">
                  <c:v>32°C Crystals</c:v>
                </c:pt>
                <c:pt idx="1">
                  <c:v>2°C Crystals</c:v>
                </c:pt>
                <c:pt idx="2">
                  <c:v> 100°C Crystals </c:v>
                </c:pt>
              </c:strCache>
            </c:strRef>
          </c:cat>
          <c:val>
            <c:numRef>
              <c:f>ExpBase!$B$631:$D$631</c:f>
              <c:numCache>
                <c:formatCode>_(* #,##0.00_);_(* \(#,##0.00\);_(* "-"??_);_(@_)</c:formatCode>
                <c:ptCount val="3"/>
                <c:pt idx="0">
                  <c:v>0</c:v>
                </c:pt>
                <c:pt idx="1">
                  <c:v>0</c:v>
                </c:pt>
                <c:pt idx="2">
                  <c:v>2.1356535583992227E-8</c:v>
                </c:pt>
              </c:numCache>
            </c:numRef>
          </c:val>
          <c:extLst>
            <c:ext xmlns:c16="http://schemas.microsoft.com/office/drawing/2014/chart" uri="{C3380CC4-5D6E-409C-BE32-E72D297353CC}">
              <c16:uniqueId val="{00000008-A978-4154-9479-FF591D1FB87F}"/>
            </c:ext>
          </c:extLst>
        </c:ser>
        <c:ser>
          <c:idx val="9"/>
          <c:order val="9"/>
          <c:tx>
            <c:strRef>
              <c:f>ExpBase!$A$632</c:f>
              <c:strCache>
                <c:ptCount val="1"/>
                <c:pt idx="0">
                  <c:v>Magnesium Sulfate Heptahydrate</c:v>
                </c:pt>
              </c:strCache>
            </c:strRef>
          </c:tx>
          <c:spPr>
            <a:solidFill>
              <a:srgbClr val="33CC33"/>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10-A978-4154-9479-FF591D1FB87F}"/>
                </c:ext>
              </c:extLst>
            </c:dLbl>
            <c:dLbl>
              <c:idx val="1"/>
              <c:spPr>
                <a:solidFill>
                  <a:srgbClr val="33CC33"/>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13234835044134519"/>
                      <c:h val="0.15306927605253007"/>
                    </c:manualLayout>
                  </c15:layout>
                </c:ext>
                <c:ext xmlns:c16="http://schemas.microsoft.com/office/drawing/2014/chart" uri="{C3380CC4-5D6E-409C-BE32-E72D297353CC}">
                  <c16:uniqueId val="{00000012-A978-4154-9479-FF591D1FB87F}"/>
                </c:ext>
              </c:extLst>
            </c:dLbl>
            <c:dLbl>
              <c:idx val="2"/>
              <c:delete val="1"/>
              <c:extLst>
                <c:ext xmlns:c15="http://schemas.microsoft.com/office/drawing/2012/chart" uri="{CE6537A1-D6FC-4f65-9D91-7224C49458BB}"/>
                <c:ext xmlns:c16="http://schemas.microsoft.com/office/drawing/2014/chart" uri="{C3380CC4-5D6E-409C-BE32-E72D297353CC}">
                  <c16:uniqueId val="{00000011-A978-4154-9479-FF591D1FB87F}"/>
                </c:ext>
              </c:extLst>
            </c:dLbl>
            <c:spPr>
              <a:solidFill>
                <a:srgbClr val="33CC33"/>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ExpBase!$B$622:$D$622</c:f>
              <c:strCache>
                <c:ptCount val="3"/>
                <c:pt idx="0">
                  <c:v>32°C Crystals</c:v>
                </c:pt>
                <c:pt idx="1">
                  <c:v>2°C Crystals</c:v>
                </c:pt>
                <c:pt idx="2">
                  <c:v> 100°C Crystals </c:v>
                </c:pt>
              </c:strCache>
            </c:strRef>
          </c:cat>
          <c:val>
            <c:numRef>
              <c:f>ExpBase!$B$632:$D$632</c:f>
              <c:numCache>
                <c:formatCode>_(* #,##0.00_);_(* \(#,##0.00\);_(* "-"??_);_(@_)</c:formatCode>
                <c:ptCount val="3"/>
                <c:pt idx="0">
                  <c:v>0</c:v>
                </c:pt>
                <c:pt idx="1">
                  <c:v>21.521966049119637</c:v>
                </c:pt>
                <c:pt idx="2">
                  <c:v>0</c:v>
                </c:pt>
              </c:numCache>
            </c:numRef>
          </c:val>
          <c:extLst>
            <c:ext xmlns:c16="http://schemas.microsoft.com/office/drawing/2014/chart" uri="{C3380CC4-5D6E-409C-BE32-E72D297353CC}">
              <c16:uniqueId val="{00000009-A978-4154-9479-FF591D1FB87F}"/>
            </c:ext>
          </c:extLst>
        </c:ser>
        <c:ser>
          <c:idx val="10"/>
          <c:order val="10"/>
          <c:tx>
            <c:strRef>
              <c:f>ExpBase!$A$633</c:f>
              <c:strCache>
                <c:ptCount val="1"/>
                <c:pt idx="0">
                  <c:v>Calcium Sulfate Dihydrate</c:v>
                </c:pt>
              </c:strCache>
            </c:strRef>
          </c:tx>
          <c:spPr>
            <a:solidFill>
              <a:srgbClr val="99FF33"/>
            </a:solidFill>
            <a:ln>
              <a:noFill/>
            </a:ln>
            <a:effectLst/>
          </c:spPr>
          <c:invertIfNegative val="0"/>
          <c:cat>
            <c:strRef>
              <c:f>ExpBase!$B$622:$D$622</c:f>
              <c:strCache>
                <c:ptCount val="3"/>
                <c:pt idx="0">
                  <c:v>32°C Crystals</c:v>
                </c:pt>
                <c:pt idx="1">
                  <c:v>2°C Crystals</c:v>
                </c:pt>
                <c:pt idx="2">
                  <c:v> 100°C Crystals </c:v>
                </c:pt>
              </c:strCache>
            </c:strRef>
          </c:cat>
          <c:val>
            <c:numRef>
              <c:f>ExpBase!$B$633:$D$633</c:f>
              <c:numCache>
                <c:formatCode>_(* #,##0.00_);_(* \(#,##0.00\);_(* "-"??_);_(@_)</c:formatCode>
                <c:ptCount val="3"/>
                <c:pt idx="0">
                  <c:v>0</c:v>
                </c:pt>
                <c:pt idx="1">
                  <c:v>1.1669635476659235</c:v>
                </c:pt>
                <c:pt idx="2">
                  <c:v>0</c:v>
                </c:pt>
              </c:numCache>
            </c:numRef>
          </c:val>
          <c:extLst>
            <c:ext xmlns:c16="http://schemas.microsoft.com/office/drawing/2014/chart" uri="{C3380CC4-5D6E-409C-BE32-E72D297353CC}">
              <c16:uniqueId val="{0000000A-A978-4154-9479-FF591D1FB87F}"/>
            </c:ext>
          </c:extLst>
        </c:ser>
        <c:ser>
          <c:idx val="11"/>
          <c:order val="11"/>
          <c:tx>
            <c:strRef>
              <c:f>ExpBase!$A$634</c:f>
              <c:strCache>
                <c:ptCount val="1"/>
                <c:pt idx="0">
                  <c:v>Potassium Chloride</c:v>
                </c:pt>
              </c:strCache>
            </c:strRef>
          </c:tx>
          <c:spPr>
            <a:solidFill>
              <a:srgbClr val="6699FF"/>
            </a:solidFill>
            <a:ln>
              <a:noFill/>
            </a:ln>
            <a:effectLst/>
          </c:spPr>
          <c:invertIfNegative val="0"/>
          <c:cat>
            <c:strRef>
              <c:f>ExpBase!$B$622:$D$622</c:f>
              <c:strCache>
                <c:ptCount val="3"/>
                <c:pt idx="0">
                  <c:v>32°C Crystals</c:v>
                </c:pt>
                <c:pt idx="1">
                  <c:v>2°C Crystals</c:v>
                </c:pt>
                <c:pt idx="2">
                  <c:v> 100°C Crystals </c:v>
                </c:pt>
              </c:strCache>
            </c:strRef>
          </c:cat>
          <c:val>
            <c:numRef>
              <c:f>ExpBase!$B$634:$D$634</c:f>
              <c:numCache>
                <c:formatCode>_(* #,##0.00_);_(* \(#,##0.00\);_(* "-"??_);_(@_)</c:formatCode>
                <c:ptCount val="3"/>
                <c:pt idx="0">
                  <c:v>0</c:v>
                </c:pt>
                <c:pt idx="1">
                  <c:v>0.24603066161753878</c:v>
                </c:pt>
                <c:pt idx="2">
                  <c:v>0</c:v>
                </c:pt>
              </c:numCache>
            </c:numRef>
          </c:val>
          <c:extLst>
            <c:ext xmlns:c16="http://schemas.microsoft.com/office/drawing/2014/chart" uri="{C3380CC4-5D6E-409C-BE32-E72D297353CC}">
              <c16:uniqueId val="{0000000B-A978-4154-9479-FF591D1FB87F}"/>
            </c:ext>
          </c:extLst>
        </c:ser>
        <c:dLbls>
          <c:showLegendKey val="0"/>
          <c:showVal val="0"/>
          <c:showCatName val="0"/>
          <c:showSerName val="0"/>
          <c:showPercent val="0"/>
          <c:showBubbleSize val="0"/>
        </c:dLbls>
        <c:gapWidth val="72"/>
        <c:overlap val="100"/>
        <c:axId val="671956880"/>
        <c:axId val="671935760"/>
      </c:barChart>
      <c:catAx>
        <c:axId val="67771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Arial Nova Cond" panose="020B0506020202020204" pitchFamily="34" charset="0"/>
                <a:ea typeface="+mn-ea"/>
                <a:cs typeface="+mn-cs"/>
              </a:defRPr>
            </a:pPr>
            <a:endParaRPr lang="en-US"/>
          </a:p>
        </c:txPr>
        <c:crossAx val="677712480"/>
        <c:crosses val="autoZero"/>
        <c:auto val="1"/>
        <c:lblAlgn val="ctr"/>
        <c:lblOffset val="100"/>
        <c:noMultiLvlLbl val="0"/>
      </c:catAx>
      <c:valAx>
        <c:axId val="677712480"/>
        <c:scaling>
          <c:orientation val="minMax"/>
          <c:max val="2500"/>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50" b="1" i="0" u="none" strike="noStrike" kern="1200" baseline="0">
                    <a:solidFill>
                      <a:sysClr val="windowText" lastClr="000000"/>
                    </a:solidFill>
                    <a:latin typeface="Arial Nova Cond" panose="020B0506020202020204" pitchFamily="34" charset="0"/>
                    <a:ea typeface="+mn-ea"/>
                    <a:cs typeface="+mn-cs"/>
                  </a:defRPr>
                </a:pPr>
                <a:r>
                  <a:rPr lang="en-US" sz="1050" b="1">
                    <a:solidFill>
                      <a:sysClr val="windowText" lastClr="000000"/>
                    </a:solidFill>
                  </a:rPr>
                  <a:t>32</a:t>
                </a:r>
                <a:r>
                  <a:rPr lang="en-US" sz="105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a:t>
                </a:r>
                <a:r>
                  <a:rPr lang="en-US" sz="1050" b="1">
                    <a:solidFill>
                      <a:sysClr val="windowText" lastClr="000000"/>
                    </a:solidFill>
                  </a:rPr>
                  <a:t>C Crystals </a:t>
                </a:r>
                <a:r>
                  <a:rPr lang="en-US" sz="1050" b="0">
                    <a:solidFill>
                      <a:sysClr val="windowText" lastClr="000000"/>
                    </a:solidFill>
                  </a:rPr>
                  <a:t>[kg/hr]</a:t>
                </a:r>
              </a:p>
            </c:rich>
          </c:tx>
          <c:layout>
            <c:manualLayout>
              <c:xMode val="edge"/>
              <c:yMode val="edge"/>
              <c:x val="1.1591977377853521E-2"/>
              <c:y val="0.23699944074539139"/>
            </c:manualLayout>
          </c:layout>
          <c:overlay val="0"/>
          <c:spPr>
            <a:noFill/>
            <a:ln>
              <a:noFill/>
            </a:ln>
            <a:effectLst/>
          </c:spPr>
          <c:txPr>
            <a:bodyPr rot="-5400000" spcFirstLastPara="1" vertOverflow="ellipsis" vert="horz" wrap="square" anchor="ctr" anchorCtr="1"/>
            <a:lstStyle/>
            <a:p>
              <a:pPr>
                <a:defRPr sz="105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_(* #,##0_);_(* \(#,##0\);_(* &quot;-&quot;_);_(@_)"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crossAx val="677711520"/>
        <c:crosses val="autoZero"/>
        <c:crossBetween val="between"/>
      </c:valAx>
      <c:valAx>
        <c:axId val="671935760"/>
        <c:scaling>
          <c:orientation val="minMax"/>
        </c:scaling>
        <c:delete val="0"/>
        <c:axPos val="r"/>
        <c:title>
          <c:tx>
            <c:rich>
              <a:bodyPr rot="-5400000" spcFirstLastPara="1" vertOverflow="ellipsis" vert="horz" wrap="square" anchor="ctr" anchorCtr="1"/>
              <a:lstStyle/>
              <a:p>
                <a:pPr>
                  <a:defRPr sz="1050" b="1" i="0" u="none" strike="noStrike" kern="1200" baseline="0">
                    <a:solidFill>
                      <a:sysClr val="windowText" lastClr="000000"/>
                    </a:solidFill>
                    <a:latin typeface="Arial Nova Cond" panose="020B0506020202020204" pitchFamily="34" charset="0"/>
                    <a:ea typeface="+mn-ea"/>
                    <a:cs typeface="+mn-cs"/>
                  </a:defRPr>
                </a:pPr>
                <a:r>
                  <a:rPr lang="en-US" sz="1050" b="1">
                    <a:solidFill>
                      <a:sysClr val="windowText" lastClr="000000"/>
                    </a:solidFill>
                  </a:rPr>
                  <a:t>2</a:t>
                </a:r>
                <a:r>
                  <a:rPr lang="en-US" sz="105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a:t>
                </a:r>
                <a:r>
                  <a:rPr lang="en-US" sz="1050" b="1" i="0" u="none" strike="noStrike" kern="1200" baseline="0">
                    <a:solidFill>
                      <a:sysClr val="windowText" lastClr="000000"/>
                    </a:solidFill>
                    <a:latin typeface="Arial Nova Cond" panose="020B0506020202020204" pitchFamily="34" charset="0"/>
                  </a:rPr>
                  <a:t>C</a:t>
                </a:r>
                <a:r>
                  <a:rPr lang="en-US" sz="1050" b="1">
                    <a:solidFill>
                      <a:sysClr val="windowText" lastClr="000000"/>
                    </a:solidFill>
                  </a:rPr>
                  <a:t> &amp; 100</a:t>
                </a:r>
                <a:r>
                  <a:rPr lang="en-US" sz="105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a:t>
                </a:r>
                <a:r>
                  <a:rPr lang="en-US" sz="1050" b="1" i="0" u="none" strike="noStrike" kern="1200" baseline="0">
                    <a:solidFill>
                      <a:sysClr val="windowText" lastClr="000000"/>
                    </a:solidFill>
                    <a:latin typeface="Arial Nova Cond" panose="020B0506020202020204" pitchFamily="34" charset="0"/>
                  </a:rPr>
                  <a:t>C</a:t>
                </a:r>
                <a:r>
                  <a:rPr lang="en-US" sz="1050" b="1">
                    <a:solidFill>
                      <a:sysClr val="windowText" lastClr="000000"/>
                    </a:solidFill>
                  </a:rPr>
                  <a:t> Crystals</a:t>
                </a:r>
                <a:r>
                  <a:rPr lang="en-US" sz="1050" b="1" baseline="0">
                    <a:solidFill>
                      <a:sysClr val="windowText" lastClr="000000"/>
                    </a:solidFill>
                  </a:rPr>
                  <a:t> </a:t>
                </a:r>
                <a:r>
                  <a:rPr lang="en-US" sz="1050" b="0" baseline="0">
                    <a:solidFill>
                      <a:sysClr val="windowText" lastClr="000000"/>
                    </a:solidFill>
                  </a:rPr>
                  <a:t>[kg/hr]</a:t>
                </a:r>
                <a:endParaRPr lang="en-US" sz="1050" b="0">
                  <a:solidFill>
                    <a:sysClr val="windowText" lastClr="000000"/>
                  </a:solidFill>
                </a:endParaRPr>
              </a:p>
            </c:rich>
          </c:tx>
          <c:layout>
            <c:manualLayout>
              <c:xMode val="edge"/>
              <c:yMode val="edge"/>
              <c:x val="0.95684807645803482"/>
              <c:y val="0.17386604386572729"/>
            </c:manualLayout>
          </c:layout>
          <c:overlay val="0"/>
          <c:spPr>
            <a:noFill/>
            <a:ln>
              <a:noFill/>
            </a:ln>
            <a:effectLst/>
          </c:spPr>
          <c:txPr>
            <a:bodyPr rot="-5400000" spcFirstLastPara="1" vertOverflow="ellipsis" vert="horz" wrap="square" anchor="ctr" anchorCtr="1"/>
            <a:lstStyle/>
            <a:p>
              <a:pPr>
                <a:defRPr sz="105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_(* #,##0_);_(* \(#,##0\);_(* &quot;-&quot;_);_(@_)"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Nova Cond" panose="020B0506020202020204" pitchFamily="34" charset="0"/>
                <a:ea typeface="+mn-ea"/>
                <a:cs typeface="+mn-cs"/>
              </a:defRPr>
            </a:pPr>
            <a:endParaRPr lang="en-US"/>
          </a:p>
        </c:txPr>
        <c:crossAx val="671956880"/>
        <c:crosses val="max"/>
        <c:crossBetween val="between"/>
        <c:majorUnit val="70"/>
      </c:valAx>
      <c:catAx>
        <c:axId val="671956880"/>
        <c:scaling>
          <c:orientation val="minMax"/>
        </c:scaling>
        <c:delete val="1"/>
        <c:axPos val="b"/>
        <c:numFmt formatCode="General" sourceLinked="1"/>
        <c:majorTickMark val="out"/>
        <c:minorTickMark val="none"/>
        <c:tickLblPos val="nextTo"/>
        <c:crossAx val="671935760"/>
        <c:crosses val="autoZero"/>
        <c:auto val="1"/>
        <c:lblAlgn val="ctr"/>
        <c:lblOffset val="100"/>
        <c:noMultiLvlLbl val="0"/>
      </c:catAx>
      <c:spPr>
        <a:noFill/>
        <a:ln w="15875">
          <a:solidFill>
            <a:schemeClr val="tx1"/>
          </a:solidFill>
        </a:ln>
        <a:effectLst/>
      </c:spPr>
    </c:plotArea>
    <c:legend>
      <c:legendPos val="b"/>
      <c:layout>
        <c:manualLayout>
          <c:xMode val="edge"/>
          <c:yMode val="edge"/>
          <c:x val="0"/>
          <c:y val="0.71508263954105944"/>
          <c:w val="0.99947662266920811"/>
          <c:h val="0.28491736045894051"/>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9050"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0" baseline="0">
                <a:solidFill>
                  <a:sysClr val="windowText" lastClr="000000"/>
                </a:solidFill>
                <a:latin typeface="Arial Nova Cond" panose="020B0506020202020204" pitchFamily="34" charset="0"/>
                <a:ea typeface="+mn-ea"/>
                <a:cs typeface="Arial" panose="020B0604020202020204" pitchFamily="34" charset="0"/>
              </a:defRPr>
            </a:pPr>
            <a:r>
              <a:rPr lang="en-US" sz="1800" b="1" cap="all" baseline="0"/>
              <a:t>Capital Expenses: Path A - Jet Fuel</a:t>
            </a:r>
          </a:p>
        </c:rich>
      </c:tx>
      <c:layout>
        <c:manualLayout>
          <c:xMode val="edge"/>
          <c:yMode val="edge"/>
          <c:x val="0.1439349106038596"/>
          <c:y val="1.9235343375097764E-2"/>
        </c:manualLayout>
      </c:layout>
      <c:overlay val="0"/>
      <c:spPr>
        <a:noFill/>
        <a:ln>
          <a:noFill/>
        </a:ln>
        <a:effectLst/>
      </c:spPr>
      <c:txPr>
        <a:bodyPr rot="0" spcFirstLastPara="1" vertOverflow="ellipsis" vert="horz" wrap="square" anchor="ctr" anchorCtr="1"/>
        <a:lstStyle/>
        <a:p>
          <a:pPr>
            <a:defRPr sz="1800" b="1" i="0" u="none" strike="noStrike" kern="1200" cap="all" spc="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3257091394715492"/>
          <c:y val="9.9963059621402589E-2"/>
          <c:w val="0.80822660387193079"/>
          <c:h val="0.69021116815426153"/>
        </c:manualLayout>
      </c:layout>
      <c:barChart>
        <c:barDir val="col"/>
        <c:grouping val="stacked"/>
        <c:varyColors val="0"/>
        <c:ser>
          <c:idx val="0"/>
          <c:order val="0"/>
          <c:tx>
            <c:strRef>
              <c:f>CAPEX!$A$545</c:f>
              <c:strCache>
                <c:ptCount val="1"/>
                <c:pt idx="0">
                  <c:v>Transportation</c:v>
                </c:pt>
              </c:strCache>
            </c:strRef>
          </c:tx>
          <c:spPr>
            <a:solidFill>
              <a:srgbClr val="CCFF99"/>
            </a:solidFill>
            <a:ln>
              <a:solidFill>
                <a:srgbClr val="CCFF99"/>
              </a:solidFill>
            </a:ln>
            <a:effectLst/>
          </c:spPr>
          <c:invertIfNegative val="0"/>
          <c:val>
            <c:numRef>
              <c:f>CAPEX!$B$545</c:f>
              <c:numCache>
                <c:formatCode>#,##0</c:formatCode>
                <c:ptCount val="1"/>
                <c:pt idx="0">
                  <c:v>100134360.397732</c:v>
                </c:pt>
              </c:numCache>
            </c:numRef>
          </c:val>
          <c:extLst>
            <c:ext xmlns:c16="http://schemas.microsoft.com/office/drawing/2014/chart" uri="{C3380CC4-5D6E-409C-BE32-E72D297353CC}">
              <c16:uniqueId val="{00000000-0B7F-4B9B-B8DB-68241F8845FA}"/>
            </c:ext>
          </c:extLst>
        </c:ser>
        <c:ser>
          <c:idx val="1"/>
          <c:order val="1"/>
          <c:tx>
            <c:strRef>
              <c:f>CAPEX!$A$546</c:f>
              <c:strCache>
                <c:ptCount val="1"/>
                <c:pt idx="0">
                  <c:v>Ocean Water Processing</c:v>
                </c:pt>
              </c:strCache>
            </c:strRef>
          </c:tx>
          <c:spPr>
            <a:solidFill>
              <a:srgbClr val="00B0F0"/>
            </a:solidFill>
            <a:ln>
              <a:noFill/>
            </a:ln>
            <a:effectLst/>
          </c:spPr>
          <c:invertIfNegative val="0"/>
          <c:val>
            <c:numRef>
              <c:f>CAPEX!$B$546</c:f>
              <c:numCache>
                <c:formatCode>#,##0</c:formatCode>
                <c:ptCount val="1"/>
                <c:pt idx="0">
                  <c:v>4501673.6122288434</c:v>
                </c:pt>
              </c:numCache>
            </c:numRef>
          </c:val>
          <c:extLst>
            <c:ext xmlns:c16="http://schemas.microsoft.com/office/drawing/2014/chart" uri="{C3380CC4-5D6E-409C-BE32-E72D297353CC}">
              <c16:uniqueId val="{00000001-0B7F-4B9B-B8DB-68241F8845FA}"/>
            </c:ext>
          </c:extLst>
        </c:ser>
        <c:ser>
          <c:idx val="2"/>
          <c:order val="2"/>
          <c:tx>
            <c:strRef>
              <c:f>CAPEX!$A$547</c:f>
              <c:strCache>
                <c:ptCount val="1"/>
                <c:pt idx="0">
                  <c:v>Cheese Whey Processing</c:v>
                </c:pt>
              </c:strCache>
            </c:strRef>
          </c:tx>
          <c:spPr>
            <a:solidFill>
              <a:schemeClr val="accent2"/>
            </a:solidFill>
            <a:ln>
              <a:noFill/>
            </a:ln>
            <a:effectLst/>
          </c:spPr>
          <c:invertIfNegative val="0"/>
          <c:val>
            <c:numRef>
              <c:f>CAPEX!$B$547</c:f>
              <c:numCache>
                <c:formatCode>#,##0</c:formatCode>
                <c:ptCount val="1"/>
                <c:pt idx="0">
                  <c:v>1645965.6270352765</c:v>
                </c:pt>
              </c:numCache>
            </c:numRef>
          </c:val>
          <c:extLst>
            <c:ext xmlns:c16="http://schemas.microsoft.com/office/drawing/2014/chart" uri="{C3380CC4-5D6E-409C-BE32-E72D297353CC}">
              <c16:uniqueId val="{00000002-0B7F-4B9B-B8DB-68241F8845FA}"/>
            </c:ext>
          </c:extLst>
        </c:ser>
        <c:ser>
          <c:idx val="3"/>
          <c:order val="3"/>
          <c:tx>
            <c:strRef>
              <c:f>CAPEX!$A$548</c:f>
              <c:strCache>
                <c:ptCount val="1"/>
                <c:pt idx="0">
                  <c:v>Feedstock Preparation</c:v>
                </c:pt>
              </c:strCache>
            </c:strRef>
          </c:tx>
          <c:spPr>
            <a:solidFill>
              <a:schemeClr val="tx1">
                <a:lumMod val="75000"/>
                <a:lumOff val="25000"/>
              </a:schemeClr>
            </a:solidFill>
            <a:ln>
              <a:noFill/>
            </a:ln>
            <a:effectLst/>
          </c:spPr>
          <c:invertIfNegative val="0"/>
          <c:val>
            <c:numRef>
              <c:f>CAPEX!$B$548</c:f>
              <c:numCache>
                <c:formatCode>#,##0</c:formatCode>
                <c:ptCount val="1"/>
                <c:pt idx="0">
                  <c:v>29872414.48031405</c:v>
                </c:pt>
              </c:numCache>
            </c:numRef>
          </c:val>
          <c:extLst>
            <c:ext xmlns:c16="http://schemas.microsoft.com/office/drawing/2014/chart" uri="{C3380CC4-5D6E-409C-BE32-E72D297353CC}">
              <c16:uniqueId val="{00000003-0B7F-4B9B-B8DB-68241F8845FA}"/>
            </c:ext>
          </c:extLst>
        </c:ser>
        <c:ser>
          <c:idx val="4"/>
          <c:order val="4"/>
          <c:tx>
            <c:strRef>
              <c:f>CAPEX!$A$549</c:f>
              <c:strCache>
                <c:ptCount val="1"/>
                <c:pt idx="0">
                  <c:v>Food Waste Ensiling</c:v>
                </c:pt>
              </c:strCache>
            </c:strRef>
          </c:tx>
          <c:spPr>
            <a:solidFill>
              <a:srgbClr val="CC9900"/>
            </a:solidFill>
            <a:ln>
              <a:noFill/>
            </a:ln>
            <a:effectLst/>
          </c:spPr>
          <c:invertIfNegative val="0"/>
          <c:val>
            <c:numRef>
              <c:f>CAPEX!$B$549</c:f>
              <c:numCache>
                <c:formatCode>#,##0</c:formatCode>
                <c:ptCount val="1"/>
                <c:pt idx="0">
                  <c:v>428415.40169322415</c:v>
                </c:pt>
              </c:numCache>
            </c:numRef>
          </c:val>
          <c:extLst>
            <c:ext xmlns:c16="http://schemas.microsoft.com/office/drawing/2014/chart" uri="{C3380CC4-5D6E-409C-BE32-E72D297353CC}">
              <c16:uniqueId val="{00000004-0B7F-4B9B-B8DB-68241F8845FA}"/>
            </c:ext>
          </c:extLst>
        </c:ser>
        <c:ser>
          <c:idx val="5"/>
          <c:order val="5"/>
          <c:tx>
            <c:strRef>
              <c:f>CAPEX!$A$550</c:f>
              <c:strCache>
                <c:ptCount val="1"/>
                <c:pt idx="0">
                  <c:v>Food Waste Digestion</c:v>
                </c:pt>
              </c:strCache>
            </c:strRef>
          </c:tx>
          <c:spPr>
            <a:solidFill>
              <a:srgbClr val="CCCC00"/>
            </a:solidFill>
            <a:ln>
              <a:noFill/>
            </a:ln>
            <a:effectLst/>
          </c:spPr>
          <c:invertIfNegative val="0"/>
          <c:val>
            <c:numRef>
              <c:f>CAPEX!$B$550</c:f>
              <c:numCache>
                <c:formatCode>#,##0</c:formatCode>
                <c:ptCount val="1"/>
                <c:pt idx="0">
                  <c:v>2190863.7909880206</c:v>
                </c:pt>
              </c:numCache>
            </c:numRef>
          </c:val>
          <c:extLst>
            <c:ext xmlns:c16="http://schemas.microsoft.com/office/drawing/2014/chart" uri="{C3380CC4-5D6E-409C-BE32-E72D297353CC}">
              <c16:uniqueId val="{00000005-0B7F-4B9B-B8DB-68241F8845FA}"/>
            </c:ext>
          </c:extLst>
        </c:ser>
        <c:ser>
          <c:idx val="6"/>
          <c:order val="6"/>
          <c:tx>
            <c:strRef>
              <c:f>CAPEX!$A$551</c:f>
              <c:strCache>
                <c:ptCount val="1"/>
                <c:pt idx="0">
                  <c:v>Manure Digestion</c:v>
                </c:pt>
              </c:strCache>
            </c:strRef>
          </c:tx>
          <c:spPr>
            <a:solidFill>
              <a:srgbClr val="996633"/>
            </a:solidFill>
            <a:ln>
              <a:noFill/>
            </a:ln>
            <a:effectLst/>
          </c:spPr>
          <c:invertIfNegative val="0"/>
          <c:val>
            <c:numRef>
              <c:f>CAPEX!$B$551</c:f>
              <c:numCache>
                <c:formatCode>#,##0</c:formatCode>
                <c:ptCount val="1"/>
                <c:pt idx="0">
                  <c:v>20084392.034063976</c:v>
                </c:pt>
              </c:numCache>
            </c:numRef>
          </c:val>
          <c:extLst>
            <c:ext xmlns:c16="http://schemas.microsoft.com/office/drawing/2014/chart" uri="{C3380CC4-5D6E-409C-BE32-E72D297353CC}">
              <c16:uniqueId val="{00000006-0B7F-4B9B-B8DB-68241F8845FA}"/>
            </c:ext>
          </c:extLst>
        </c:ser>
        <c:ser>
          <c:idx val="7"/>
          <c:order val="7"/>
          <c:tx>
            <c:strRef>
              <c:f>CAPEX!$A$552</c:f>
              <c:strCache>
                <c:ptCount val="1"/>
                <c:pt idx="0">
                  <c:v>Nitrogen Removal</c:v>
                </c:pt>
              </c:strCache>
            </c:strRef>
          </c:tx>
          <c:spPr>
            <a:solidFill>
              <a:srgbClr val="808000"/>
            </a:solidFill>
            <a:ln>
              <a:noFill/>
            </a:ln>
            <a:effectLst/>
          </c:spPr>
          <c:invertIfNegative val="0"/>
          <c:val>
            <c:numRef>
              <c:f>CAPEX!$B$552</c:f>
              <c:numCache>
                <c:formatCode>#,##0</c:formatCode>
                <c:ptCount val="1"/>
                <c:pt idx="0">
                  <c:v>101851589.49650778</c:v>
                </c:pt>
              </c:numCache>
            </c:numRef>
          </c:val>
          <c:extLst>
            <c:ext xmlns:c16="http://schemas.microsoft.com/office/drawing/2014/chart" uri="{C3380CC4-5D6E-409C-BE32-E72D297353CC}">
              <c16:uniqueId val="{00000007-0B7F-4B9B-B8DB-68241F8845FA}"/>
            </c:ext>
          </c:extLst>
        </c:ser>
        <c:ser>
          <c:idx val="8"/>
          <c:order val="8"/>
          <c:tx>
            <c:strRef>
              <c:f>CAPEX!$A$553</c:f>
              <c:strCache>
                <c:ptCount val="1"/>
                <c:pt idx="0">
                  <c:v>Chain-Elongation</c:v>
                </c:pt>
              </c:strCache>
            </c:strRef>
          </c:tx>
          <c:spPr>
            <a:solidFill>
              <a:srgbClr val="00CC66"/>
            </a:solidFill>
            <a:ln>
              <a:noFill/>
            </a:ln>
            <a:effectLst/>
          </c:spPr>
          <c:invertIfNegative val="0"/>
          <c:val>
            <c:numRef>
              <c:f>CAPEX!$B$553</c:f>
              <c:numCache>
                <c:formatCode>#,##0</c:formatCode>
                <c:ptCount val="1"/>
                <c:pt idx="0">
                  <c:v>93516151.334897533</c:v>
                </c:pt>
              </c:numCache>
            </c:numRef>
          </c:val>
          <c:extLst>
            <c:ext xmlns:c16="http://schemas.microsoft.com/office/drawing/2014/chart" uri="{C3380CC4-5D6E-409C-BE32-E72D297353CC}">
              <c16:uniqueId val="{00000008-0B7F-4B9B-B8DB-68241F8845FA}"/>
            </c:ext>
          </c:extLst>
        </c:ser>
        <c:ser>
          <c:idx val="9"/>
          <c:order val="9"/>
          <c:tx>
            <c:strRef>
              <c:f>CAPEX!$A$554</c:f>
              <c:strCache>
                <c:ptCount val="1"/>
                <c:pt idx="0">
                  <c:v>Electrodialysis</c:v>
                </c:pt>
              </c:strCache>
            </c:strRef>
          </c:tx>
          <c:spPr>
            <a:solidFill>
              <a:srgbClr val="F8E708"/>
            </a:solidFill>
            <a:ln>
              <a:noFill/>
            </a:ln>
            <a:effectLst/>
          </c:spPr>
          <c:invertIfNegative val="0"/>
          <c:val>
            <c:numRef>
              <c:f>CAPEX!$B$554</c:f>
              <c:numCache>
                <c:formatCode>#,##0</c:formatCode>
                <c:ptCount val="1"/>
                <c:pt idx="0">
                  <c:v>27033189.484874967</c:v>
                </c:pt>
              </c:numCache>
            </c:numRef>
          </c:val>
          <c:extLst>
            <c:ext xmlns:c16="http://schemas.microsoft.com/office/drawing/2014/chart" uri="{C3380CC4-5D6E-409C-BE32-E72D297353CC}">
              <c16:uniqueId val="{00000009-0B7F-4B9B-B8DB-68241F8845FA}"/>
            </c:ext>
          </c:extLst>
        </c:ser>
        <c:ser>
          <c:idx val="10"/>
          <c:order val="10"/>
          <c:tx>
            <c:strRef>
              <c:f>CAPEX!$A$555</c:f>
              <c:strCache>
                <c:ptCount val="1"/>
                <c:pt idx="0">
                  <c:v>Liquid-Liquid Extraction</c:v>
                </c:pt>
              </c:strCache>
            </c:strRef>
          </c:tx>
          <c:spPr>
            <a:solidFill>
              <a:schemeClr val="accent5"/>
            </a:solidFill>
            <a:ln>
              <a:noFill/>
            </a:ln>
            <a:effectLst/>
          </c:spPr>
          <c:invertIfNegative val="0"/>
          <c:val>
            <c:numRef>
              <c:f>CAPEX!$B$555</c:f>
              <c:numCache>
                <c:formatCode>#,##0</c:formatCode>
                <c:ptCount val="1"/>
                <c:pt idx="0">
                  <c:v>1187526.7450096353</c:v>
                </c:pt>
              </c:numCache>
            </c:numRef>
          </c:val>
          <c:extLst>
            <c:ext xmlns:c16="http://schemas.microsoft.com/office/drawing/2014/chart" uri="{C3380CC4-5D6E-409C-BE32-E72D297353CC}">
              <c16:uniqueId val="{0000000A-0B7F-4B9B-B8DB-68241F8845FA}"/>
            </c:ext>
          </c:extLst>
        </c:ser>
        <c:ser>
          <c:idx val="11"/>
          <c:order val="11"/>
          <c:tx>
            <c:strRef>
              <c:f>CAPEX!$A$556</c:f>
              <c:strCache>
                <c:ptCount val="1"/>
                <c:pt idx="0">
                  <c:v>Ketonization</c:v>
                </c:pt>
              </c:strCache>
            </c:strRef>
          </c:tx>
          <c:spPr>
            <a:solidFill>
              <a:srgbClr val="FF00FF"/>
            </a:solidFill>
            <a:ln>
              <a:noFill/>
            </a:ln>
            <a:effectLst/>
          </c:spPr>
          <c:invertIfNegative val="0"/>
          <c:val>
            <c:numRef>
              <c:f>CAPEX!$B$556</c:f>
              <c:numCache>
                <c:formatCode>#,##0</c:formatCode>
                <c:ptCount val="1"/>
                <c:pt idx="0">
                  <c:v>1786511.1784994458</c:v>
                </c:pt>
              </c:numCache>
            </c:numRef>
          </c:val>
          <c:extLst>
            <c:ext xmlns:c16="http://schemas.microsoft.com/office/drawing/2014/chart" uri="{C3380CC4-5D6E-409C-BE32-E72D297353CC}">
              <c16:uniqueId val="{0000000B-0B7F-4B9B-B8DB-68241F8845FA}"/>
            </c:ext>
          </c:extLst>
        </c:ser>
        <c:ser>
          <c:idx val="12"/>
          <c:order val="12"/>
          <c:tx>
            <c:strRef>
              <c:f>CAPEX!$A$557</c:f>
              <c:strCache>
                <c:ptCount val="1"/>
                <c:pt idx="0">
                  <c:v>Hydrodeoxygenation</c:v>
                </c:pt>
              </c:strCache>
            </c:strRef>
          </c:tx>
          <c:spPr>
            <a:solidFill>
              <a:srgbClr val="CC00FF"/>
            </a:solidFill>
            <a:ln>
              <a:noFill/>
            </a:ln>
            <a:effectLst/>
          </c:spPr>
          <c:invertIfNegative val="0"/>
          <c:val>
            <c:numRef>
              <c:f>CAPEX!$B$557</c:f>
              <c:numCache>
                <c:formatCode>#,##0</c:formatCode>
                <c:ptCount val="1"/>
                <c:pt idx="0">
                  <c:v>3916861.3953973008</c:v>
                </c:pt>
              </c:numCache>
            </c:numRef>
          </c:val>
          <c:extLst>
            <c:ext xmlns:c16="http://schemas.microsoft.com/office/drawing/2014/chart" uri="{C3380CC4-5D6E-409C-BE32-E72D297353CC}">
              <c16:uniqueId val="{00000004-1E56-4B3C-8102-F22254944580}"/>
            </c:ext>
          </c:extLst>
        </c:ser>
        <c:ser>
          <c:idx val="13"/>
          <c:order val="13"/>
          <c:tx>
            <c:strRef>
              <c:f>CAPEX!$A$558</c:f>
              <c:strCache>
                <c:ptCount val="1"/>
                <c:pt idx="0">
                  <c:v>Hydrocarbon Distillation</c:v>
                </c:pt>
              </c:strCache>
            </c:strRef>
          </c:tx>
          <c:spPr>
            <a:solidFill>
              <a:srgbClr val="FF99CC"/>
            </a:solidFill>
            <a:ln>
              <a:noFill/>
            </a:ln>
            <a:effectLst/>
          </c:spPr>
          <c:invertIfNegative val="0"/>
          <c:val>
            <c:numRef>
              <c:f>CAPEX!$B$558</c:f>
              <c:numCache>
                <c:formatCode>#,##0</c:formatCode>
                <c:ptCount val="1"/>
                <c:pt idx="0">
                  <c:v>116221.85625935157</c:v>
                </c:pt>
              </c:numCache>
            </c:numRef>
          </c:val>
          <c:extLst>
            <c:ext xmlns:c16="http://schemas.microsoft.com/office/drawing/2014/chart" uri="{C3380CC4-5D6E-409C-BE32-E72D297353CC}">
              <c16:uniqueId val="{00000005-1E56-4B3C-8102-F22254944580}"/>
            </c:ext>
          </c:extLst>
        </c:ser>
        <c:dLbls>
          <c:showLegendKey val="0"/>
          <c:showVal val="0"/>
          <c:showCatName val="0"/>
          <c:showSerName val="0"/>
          <c:showPercent val="0"/>
          <c:showBubbleSize val="0"/>
        </c:dLbls>
        <c:gapWidth val="50"/>
        <c:overlap val="100"/>
        <c:axId val="788352896"/>
        <c:axId val="788351456"/>
      </c:barChart>
      <c:catAx>
        <c:axId val="788352896"/>
        <c:scaling>
          <c:orientation val="minMax"/>
        </c:scaling>
        <c:delete val="1"/>
        <c:axPos val="b"/>
        <c:numFmt formatCode="General" sourceLinked="1"/>
        <c:majorTickMark val="none"/>
        <c:minorTickMark val="none"/>
        <c:tickLblPos val="nextTo"/>
        <c:crossAx val="788351456"/>
        <c:crosses val="autoZero"/>
        <c:auto val="1"/>
        <c:lblAlgn val="ctr"/>
        <c:lblOffset val="100"/>
        <c:noMultiLvlLbl val="0"/>
      </c:catAx>
      <c:valAx>
        <c:axId val="788351456"/>
        <c:scaling>
          <c:orientation val="minMax"/>
        </c:scaling>
        <c:delete val="0"/>
        <c:axPos val="l"/>
        <c:majorGridlines>
          <c:spPr>
            <a:ln w="12700" cap="flat" cmpd="sng" algn="ctr">
              <a:solidFill>
                <a:schemeClr val="tx1"/>
              </a:solidFill>
              <a:miter lim="800000"/>
            </a:ln>
            <a:effectLst/>
          </c:spPr>
        </c:majorGridlines>
        <c:title>
          <c:tx>
            <c:rich>
              <a:bodyPr rot="-540000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r>
                  <a:rPr lang="en-US" sz="1800" b="1"/>
                  <a:t> COST </a:t>
                </a:r>
                <a:r>
                  <a:rPr lang="en-US" sz="1800" b="0"/>
                  <a:t>[1E6</a:t>
                </a:r>
                <a:r>
                  <a:rPr lang="en-US" sz="1800" b="0" baseline="0"/>
                  <a:t> </a:t>
                </a:r>
                <a:r>
                  <a:rPr lang="en-US" sz="1800" b="0"/>
                  <a:t>USD (2026)]</a:t>
                </a:r>
              </a:p>
            </c:rich>
          </c:tx>
          <c:layout>
            <c:manualLayout>
              <c:xMode val="edge"/>
              <c:yMode val="edge"/>
              <c:x val="1.4172364764627691E-2"/>
              <c:y val="0.1835969979724246"/>
            </c:manualLayout>
          </c:layout>
          <c:overlay val="0"/>
          <c:spPr>
            <a:noFill/>
            <a:ln>
              <a:noFill/>
            </a:ln>
            <a:effectLst/>
          </c:spPr>
          <c:txPr>
            <a:bodyPr rot="-540000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crossAx val="788352896"/>
        <c:crosses val="autoZero"/>
        <c:crossBetween val="between"/>
        <c:dispUnits>
          <c:builtInUnit val="millions"/>
        </c:dispUnits>
      </c:valAx>
      <c:spPr>
        <a:noFill/>
        <a:ln w="19050">
          <a:solidFill>
            <a:schemeClr val="tx1"/>
          </a:solidFill>
        </a:ln>
        <a:effectLst/>
      </c:spPr>
    </c:plotArea>
    <c:legend>
      <c:legendPos val="b"/>
      <c:layout>
        <c:manualLayout>
          <c:xMode val="edge"/>
          <c:yMode val="edge"/>
          <c:x val="8.8022843280035328E-3"/>
          <c:y val="0.82518075734884944"/>
          <c:w val="0.98225738691362052"/>
          <c:h val="0.15286118804155249"/>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miter lim="800000"/>
    </a:ln>
    <a:effectLst/>
  </c:spPr>
  <c:txPr>
    <a:bodyPr/>
    <a:lstStyle/>
    <a:p>
      <a:pPr>
        <a:defRPr>
          <a:solidFill>
            <a:sysClr val="windowText" lastClr="000000"/>
          </a:solidFill>
          <a:latin typeface="Arial Nova Cond" panose="020B0506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0" baseline="0">
                <a:solidFill>
                  <a:sysClr val="windowText" lastClr="000000"/>
                </a:solidFill>
                <a:latin typeface="Arial Nova Cond" panose="020B0506020202020204" pitchFamily="34" charset="0"/>
                <a:ea typeface="+mn-ea"/>
                <a:cs typeface="Arial" panose="020B0604020202020204" pitchFamily="34" charset="0"/>
              </a:defRPr>
            </a:pPr>
            <a:r>
              <a:rPr lang="en-US" sz="1800" b="1" cap="all" baseline="0"/>
              <a:t>Capital Expenses: Path B - Pure Esters</a:t>
            </a:r>
          </a:p>
        </c:rich>
      </c:tx>
      <c:layout>
        <c:manualLayout>
          <c:xMode val="edge"/>
          <c:yMode val="edge"/>
          <c:x val="0.14863526313029907"/>
          <c:y val="1.7832042710772721E-2"/>
        </c:manualLayout>
      </c:layout>
      <c:overlay val="0"/>
      <c:spPr>
        <a:noFill/>
        <a:ln>
          <a:noFill/>
        </a:ln>
        <a:effectLst/>
      </c:spPr>
      <c:txPr>
        <a:bodyPr rot="0" spcFirstLastPara="1" vertOverflow="ellipsis" vert="horz" wrap="square" anchor="ctr" anchorCtr="1"/>
        <a:lstStyle/>
        <a:p>
          <a:pPr>
            <a:defRPr sz="1800" b="1" i="0" u="none" strike="noStrike" kern="1200" cap="all" spc="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5607267657935237"/>
          <c:y val="9.331882919922814E-2"/>
          <c:w val="0.78472484123973341"/>
          <c:h val="0.69685559820067877"/>
        </c:manualLayout>
      </c:layout>
      <c:barChart>
        <c:barDir val="col"/>
        <c:grouping val="stacked"/>
        <c:varyColors val="0"/>
        <c:ser>
          <c:idx val="0"/>
          <c:order val="0"/>
          <c:tx>
            <c:strRef>
              <c:f>CAPEX!$A$578</c:f>
              <c:strCache>
                <c:ptCount val="1"/>
                <c:pt idx="0">
                  <c:v>Transportation</c:v>
                </c:pt>
              </c:strCache>
            </c:strRef>
          </c:tx>
          <c:spPr>
            <a:solidFill>
              <a:srgbClr val="CCFF99"/>
            </a:solidFill>
            <a:ln>
              <a:noFill/>
            </a:ln>
            <a:effectLst/>
          </c:spPr>
          <c:invertIfNegative val="0"/>
          <c:val>
            <c:numRef>
              <c:f>CAPEX!$B$578</c:f>
              <c:numCache>
                <c:formatCode>#,##0</c:formatCode>
                <c:ptCount val="1"/>
                <c:pt idx="0">
                  <c:v>100134360.397732</c:v>
                </c:pt>
              </c:numCache>
            </c:numRef>
          </c:val>
          <c:extLst>
            <c:ext xmlns:c16="http://schemas.microsoft.com/office/drawing/2014/chart" uri="{C3380CC4-5D6E-409C-BE32-E72D297353CC}">
              <c16:uniqueId val="{00000000-3310-47D2-942B-7EBE382968E4}"/>
            </c:ext>
          </c:extLst>
        </c:ser>
        <c:ser>
          <c:idx val="1"/>
          <c:order val="1"/>
          <c:tx>
            <c:strRef>
              <c:f>CAPEX!$A$579</c:f>
              <c:strCache>
                <c:ptCount val="1"/>
                <c:pt idx="0">
                  <c:v>Ocean Water Processing</c:v>
                </c:pt>
              </c:strCache>
            </c:strRef>
          </c:tx>
          <c:spPr>
            <a:solidFill>
              <a:srgbClr val="00B0F0"/>
            </a:solidFill>
            <a:ln>
              <a:noFill/>
            </a:ln>
            <a:effectLst/>
          </c:spPr>
          <c:invertIfNegative val="0"/>
          <c:val>
            <c:numRef>
              <c:f>CAPEX!$B$579</c:f>
              <c:numCache>
                <c:formatCode>#,##0</c:formatCode>
                <c:ptCount val="1"/>
                <c:pt idx="0">
                  <c:v>4501673.6122288434</c:v>
                </c:pt>
              </c:numCache>
            </c:numRef>
          </c:val>
          <c:extLst>
            <c:ext xmlns:c16="http://schemas.microsoft.com/office/drawing/2014/chart" uri="{C3380CC4-5D6E-409C-BE32-E72D297353CC}">
              <c16:uniqueId val="{00000001-3310-47D2-942B-7EBE382968E4}"/>
            </c:ext>
          </c:extLst>
        </c:ser>
        <c:ser>
          <c:idx val="2"/>
          <c:order val="2"/>
          <c:tx>
            <c:strRef>
              <c:f>CAPEX!$A$580</c:f>
              <c:strCache>
                <c:ptCount val="1"/>
                <c:pt idx="0">
                  <c:v>Cheese Whey Processing</c:v>
                </c:pt>
              </c:strCache>
            </c:strRef>
          </c:tx>
          <c:spPr>
            <a:solidFill>
              <a:srgbClr val="E97132"/>
            </a:solidFill>
            <a:ln>
              <a:noFill/>
            </a:ln>
            <a:effectLst/>
          </c:spPr>
          <c:invertIfNegative val="0"/>
          <c:val>
            <c:numRef>
              <c:f>CAPEX!$B$580</c:f>
              <c:numCache>
                <c:formatCode>#,##0</c:formatCode>
                <c:ptCount val="1"/>
                <c:pt idx="0">
                  <c:v>1645965.6270352765</c:v>
                </c:pt>
              </c:numCache>
            </c:numRef>
          </c:val>
          <c:extLst>
            <c:ext xmlns:c16="http://schemas.microsoft.com/office/drawing/2014/chart" uri="{C3380CC4-5D6E-409C-BE32-E72D297353CC}">
              <c16:uniqueId val="{00000002-3310-47D2-942B-7EBE382968E4}"/>
            </c:ext>
          </c:extLst>
        </c:ser>
        <c:ser>
          <c:idx val="3"/>
          <c:order val="3"/>
          <c:tx>
            <c:strRef>
              <c:f>CAPEX!$A$581</c:f>
              <c:strCache>
                <c:ptCount val="1"/>
                <c:pt idx="0">
                  <c:v>Feedstock Preparation</c:v>
                </c:pt>
              </c:strCache>
            </c:strRef>
          </c:tx>
          <c:spPr>
            <a:solidFill>
              <a:schemeClr val="tx1">
                <a:lumMod val="85000"/>
                <a:lumOff val="15000"/>
              </a:schemeClr>
            </a:solidFill>
            <a:ln>
              <a:noFill/>
            </a:ln>
            <a:effectLst/>
          </c:spPr>
          <c:invertIfNegative val="0"/>
          <c:val>
            <c:numRef>
              <c:f>CAPEX!$B$581</c:f>
              <c:numCache>
                <c:formatCode>#,##0</c:formatCode>
                <c:ptCount val="1"/>
                <c:pt idx="0">
                  <c:v>29872414.48031405</c:v>
                </c:pt>
              </c:numCache>
            </c:numRef>
          </c:val>
          <c:extLst>
            <c:ext xmlns:c16="http://schemas.microsoft.com/office/drawing/2014/chart" uri="{C3380CC4-5D6E-409C-BE32-E72D297353CC}">
              <c16:uniqueId val="{00000003-3310-47D2-942B-7EBE382968E4}"/>
            </c:ext>
          </c:extLst>
        </c:ser>
        <c:ser>
          <c:idx val="4"/>
          <c:order val="4"/>
          <c:tx>
            <c:strRef>
              <c:f>CAPEX!$A$582</c:f>
              <c:strCache>
                <c:ptCount val="1"/>
                <c:pt idx="0">
                  <c:v>Food Waste Ensiling</c:v>
                </c:pt>
              </c:strCache>
            </c:strRef>
          </c:tx>
          <c:spPr>
            <a:solidFill>
              <a:srgbClr val="CC9900"/>
            </a:solidFill>
            <a:ln>
              <a:noFill/>
            </a:ln>
            <a:effectLst/>
          </c:spPr>
          <c:invertIfNegative val="0"/>
          <c:val>
            <c:numRef>
              <c:f>CAPEX!$B$582</c:f>
              <c:numCache>
                <c:formatCode>#,##0</c:formatCode>
                <c:ptCount val="1"/>
                <c:pt idx="0">
                  <c:v>428415.40169322415</c:v>
                </c:pt>
              </c:numCache>
            </c:numRef>
          </c:val>
          <c:extLst>
            <c:ext xmlns:c16="http://schemas.microsoft.com/office/drawing/2014/chart" uri="{C3380CC4-5D6E-409C-BE32-E72D297353CC}">
              <c16:uniqueId val="{00000004-3310-47D2-942B-7EBE382968E4}"/>
            </c:ext>
          </c:extLst>
        </c:ser>
        <c:ser>
          <c:idx val="5"/>
          <c:order val="5"/>
          <c:tx>
            <c:strRef>
              <c:f>CAPEX!$A$583</c:f>
              <c:strCache>
                <c:ptCount val="1"/>
                <c:pt idx="0">
                  <c:v>Food Waste Digestion</c:v>
                </c:pt>
              </c:strCache>
            </c:strRef>
          </c:tx>
          <c:spPr>
            <a:solidFill>
              <a:srgbClr val="CCCC00"/>
            </a:solidFill>
            <a:ln>
              <a:noFill/>
            </a:ln>
            <a:effectLst/>
          </c:spPr>
          <c:invertIfNegative val="0"/>
          <c:val>
            <c:numRef>
              <c:f>CAPEX!$B$583</c:f>
              <c:numCache>
                <c:formatCode>#,##0</c:formatCode>
                <c:ptCount val="1"/>
                <c:pt idx="0">
                  <c:v>2190863.7909880206</c:v>
                </c:pt>
              </c:numCache>
            </c:numRef>
          </c:val>
          <c:extLst>
            <c:ext xmlns:c16="http://schemas.microsoft.com/office/drawing/2014/chart" uri="{C3380CC4-5D6E-409C-BE32-E72D297353CC}">
              <c16:uniqueId val="{00000005-3310-47D2-942B-7EBE382968E4}"/>
            </c:ext>
          </c:extLst>
        </c:ser>
        <c:ser>
          <c:idx val="6"/>
          <c:order val="6"/>
          <c:tx>
            <c:strRef>
              <c:f>CAPEX!$A$584</c:f>
              <c:strCache>
                <c:ptCount val="1"/>
                <c:pt idx="0">
                  <c:v>Manure Digestion</c:v>
                </c:pt>
              </c:strCache>
            </c:strRef>
          </c:tx>
          <c:spPr>
            <a:solidFill>
              <a:srgbClr val="996633"/>
            </a:solidFill>
            <a:ln>
              <a:noFill/>
            </a:ln>
            <a:effectLst/>
          </c:spPr>
          <c:invertIfNegative val="0"/>
          <c:val>
            <c:numRef>
              <c:f>CAPEX!$B$584</c:f>
              <c:numCache>
                <c:formatCode>#,##0</c:formatCode>
                <c:ptCount val="1"/>
                <c:pt idx="0">
                  <c:v>20084392.034063976</c:v>
                </c:pt>
              </c:numCache>
            </c:numRef>
          </c:val>
          <c:extLst>
            <c:ext xmlns:c16="http://schemas.microsoft.com/office/drawing/2014/chart" uri="{C3380CC4-5D6E-409C-BE32-E72D297353CC}">
              <c16:uniqueId val="{00000006-3310-47D2-942B-7EBE382968E4}"/>
            </c:ext>
          </c:extLst>
        </c:ser>
        <c:ser>
          <c:idx val="7"/>
          <c:order val="7"/>
          <c:tx>
            <c:strRef>
              <c:f>CAPEX!$A$585</c:f>
              <c:strCache>
                <c:ptCount val="1"/>
                <c:pt idx="0">
                  <c:v>Nitrogen Removal</c:v>
                </c:pt>
              </c:strCache>
            </c:strRef>
          </c:tx>
          <c:spPr>
            <a:solidFill>
              <a:srgbClr val="808000"/>
            </a:solidFill>
            <a:ln>
              <a:noFill/>
            </a:ln>
            <a:effectLst/>
          </c:spPr>
          <c:invertIfNegative val="0"/>
          <c:val>
            <c:numRef>
              <c:f>CAPEX!$B$585</c:f>
              <c:numCache>
                <c:formatCode>#,##0</c:formatCode>
                <c:ptCount val="1"/>
                <c:pt idx="0">
                  <c:v>101851589.49650778</c:v>
                </c:pt>
              </c:numCache>
            </c:numRef>
          </c:val>
          <c:extLst>
            <c:ext xmlns:c16="http://schemas.microsoft.com/office/drawing/2014/chart" uri="{C3380CC4-5D6E-409C-BE32-E72D297353CC}">
              <c16:uniqueId val="{00000008-3310-47D2-942B-7EBE382968E4}"/>
            </c:ext>
          </c:extLst>
        </c:ser>
        <c:ser>
          <c:idx val="8"/>
          <c:order val="8"/>
          <c:tx>
            <c:strRef>
              <c:f>CAPEX!$A$586</c:f>
              <c:strCache>
                <c:ptCount val="1"/>
                <c:pt idx="0">
                  <c:v>Chain-Elongation</c:v>
                </c:pt>
              </c:strCache>
            </c:strRef>
          </c:tx>
          <c:spPr>
            <a:solidFill>
              <a:srgbClr val="00CC66"/>
            </a:solidFill>
            <a:ln>
              <a:noFill/>
            </a:ln>
            <a:effectLst/>
          </c:spPr>
          <c:invertIfNegative val="0"/>
          <c:val>
            <c:numRef>
              <c:f>CAPEX!$B$586</c:f>
              <c:numCache>
                <c:formatCode>#,##0</c:formatCode>
                <c:ptCount val="1"/>
                <c:pt idx="0">
                  <c:v>93516151.334897533</c:v>
                </c:pt>
              </c:numCache>
            </c:numRef>
          </c:val>
          <c:extLst>
            <c:ext xmlns:c16="http://schemas.microsoft.com/office/drawing/2014/chart" uri="{C3380CC4-5D6E-409C-BE32-E72D297353CC}">
              <c16:uniqueId val="{0000000A-3310-47D2-942B-7EBE382968E4}"/>
            </c:ext>
          </c:extLst>
        </c:ser>
        <c:ser>
          <c:idx val="9"/>
          <c:order val="9"/>
          <c:tx>
            <c:strRef>
              <c:f>CAPEX!$A$587</c:f>
              <c:strCache>
                <c:ptCount val="1"/>
                <c:pt idx="0">
                  <c:v>Alcohol Conversion</c:v>
                </c:pt>
              </c:strCache>
            </c:strRef>
          </c:tx>
          <c:spPr>
            <a:solidFill>
              <a:srgbClr val="339966"/>
            </a:solidFill>
            <a:ln>
              <a:noFill/>
            </a:ln>
            <a:effectLst/>
          </c:spPr>
          <c:invertIfNegative val="0"/>
          <c:val>
            <c:numRef>
              <c:f>CAPEX!$B$587</c:f>
              <c:numCache>
                <c:formatCode>#,##0</c:formatCode>
                <c:ptCount val="1"/>
                <c:pt idx="0">
                  <c:v>7841373.3743566498</c:v>
                </c:pt>
              </c:numCache>
            </c:numRef>
          </c:val>
          <c:extLst>
            <c:ext xmlns:c16="http://schemas.microsoft.com/office/drawing/2014/chart" uri="{C3380CC4-5D6E-409C-BE32-E72D297353CC}">
              <c16:uniqueId val="{0000000B-3310-47D2-942B-7EBE382968E4}"/>
            </c:ext>
          </c:extLst>
        </c:ser>
        <c:ser>
          <c:idx val="10"/>
          <c:order val="10"/>
          <c:tx>
            <c:strRef>
              <c:f>CAPEX!$A$588</c:f>
              <c:strCache>
                <c:ptCount val="1"/>
                <c:pt idx="0">
                  <c:v>Electrodialysis</c:v>
                </c:pt>
              </c:strCache>
            </c:strRef>
          </c:tx>
          <c:spPr>
            <a:solidFill>
              <a:srgbClr val="F8E708"/>
            </a:solidFill>
            <a:ln>
              <a:noFill/>
            </a:ln>
            <a:effectLst/>
          </c:spPr>
          <c:invertIfNegative val="0"/>
          <c:val>
            <c:numRef>
              <c:f>CAPEX!$B$588</c:f>
              <c:numCache>
                <c:formatCode>#,##0</c:formatCode>
                <c:ptCount val="1"/>
                <c:pt idx="0">
                  <c:v>27033189.484874967</c:v>
                </c:pt>
              </c:numCache>
            </c:numRef>
          </c:val>
          <c:extLst>
            <c:ext xmlns:c16="http://schemas.microsoft.com/office/drawing/2014/chart" uri="{C3380CC4-5D6E-409C-BE32-E72D297353CC}">
              <c16:uniqueId val="{0000000C-3310-47D2-942B-7EBE382968E4}"/>
            </c:ext>
          </c:extLst>
        </c:ser>
        <c:ser>
          <c:idx val="11"/>
          <c:order val="11"/>
          <c:tx>
            <c:strRef>
              <c:f>CAPEX!$A$589</c:f>
              <c:strCache>
                <c:ptCount val="1"/>
                <c:pt idx="0">
                  <c:v>Supercritical CO2 Extraction</c:v>
                </c:pt>
              </c:strCache>
            </c:strRef>
          </c:tx>
          <c:spPr>
            <a:solidFill>
              <a:srgbClr val="00FF99"/>
            </a:solidFill>
            <a:ln>
              <a:noFill/>
            </a:ln>
            <a:effectLst/>
          </c:spPr>
          <c:invertIfNegative val="0"/>
          <c:val>
            <c:numRef>
              <c:f>CAPEX!$B$589</c:f>
              <c:numCache>
                <c:formatCode>#,##0</c:formatCode>
                <c:ptCount val="1"/>
                <c:pt idx="0">
                  <c:v>30113654.871589381</c:v>
                </c:pt>
              </c:numCache>
            </c:numRef>
          </c:val>
          <c:extLst>
            <c:ext xmlns:c16="http://schemas.microsoft.com/office/drawing/2014/chart" uri="{C3380CC4-5D6E-409C-BE32-E72D297353CC}">
              <c16:uniqueId val="{0000000D-3310-47D2-942B-7EBE382968E4}"/>
            </c:ext>
          </c:extLst>
        </c:ser>
        <c:ser>
          <c:idx val="12"/>
          <c:order val="12"/>
          <c:tx>
            <c:strRef>
              <c:f>CAPEX!$A$590</c:f>
              <c:strCache>
                <c:ptCount val="1"/>
                <c:pt idx="0">
                  <c:v>Liquid-Liquid Extraction</c:v>
                </c:pt>
              </c:strCache>
            </c:strRef>
          </c:tx>
          <c:spPr>
            <a:solidFill>
              <a:schemeClr val="accent5"/>
            </a:solidFill>
            <a:ln>
              <a:noFill/>
            </a:ln>
            <a:effectLst/>
          </c:spPr>
          <c:invertIfNegative val="0"/>
          <c:val>
            <c:numRef>
              <c:f>CAPEX!$B$590</c:f>
              <c:numCache>
                <c:formatCode>#,##0</c:formatCode>
                <c:ptCount val="1"/>
                <c:pt idx="0">
                  <c:v>3426009.7482690597</c:v>
                </c:pt>
              </c:numCache>
            </c:numRef>
          </c:val>
          <c:extLst>
            <c:ext xmlns:c16="http://schemas.microsoft.com/office/drawing/2014/chart" uri="{C3380CC4-5D6E-409C-BE32-E72D297353CC}">
              <c16:uniqueId val="{0000000E-3310-47D2-942B-7EBE382968E4}"/>
            </c:ext>
          </c:extLst>
        </c:ser>
        <c:ser>
          <c:idx val="13"/>
          <c:order val="13"/>
          <c:tx>
            <c:strRef>
              <c:f>CAPEX!$A$591</c:f>
              <c:strCache>
                <c:ptCount val="1"/>
                <c:pt idx="0">
                  <c:v>Esterification</c:v>
                </c:pt>
              </c:strCache>
            </c:strRef>
          </c:tx>
          <c:spPr>
            <a:solidFill>
              <a:srgbClr val="CC66FF"/>
            </a:solidFill>
            <a:ln>
              <a:noFill/>
            </a:ln>
            <a:effectLst/>
          </c:spPr>
          <c:invertIfNegative val="0"/>
          <c:val>
            <c:numRef>
              <c:f>CAPEX!$B$591</c:f>
              <c:numCache>
                <c:formatCode>#,##0</c:formatCode>
                <c:ptCount val="1"/>
                <c:pt idx="0">
                  <c:v>23562915.50599087</c:v>
                </c:pt>
              </c:numCache>
            </c:numRef>
          </c:val>
          <c:extLst>
            <c:ext xmlns:c16="http://schemas.microsoft.com/office/drawing/2014/chart" uri="{C3380CC4-5D6E-409C-BE32-E72D297353CC}">
              <c16:uniqueId val="{0000000F-3310-47D2-942B-7EBE382968E4}"/>
            </c:ext>
          </c:extLst>
        </c:ser>
        <c:ser>
          <c:idx val="14"/>
          <c:order val="14"/>
          <c:tx>
            <c:strRef>
              <c:f>CAPEX!$A$592</c:f>
              <c:strCache>
                <c:ptCount val="1"/>
                <c:pt idx="0">
                  <c:v>Ester Separations</c:v>
                </c:pt>
              </c:strCache>
            </c:strRef>
          </c:tx>
          <c:spPr>
            <a:solidFill>
              <a:srgbClr val="6666FF"/>
            </a:solidFill>
            <a:ln>
              <a:noFill/>
            </a:ln>
            <a:effectLst/>
          </c:spPr>
          <c:invertIfNegative val="0"/>
          <c:val>
            <c:numRef>
              <c:f>CAPEX!$B$592</c:f>
              <c:numCache>
                <c:formatCode>#,##0</c:formatCode>
                <c:ptCount val="1"/>
                <c:pt idx="0">
                  <c:v>1645619302.8064468</c:v>
                </c:pt>
              </c:numCache>
            </c:numRef>
          </c:val>
          <c:extLst>
            <c:ext xmlns:c16="http://schemas.microsoft.com/office/drawing/2014/chart" uri="{C3380CC4-5D6E-409C-BE32-E72D297353CC}">
              <c16:uniqueId val="{00000010-3310-47D2-942B-7EBE382968E4}"/>
            </c:ext>
          </c:extLst>
        </c:ser>
        <c:dLbls>
          <c:showLegendKey val="0"/>
          <c:showVal val="0"/>
          <c:showCatName val="0"/>
          <c:showSerName val="0"/>
          <c:showPercent val="0"/>
          <c:showBubbleSize val="0"/>
        </c:dLbls>
        <c:gapWidth val="50"/>
        <c:overlap val="100"/>
        <c:axId val="788352896"/>
        <c:axId val="788351456"/>
      </c:barChart>
      <c:catAx>
        <c:axId val="788352896"/>
        <c:scaling>
          <c:orientation val="minMax"/>
        </c:scaling>
        <c:delete val="1"/>
        <c:axPos val="b"/>
        <c:numFmt formatCode="General" sourceLinked="1"/>
        <c:majorTickMark val="none"/>
        <c:minorTickMark val="none"/>
        <c:tickLblPos val="nextTo"/>
        <c:crossAx val="788351456"/>
        <c:crosses val="autoZero"/>
        <c:auto val="1"/>
        <c:lblAlgn val="ctr"/>
        <c:lblOffset val="100"/>
        <c:noMultiLvlLbl val="0"/>
      </c:catAx>
      <c:valAx>
        <c:axId val="788351456"/>
        <c:scaling>
          <c:orientation val="minMax"/>
        </c:scaling>
        <c:delete val="0"/>
        <c:axPos val="l"/>
        <c:majorGridlines>
          <c:spPr>
            <a:ln w="12700" cap="flat" cmpd="sng" algn="ctr">
              <a:solidFill>
                <a:schemeClr val="tx1"/>
              </a:solidFill>
              <a:miter lim="800000"/>
            </a:ln>
            <a:effectLst/>
          </c:spPr>
        </c:majorGridlines>
        <c:title>
          <c:tx>
            <c:rich>
              <a:bodyPr rot="-540000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r>
                  <a:rPr lang="en-US" sz="1800" b="1"/>
                  <a:t> COST</a:t>
                </a:r>
                <a:r>
                  <a:rPr lang="en-US" sz="1800" b="1" baseline="0"/>
                  <a:t> </a:t>
                </a:r>
                <a:r>
                  <a:rPr lang="en-US" sz="1800" b="0"/>
                  <a:t>[1E6</a:t>
                </a:r>
                <a:r>
                  <a:rPr lang="en-US" sz="1800" b="0" baseline="0"/>
                  <a:t> </a:t>
                </a:r>
                <a:r>
                  <a:rPr lang="en-US" sz="1800" b="0"/>
                  <a:t>USD (2026)]</a:t>
                </a:r>
              </a:p>
            </c:rich>
          </c:tx>
          <c:layout>
            <c:manualLayout>
              <c:xMode val="edge"/>
              <c:yMode val="edge"/>
              <c:x val="2.2006285642026831E-2"/>
              <c:y val="0.21251420971142471"/>
            </c:manualLayout>
          </c:layout>
          <c:overlay val="0"/>
          <c:spPr>
            <a:noFill/>
            <a:ln>
              <a:noFill/>
            </a:ln>
            <a:effectLst/>
          </c:spPr>
          <c:txPr>
            <a:bodyPr rot="-540000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crossAx val="788352896"/>
        <c:crosses val="autoZero"/>
        <c:crossBetween val="between"/>
        <c:dispUnits>
          <c:builtInUnit val="millions"/>
        </c:dispUnits>
      </c:valAx>
      <c:spPr>
        <a:noFill/>
        <a:ln w="19050">
          <a:solidFill>
            <a:schemeClr val="tx1"/>
          </a:solidFill>
        </a:ln>
        <a:effectLst/>
      </c:spPr>
    </c:plotArea>
    <c:legend>
      <c:legendPos val="b"/>
      <c:layout>
        <c:manualLayout>
          <c:xMode val="edge"/>
          <c:yMode val="edge"/>
          <c:x val="1.6175874607918438E-2"/>
          <c:y val="0.82518075734884944"/>
          <c:w val="0.97402592596019499"/>
          <c:h val="0.17481926532655848"/>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miter lim="800000"/>
    </a:ln>
    <a:effectLst/>
  </c:spPr>
  <c:txPr>
    <a:bodyPr/>
    <a:lstStyle/>
    <a:p>
      <a:pPr>
        <a:defRPr>
          <a:solidFill>
            <a:sysClr val="windowText" lastClr="000000"/>
          </a:solidFill>
          <a:latin typeface="Arial Nova Cond" panose="020B0506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0" baseline="0">
                <a:solidFill>
                  <a:sysClr val="windowText" lastClr="000000"/>
                </a:solidFill>
                <a:latin typeface="Arial Nova Cond" panose="020B0506020202020204" pitchFamily="34" charset="0"/>
                <a:ea typeface="+mn-ea"/>
                <a:cs typeface="Arial" panose="020B0604020202020204" pitchFamily="34" charset="0"/>
              </a:defRPr>
            </a:pPr>
            <a:r>
              <a:rPr lang="en-US" sz="1800" b="1" cap="all" baseline="0"/>
              <a:t>Capital Expenses: Path AB - Jet &amp; Esters</a:t>
            </a:r>
          </a:p>
        </c:rich>
      </c:tx>
      <c:layout>
        <c:manualLayout>
          <c:xMode val="edge"/>
          <c:yMode val="edge"/>
          <c:x val="0.14863526313029907"/>
          <c:y val="1.7832042710772721E-2"/>
        </c:manualLayout>
      </c:layout>
      <c:overlay val="0"/>
      <c:spPr>
        <a:noFill/>
        <a:ln>
          <a:noFill/>
        </a:ln>
        <a:effectLst/>
      </c:spPr>
      <c:txPr>
        <a:bodyPr rot="0" spcFirstLastPara="1" vertOverflow="ellipsis" vert="horz" wrap="square" anchor="ctr" anchorCtr="1"/>
        <a:lstStyle/>
        <a:p>
          <a:pPr>
            <a:defRPr sz="1800" b="1" i="0" u="none" strike="noStrike" kern="1200" cap="all" spc="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5607267657935237"/>
          <c:y val="9.331882919922814E-2"/>
          <c:w val="0.78472484123973341"/>
          <c:h val="0.69685559820067877"/>
        </c:manualLayout>
      </c:layout>
      <c:barChart>
        <c:barDir val="col"/>
        <c:grouping val="stacked"/>
        <c:varyColors val="0"/>
        <c:ser>
          <c:idx val="0"/>
          <c:order val="0"/>
          <c:tx>
            <c:strRef>
              <c:f>CAPEX!$A$617</c:f>
              <c:strCache>
                <c:ptCount val="1"/>
                <c:pt idx="0">
                  <c:v>Transportation</c:v>
                </c:pt>
              </c:strCache>
            </c:strRef>
          </c:tx>
          <c:spPr>
            <a:solidFill>
              <a:srgbClr val="CCFF99"/>
            </a:solidFill>
            <a:ln>
              <a:noFill/>
            </a:ln>
            <a:effectLst/>
          </c:spPr>
          <c:invertIfNegative val="0"/>
          <c:val>
            <c:numRef>
              <c:f>CAPEX!$B$617</c:f>
              <c:numCache>
                <c:formatCode>#,##0</c:formatCode>
                <c:ptCount val="1"/>
                <c:pt idx="0">
                  <c:v>200268720.79546401</c:v>
                </c:pt>
              </c:numCache>
            </c:numRef>
          </c:val>
          <c:extLst>
            <c:ext xmlns:c16="http://schemas.microsoft.com/office/drawing/2014/chart" uri="{C3380CC4-5D6E-409C-BE32-E72D297353CC}">
              <c16:uniqueId val="{00000000-C45B-4B79-B1B0-43EDB8881E6F}"/>
            </c:ext>
          </c:extLst>
        </c:ser>
        <c:ser>
          <c:idx val="1"/>
          <c:order val="1"/>
          <c:tx>
            <c:strRef>
              <c:f>CAPEX!$A$618</c:f>
              <c:strCache>
                <c:ptCount val="1"/>
                <c:pt idx="0">
                  <c:v>Ocean Water Processing</c:v>
                </c:pt>
              </c:strCache>
            </c:strRef>
          </c:tx>
          <c:spPr>
            <a:solidFill>
              <a:srgbClr val="00B0F0"/>
            </a:solidFill>
            <a:ln>
              <a:noFill/>
            </a:ln>
            <a:effectLst/>
          </c:spPr>
          <c:invertIfNegative val="0"/>
          <c:val>
            <c:numRef>
              <c:f>CAPEX!$B$618</c:f>
              <c:numCache>
                <c:formatCode>#,##0</c:formatCode>
                <c:ptCount val="1"/>
                <c:pt idx="0">
                  <c:v>9003347.2244576868</c:v>
                </c:pt>
              </c:numCache>
            </c:numRef>
          </c:val>
          <c:extLst>
            <c:ext xmlns:c16="http://schemas.microsoft.com/office/drawing/2014/chart" uri="{C3380CC4-5D6E-409C-BE32-E72D297353CC}">
              <c16:uniqueId val="{00000001-C45B-4B79-B1B0-43EDB8881E6F}"/>
            </c:ext>
          </c:extLst>
        </c:ser>
        <c:ser>
          <c:idx val="2"/>
          <c:order val="2"/>
          <c:tx>
            <c:strRef>
              <c:f>CAPEX!$A$619</c:f>
              <c:strCache>
                <c:ptCount val="1"/>
                <c:pt idx="0">
                  <c:v>Cheese Whey Processing</c:v>
                </c:pt>
              </c:strCache>
            </c:strRef>
          </c:tx>
          <c:spPr>
            <a:solidFill>
              <a:srgbClr val="E97132"/>
            </a:solidFill>
            <a:ln>
              <a:noFill/>
            </a:ln>
            <a:effectLst/>
          </c:spPr>
          <c:invertIfNegative val="0"/>
          <c:val>
            <c:numRef>
              <c:f>CAPEX!$B$619</c:f>
              <c:numCache>
                <c:formatCode>#,##0</c:formatCode>
                <c:ptCount val="1"/>
                <c:pt idx="0">
                  <c:v>3291931.254070553</c:v>
                </c:pt>
              </c:numCache>
            </c:numRef>
          </c:val>
          <c:extLst>
            <c:ext xmlns:c16="http://schemas.microsoft.com/office/drawing/2014/chart" uri="{C3380CC4-5D6E-409C-BE32-E72D297353CC}">
              <c16:uniqueId val="{00000002-C45B-4B79-B1B0-43EDB8881E6F}"/>
            </c:ext>
          </c:extLst>
        </c:ser>
        <c:ser>
          <c:idx val="3"/>
          <c:order val="3"/>
          <c:tx>
            <c:strRef>
              <c:f>CAPEX!$A$620</c:f>
              <c:strCache>
                <c:ptCount val="1"/>
                <c:pt idx="0">
                  <c:v>Feedstock Preparation</c:v>
                </c:pt>
              </c:strCache>
            </c:strRef>
          </c:tx>
          <c:spPr>
            <a:solidFill>
              <a:schemeClr val="tx1">
                <a:lumMod val="75000"/>
                <a:lumOff val="25000"/>
              </a:schemeClr>
            </a:solidFill>
            <a:ln>
              <a:noFill/>
            </a:ln>
            <a:effectLst/>
          </c:spPr>
          <c:invertIfNegative val="0"/>
          <c:val>
            <c:numRef>
              <c:f>CAPEX!$B$620</c:f>
              <c:numCache>
                <c:formatCode>#,##0</c:formatCode>
                <c:ptCount val="1"/>
                <c:pt idx="0">
                  <c:v>59744828.9606281</c:v>
                </c:pt>
              </c:numCache>
            </c:numRef>
          </c:val>
          <c:extLst>
            <c:ext xmlns:c16="http://schemas.microsoft.com/office/drawing/2014/chart" uri="{C3380CC4-5D6E-409C-BE32-E72D297353CC}">
              <c16:uniqueId val="{00000003-C45B-4B79-B1B0-43EDB8881E6F}"/>
            </c:ext>
          </c:extLst>
        </c:ser>
        <c:ser>
          <c:idx val="4"/>
          <c:order val="4"/>
          <c:tx>
            <c:strRef>
              <c:f>CAPEX!$A$621</c:f>
              <c:strCache>
                <c:ptCount val="1"/>
                <c:pt idx="0">
                  <c:v>Food Waste Ensiling</c:v>
                </c:pt>
              </c:strCache>
            </c:strRef>
          </c:tx>
          <c:spPr>
            <a:solidFill>
              <a:srgbClr val="CC9900"/>
            </a:solidFill>
            <a:ln>
              <a:noFill/>
            </a:ln>
            <a:effectLst/>
          </c:spPr>
          <c:invertIfNegative val="0"/>
          <c:val>
            <c:numRef>
              <c:f>CAPEX!$B$621</c:f>
              <c:numCache>
                <c:formatCode>#,##0</c:formatCode>
                <c:ptCount val="1"/>
                <c:pt idx="0">
                  <c:v>856830.8033864483</c:v>
                </c:pt>
              </c:numCache>
            </c:numRef>
          </c:val>
          <c:extLst>
            <c:ext xmlns:c16="http://schemas.microsoft.com/office/drawing/2014/chart" uri="{C3380CC4-5D6E-409C-BE32-E72D297353CC}">
              <c16:uniqueId val="{00000004-C45B-4B79-B1B0-43EDB8881E6F}"/>
            </c:ext>
          </c:extLst>
        </c:ser>
        <c:ser>
          <c:idx val="5"/>
          <c:order val="5"/>
          <c:tx>
            <c:strRef>
              <c:f>CAPEX!$A$622</c:f>
              <c:strCache>
                <c:ptCount val="1"/>
                <c:pt idx="0">
                  <c:v>Food Waste Digestion</c:v>
                </c:pt>
              </c:strCache>
            </c:strRef>
          </c:tx>
          <c:spPr>
            <a:solidFill>
              <a:srgbClr val="CCCC00"/>
            </a:solidFill>
            <a:ln>
              <a:noFill/>
            </a:ln>
            <a:effectLst/>
          </c:spPr>
          <c:invertIfNegative val="0"/>
          <c:val>
            <c:numRef>
              <c:f>CAPEX!$B$622</c:f>
              <c:numCache>
                <c:formatCode>#,##0</c:formatCode>
                <c:ptCount val="1"/>
                <c:pt idx="0">
                  <c:v>4381727.5819760412</c:v>
                </c:pt>
              </c:numCache>
            </c:numRef>
          </c:val>
          <c:extLst>
            <c:ext xmlns:c16="http://schemas.microsoft.com/office/drawing/2014/chart" uri="{C3380CC4-5D6E-409C-BE32-E72D297353CC}">
              <c16:uniqueId val="{00000005-C45B-4B79-B1B0-43EDB8881E6F}"/>
            </c:ext>
          </c:extLst>
        </c:ser>
        <c:ser>
          <c:idx val="6"/>
          <c:order val="6"/>
          <c:tx>
            <c:strRef>
              <c:f>CAPEX!$A$623</c:f>
              <c:strCache>
                <c:ptCount val="1"/>
                <c:pt idx="0">
                  <c:v>Manure Digestion</c:v>
                </c:pt>
              </c:strCache>
            </c:strRef>
          </c:tx>
          <c:spPr>
            <a:solidFill>
              <a:srgbClr val="996633"/>
            </a:solidFill>
            <a:ln>
              <a:noFill/>
            </a:ln>
            <a:effectLst/>
          </c:spPr>
          <c:invertIfNegative val="0"/>
          <c:val>
            <c:numRef>
              <c:f>CAPEX!$B$623</c:f>
              <c:numCache>
                <c:formatCode>#,##0</c:formatCode>
                <c:ptCount val="1"/>
                <c:pt idx="0">
                  <c:v>40168784.068127953</c:v>
                </c:pt>
              </c:numCache>
            </c:numRef>
          </c:val>
          <c:extLst>
            <c:ext xmlns:c16="http://schemas.microsoft.com/office/drawing/2014/chart" uri="{C3380CC4-5D6E-409C-BE32-E72D297353CC}">
              <c16:uniqueId val="{00000006-C45B-4B79-B1B0-43EDB8881E6F}"/>
            </c:ext>
          </c:extLst>
        </c:ser>
        <c:ser>
          <c:idx val="7"/>
          <c:order val="7"/>
          <c:tx>
            <c:strRef>
              <c:f>CAPEX!$A$624</c:f>
              <c:strCache>
                <c:ptCount val="1"/>
                <c:pt idx="0">
                  <c:v>Nitrogen Removal</c:v>
                </c:pt>
              </c:strCache>
            </c:strRef>
          </c:tx>
          <c:spPr>
            <a:solidFill>
              <a:srgbClr val="808000"/>
            </a:solidFill>
            <a:ln>
              <a:noFill/>
            </a:ln>
            <a:effectLst/>
          </c:spPr>
          <c:invertIfNegative val="0"/>
          <c:val>
            <c:numRef>
              <c:f>CAPEX!$B$624</c:f>
              <c:numCache>
                <c:formatCode>#,##0</c:formatCode>
                <c:ptCount val="1"/>
                <c:pt idx="0">
                  <c:v>203703178.99301556</c:v>
                </c:pt>
              </c:numCache>
            </c:numRef>
          </c:val>
          <c:extLst>
            <c:ext xmlns:c16="http://schemas.microsoft.com/office/drawing/2014/chart" uri="{C3380CC4-5D6E-409C-BE32-E72D297353CC}">
              <c16:uniqueId val="{00000007-C45B-4B79-B1B0-43EDB8881E6F}"/>
            </c:ext>
          </c:extLst>
        </c:ser>
        <c:ser>
          <c:idx val="8"/>
          <c:order val="8"/>
          <c:tx>
            <c:strRef>
              <c:f>CAPEX!$A$625</c:f>
              <c:strCache>
                <c:ptCount val="1"/>
                <c:pt idx="0">
                  <c:v>Chain-Elongation</c:v>
                </c:pt>
              </c:strCache>
            </c:strRef>
          </c:tx>
          <c:spPr>
            <a:solidFill>
              <a:srgbClr val="00CC66"/>
            </a:solidFill>
            <a:ln>
              <a:noFill/>
            </a:ln>
            <a:effectLst/>
          </c:spPr>
          <c:invertIfNegative val="0"/>
          <c:val>
            <c:numRef>
              <c:f>CAPEX!$B$625</c:f>
              <c:numCache>
                <c:formatCode>#,##0</c:formatCode>
                <c:ptCount val="1"/>
                <c:pt idx="0">
                  <c:v>187032302.66979507</c:v>
                </c:pt>
              </c:numCache>
            </c:numRef>
          </c:val>
          <c:extLst>
            <c:ext xmlns:c16="http://schemas.microsoft.com/office/drawing/2014/chart" uri="{C3380CC4-5D6E-409C-BE32-E72D297353CC}">
              <c16:uniqueId val="{00000008-C45B-4B79-B1B0-43EDB8881E6F}"/>
            </c:ext>
          </c:extLst>
        </c:ser>
        <c:ser>
          <c:idx val="9"/>
          <c:order val="9"/>
          <c:tx>
            <c:strRef>
              <c:f>CAPEX!$A$626</c:f>
              <c:strCache>
                <c:ptCount val="1"/>
                <c:pt idx="0">
                  <c:v>Electrodialysis</c:v>
                </c:pt>
              </c:strCache>
            </c:strRef>
          </c:tx>
          <c:spPr>
            <a:solidFill>
              <a:srgbClr val="F8E708"/>
            </a:solidFill>
            <a:ln>
              <a:noFill/>
            </a:ln>
            <a:effectLst/>
          </c:spPr>
          <c:invertIfNegative val="0"/>
          <c:val>
            <c:numRef>
              <c:f>CAPEX!$B$626</c:f>
              <c:numCache>
                <c:formatCode>#,##0</c:formatCode>
                <c:ptCount val="1"/>
                <c:pt idx="0">
                  <c:v>27033189.484874967</c:v>
                </c:pt>
              </c:numCache>
            </c:numRef>
          </c:val>
          <c:extLst>
            <c:ext xmlns:c16="http://schemas.microsoft.com/office/drawing/2014/chart" uri="{C3380CC4-5D6E-409C-BE32-E72D297353CC}">
              <c16:uniqueId val="{00000009-C45B-4B79-B1B0-43EDB8881E6F}"/>
            </c:ext>
          </c:extLst>
        </c:ser>
        <c:ser>
          <c:idx val="10"/>
          <c:order val="10"/>
          <c:tx>
            <c:strRef>
              <c:f>CAPEX!$A$627</c:f>
              <c:strCache>
                <c:ptCount val="1"/>
                <c:pt idx="0">
                  <c:v>Liquid-Liquid Extraction</c:v>
                </c:pt>
              </c:strCache>
            </c:strRef>
          </c:tx>
          <c:spPr>
            <a:solidFill>
              <a:schemeClr val="accent5"/>
            </a:solidFill>
            <a:ln>
              <a:noFill/>
            </a:ln>
            <a:effectLst/>
          </c:spPr>
          <c:invertIfNegative val="0"/>
          <c:val>
            <c:numRef>
              <c:f>CAPEX!$B$627</c:f>
              <c:numCache>
                <c:formatCode>#,##0</c:formatCode>
                <c:ptCount val="1"/>
                <c:pt idx="0">
                  <c:v>1187526.7450096353</c:v>
                </c:pt>
              </c:numCache>
            </c:numRef>
          </c:val>
          <c:extLst>
            <c:ext xmlns:c16="http://schemas.microsoft.com/office/drawing/2014/chart" uri="{C3380CC4-5D6E-409C-BE32-E72D297353CC}">
              <c16:uniqueId val="{0000000A-C45B-4B79-B1B0-43EDB8881E6F}"/>
            </c:ext>
          </c:extLst>
        </c:ser>
        <c:ser>
          <c:idx val="11"/>
          <c:order val="11"/>
          <c:tx>
            <c:strRef>
              <c:f>CAPEX!$A$628</c:f>
              <c:strCache>
                <c:ptCount val="1"/>
                <c:pt idx="0">
                  <c:v>Ketonization</c:v>
                </c:pt>
              </c:strCache>
            </c:strRef>
          </c:tx>
          <c:spPr>
            <a:solidFill>
              <a:srgbClr val="FF00FF"/>
            </a:solidFill>
            <a:ln>
              <a:noFill/>
            </a:ln>
            <a:effectLst/>
          </c:spPr>
          <c:invertIfNegative val="0"/>
          <c:val>
            <c:numRef>
              <c:f>CAPEX!$B$628</c:f>
              <c:numCache>
                <c:formatCode>#,##0</c:formatCode>
                <c:ptCount val="1"/>
                <c:pt idx="0">
                  <c:v>1786511.1784994458</c:v>
                </c:pt>
              </c:numCache>
            </c:numRef>
          </c:val>
          <c:extLst>
            <c:ext xmlns:c16="http://schemas.microsoft.com/office/drawing/2014/chart" uri="{C3380CC4-5D6E-409C-BE32-E72D297353CC}">
              <c16:uniqueId val="{0000000B-C45B-4B79-B1B0-43EDB8881E6F}"/>
            </c:ext>
          </c:extLst>
        </c:ser>
        <c:ser>
          <c:idx val="12"/>
          <c:order val="12"/>
          <c:tx>
            <c:strRef>
              <c:f>CAPEX!$A$629</c:f>
              <c:strCache>
                <c:ptCount val="1"/>
                <c:pt idx="0">
                  <c:v>Hydrodeoxygenation</c:v>
                </c:pt>
              </c:strCache>
            </c:strRef>
          </c:tx>
          <c:spPr>
            <a:solidFill>
              <a:srgbClr val="CC00FF"/>
            </a:solidFill>
            <a:ln>
              <a:noFill/>
            </a:ln>
            <a:effectLst/>
          </c:spPr>
          <c:invertIfNegative val="0"/>
          <c:val>
            <c:numRef>
              <c:f>CAPEX!$B$629</c:f>
              <c:numCache>
                <c:formatCode>#,##0</c:formatCode>
                <c:ptCount val="1"/>
                <c:pt idx="0">
                  <c:v>3916861.3953973008</c:v>
                </c:pt>
              </c:numCache>
            </c:numRef>
          </c:val>
          <c:extLst>
            <c:ext xmlns:c16="http://schemas.microsoft.com/office/drawing/2014/chart" uri="{C3380CC4-5D6E-409C-BE32-E72D297353CC}">
              <c16:uniqueId val="{0000000C-C45B-4B79-B1B0-43EDB8881E6F}"/>
            </c:ext>
          </c:extLst>
        </c:ser>
        <c:ser>
          <c:idx val="13"/>
          <c:order val="13"/>
          <c:tx>
            <c:strRef>
              <c:f>CAPEX!$A$630</c:f>
              <c:strCache>
                <c:ptCount val="1"/>
                <c:pt idx="0">
                  <c:v>Hydrocarbon Distillation</c:v>
                </c:pt>
              </c:strCache>
            </c:strRef>
          </c:tx>
          <c:spPr>
            <a:solidFill>
              <a:srgbClr val="FF99CC"/>
            </a:solidFill>
            <a:ln>
              <a:noFill/>
            </a:ln>
            <a:effectLst/>
          </c:spPr>
          <c:invertIfNegative val="0"/>
          <c:val>
            <c:numRef>
              <c:f>CAPEX!$B$630</c:f>
              <c:numCache>
                <c:formatCode>#,##0</c:formatCode>
                <c:ptCount val="1"/>
                <c:pt idx="0">
                  <c:v>116221.85625935157</c:v>
                </c:pt>
              </c:numCache>
            </c:numRef>
          </c:val>
          <c:extLst>
            <c:ext xmlns:c16="http://schemas.microsoft.com/office/drawing/2014/chart" uri="{C3380CC4-5D6E-409C-BE32-E72D297353CC}">
              <c16:uniqueId val="{0000000D-C45B-4B79-B1B0-43EDB8881E6F}"/>
            </c:ext>
          </c:extLst>
        </c:ser>
        <c:ser>
          <c:idx val="14"/>
          <c:order val="14"/>
          <c:tx>
            <c:strRef>
              <c:f>CAPEX!$A$631</c:f>
              <c:strCache>
                <c:ptCount val="1"/>
                <c:pt idx="0">
                  <c:v>Alcohol Conversion</c:v>
                </c:pt>
              </c:strCache>
            </c:strRef>
          </c:tx>
          <c:spPr>
            <a:solidFill>
              <a:srgbClr val="339966"/>
            </a:solidFill>
            <a:ln>
              <a:noFill/>
            </a:ln>
            <a:effectLst/>
          </c:spPr>
          <c:invertIfNegative val="0"/>
          <c:val>
            <c:numRef>
              <c:f>CAPEX!$B$631</c:f>
              <c:numCache>
                <c:formatCode>#,##0</c:formatCode>
                <c:ptCount val="1"/>
                <c:pt idx="0">
                  <c:v>7841373.3743566498</c:v>
                </c:pt>
              </c:numCache>
            </c:numRef>
          </c:val>
          <c:extLst>
            <c:ext xmlns:c16="http://schemas.microsoft.com/office/drawing/2014/chart" uri="{C3380CC4-5D6E-409C-BE32-E72D297353CC}">
              <c16:uniqueId val="{0000000F-C45B-4B79-B1B0-43EDB8881E6F}"/>
            </c:ext>
          </c:extLst>
        </c:ser>
        <c:ser>
          <c:idx val="15"/>
          <c:order val="15"/>
          <c:tx>
            <c:strRef>
              <c:f>CAPEX!$A$632</c:f>
              <c:strCache>
                <c:ptCount val="1"/>
                <c:pt idx="0">
                  <c:v>Electrodialysis</c:v>
                </c:pt>
              </c:strCache>
            </c:strRef>
          </c:tx>
          <c:spPr>
            <a:solidFill>
              <a:schemeClr val="accent4">
                <a:lumMod val="80000"/>
                <a:lumOff val="20000"/>
              </a:schemeClr>
            </a:solidFill>
            <a:ln>
              <a:noFill/>
            </a:ln>
            <a:effectLst/>
          </c:spPr>
          <c:invertIfNegative val="0"/>
          <c:val>
            <c:numRef>
              <c:f>CAPEX!$B$632</c:f>
              <c:numCache>
                <c:formatCode>#,##0</c:formatCode>
                <c:ptCount val="1"/>
                <c:pt idx="0">
                  <c:v>27033189.484874967</c:v>
                </c:pt>
              </c:numCache>
            </c:numRef>
          </c:val>
          <c:extLst>
            <c:ext xmlns:c16="http://schemas.microsoft.com/office/drawing/2014/chart" uri="{C3380CC4-5D6E-409C-BE32-E72D297353CC}">
              <c16:uniqueId val="{00000010-C45B-4B79-B1B0-43EDB8881E6F}"/>
            </c:ext>
          </c:extLst>
        </c:ser>
        <c:ser>
          <c:idx val="16"/>
          <c:order val="16"/>
          <c:tx>
            <c:strRef>
              <c:f>CAPEX!$A$633</c:f>
              <c:strCache>
                <c:ptCount val="1"/>
                <c:pt idx="0">
                  <c:v>Supercritical CO2 Extraction</c:v>
                </c:pt>
              </c:strCache>
            </c:strRef>
          </c:tx>
          <c:spPr>
            <a:solidFill>
              <a:srgbClr val="00FF99"/>
            </a:solidFill>
            <a:ln>
              <a:noFill/>
            </a:ln>
            <a:effectLst/>
          </c:spPr>
          <c:invertIfNegative val="0"/>
          <c:val>
            <c:numRef>
              <c:f>CAPEX!$B$633</c:f>
              <c:numCache>
                <c:formatCode>#,##0</c:formatCode>
                <c:ptCount val="1"/>
                <c:pt idx="0">
                  <c:v>30113654.871589381</c:v>
                </c:pt>
              </c:numCache>
            </c:numRef>
          </c:val>
          <c:extLst>
            <c:ext xmlns:c16="http://schemas.microsoft.com/office/drawing/2014/chart" uri="{C3380CC4-5D6E-409C-BE32-E72D297353CC}">
              <c16:uniqueId val="{00000011-C45B-4B79-B1B0-43EDB8881E6F}"/>
            </c:ext>
          </c:extLst>
        </c:ser>
        <c:ser>
          <c:idx val="17"/>
          <c:order val="17"/>
          <c:tx>
            <c:strRef>
              <c:f>CAPEX!$A$634</c:f>
              <c:strCache>
                <c:ptCount val="1"/>
                <c:pt idx="0">
                  <c:v>Liquid-Liquid Extraction</c:v>
                </c:pt>
              </c:strCache>
            </c:strRef>
          </c:tx>
          <c:spPr>
            <a:solidFill>
              <a:schemeClr val="accent5"/>
            </a:solidFill>
            <a:ln>
              <a:noFill/>
            </a:ln>
            <a:effectLst/>
          </c:spPr>
          <c:invertIfNegative val="0"/>
          <c:val>
            <c:numRef>
              <c:f>CAPEX!$B$634</c:f>
              <c:numCache>
                <c:formatCode>#,##0</c:formatCode>
                <c:ptCount val="1"/>
                <c:pt idx="0">
                  <c:v>3426009.7482690597</c:v>
                </c:pt>
              </c:numCache>
            </c:numRef>
          </c:val>
          <c:extLst>
            <c:ext xmlns:c16="http://schemas.microsoft.com/office/drawing/2014/chart" uri="{C3380CC4-5D6E-409C-BE32-E72D297353CC}">
              <c16:uniqueId val="{00000012-C45B-4B79-B1B0-43EDB8881E6F}"/>
            </c:ext>
          </c:extLst>
        </c:ser>
        <c:ser>
          <c:idx val="18"/>
          <c:order val="18"/>
          <c:tx>
            <c:strRef>
              <c:f>CAPEX!$A$635</c:f>
              <c:strCache>
                <c:ptCount val="1"/>
                <c:pt idx="0">
                  <c:v>Esterification</c:v>
                </c:pt>
              </c:strCache>
            </c:strRef>
          </c:tx>
          <c:spPr>
            <a:solidFill>
              <a:srgbClr val="CC66FF"/>
            </a:solidFill>
            <a:ln>
              <a:noFill/>
            </a:ln>
            <a:effectLst/>
          </c:spPr>
          <c:invertIfNegative val="0"/>
          <c:val>
            <c:numRef>
              <c:f>CAPEX!$B$635</c:f>
              <c:numCache>
                <c:formatCode>#,##0</c:formatCode>
                <c:ptCount val="1"/>
                <c:pt idx="0">
                  <c:v>23562915.50599087</c:v>
                </c:pt>
              </c:numCache>
            </c:numRef>
          </c:val>
          <c:extLst>
            <c:ext xmlns:c16="http://schemas.microsoft.com/office/drawing/2014/chart" uri="{C3380CC4-5D6E-409C-BE32-E72D297353CC}">
              <c16:uniqueId val="{00000013-C45B-4B79-B1B0-43EDB8881E6F}"/>
            </c:ext>
          </c:extLst>
        </c:ser>
        <c:ser>
          <c:idx val="19"/>
          <c:order val="19"/>
          <c:tx>
            <c:strRef>
              <c:f>CAPEX!$A$636</c:f>
              <c:strCache>
                <c:ptCount val="1"/>
                <c:pt idx="0">
                  <c:v>Ester Separations</c:v>
                </c:pt>
              </c:strCache>
            </c:strRef>
          </c:tx>
          <c:spPr>
            <a:solidFill>
              <a:srgbClr val="6666FF"/>
            </a:solidFill>
            <a:ln>
              <a:noFill/>
            </a:ln>
            <a:effectLst/>
          </c:spPr>
          <c:invertIfNegative val="0"/>
          <c:val>
            <c:numRef>
              <c:f>CAPEX!$B$636</c:f>
              <c:numCache>
                <c:formatCode>#,##0</c:formatCode>
                <c:ptCount val="1"/>
                <c:pt idx="0">
                  <c:v>1645619302.8064468</c:v>
                </c:pt>
              </c:numCache>
            </c:numRef>
          </c:val>
          <c:extLst>
            <c:ext xmlns:c16="http://schemas.microsoft.com/office/drawing/2014/chart" uri="{C3380CC4-5D6E-409C-BE32-E72D297353CC}">
              <c16:uniqueId val="{00000014-C45B-4B79-B1B0-43EDB8881E6F}"/>
            </c:ext>
          </c:extLst>
        </c:ser>
        <c:dLbls>
          <c:showLegendKey val="0"/>
          <c:showVal val="0"/>
          <c:showCatName val="0"/>
          <c:showSerName val="0"/>
          <c:showPercent val="0"/>
          <c:showBubbleSize val="0"/>
        </c:dLbls>
        <c:gapWidth val="50"/>
        <c:overlap val="100"/>
        <c:axId val="788352896"/>
        <c:axId val="788351456"/>
      </c:barChart>
      <c:catAx>
        <c:axId val="788352896"/>
        <c:scaling>
          <c:orientation val="minMax"/>
        </c:scaling>
        <c:delete val="1"/>
        <c:axPos val="b"/>
        <c:numFmt formatCode="General" sourceLinked="1"/>
        <c:majorTickMark val="none"/>
        <c:minorTickMark val="none"/>
        <c:tickLblPos val="nextTo"/>
        <c:crossAx val="788351456"/>
        <c:crosses val="autoZero"/>
        <c:auto val="1"/>
        <c:lblAlgn val="ctr"/>
        <c:lblOffset val="100"/>
        <c:noMultiLvlLbl val="0"/>
      </c:catAx>
      <c:valAx>
        <c:axId val="788351456"/>
        <c:scaling>
          <c:orientation val="minMax"/>
        </c:scaling>
        <c:delete val="0"/>
        <c:axPos val="l"/>
        <c:majorGridlines>
          <c:spPr>
            <a:ln w="12700" cap="flat" cmpd="sng" algn="ctr">
              <a:solidFill>
                <a:schemeClr val="tx1"/>
              </a:solidFill>
              <a:miter lim="800000"/>
            </a:ln>
            <a:effectLst/>
          </c:spPr>
        </c:majorGridlines>
        <c:title>
          <c:tx>
            <c:rich>
              <a:bodyPr rot="-540000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r>
                  <a:rPr lang="en-US" sz="1800" b="1"/>
                  <a:t> COST</a:t>
                </a:r>
                <a:r>
                  <a:rPr lang="en-US" sz="1800" b="1" baseline="0"/>
                  <a:t> </a:t>
                </a:r>
                <a:r>
                  <a:rPr lang="en-US" sz="1800" b="0"/>
                  <a:t>[1E6</a:t>
                </a:r>
                <a:r>
                  <a:rPr lang="en-US" sz="1800" b="0" baseline="0"/>
                  <a:t> </a:t>
                </a:r>
                <a:r>
                  <a:rPr lang="en-US" sz="1800" b="0"/>
                  <a:t>USD (2026)]</a:t>
                </a:r>
              </a:p>
            </c:rich>
          </c:tx>
          <c:layout>
            <c:manualLayout>
              <c:xMode val="edge"/>
              <c:yMode val="edge"/>
              <c:x val="2.2006285642026831E-2"/>
              <c:y val="0.21251420971142471"/>
            </c:manualLayout>
          </c:layout>
          <c:overlay val="0"/>
          <c:spPr>
            <a:noFill/>
            <a:ln>
              <a:noFill/>
            </a:ln>
            <a:effectLst/>
          </c:spPr>
          <c:txPr>
            <a:bodyPr rot="-540000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crossAx val="788352896"/>
        <c:crosses val="autoZero"/>
        <c:crossBetween val="between"/>
        <c:dispUnits>
          <c:builtInUnit val="millions"/>
        </c:dispUnits>
      </c:valAx>
      <c:spPr>
        <a:noFill/>
        <a:ln w="19050">
          <a:solidFill>
            <a:schemeClr val="tx1"/>
          </a:solidFill>
        </a:ln>
        <a:effectLst/>
      </c:spPr>
    </c:plotArea>
    <c:legend>
      <c:legendPos val="b"/>
      <c:layout>
        <c:manualLayout>
          <c:xMode val="edge"/>
          <c:yMode val="edge"/>
          <c:x val="1.6175874607918438E-2"/>
          <c:y val="0.82518075734884944"/>
          <c:w val="0.98382412539208153"/>
          <c:h val="0.17481929689756054"/>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miter lim="800000"/>
    </a:ln>
    <a:effectLst/>
  </c:spPr>
  <c:txPr>
    <a:bodyPr/>
    <a:lstStyle/>
    <a:p>
      <a:pPr>
        <a:defRPr>
          <a:solidFill>
            <a:sysClr val="windowText" lastClr="000000"/>
          </a:solidFill>
          <a:latin typeface="Arial Nova Cond" panose="020B0506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0" baseline="0">
                <a:solidFill>
                  <a:sysClr val="windowText" lastClr="000000"/>
                </a:solidFill>
                <a:latin typeface="Arial Nova Cond" panose="020B0506020202020204" pitchFamily="34" charset="0"/>
                <a:ea typeface="+mn-ea"/>
                <a:cs typeface="Arial" panose="020B0604020202020204" pitchFamily="34" charset="0"/>
              </a:defRPr>
            </a:pPr>
            <a:r>
              <a:rPr lang="en-US" sz="1800" b="1" cap="all" baseline="0"/>
              <a:t>Capital Expenses: Path A - Jet Fuel</a:t>
            </a:r>
          </a:p>
        </c:rich>
      </c:tx>
      <c:layout>
        <c:manualLayout>
          <c:xMode val="edge"/>
          <c:yMode val="edge"/>
          <c:x val="0.1439349106038596"/>
          <c:y val="1.9235343375097764E-2"/>
        </c:manualLayout>
      </c:layout>
      <c:overlay val="0"/>
      <c:spPr>
        <a:noFill/>
        <a:ln>
          <a:noFill/>
        </a:ln>
        <a:effectLst/>
      </c:spPr>
      <c:txPr>
        <a:bodyPr rot="0" spcFirstLastPara="1" vertOverflow="ellipsis" vert="horz" wrap="square" anchor="ctr" anchorCtr="1"/>
        <a:lstStyle/>
        <a:p>
          <a:pPr>
            <a:defRPr sz="1800" b="1" i="0" u="none" strike="noStrike" kern="1200" cap="all" spc="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3257091394715492"/>
          <c:y val="9.9963059621402589E-2"/>
          <c:w val="0.80822660387193079"/>
          <c:h val="0.57951219293023459"/>
        </c:manualLayout>
      </c:layout>
      <c:barChart>
        <c:barDir val="col"/>
        <c:grouping val="stacked"/>
        <c:varyColors val="0"/>
        <c:ser>
          <c:idx val="0"/>
          <c:order val="0"/>
          <c:tx>
            <c:strRef>
              <c:f>CAPEX!$A$545</c:f>
              <c:strCache>
                <c:ptCount val="1"/>
                <c:pt idx="0">
                  <c:v>Transportation</c:v>
                </c:pt>
              </c:strCache>
            </c:strRef>
          </c:tx>
          <c:spPr>
            <a:solidFill>
              <a:srgbClr val="CCFF99"/>
            </a:solidFill>
            <a:ln>
              <a:solidFill>
                <a:srgbClr val="CCFF99"/>
              </a:solidFill>
            </a:ln>
            <a:effectLst/>
          </c:spPr>
          <c:invertIfNegative val="0"/>
          <c:val>
            <c:numRef>
              <c:f>CAPEX!$B$545</c:f>
              <c:numCache>
                <c:formatCode>#,##0</c:formatCode>
                <c:ptCount val="1"/>
                <c:pt idx="0">
                  <c:v>100134360.397732</c:v>
                </c:pt>
              </c:numCache>
            </c:numRef>
          </c:val>
          <c:extLst>
            <c:ext xmlns:c16="http://schemas.microsoft.com/office/drawing/2014/chart" uri="{C3380CC4-5D6E-409C-BE32-E72D297353CC}">
              <c16:uniqueId val="{00000000-EC8B-8E48-876A-2711201DE1DD}"/>
            </c:ext>
          </c:extLst>
        </c:ser>
        <c:ser>
          <c:idx val="1"/>
          <c:order val="1"/>
          <c:tx>
            <c:strRef>
              <c:f>CAPEX!$A$546</c:f>
              <c:strCache>
                <c:ptCount val="1"/>
                <c:pt idx="0">
                  <c:v>Ocean Water Processing</c:v>
                </c:pt>
              </c:strCache>
            </c:strRef>
          </c:tx>
          <c:spPr>
            <a:solidFill>
              <a:srgbClr val="00B0F0"/>
            </a:solidFill>
            <a:ln>
              <a:noFill/>
            </a:ln>
            <a:effectLst/>
          </c:spPr>
          <c:invertIfNegative val="0"/>
          <c:val>
            <c:numRef>
              <c:f>CAPEX!$B$546</c:f>
              <c:numCache>
                <c:formatCode>#,##0</c:formatCode>
                <c:ptCount val="1"/>
                <c:pt idx="0">
                  <c:v>4501673.6122288434</c:v>
                </c:pt>
              </c:numCache>
            </c:numRef>
          </c:val>
          <c:extLst>
            <c:ext xmlns:c16="http://schemas.microsoft.com/office/drawing/2014/chart" uri="{C3380CC4-5D6E-409C-BE32-E72D297353CC}">
              <c16:uniqueId val="{00000001-EC8B-8E48-876A-2711201DE1DD}"/>
            </c:ext>
          </c:extLst>
        </c:ser>
        <c:ser>
          <c:idx val="2"/>
          <c:order val="2"/>
          <c:tx>
            <c:strRef>
              <c:f>CAPEX!$A$547</c:f>
              <c:strCache>
                <c:ptCount val="1"/>
                <c:pt idx="0">
                  <c:v>Cheese Whey Processing</c:v>
                </c:pt>
              </c:strCache>
            </c:strRef>
          </c:tx>
          <c:spPr>
            <a:solidFill>
              <a:schemeClr val="accent2"/>
            </a:solidFill>
            <a:ln>
              <a:noFill/>
            </a:ln>
            <a:effectLst/>
          </c:spPr>
          <c:invertIfNegative val="0"/>
          <c:val>
            <c:numRef>
              <c:f>CAPEX!$B$547</c:f>
              <c:numCache>
                <c:formatCode>#,##0</c:formatCode>
                <c:ptCount val="1"/>
                <c:pt idx="0">
                  <c:v>1645965.6270352765</c:v>
                </c:pt>
              </c:numCache>
            </c:numRef>
          </c:val>
          <c:extLst>
            <c:ext xmlns:c16="http://schemas.microsoft.com/office/drawing/2014/chart" uri="{C3380CC4-5D6E-409C-BE32-E72D297353CC}">
              <c16:uniqueId val="{00000002-EC8B-8E48-876A-2711201DE1DD}"/>
            </c:ext>
          </c:extLst>
        </c:ser>
        <c:ser>
          <c:idx val="3"/>
          <c:order val="3"/>
          <c:tx>
            <c:strRef>
              <c:f>CAPEX!$A$548</c:f>
              <c:strCache>
                <c:ptCount val="1"/>
                <c:pt idx="0">
                  <c:v>Feedstock Preparation</c:v>
                </c:pt>
              </c:strCache>
            </c:strRef>
          </c:tx>
          <c:spPr>
            <a:solidFill>
              <a:schemeClr val="tx1">
                <a:lumMod val="75000"/>
                <a:lumOff val="25000"/>
              </a:schemeClr>
            </a:solidFill>
            <a:ln>
              <a:noFill/>
            </a:ln>
            <a:effectLst/>
          </c:spPr>
          <c:invertIfNegative val="0"/>
          <c:val>
            <c:numRef>
              <c:f>CAPEX!$B$548</c:f>
              <c:numCache>
                <c:formatCode>#,##0</c:formatCode>
                <c:ptCount val="1"/>
                <c:pt idx="0">
                  <c:v>29872414.48031405</c:v>
                </c:pt>
              </c:numCache>
            </c:numRef>
          </c:val>
          <c:extLst>
            <c:ext xmlns:c16="http://schemas.microsoft.com/office/drawing/2014/chart" uri="{C3380CC4-5D6E-409C-BE32-E72D297353CC}">
              <c16:uniqueId val="{00000003-EC8B-8E48-876A-2711201DE1DD}"/>
            </c:ext>
          </c:extLst>
        </c:ser>
        <c:ser>
          <c:idx val="4"/>
          <c:order val="4"/>
          <c:tx>
            <c:strRef>
              <c:f>CAPEX!$A$549</c:f>
              <c:strCache>
                <c:ptCount val="1"/>
                <c:pt idx="0">
                  <c:v>Food Waste Ensiling</c:v>
                </c:pt>
              </c:strCache>
            </c:strRef>
          </c:tx>
          <c:spPr>
            <a:solidFill>
              <a:srgbClr val="CC9900"/>
            </a:solidFill>
            <a:ln>
              <a:noFill/>
            </a:ln>
            <a:effectLst/>
          </c:spPr>
          <c:invertIfNegative val="0"/>
          <c:val>
            <c:numRef>
              <c:f>CAPEX!$B$549</c:f>
              <c:numCache>
                <c:formatCode>#,##0</c:formatCode>
                <c:ptCount val="1"/>
                <c:pt idx="0">
                  <c:v>428415.40169322415</c:v>
                </c:pt>
              </c:numCache>
            </c:numRef>
          </c:val>
          <c:extLst>
            <c:ext xmlns:c16="http://schemas.microsoft.com/office/drawing/2014/chart" uri="{C3380CC4-5D6E-409C-BE32-E72D297353CC}">
              <c16:uniqueId val="{00000004-EC8B-8E48-876A-2711201DE1DD}"/>
            </c:ext>
          </c:extLst>
        </c:ser>
        <c:ser>
          <c:idx val="5"/>
          <c:order val="5"/>
          <c:tx>
            <c:strRef>
              <c:f>CAPEX!$A$550</c:f>
              <c:strCache>
                <c:ptCount val="1"/>
                <c:pt idx="0">
                  <c:v>Food Waste Digestion</c:v>
                </c:pt>
              </c:strCache>
            </c:strRef>
          </c:tx>
          <c:spPr>
            <a:solidFill>
              <a:srgbClr val="CCCC00"/>
            </a:solidFill>
            <a:ln>
              <a:noFill/>
            </a:ln>
            <a:effectLst/>
          </c:spPr>
          <c:invertIfNegative val="0"/>
          <c:val>
            <c:numRef>
              <c:f>CAPEX!$B$550</c:f>
              <c:numCache>
                <c:formatCode>#,##0</c:formatCode>
                <c:ptCount val="1"/>
                <c:pt idx="0">
                  <c:v>2190863.7909880206</c:v>
                </c:pt>
              </c:numCache>
            </c:numRef>
          </c:val>
          <c:extLst>
            <c:ext xmlns:c16="http://schemas.microsoft.com/office/drawing/2014/chart" uri="{C3380CC4-5D6E-409C-BE32-E72D297353CC}">
              <c16:uniqueId val="{00000005-EC8B-8E48-876A-2711201DE1DD}"/>
            </c:ext>
          </c:extLst>
        </c:ser>
        <c:ser>
          <c:idx val="6"/>
          <c:order val="6"/>
          <c:tx>
            <c:strRef>
              <c:f>CAPEX!$A$551</c:f>
              <c:strCache>
                <c:ptCount val="1"/>
                <c:pt idx="0">
                  <c:v>Manure Digestion</c:v>
                </c:pt>
              </c:strCache>
            </c:strRef>
          </c:tx>
          <c:spPr>
            <a:solidFill>
              <a:srgbClr val="996633"/>
            </a:solidFill>
            <a:ln>
              <a:noFill/>
            </a:ln>
            <a:effectLst/>
          </c:spPr>
          <c:invertIfNegative val="0"/>
          <c:val>
            <c:numRef>
              <c:f>CAPEX!$B$551</c:f>
              <c:numCache>
                <c:formatCode>#,##0</c:formatCode>
                <c:ptCount val="1"/>
                <c:pt idx="0">
                  <c:v>20084392.034063976</c:v>
                </c:pt>
              </c:numCache>
            </c:numRef>
          </c:val>
          <c:extLst>
            <c:ext xmlns:c16="http://schemas.microsoft.com/office/drawing/2014/chart" uri="{C3380CC4-5D6E-409C-BE32-E72D297353CC}">
              <c16:uniqueId val="{00000006-EC8B-8E48-876A-2711201DE1DD}"/>
            </c:ext>
          </c:extLst>
        </c:ser>
        <c:ser>
          <c:idx val="7"/>
          <c:order val="7"/>
          <c:tx>
            <c:strRef>
              <c:f>CAPEX!$A$552</c:f>
              <c:strCache>
                <c:ptCount val="1"/>
                <c:pt idx="0">
                  <c:v>Nitrogen Removal</c:v>
                </c:pt>
              </c:strCache>
            </c:strRef>
          </c:tx>
          <c:spPr>
            <a:solidFill>
              <a:srgbClr val="808000"/>
            </a:solidFill>
            <a:ln>
              <a:noFill/>
            </a:ln>
            <a:effectLst/>
          </c:spPr>
          <c:invertIfNegative val="0"/>
          <c:val>
            <c:numRef>
              <c:f>CAPEX!$B$552</c:f>
              <c:numCache>
                <c:formatCode>#,##0</c:formatCode>
                <c:ptCount val="1"/>
                <c:pt idx="0">
                  <c:v>101851589.49650778</c:v>
                </c:pt>
              </c:numCache>
            </c:numRef>
          </c:val>
          <c:extLst>
            <c:ext xmlns:c16="http://schemas.microsoft.com/office/drawing/2014/chart" uri="{C3380CC4-5D6E-409C-BE32-E72D297353CC}">
              <c16:uniqueId val="{00000007-EC8B-8E48-876A-2711201DE1DD}"/>
            </c:ext>
          </c:extLst>
        </c:ser>
        <c:ser>
          <c:idx val="8"/>
          <c:order val="8"/>
          <c:tx>
            <c:strRef>
              <c:f>CAPEX!$A$553</c:f>
              <c:strCache>
                <c:ptCount val="1"/>
                <c:pt idx="0">
                  <c:v>Chain-Elongation</c:v>
                </c:pt>
              </c:strCache>
            </c:strRef>
          </c:tx>
          <c:spPr>
            <a:solidFill>
              <a:srgbClr val="00CC66"/>
            </a:solidFill>
            <a:ln>
              <a:noFill/>
            </a:ln>
            <a:effectLst/>
          </c:spPr>
          <c:invertIfNegative val="0"/>
          <c:val>
            <c:numRef>
              <c:f>CAPEX!$B$553</c:f>
              <c:numCache>
                <c:formatCode>#,##0</c:formatCode>
                <c:ptCount val="1"/>
                <c:pt idx="0">
                  <c:v>93516151.334897533</c:v>
                </c:pt>
              </c:numCache>
            </c:numRef>
          </c:val>
          <c:extLst>
            <c:ext xmlns:c16="http://schemas.microsoft.com/office/drawing/2014/chart" uri="{C3380CC4-5D6E-409C-BE32-E72D297353CC}">
              <c16:uniqueId val="{00000008-EC8B-8E48-876A-2711201DE1DD}"/>
            </c:ext>
          </c:extLst>
        </c:ser>
        <c:ser>
          <c:idx val="9"/>
          <c:order val="9"/>
          <c:tx>
            <c:strRef>
              <c:f>CAPEX!$A$554</c:f>
              <c:strCache>
                <c:ptCount val="1"/>
                <c:pt idx="0">
                  <c:v>Electrodialysis</c:v>
                </c:pt>
              </c:strCache>
            </c:strRef>
          </c:tx>
          <c:spPr>
            <a:solidFill>
              <a:srgbClr val="F8E708"/>
            </a:solidFill>
            <a:ln>
              <a:noFill/>
            </a:ln>
            <a:effectLst/>
          </c:spPr>
          <c:invertIfNegative val="0"/>
          <c:val>
            <c:numRef>
              <c:f>CAPEX!$B$554</c:f>
              <c:numCache>
                <c:formatCode>#,##0</c:formatCode>
                <c:ptCount val="1"/>
                <c:pt idx="0">
                  <c:v>27033189.484874967</c:v>
                </c:pt>
              </c:numCache>
            </c:numRef>
          </c:val>
          <c:extLst>
            <c:ext xmlns:c16="http://schemas.microsoft.com/office/drawing/2014/chart" uri="{C3380CC4-5D6E-409C-BE32-E72D297353CC}">
              <c16:uniqueId val="{00000009-EC8B-8E48-876A-2711201DE1DD}"/>
            </c:ext>
          </c:extLst>
        </c:ser>
        <c:ser>
          <c:idx val="10"/>
          <c:order val="10"/>
          <c:tx>
            <c:strRef>
              <c:f>CAPEX!$A$555</c:f>
              <c:strCache>
                <c:ptCount val="1"/>
                <c:pt idx="0">
                  <c:v>Liquid-Liquid Extraction</c:v>
                </c:pt>
              </c:strCache>
            </c:strRef>
          </c:tx>
          <c:spPr>
            <a:solidFill>
              <a:schemeClr val="accent5"/>
            </a:solidFill>
            <a:ln>
              <a:noFill/>
            </a:ln>
            <a:effectLst/>
          </c:spPr>
          <c:invertIfNegative val="0"/>
          <c:val>
            <c:numRef>
              <c:f>CAPEX!$B$555</c:f>
              <c:numCache>
                <c:formatCode>#,##0</c:formatCode>
                <c:ptCount val="1"/>
                <c:pt idx="0">
                  <c:v>1187526.7450096353</c:v>
                </c:pt>
              </c:numCache>
            </c:numRef>
          </c:val>
          <c:extLst>
            <c:ext xmlns:c16="http://schemas.microsoft.com/office/drawing/2014/chart" uri="{C3380CC4-5D6E-409C-BE32-E72D297353CC}">
              <c16:uniqueId val="{0000000A-EC8B-8E48-876A-2711201DE1DD}"/>
            </c:ext>
          </c:extLst>
        </c:ser>
        <c:ser>
          <c:idx val="11"/>
          <c:order val="11"/>
          <c:tx>
            <c:strRef>
              <c:f>CAPEX!$A$556</c:f>
              <c:strCache>
                <c:ptCount val="1"/>
                <c:pt idx="0">
                  <c:v>Ketonization</c:v>
                </c:pt>
              </c:strCache>
            </c:strRef>
          </c:tx>
          <c:spPr>
            <a:solidFill>
              <a:srgbClr val="FF00FF"/>
            </a:solidFill>
            <a:ln>
              <a:noFill/>
            </a:ln>
            <a:effectLst/>
          </c:spPr>
          <c:invertIfNegative val="0"/>
          <c:val>
            <c:numRef>
              <c:f>CAPEX!$B$556</c:f>
              <c:numCache>
                <c:formatCode>#,##0</c:formatCode>
                <c:ptCount val="1"/>
                <c:pt idx="0">
                  <c:v>1786511.1784994458</c:v>
                </c:pt>
              </c:numCache>
            </c:numRef>
          </c:val>
          <c:extLst>
            <c:ext xmlns:c16="http://schemas.microsoft.com/office/drawing/2014/chart" uri="{C3380CC4-5D6E-409C-BE32-E72D297353CC}">
              <c16:uniqueId val="{0000000B-EC8B-8E48-876A-2711201DE1DD}"/>
            </c:ext>
          </c:extLst>
        </c:ser>
        <c:ser>
          <c:idx val="12"/>
          <c:order val="12"/>
          <c:tx>
            <c:strRef>
              <c:f>CAPEX!$A$557</c:f>
              <c:strCache>
                <c:ptCount val="1"/>
                <c:pt idx="0">
                  <c:v>Hydrodeoxygenation</c:v>
                </c:pt>
              </c:strCache>
            </c:strRef>
          </c:tx>
          <c:spPr>
            <a:solidFill>
              <a:srgbClr val="CC00FF"/>
            </a:solidFill>
            <a:ln>
              <a:noFill/>
            </a:ln>
            <a:effectLst/>
          </c:spPr>
          <c:invertIfNegative val="0"/>
          <c:val>
            <c:numRef>
              <c:f>CAPEX!$B$557</c:f>
              <c:numCache>
                <c:formatCode>#,##0</c:formatCode>
                <c:ptCount val="1"/>
                <c:pt idx="0">
                  <c:v>3916861.3953973008</c:v>
                </c:pt>
              </c:numCache>
            </c:numRef>
          </c:val>
          <c:extLst>
            <c:ext xmlns:c16="http://schemas.microsoft.com/office/drawing/2014/chart" uri="{C3380CC4-5D6E-409C-BE32-E72D297353CC}">
              <c16:uniqueId val="{0000000C-EC8B-8E48-876A-2711201DE1DD}"/>
            </c:ext>
          </c:extLst>
        </c:ser>
        <c:ser>
          <c:idx val="13"/>
          <c:order val="13"/>
          <c:tx>
            <c:strRef>
              <c:f>CAPEX!$A$558</c:f>
              <c:strCache>
                <c:ptCount val="1"/>
                <c:pt idx="0">
                  <c:v>Hydrocarbon Distillation</c:v>
                </c:pt>
              </c:strCache>
            </c:strRef>
          </c:tx>
          <c:spPr>
            <a:solidFill>
              <a:srgbClr val="FF99CC"/>
            </a:solidFill>
            <a:ln>
              <a:noFill/>
            </a:ln>
            <a:effectLst/>
          </c:spPr>
          <c:invertIfNegative val="0"/>
          <c:val>
            <c:numRef>
              <c:f>CAPEX!$B$558</c:f>
              <c:numCache>
                <c:formatCode>#,##0</c:formatCode>
                <c:ptCount val="1"/>
                <c:pt idx="0">
                  <c:v>116221.85625935157</c:v>
                </c:pt>
              </c:numCache>
            </c:numRef>
          </c:val>
          <c:extLst>
            <c:ext xmlns:c16="http://schemas.microsoft.com/office/drawing/2014/chart" uri="{C3380CC4-5D6E-409C-BE32-E72D297353CC}">
              <c16:uniqueId val="{0000000D-EC8B-8E48-876A-2711201DE1DD}"/>
            </c:ext>
          </c:extLst>
        </c:ser>
        <c:dLbls>
          <c:showLegendKey val="0"/>
          <c:showVal val="0"/>
          <c:showCatName val="0"/>
          <c:showSerName val="0"/>
          <c:showPercent val="0"/>
          <c:showBubbleSize val="0"/>
        </c:dLbls>
        <c:gapWidth val="50"/>
        <c:overlap val="100"/>
        <c:axId val="788352896"/>
        <c:axId val="788351456"/>
      </c:barChart>
      <c:catAx>
        <c:axId val="788352896"/>
        <c:scaling>
          <c:orientation val="minMax"/>
        </c:scaling>
        <c:delete val="1"/>
        <c:axPos val="b"/>
        <c:numFmt formatCode="General" sourceLinked="1"/>
        <c:majorTickMark val="none"/>
        <c:minorTickMark val="none"/>
        <c:tickLblPos val="nextTo"/>
        <c:crossAx val="788351456"/>
        <c:crosses val="autoZero"/>
        <c:auto val="1"/>
        <c:lblAlgn val="ctr"/>
        <c:lblOffset val="100"/>
        <c:noMultiLvlLbl val="0"/>
      </c:catAx>
      <c:valAx>
        <c:axId val="788351456"/>
        <c:scaling>
          <c:orientation val="minMax"/>
        </c:scaling>
        <c:delete val="0"/>
        <c:axPos val="l"/>
        <c:majorGridlines>
          <c:spPr>
            <a:ln w="12700" cap="flat" cmpd="sng" algn="ctr">
              <a:solidFill>
                <a:schemeClr val="tx1"/>
              </a:solidFill>
              <a:miter lim="800000"/>
            </a:ln>
            <a:effectLst/>
          </c:spPr>
        </c:majorGridlines>
        <c:title>
          <c:tx>
            <c:rich>
              <a:bodyPr rot="-540000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r>
                  <a:rPr lang="en-US" sz="1800" b="1"/>
                  <a:t> COST </a:t>
                </a:r>
                <a:r>
                  <a:rPr lang="en-US" sz="1800" b="0"/>
                  <a:t>[1E6</a:t>
                </a:r>
                <a:r>
                  <a:rPr lang="en-US" sz="1800" b="0" baseline="0"/>
                  <a:t> </a:t>
                </a:r>
                <a:r>
                  <a:rPr lang="en-US" sz="1800" b="0"/>
                  <a:t>USD (2026)]</a:t>
                </a:r>
              </a:p>
            </c:rich>
          </c:tx>
          <c:layout>
            <c:manualLayout>
              <c:xMode val="edge"/>
              <c:yMode val="edge"/>
              <c:x val="1.4172364764627691E-2"/>
              <c:y val="0.1835969979724246"/>
            </c:manualLayout>
          </c:layout>
          <c:overlay val="0"/>
          <c:spPr>
            <a:noFill/>
            <a:ln>
              <a:noFill/>
            </a:ln>
            <a:effectLst/>
          </c:spPr>
          <c:txPr>
            <a:bodyPr rot="-540000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crossAx val="788352896"/>
        <c:crosses val="autoZero"/>
        <c:crossBetween val="between"/>
        <c:dispUnits>
          <c:builtInUnit val="millions"/>
        </c:dispUnits>
      </c:valAx>
      <c:spPr>
        <a:noFill/>
        <a:ln w="19050">
          <a:solidFill>
            <a:schemeClr val="tx1"/>
          </a:solidFill>
        </a:ln>
        <a:effectLst/>
      </c:spPr>
    </c:plotArea>
    <c:legend>
      <c:legendPos val="b"/>
      <c:layout>
        <c:manualLayout>
          <c:xMode val="edge"/>
          <c:yMode val="edge"/>
          <c:x val="8.8022843280035328E-3"/>
          <c:y val="0.74301243443000442"/>
          <c:w val="0.98225738691362052"/>
          <c:h val="0.23502955283228683"/>
        </c:manualLayout>
      </c:layout>
      <c:overlay val="0"/>
      <c:spPr>
        <a:noFill/>
        <a:ln>
          <a:noFill/>
        </a:ln>
        <a:effectLst/>
      </c:spPr>
      <c:txPr>
        <a:bodyPr rot="0" spcFirstLastPara="1" vertOverflow="ellipsis" vert="horz" wrap="square" anchor="ctr" anchorCtr="1"/>
        <a:lstStyle/>
        <a:p>
          <a:pPr>
            <a:defRPr sz="2400" b="0"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miter lim="800000"/>
    </a:ln>
    <a:effectLst/>
  </c:spPr>
  <c:txPr>
    <a:bodyPr/>
    <a:lstStyle/>
    <a:p>
      <a:pPr>
        <a:defRPr>
          <a:solidFill>
            <a:sysClr val="windowText" lastClr="000000"/>
          </a:solidFill>
          <a:latin typeface="Arial Nova Cond" panose="020B0506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0" baseline="0">
                <a:solidFill>
                  <a:sysClr val="windowText" lastClr="000000"/>
                </a:solidFill>
                <a:latin typeface="Arial Nova Cond" panose="020B0506020202020204" pitchFamily="34" charset="0"/>
                <a:ea typeface="+mn-ea"/>
                <a:cs typeface="Arial" panose="020B0604020202020204" pitchFamily="34" charset="0"/>
              </a:defRPr>
            </a:pPr>
            <a:r>
              <a:rPr lang="en-US" sz="1800" b="1" cap="all" baseline="0"/>
              <a:t>Operational Expenses: Path A - Jet Fuel</a:t>
            </a:r>
          </a:p>
        </c:rich>
      </c:tx>
      <c:layout>
        <c:manualLayout>
          <c:xMode val="edge"/>
          <c:yMode val="edge"/>
          <c:x val="1.7222036549336267E-2"/>
          <c:y val="1.9394954656148683E-2"/>
        </c:manualLayout>
      </c:layout>
      <c:overlay val="0"/>
      <c:spPr>
        <a:noFill/>
        <a:ln>
          <a:noFill/>
        </a:ln>
        <a:effectLst/>
      </c:spPr>
      <c:txPr>
        <a:bodyPr rot="0" spcFirstLastPara="1" vertOverflow="ellipsis" vert="horz" wrap="square" anchor="ctr" anchorCtr="1"/>
        <a:lstStyle/>
        <a:p>
          <a:pPr>
            <a:defRPr sz="1800" b="1" i="0" u="none" strike="noStrike" kern="1200" cap="all" spc="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4445543627929361"/>
          <c:y val="0.10499398652383728"/>
          <c:w val="0.80822660387193079"/>
          <c:h val="0.677434337322397"/>
        </c:manualLayout>
      </c:layout>
      <c:barChart>
        <c:barDir val="col"/>
        <c:grouping val="stacked"/>
        <c:varyColors val="0"/>
        <c:ser>
          <c:idx val="0"/>
          <c:order val="0"/>
          <c:tx>
            <c:strRef>
              <c:f>OPEX!$A$666</c:f>
              <c:strCache>
                <c:ptCount val="1"/>
                <c:pt idx="0">
                  <c:v>Transportation</c:v>
                </c:pt>
              </c:strCache>
            </c:strRef>
          </c:tx>
          <c:spPr>
            <a:solidFill>
              <a:srgbClr val="CCFF99"/>
            </a:solidFill>
            <a:ln>
              <a:noFill/>
            </a:ln>
            <a:effectLst/>
          </c:spPr>
          <c:invertIfNegative val="0"/>
          <c:val>
            <c:numRef>
              <c:f>OPEX!$B$666</c:f>
              <c:numCache>
                <c:formatCode>_("$"* #,##0.00_);_("$"* \(#,##0.00\);_("$"* "-"??_);_(@_)</c:formatCode>
                <c:ptCount val="1"/>
                <c:pt idx="0">
                  <c:v>19038577.790099878</c:v>
                </c:pt>
              </c:numCache>
            </c:numRef>
          </c:val>
          <c:extLst>
            <c:ext xmlns:c16="http://schemas.microsoft.com/office/drawing/2014/chart" uri="{C3380CC4-5D6E-409C-BE32-E72D297353CC}">
              <c16:uniqueId val="{00000000-182C-41A5-9D82-C41C2166E543}"/>
            </c:ext>
          </c:extLst>
        </c:ser>
        <c:ser>
          <c:idx val="1"/>
          <c:order val="1"/>
          <c:tx>
            <c:strRef>
              <c:f>OPEX!$A$667</c:f>
              <c:strCache>
                <c:ptCount val="1"/>
                <c:pt idx="0">
                  <c:v>Ocean Water Processing</c:v>
                </c:pt>
              </c:strCache>
            </c:strRef>
          </c:tx>
          <c:spPr>
            <a:solidFill>
              <a:srgbClr val="00B0F0"/>
            </a:solidFill>
            <a:ln>
              <a:noFill/>
            </a:ln>
            <a:effectLst/>
          </c:spPr>
          <c:invertIfNegative val="0"/>
          <c:val>
            <c:numRef>
              <c:f>OPEX!$B$667</c:f>
              <c:numCache>
                <c:formatCode>_("$"* #,##0.00_);_("$"* \(#,##0.00\);_("$"* "-"??_);_(@_)</c:formatCode>
                <c:ptCount val="1"/>
                <c:pt idx="0">
                  <c:v>938729.3860583338</c:v>
                </c:pt>
              </c:numCache>
            </c:numRef>
          </c:val>
          <c:extLst>
            <c:ext xmlns:c16="http://schemas.microsoft.com/office/drawing/2014/chart" uri="{C3380CC4-5D6E-409C-BE32-E72D297353CC}">
              <c16:uniqueId val="{00000001-182C-41A5-9D82-C41C2166E543}"/>
            </c:ext>
          </c:extLst>
        </c:ser>
        <c:ser>
          <c:idx val="2"/>
          <c:order val="2"/>
          <c:tx>
            <c:strRef>
              <c:f>OPEX!$A$668</c:f>
              <c:strCache>
                <c:ptCount val="1"/>
                <c:pt idx="0">
                  <c:v>Cheese Whey Processing</c:v>
                </c:pt>
              </c:strCache>
            </c:strRef>
          </c:tx>
          <c:spPr>
            <a:solidFill>
              <a:schemeClr val="accent2"/>
            </a:solidFill>
            <a:ln>
              <a:noFill/>
            </a:ln>
            <a:effectLst/>
          </c:spPr>
          <c:invertIfNegative val="0"/>
          <c:val>
            <c:numRef>
              <c:f>OPEX!$B$668</c:f>
              <c:numCache>
                <c:formatCode>_("$"* #,##0.00_);_("$"* \(#,##0.00\);_("$"* "-"??_);_(@_)</c:formatCode>
                <c:ptCount val="1"/>
                <c:pt idx="0">
                  <c:v>2187000.5136251934</c:v>
                </c:pt>
              </c:numCache>
            </c:numRef>
          </c:val>
          <c:extLst>
            <c:ext xmlns:c16="http://schemas.microsoft.com/office/drawing/2014/chart" uri="{C3380CC4-5D6E-409C-BE32-E72D297353CC}">
              <c16:uniqueId val="{00000002-182C-41A5-9D82-C41C2166E543}"/>
            </c:ext>
          </c:extLst>
        </c:ser>
        <c:ser>
          <c:idx val="3"/>
          <c:order val="3"/>
          <c:tx>
            <c:strRef>
              <c:f>OPEX!$A$669</c:f>
              <c:strCache>
                <c:ptCount val="1"/>
                <c:pt idx="0">
                  <c:v>Feedstock Preparation</c:v>
                </c:pt>
              </c:strCache>
            </c:strRef>
          </c:tx>
          <c:spPr>
            <a:solidFill>
              <a:schemeClr val="tx1">
                <a:lumMod val="75000"/>
                <a:lumOff val="25000"/>
              </a:schemeClr>
            </a:solidFill>
            <a:ln>
              <a:noFill/>
            </a:ln>
            <a:effectLst/>
          </c:spPr>
          <c:invertIfNegative val="0"/>
          <c:val>
            <c:numRef>
              <c:f>OPEX!$B$669</c:f>
              <c:numCache>
                <c:formatCode>_("$"* #,##0.00_);_("$"* \(#,##0.00\);_("$"* "-"??_);_(@_)</c:formatCode>
                <c:ptCount val="1"/>
                <c:pt idx="0">
                  <c:v>40581.342161484346</c:v>
                </c:pt>
              </c:numCache>
            </c:numRef>
          </c:val>
          <c:extLst>
            <c:ext xmlns:c16="http://schemas.microsoft.com/office/drawing/2014/chart" uri="{C3380CC4-5D6E-409C-BE32-E72D297353CC}">
              <c16:uniqueId val="{00000003-182C-41A5-9D82-C41C2166E543}"/>
            </c:ext>
          </c:extLst>
        </c:ser>
        <c:ser>
          <c:idx val="4"/>
          <c:order val="4"/>
          <c:tx>
            <c:strRef>
              <c:f>OPEX!$A$670</c:f>
              <c:strCache>
                <c:ptCount val="1"/>
                <c:pt idx="0">
                  <c:v>Food Waste Ensiling</c:v>
                </c:pt>
              </c:strCache>
            </c:strRef>
          </c:tx>
          <c:spPr>
            <a:solidFill>
              <a:srgbClr val="CC9900"/>
            </a:solidFill>
            <a:ln>
              <a:noFill/>
            </a:ln>
            <a:effectLst/>
          </c:spPr>
          <c:invertIfNegative val="0"/>
          <c:val>
            <c:numRef>
              <c:f>OPEX!$B$670</c:f>
              <c:numCache>
                <c:formatCode>_("$"* #,##0.00_);_("$"* \(#,##0.00\);_("$"* "-"??_);_(@_)</c:formatCode>
                <c:ptCount val="1"/>
                <c:pt idx="0">
                  <c:v>1525322.2265870112</c:v>
                </c:pt>
              </c:numCache>
            </c:numRef>
          </c:val>
          <c:extLst>
            <c:ext xmlns:c16="http://schemas.microsoft.com/office/drawing/2014/chart" uri="{C3380CC4-5D6E-409C-BE32-E72D297353CC}">
              <c16:uniqueId val="{00000004-182C-41A5-9D82-C41C2166E543}"/>
            </c:ext>
          </c:extLst>
        </c:ser>
        <c:ser>
          <c:idx val="5"/>
          <c:order val="5"/>
          <c:tx>
            <c:strRef>
              <c:f>OPEX!$A$671</c:f>
              <c:strCache>
                <c:ptCount val="1"/>
                <c:pt idx="0">
                  <c:v>Food Waste Digestion</c:v>
                </c:pt>
              </c:strCache>
            </c:strRef>
          </c:tx>
          <c:spPr>
            <a:solidFill>
              <a:srgbClr val="CCCC00"/>
            </a:solidFill>
            <a:ln>
              <a:noFill/>
            </a:ln>
            <a:effectLst/>
          </c:spPr>
          <c:invertIfNegative val="0"/>
          <c:val>
            <c:numRef>
              <c:f>OPEX!$B$671</c:f>
              <c:numCache>
                <c:formatCode>_("$"* #,##0.00_);_("$"* \(#,##0.00\);_("$"* "-"??_);_(@_)</c:formatCode>
                <c:ptCount val="1"/>
                <c:pt idx="0">
                  <c:v>1594870.5474196973</c:v>
                </c:pt>
              </c:numCache>
            </c:numRef>
          </c:val>
          <c:extLst>
            <c:ext xmlns:c16="http://schemas.microsoft.com/office/drawing/2014/chart" uri="{C3380CC4-5D6E-409C-BE32-E72D297353CC}">
              <c16:uniqueId val="{00000005-182C-41A5-9D82-C41C2166E543}"/>
            </c:ext>
          </c:extLst>
        </c:ser>
        <c:ser>
          <c:idx val="6"/>
          <c:order val="6"/>
          <c:tx>
            <c:strRef>
              <c:f>OPEX!$A$672</c:f>
              <c:strCache>
                <c:ptCount val="1"/>
                <c:pt idx="0">
                  <c:v>Manure Digestion</c:v>
                </c:pt>
              </c:strCache>
            </c:strRef>
          </c:tx>
          <c:spPr>
            <a:solidFill>
              <a:srgbClr val="996633"/>
            </a:solidFill>
            <a:ln>
              <a:noFill/>
            </a:ln>
            <a:effectLst/>
          </c:spPr>
          <c:invertIfNegative val="0"/>
          <c:val>
            <c:numRef>
              <c:f>OPEX!$B$672</c:f>
              <c:numCache>
                <c:formatCode>_("$"* #,##0.00_);_("$"* \(#,##0.00\);_("$"* "-"??_);_(@_)</c:formatCode>
                <c:ptCount val="1"/>
                <c:pt idx="0">
                  <c:v>2153834.9267772762</c:v>
                </c:pt>
              </c:numCache>
            </c:numRef>
          </c:val>
          <c:extLst>
            <c:ext xmlns:c16="http://schemas.microsoft.com/office/drawing/2014/chart" uri="{C3380CC4-5D6E-409C-BE32-E72D297353CC}">
              <c16:uniqueId val="{00000006-182C-41A5-9D82-C41C2166E543}"/>
            </c:ext>
          </c:extLst>
        </c:ser>
        <c:ser>
          <c:idx val="7"/>
          <c:order val="7"/>
          <c:tx>
            <c:strRef>
              <c:f>OPEX!$A$673</c:f>
              <c:strCache>
                <c:ptCount val="1"/>
                <c:pt idx="0">
                  <c:v>Nitrogen Removal</c:v>
                </c:pt>
              </c:strCache>
            </c:strRef>
          </c:tx>
          <c:spPr>
            <a:solidFill>
              <a:srgbClr val="808000"/>
            </a:solidFill>
            <a:ln>
              <a:noFill/>
            </a:ln>
            <a:effectLst/>
          </c:spPr>
          <c:invertIfNegative val="0"/>
          <c:val>
            <c:numRef>
              <c:f>OPEX!$B$673</c:f>
              <c:numCache>
                <c:formatCode>_("$"* #,##0.00_);_("$"* \(#,##0.00\);_("$"* "-"??_);_(@_)</c:formatCode>
                <c:ptCount val="1"/>
                <c:pt idx="0">
                  <c:v>817245.0546686094</c:v>
                </c:pt>
              </c:numCache>
            </c:numRef>
          </c:val>
          <c:extLst>
            <c:ext xmlns:c16="http://schemas.microsoft.com/office/drawing/2014/chart" uri="{C3380CC4-5D6E-409C-BE32-E72D297353CC}">
              <c16:uniqueId val="{00000008-182C-41A5-9D82-C41C2166E543}"/>
            </c:ext>
          </c:extLst>
        </c:ser>
        <c:ser>
          <c:idx val="8"/>
          <c:order val="8"/>
          <c:tx>
            <c:strRef>
              <c:f>OPEX!$A$674</c:f>
              <c:strCache>
                <c:ptCount val="1"/>
                <c:pt idx="0">
                  <c:v>Chain-Elongation</c:v>
                </c:pt>
              </c:strCache>
            </c:strRef>
          </c:tx>
          <c:spPr>
            <a:solidFill>
              <a:srgbClr val="00CC66"/>
            </a:solidFill>
            <a:ln>
              <a:noFill/>
            </a:ln>
            <a:effectLst/>
          </c:spPr>
          <c:invertIfNegative val="0"/>
          <c:val>
            <c:numRef>
              <c:f>OPEX!$B$674</c:f>
              <c:numCache>
                <c:formatCode>_("$"* #,##0.00_);_("$"* \(#,##0.00\);_("$"* "-"??_);_(@_)</c:formatCode>
                <c:ptCount val="1"/>
                <c:pt idx="0">
                  <c:v>2020253.8137297588</c:v>
                </c:pt>
              </c:numCache>
            </c:numRef>
          </c:val>
          <c:extLst>
            <c:ext xmlns:c16="http://schemas.microsoft.com/office/drawing/2014/chart" uri="{C3380CC4-5D6E-409C-BE32-E72D297353CC}">
              <c16:uniqueId val="{0000000A-182C-41A5-9D82-C41C2166E543}"/>
            </c:ext>
          </c:extLst>
        </c:ser>
        <c:ser>
          <c:idx val="9"/>
          <c:order val="9"/>
          <c:tx>
            <c:strRef>
              <c:f>OPEX!$A$675</c:f>
              <c:strCache>
                <c:ptCount val="1"/>
                <c:pt idx="0">
                  <c:v>Electrodialysis</c:v>
                </c:pt>
              </c:strCache>
            </c:strRef>
          </c:tx>
          <c:spPr>
            <a:solidFill>
              <a:srgbClr val="F8E708"/>
            </a:solidFill>
            <a:ln>
              <a:noFill/>
            </a:ln>
            <a:effectLst/>
          </c:spPr>
          <c:invertIfNegative val="0"/>
          <c:val>
            <c:numRef>
              <c:f>OPEX!$B$675</c:f>
              <c:numCache>
                <c:formatCode>_("$"* #,##0.00_);_("$"* \(#,##0.00\);_("$"* "-"??_);_(@_)</c:formatCode>
                <c:ptCount val="1"/>
                <c:pt idx="0">
                  <c:v>1822183.716448043</c:v>
                </c:pt>
              </c:numCache>
            </c:numRef>
          </c:val>
          <c:extLst>
            <c:ext xmlns:c16="http://schemas.microsoft.com/office/drawing/2014/chart" uri="{C3380CC4-5D6E-409C-BE32-E72D297353CC}">
              <c16:uniqueId val="{0000000B-182C-41A5-9D82-C41C2166E543}"/>
            </c:ext>
          </c:extLst>
        </c:ser>
        <c:ser>
          <c:idx val="10"/>
          <c:order val="10"/>
          <c:tx>
            <c:strRef>
              <c:f>OPEX!$A$676</c:f>
              <c:strCache>
                <c:ptCount val="1"/>
                <c:pt idx="0">
                  <c:v>Liquid-Liquid Extraction</c:v>
                </c:pt>
              </c:strCache>
            </c:strRef>
          </c:tx>
          <c:spPr>
            <a:solidFill>
              <a:schemeClr val="accent5"/>
            </a:solidFill>
            <a:ln>
              <a:noFill/>
            </a:ln>
            <a:effectLst/>
          </c:spPr>
          <c:invertIfNegative val="0"/>
          <c:val>
            <c:numRef>
              <c:f>OPEX!$B$676</c:f>
              <c:numCache>
                <c:formatCode>_("$"* #,##0.00_);_("$"* \(#,##0.00\);_("$"* "-"??_);_(@_)</c:formatCode>
                <c:ptCount val="1"/>
                <c:pt idx="0">
                  <c:v>546347.62739883957</c:v>
                </c:pt>
              </c:numCache>
            </c:numRef>
          </c:val>
          <c:extLst>
            <c:ext xmlns:c16="http://schemas.microsoft.com/office/drawing/2014/chart" uri="{C3380CC4-5D6E-409C-BE32-E72D297353CC}">
              <c16:uniqueId val="{0000000C-182C-41A5-9D82-C41C2166E543}"/>
            </c:ext>
          </c:extLst>
        </c:ser>
        <c:ser>
          <c:idx val="11"/>
          <c:order val="11"/>
          <c:tx>
            <c:strRef>
              <c:f>OPEX!$A$677</c:f>
              <c:strCache>
                <c:ptCount val="1"/>
                <c:pt idx="0">
                  <c:v>Ketonization</c:v>
                </c:pt>
              </c:strCache>
            </c:strRef>
          </c:tx>
          <c:spPr>
            <a:solidFill>
              <a:srgbClr val="FF00FF"/>
            </a:solidFill>
            <a:ln>
              <a:noFill/>
            </a:ln>
            <a:effectLst/>
          </c:spPr>
          <c:invertIfNegative val="0"/>
          <c:val>
            <c:numRef>
              <c:f>OPEX!$B$677</c:f>
              <c:numCache>
                <c:formatCode>_("$"* #,##0.00_);_("$"* \(#,##0.00\);_("$"* "-"??_);_(@_)</c:formatCode>
                <c:ptCount val="1"/>
                <c:pt idx="0">
                  <c:v>478023.14149690169</c:v>
                </c:pt>
              </c:numCache>
            </c:numRef>
          </c:val>
          <c:extLst>
            <c:ext xmlns:c16="http://schemas.microsoft.com/office/drawing/2014/chart" uri="{C3380CC4-5D6E-409C-BE32-E72D297353CC}">
              <c16:uniqueId val="{0000000D-182C-41A5-9D82-C41C2166E543}"/>
            </c:ext>
          </c:extLst>
        </c:ser>
        <c:ser>
          <c:idx val="12"/>
          <c:order val="12"/>
          <c:tx>
            <c:strRef>
              <c:f>OPEX!$A$678</c:f>
              <c:strCache>
                <c:ptCount val="1"/>
                <c:pt idx="0">
                  <c:v>Hydrodeoxygenation</c:v>
                </c:pt>
              </c:strCache>
            </c:strRef>
          </c:tx>
          <c:spPr>
            <a:solidFill>
              <a:srgbClr val="CC00FF"/>
            </a:solidFill>
            <a:ln>
              <a:noFill/>
            </a:ln>
            <a:effectLst/>
          </c:spPr>
          <c:invertIfNegative val="0"/>
          <c:val>
            <c:numRef>
              <c:f>OPEX!$B$678</c:f>
              <c:numCache>
                <c:formatCode>_("$"* #,##0.00_);_("$"* \(#,##0.00\);_("$"* "-"??_);_(@_)</c:formatCode>
                <c:ptCount val="1"/>
                <c:pt idx="0">
                  <c:v>339506.04903204623</c:v>
                </c:pt>
              </c:numCache>
            </c:numRef>
          </c:val>
          <c:extLst>
            <c:ext xmlns:c16="http://schemas.microsoft.com/office/drawing/2014/chart" uri="{C3380CC4-5D6E-409C-BE32-E72D297353CC}">
              <c16:uniqueId val="{0000000E-182C-41A5-9D82-C41C2166E543}"/>
            </c:ext>
          </c:extLst>
        </c:ser>
        <c:ser>
          <c:idx val="13"/>
          <c:order val="13"/>
          <c:tx>
            <c:strRef>
              <c:f>OPEX!$A$679</c:f>
              <c:strCache>
                <c:ptCount val="1"/>
                <c:pt idx="0">
                  <c:v>Hydrocarbon Distillation</c:v>
                </c:pt>
              </c:strCache>
            </c:strRef>
          </c:tx>
          <c:spPr>
            <a:solidFill>
              <a:srgbClr val="FF99CC"/>
            </a:solidFill>
            <a:ln>
              <a:noFill/>
            </a:ln>
            <a:effectLst/>
          </c:spPr>
          <c:invertIfNegative val="0"/>
          <c:val>
            <c:numRef>
              <c:f>OPEX!$B$679</c:f>
              <c:numCache>
                <c:formatCode>_("$"* #,##0.00_);_("$"* \(#,##0.00\);_("$"* "-"??_);_(@_)</c:formatCode>
                <c:ptCount val="1"/>
                <c:pt idx="0">
                  <c:v>325142.49695198773</c:v>
                </c:pt>
              </c:numCache>
            </c:numRef>
          </c:val>
          <c:extLst>
            <c:ext xmlns:c16="http://schemas.microsoft.com/office/drawing/2014/chart" uri="{C3380CC4-5D6E-409C-BE32-E72D297353CC}">
              <c16:uniqueId val="{0000000F-182C-41A5-9D82-C41C2166E543}"/>
            </c:ext>
          </c:extLst>
        </c:ser>
        <c:ser>
          <c:idx val="14"/>
          <c:order val="14"/>
          <c:tx>
            <c:strRef>
              <c:f>OPEX!$A$680</c:f>
              <c:strCache>
                <c:ptCount val="1"/>
                <c:pt idx="0">
                  <c:v>Overhead and Benefits</c:v>
                </c:pt>
              </c:strCache>
            </c:strRef>
          </c:tx>
          <c:spPr>
            <a:solidFill>
              <a:srgbClr val="006666"/>
            </a:solidFill>
            <a:ln>
              <a:noFill/>
            </a:ln>
            <a:effectLst/>
          </c:spPr>
          <c:invertIfNegative val="0"/>
          <c:val>
            <c:numRef>
              <c:f>OPEX!$B$680</c:f>
              <c:numCache>
                <c:formatCode>_("$"* #,##0.00_);_("$"* \(#,##0.00\);_("$"* "-"??_);_(@_)</c:formatCode>
                <c:ptCount val="1"/>
                <c:pt idx="0">
                  <c:v>21604500</c:v>
                </c:pt>
              </c:numCache>
            </c:numRef>
          </c:val>
          <c:extLst>
            <c:ext xmlns:c16="http://schemas.microsoft.com/office/drawing/2014/chart" uri="{C3380CC4-5D6E-409C-BE32-E72D297353CC}">
              <c16:uniqueId val="{00000010-182C-41A5-9D82-C41C2166E543}"/>
            </c:ext>
          </c:extLst>
        </c:ser>
        <c:ser>
          <c:idx val="15"/>
          <c:order val="15"/>
          <c:tx>
            <c:strRef>
              <c:f>OPEX!$A$681</c:f>
              <c:strCache>
                <c:ptCount val="1"/>
                <c:pt idx="0">
                  <c:v>Plant Maintenance</c:v>
                </c:pt>
              </c:strCache>
            </c:strRef>
          </c:tx>
          <c:spPr>
            <a:solidFill>
              <a:srgbClr val="339933"/>
            </a:solidFill>
            <a:ln>
              <a:noFill/>
            </a:ln>
            <a:effectLst/>
          </c:spPr>
          <c:invertIfNegative val="0"/>
          <c:val>
            <c:numRef>
              <c:f>OPEX!$B$681</c:f>
              <c:numCache>
                <c:formatCode>_("$"* #,##0.00_);_("$"* \(#,##0.00\);_("$"* "-"??_);_(@_)</c:formatCode>
                <c:ptCount val="1"/>
                <c:pt idx="0">
                  <c:v>11647984.105065042</c:v>
                </c:pt>
              </c:numCache>
            </c:numRef>
          </c:val>
          <c:extLst>
            <c:ext xmlns:c16="http://schemas.microsoft.com/office/drawing/2014/chart" uri="{C3380CC4-5D6E-409C-BE32-E72D297353CC}">
              <c16:uniqueId val="{00000011-182C-41A5-9D82-C41C2166E543}"/>
            </c:ext>
          </c:extLst>
        </c:ser>
        <c:ser>
          <c:idx val="16"/>
          <c:order val="16"/>
          <c:tx>
            <c:strRef>
              <c:f>OPEX!$A$682</c:f>
              <c:strCache>
                <c:ptCount val="1"/>
                <c:pt idx="0">
                  <c:v>Insurance</c:v>
                </c:pt>
              </c:strCache>
            </c:strRef>
          </c:tx>
          <c:spPr>
            <a:solidFill>
              <a:srgbClr val="3366CC"/>
            </a:solidFill>
            <a:ln>
              <a:noFill/>
            </a:ln>
            <a:effectLst/>
          </c:spPr>
          <c:invertIfNegative val="0"/>
          <c:val>
            <c:numRef>
              <c:f>OPEX!$B$682</c:f>
              <c:numCache>
                <c:formatCode>_("$"* #,##0.00_);_("$"* \(#,##0.00\);_("$"* "-"??_);_(@_)</c:formatCode>
                <c:ptCount val="1"/>
                <c:pt idx="0">
                  <c:v>2717862.9578485102</c:v>
                </c:pt>
              </c:numCache>
            </c:numRef>
          </c:val>
          <c:extLst>
            <c:ext xmlns:c16="http://schemas.microsoft.com/office/drawing/2014/chart" uri="{C3380CC4-5D6E-409C-BE32-E72D297353CC}">
              <c16:uniqueId val="{00000012-182C-41A5-9D82-C41C2166E543}"/>
            </c:ext>
          </c:extLst>
        </c:ser>
        <c:dLbls>
          <c:showLegendKey val="0"/>
          <c:showVal val="0"/>
          <c:showCatName val="0"/>
          <c:showSerName val="0"/>
          <c:showPercent val="0"/>
          <c:showBubbleSize val="0"/>
        </c:dLbls>
        <c:gapWidth val="50"/>
        <c:overlap val="100"/>
        <c:axId val="788352896"/>
        <c:axId val="788351456"/>
      </c:barChart>
      <c:catAx>
        <c:axId val="788352896"/>
        <c:scaling>
          <c:orientation val="minMax"/>
        </c:scaling>
        <c:delete val="1"/>
        <c:axPos val="b"/>
        <c:numFmt formatCode="General" sourceLinked="1"/>
        <c:majorTickMark val="none"/>
        <c:minorTickMark val="none"/>
        <c:tickLblPos val="nextTo"/>
        <c:crossAx val="788351456"/>
        <c:crosses val="autoZero"/>
        <c:auto val="1"/>
        <c:lblAlgn val="ctr"/>
        <c:lblOffset val="100"/>
        <c:noMultiLvlLbl val="0"/>
      </c:catAx>
      <c:valAx>
        <c:axId val="788351456"/>
        <c:scaling>
          <c:orientation val="minMax"/>
        </c:scaling>
        <c:delete val="0"/>
        <c:axPos val="l"/>
        <c:majorGridlines>
          <c:spPr>
            <a:ln w="12700" cap="flat" cmpd="sng" algn="ctr">
              <a:solidFill>
                <a:schemeClr val="tx1"/>
              </a:solidFill>
              <a:miter lim="800000"/>
            </a:ln>
            <a:effectLst/>
          </c:spPr>
        </c:majorGridlines>
        <c:title>
          <c:tx>
            <c:rich>
              <a:bodyPr rot="-540000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r>
                  <a:rPr lang="en-US" sz="1800" b="1"/>
                  <a:t>COSTS </a:t>
                </a:r>
                <a:r>
                  <a:rPr lang="en-US" sz="1800" b="0"/>
                  <a:t>[1E6</a:t>
                </a:r>
                <a:r>
                  <a:rPr lang="en-US" sz="1800" b="0" baseline="0"/>
                  <a:t> </a:t>
                </a:r>
                <a:r>
                  <a:rPr lang="en-US" sz="1800" b="0"/>
                  <a:t>USD (2026) / yr]</a:t>
                </a:r>
              </a:p>
            </c:rich>
          </c:tx>
          <c:layout>
            <c:manualLayout>
              <c:xMode val="edge"/>
              <c:yMode val="edge"/>
              <c:x val="1.8872775583186781E-2"/>
              <c:y val="0.19078724246634693"/>
            </c:manualLayout>
          </c:layout>
          <c:overlay val="0"/>
          <c:spPr>
            <a:noFill/>
            <a:ln>
              <a:noFill/>
            </a:ln>
            <a:effectLst/>
          </c:spPr>
          <c:txPr>
            <a:bodyPr rot="-540000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crossAx val="788352896"/>
        <c:crosses val="autoZero"/>
        <c:crossBetween val="between"/>
        <c:dispUnits>
          <c:builtInUnit val="millions"/>
        </c:dispUnits>
      </c:valAx>
      <c:spPr>
        <a:noFill/>
        <a:ln w="19050">
          <a:solidFill>
            <a:schemeClr val="tx1"/>
          </a:solidFill>
        </a:ln>
        <a:effectLst/>
      </c:spPr>
    </c:plotArea>
    <c:legend>
      <c:legendPos val="b"/>
      <c:layout>
        <c:manualLayout>
          <c:xMode val="edge"/>
          <c:yMode val="edge"/>
          <c:x val="8.8022428453787584E-3"/>
          <c:y val="0.8058123421929394"/>
          <c:w val="0.96958181049930436"/>
          <c:h val="0.18598710650949457"/>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miter lim="800000"/>
    </a:ln>
    <a:effectLst/>
  </c:spPr>
  <c:txPr>
    <a:bodyPr/>
    <a:lstStyle/>
    <a:p>
      <a:pPr>
        <a:defRPr>
          <a:solidFill>
            <a:sysClr val="windowText" lastClr="000000"/>
          </a:solidFill>
          <a:latin typeface="Arial Nova Cond" panose="020B0506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0" baseline="0">
                <a:solidFill>
                  <a:sysClr val="windowText" lastClr="000000"/>
                </a:solidFill>
                <a:latin typeface="Arial Nova Cond" panose="020B0506020202020204" pitchFamily="34" charset="0"/>
                <a:ea typeface="+mn-ea"/>
                <a:cs typeface="Arial" panose="020B0604020202020204" pitchFamily="34" charset="0"/>
              </a:defRPr>
            </a:pPr>
            <a:r>
              <a:rPr lang="en-US" sz="1800" b="1" cap="all" baseline="0"/>
              <a:t>Operational Expenses: Path B - Pure Esters</a:t>
            </a:r>
          </a:p>
        </c:rich>
      </c:tx>
      <c:layout>
        <c:manualLayout>
          <c:xMode val="edge"/>
          <c:yMode val="edge"/>
          <c:x val="2.7238730529862806E-2"/>
          <c:y val="1.6944182988959108E-2"/>
        </c:manualLayout>
      </c:layout>
      <c:overlay val="0"/>
      <c:spPr>
        <a:noFill/>
        <a:ln>
          <a:noFill/>
        </a:ln>
        <a:effectLst/>
      </c:spPr>
      <c:txPr>
        <a:bodyPr rot="0" spcFirstLastPara="1" vertOverflow="ellipsis" vert="horz" wrap="square" anchor="ctr" anchorCtr="1"/>
        <a:lstStyle/>
        <a:p>
          <a:pPr>
            <a:defRPr sz="1800" b="1" i="0" u="none" strike="noStrike" kern="1200" cap="all" spc="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5527834129904067"/>
          <c:y val="0.10736576128367173"/>
          <c:w val="0.80822660387193079"/>
          <c:h val="0.67363706990572658"/>
        </c:manualLayout>
      </c:layout>
      <c:barChart>
        <c:barDir val="col"/>
        <c:grouping val="stacked"/>
        <c:varyColors val="0"/>
        <c:ser>
          <c:idx val="0"/>
          <c:order val="0"/>
          <c:tx>
            <c:strRef>
              <c:f>OPEX!$A$694</c:f>
              <c:strCache>
                <c:ptCount val="1"/>
                <c:pt idx="0">
                  <c:v>Transportation</c:v>
                </c:pt>
              </c:strCache>
            </c:strRef>
          </c:tx>
          <c:spPr>
            <a:solidFill>
              <a:srgbClr val="CCFF99"/>
            </a:solidFill>
            <a:ln>
              <a:noFill/>
            </a:ln>
            <a:effectLst/>
          </c:spPr>
          <c:invertIfNegative val="0"/>
          <c:val>
            <c:numRef>
              <c:f>OPEX!$B$694</c:f>
              <c:numCache>
                <c:formatCode>_("$"* #,##0.00_);_("$"* \(#,##0.00\);_("$"* "-"??_);_(@_)</c:formatCode>
                <c:ptCount val="1"/>
                <c:pt idx="0">
                  <c:v>19038577.790099878</c:v>
                </c:pt>
              </c:numCache>
            </c:numRef>
          </c:val>
          <c:extLst>
            <c:ext xmlns:c16="http://schemas.microsoft.com/office/drawing/2014/chart" uri="{C3380CC4-5D6E-409C-BE32-E72D297353CC}">
              <c16:uniqueId val="{00000000-5BDA-4331-A289-707C3BE69BC1}"/>
            </c:ext>
          </c:extLst>
        </c:ser>
        <c:ser>
          <c:idx val="1"/>
          <c:order val="1"/>
          <c:tx>
            <c:strRef>
              <c:f>OPEX!$A$695</c:f>
              <c:strCache>
                <c:ptCount val="1"/>
                <c:pt idx="0">
                  <c:v>Ocean Water Processing</c:v>
                </c:pt>
              </c:strCache>
            </c:strRef>
          </c:tx>
          <c:spPr>
            <a:solidFill>
              <a:srgbClr val="00B0F0"/>
            </a:solidFill>
            <a:ln>
              <a:noFill/>
            </a:ln>
            <a:effectLst/>
          </c:spPr>
          <c:invertIfNegative val="0"/>
          <c:val>
            <c:numRef>
              <c:f>OPEX!$B$695</c:f>
              <c:numCache>
                <c:formatCode>_("$"* #,##0.00_);_("$"* \(#,##0.00\);_("$"* "-"??_);_(@_)</c:formatCode>
                <c:ptCount val="1"/>
                <c:pt idx="0">
                  <c:v>938729.3860583338</c:v>
                </c:pt>
              </c:numCache>
            </c:numRef>
          </c:val>
          <c:extLst>
            <c:ext xmlns:c16="http://schemas.microsoft.com/office/drawing/2014/chart" uri="{C3380CC4-5D6E-409C-BE32-E72D297353CC}">
              <c16:uniqueId val="{00000001-5BDA-4331-A289-707C3BE69BC1}"/>
            </c:ext>
          </c:extLst>
        </c:ser>
        <c:ser>
          <c:idx val="2"/>
          <c:order val="2"/>
          <c:tx>
            <c:strRef>
              <c:f>OPEX!$A$696</c:f>
              <c:strCache>
                <c:ptCount val="1"/>
                <c:pt idx="0">
                  <c:v>Cheese Whey Processing</c:v>
                </c:pt>
              </c:strCache>
            </c:strRef>
          </c:tx>
          <c:spPr>
            <a:solidFill>
              <a:schemeClr val="accent2"/>
            </a:solidFill>
            <a:ln>
              <a:noFill/>
            </a:ln>
            <a:effectLst/>
          </c:spPr>
          <c:invertIfNegative val="0"/>
          <c:val>
            <c:numRef>
              <c:f>OPEX!$B$696</c:f>
              <c:numCache>
                <c:formatCode>_("$"* #,##0.00_);_("$"* \(#,##0.00\);_("$"* "-"??_);_(@_)</c:formatCode>
                <c:ptCount val="1"/>
                <c:pt idx="0">
                  <c:v>2187000.5136251934</c:v>
                </c:pt>
              </c:numCache>
            </c:numRef>
          </c:val>
          <c:extLst>
            <c:ext xmlns:c16="http://schemas.microsoft.com/office/drawing/2014/chart" uri="{C3380CC4-5D6E-409C-BE32-E72D297353CC}">
              <c16:uniqueId val="{00000002-5BDA-4331-A289-707C3BE69BC1}"/>
            </c:ext>
          </c:extLst>
        </c:ser>
        <c:ser>
          <c:idx val="3"/>
          <c:order val="3"/>
          <c:tx>
            <c:strRef>
              <c:f>OPEX!$A$697</c:f>
              <c:strCache>
                <c:ptCount val="1"/>
                <c:pt idx="0">
                  <c:v>Feedstock Preparation</c:v>
                </c:pt>
              </c:strCache>
            </c:strRef>
          </c:tx>
          <c:spPr>
            <a:solidFill>
              <a:schemeClr val="tx1">
                <a:lumMod val="75000"/>
                <a:lumOff val="25000"/>
              </a:schemeClr>
            </a:solidFill>
            <a:ln>
              <a:noFill/>
            </a:ln>
            <a:effectLst/>
          </c:spPr>
          <c:invertIfNegative val="0"/>
          <c:val>
            <c:numRef>
              <c:f>OPEX!$B$697</c:f>
              <c:numCache>
                <c:formatCode>_("$"* #,##0.00_);_("$"* \(#,##0.00\);_("$"* "-"??_);_(@_)</c:formatCode>
                <c:ptCount val="1"/>
                <c:pt idx="0">
                  <c:v>40581.342161484346</c:v>
                </c:pt>
              </c:numCache>
            </c:numRef>
          </c:val>
          <c:extLst>
            <c:ext xmlns:c16="http://schemas.microsoft.com/office/drawing/2014/chart" uri="{C3380CC4-5D6E-409C-BE32-E72D297353CC}">
              <c16:uniqueId val="{00000003-5BDA-4331-A289-707C3BE69BC1}"/>
            </c:ext>
          </c:extLst>
        </c:ser>
        <c:ser>
          <c:idx val="4"/>
          <c:order val="4"/>
          <c:tx>
            <c:strRef>
              <c:f>OPEX!$A$698</c:f>
              <c:strCache>
                <c:ptCount val="1"/>
                <c:pt idx="0">
                  <c:v>Food Waste Ensiling</c:v>
                </c:pt>
              </c:strCache>
            </c:strRef>
          </c:tx>
          <c:spPr>
            <a:solidFill>
              <a:srgbClr val="CC9900"/>
            </a:solidFill>
            <a:ln>
              <a:noFill/>
            </a:ln>
            <a:effectLst/>
          </c:spPr>
          <c:invertIfNegative val="0"/>
          <c:val>
            <c:numRef>
              <c:f>OPEX!$B$698</c:f>
              <c:numCache>
                <c:formatCode>_("$"* #,##0.00_);_("$"* \(#,##0.00\);_("$"* "-"??_);_(@_)</c:formatCode>
                <c:ptCount val="1"/>
                <c:pt idx="0">
                  <c:v>1525322.2265870112</c:v>
                </c:pt>
              </c:numCache>
            </c:numRef>
          </c:val>
          <c:extLst>
            <c:ext xmlns:c16="http://schemas.microsoft.com/office/drawing/2014/chart" uri="{C3380CC4-5D6E-409C-BE32-E72D297353CC}">
              <c16:uniqueId val="{00000004-5BDA-4331-A289-707C3BE69BC1}"/>
            </c:ext>
          </c:extLst>
        </c:ser>
        <c:ser>
          <c:idx val="5"/>
          <c:order val="5"/>
          <c:tx>
            <c:strRef>
              <c:f>OPEX!$A$699</c:f>
              <c:strCache>
                <c:ptCount val="1"/>
                <c:pt idx="0">
                  <c:v>Food Waste Digestion</c:v>
                </c:pt>
              </c:strCache>
            </c:strRef>
          </c:tx>
          <c:spPr>
            <a:solidFill>
              <a:srgbClr val="CCCC00"/>
            </a:solidFill>
            <a:ln>
              <a:noFill/>
            </a:ln>
            <a:effectLst/>
          </c:spPr>
          <c:invertIfNegative val="0"/>
          <c:val>
            <c:numRef>
              <c:f>OPEX!$B$699</c:f>
              <c:numCache>
                <c:formatCode>_("$"* #,##0.00_);_("$"* \(#,##0.00\);_("$"* "-"??_);_(@_)</c:formatCode>
                <c:ptCount val="1"/>
                <c:pt idx="0">
                  <c:v>1594870.5474196973</c:v>
                </c:pt>
              </c:numCache>
            </c:numRef>
          </c:val>
          <c:extLst>
            <c:ext xmlns:c16="http://schemas.microsoft.com/office/drawing/2014/chart" uri="{C3380CC4-5D6E-409C-BE32-E72D297353CC}">
              <c16:uniqueId val="{00000005-5BDA-4331-A289-707C3BE69BC1}"/>
            </c:ext>
          </c:extLst>
        </c:ser>
        <c:ser>
          <c:idx val="6"/>
          <c:order val="6"/>
          <c:tx>
            <c:strRef>
              <c:f>OPEX!$A$700</c:f>
              <c:strCache>
                <c:ptCount val="1"/>
                <c:pt idx="0">
                  <c:v>Manure Digestion</c:v>
                </c:pt>
              </c:strCache>
            </c:strRef>
          </c:tx>
          <c:spPr>
            <a:solidFill>
              <a:srgbClr val="996633"/>
            </a:solidFill>
            <a:ln>
              <a:noFill/>
            </a:ln>
            <a:effectLst/>
          </c:spPr>
          <c:invertIfNegative val="0"/>
          <c:val>
            <c:numRef>
              <c:f>OPEX!$B$700</c:f>
              <c:numCache>
                <c:formatCode>_("$"* #,##0.00_);_("$"* \(#,##0.00\);_("$"* "-"??_);_(@_)</c:formatCode>
                <c:ptCount val="1"/>
                <c:pt idx="0">
                  <c:v>2153834.9267772762</c:v>
                </c:pt>
              </c:numCache>
            </c:numRef>
          </c:val>
          <c:extLst>
            <c:ext xmlns:c16="http://schemas.microsoft.com/office/drawing/2014/chart" uri="{C3380CC4-5D6E-409C-BE32-E72D297353CC}">
              <c16:uniqueId val="{00000006-5BDA-4331-A289-707C3BE69BC1}"/>
            </c:ext>
          </c:extLst>
        </c:ser>
        <c:ser>
          <c:idx val="7"/>
          <c:order val="7"/>
          <c:tx>
            <c:strRef>
              <c:f>OPEX!$A$701</c:f>
              <c:strCache>
                <c:ptCount val="1"/>
                <c:pt idx="0">
                  <c:v>Nitrogen Removal</c:v>
                </c:pt>
              </c:strCache>
            </c:strRef>
          </c:tx>
          <c:spPr>
            <a:solidFill>
              <a:srgbClr val="808000"/>
            </a:solidFill>
            <a:ln>
              <a:noFill/>
            </a:ln>
            <a:effectLst/>
          </c:spPr>
          <c:invertIfNegative val="0"/>
          <c:val>
            <c:numRef>
              <c:f>OPEX!$B$701</c:f>
              <c:numCache>
                <c:formatCode>_("$"* #,##0.00_);_("$"* \(#,##0.00\);_("$"* "-"??_);_(@_)</c:formatCode>
                <c:ptCount val="1"/>
                <c:pt idx="0">
                  <c:v>817245.0546686094</c:v>
                </c:pt>
              </c:numCache>
            </c:numRef>
          </c:val>
          <c:extLst>
            <c:ext xmlns:c16="http://schemas.microsoft.com/office/drawing/2014/chart" uri="{C3380CC4-5D6E-409C-BE32-E72D297353CC}">
              <c16:uniqueId val="{00000007-5BDA-4331-A289-707C3BE69BC1}"/>
            </c:ext>
          </c:extLst>
        </c:ser>
        <c:ser>
          <c:idx val="8"/>
          <c:order val="8"/>
          <c:tx>
            <c:strRef>
              <c:f>OPEX!$A$702</c:f>
              <c:strCache>
                <c:ptCount val="1"/>
                <c:pt idx="0">
                  <c:v>Chain-Elongation</c:v>
                </c:pt>
              </c:strCache>
            </c:strRef>
          </c:tx>
          <c:spPr>
            <a:solidFill>
              <a:srgbClr val="00CC66"/>
            </a:solidFill>
            <a:ln>
              <a:noFill/>
            </a:ln>
            <a:effectLst/>
          </c:spPr>
          <c:invertIfNegative val="0"/>
          <c:val>
            <c:numRef>
              <c:f>OPEX!$B$702</c:f>
              <c:numCache>
                <c:formatCode>_("$"* #,##0.00_);_("$"* \(#,##0.00\);_("$"* "-"??_);_(@_)</c:formatCode>
                <c:ptCount val="1"/>
                <c:pt idx="0">
                  <c:v>2020253.8137297588</c:v>
                </c:pt>
              </c:numCache>
            </c:numRef>
          </c:val>
          <c:extLst>
            <c:ext xmlns:c16="http://schemas.microsoft.com/office/drawing/2014/chart" uri="{C3380CC4-5D6E-409C-BE32-E72D297353CC}">
              <c16:uniqueId val="{00000008-5BDA-4331-A289-707C3BE69BC1}"/>
            </c:ext>
          </c:extLst>
        </c:ser>
        <c:ser>
          <c:idx val="9"/>
          <c:order val="9"/>
          <c:tx>
            <c:strRef>
              <c:f>OPEX!$A$703</c:f>
              <c:strCache>
                <c:ptCount val="1"/>
                <c:pt idx="0">
                  <c:v>Alcohol Conversion</c:v>
                </c:pt>
              </c:strCache>
            </c:strRef>
          </c:tx>
          <c:spPr>
            <a:solidFill>
              <a:srgbClr val="00CC99"/>
            </a:solidFill>
            <a:ln>
              <a:noFill/>
            </a:ln>
            <a:effectLst/>
          </c:spPr>
          <c:invertIfNegative val="0"/>
          <c:val>
            <c:numRef>
              <c:f>OPEX!$B$703</c:f>
              <c:numCache>
                <c:formatCode>_("$"* #,##0.00_);_("$"* \(#,##0.00\);_("$"* "-"??_);_(@_)</c:formatCode>
                <c:ptCount val="1"/>
                <c:pt idx="0">
                  <c:v>7186414.4171701279</c:v>
                </c:pt>
              </c:numCache>
            </c:numRef>
          </c:val>
          <c:extLst>
            <c:ext xmlns:c16="http://schemas.microsoft.com/office/drawing/2014/chart" uri="{C3380CC4-5D6E-409C-BE32-E72D297353CC}">
              <c16:uniqueId val="{00000009-5BDA-4331-A289-707C3BE69BC1}"/>
            </c:ext>
          </c:extLst>
        </c:ser>
        <c:ser>
          <c:idx val="10"/>
          <c:order val="10"/>
          <c:tx>
            <c:strRef>
              <c:f>OPEX!$A$704</c:f>
              <c:strCache>
                <c:ptCount val="1"/>
                <c:pt idx="0">
                  <c:v>Electrodialysis</c:v>
                </c:pt>
              </c:strCache>
            </c:strRef>
          </c:tx>
          <c:spPr>
            <a:solidFill>
              <a:srgbClr val="F8E708"/>
            </a:solidFill>
            <a:ln>
              <a:noFill/>
            </a:ln>
            <a:effectLst/>
          </c:spPr>
          <c:invertIfNegative val="0"/>
          <c:val>
            <c:numRef>
              <c:f>OPEX!$B$704</c:f>
              <c:numCache>
                <c:formatCode>_("$"* #,##0.00_);_("$"* \(#,##0.00\);_("$"* "-"??_);_(@_)</c:formatCode>
                <c:ptCount val="1"/>
                <c:pt idx="0">
                  <c:v>2438300.7116099866</c:v>
                </c:pt>
              </c:numCache>
            </c:numRef>
          </c:val>
          <c:extLst>
            <c:ext xmlns:c16="http://schemas.microsoft.com/office/drawing/2014/chart" uri="{C3380CC4-5D6E-409C-BE32-E72D297353CC}">
              <c16:uniqueId val="{0000000A-5BDA-4331-A289-707C3BE69BC1}"/>
            </c:ext>
          </c:extLst>
        </c:ser>
        <c:ser>
          <c:idx val="11"/>
          <c:order val="11"/>
          <c:tx>
            <c:strRef>
              <c:f>OPEX!$A$705</c:f>
              <c:strCache>
                <c:ptCount val="1"/>
                <c:pt idx="0">
                  <c:v>Supercritical CO2 Extraction</c:v>
                </c:pt>
              </c:strCache>
            </c:strRef>
          </c:tx>
          <c:spPr>
            <a:solidFill>
              <a:srgbClr val="00FF99"/>
            </a:solidFill>
            <a:ln>
              <a:noFill/>
            </a:ln>
            <a:effectLst/>
          </c:spPr>
          <c:invertIfNegative val="0"/>
          <c:val>
            <c:numRef>
              <c:f>OPEX!$B$705</c:f>
              <c:numCache>
                <c:formatCode>_("$"* #,##0.00_);_("$"* \(#,##0.00\);_("$"* "-"??_);_(@_)</c:formatCode>
                <c:ptCount val="1"/>
                <c:pt idx="0">
                  <c:v>758551.61143394536</c:v>
                </c:pt>
              </c:numCache>
            </c:numRef>
          </c:val>
          <c:extLst>
            <c:ext xmlns:c16="http://schemas.microsoft.com/office/drawing/2014/chart" uri="{C3380CC4-5D6E-409C-BE32-E72D297353CC}">
              <c16:uniqueId val="{0000000B-5BDA-4331-A289-707C3BE69BC1}"/>
            </c:ext>
          </c:extLst>
        </c:ser>
        <c:ser>
          <c:idx val="12"/>
          <c:order val="12"/>
          <c:tx>
            <c:strRef>
              <c:f>OPEX!$A$706</c:f>
              <c:strCache>
                <c:ptCount val="1"/>
                <c:pt idx="0">
                  <c:v>Liquid-Liquid Extraction</c:v>
                </c:pt>
              </c:strCache>
            </c:strRef>
          </c:tx>
          <c:spPr>
            <a:solidFill>
              <a:schemeClr val="accent5"/>
            </a:solidFill>
            <a:ln>
              <a:noFill/>
            </a:ln>
            <a:effectLst/>
          </c:spPr>
          <c:invertIfNegative val="0"/>
          <c:val>
            <c:numRef>
              <c:f>OPEX!$B$706</c:f>
              <c:numCache>
                <c:formatCode>_("$"* #,##0.00_);_("$"* \(#,##0.00\);_("$"* "-"??_);_(@_)</c:formatCode>
                <c:ptCount val="1"/>
                <c:pt idx="0">
                  <c:v>681255.38793195959</c:v>
                </c:pt>
              </c:numCache>
            </c:numRef>
          </c:val>
          <c:extLst>
            <c:ext xmlns:c16="http://schemas.microsoft.com/office/drawing/2014/chart" uri="{C3380CC4-5D6E-409C-BE32-E72D297353CC}">
              <c16:uniqueId val="{0000000C-5BDA-4331-A289-707C3BE69BC1}"/>
            </c:ext>
          </c:extLst>
        </c:ser>
        <c:ser>
          <c:idx val="13"/>
          <c:order val="13"/>
          <c:tx>
            <c:strRef>
              <c:f>OPEX!$A$707</c:f>
              <c:strCache>
                <c:ptCount val="1"/>
                <c:pt idx="0">
                  <c:v>Esterification</c:v>
                </c:pt>
              </c:strCache>
            </c:strRef>
          </c:tx>
          <c:spPr>
            <a:solidFill>
              <a:srgbClr val="CC66FF"/>
            </a:solidFill>
            <a:ln>
              <a:noFill/>
            </a:ln>
            <a:effectLst/>
          </c:spPr>
          <c:invertIfNegative val="0"/>
          <c:val>
            <c:numRef>
              <c:f>OPEX!$B$707</c:f>
              <c:numCache>
                <c:formatCode>_("$"* #,##0.00_);_("$"* \(#,##0.00\);_("$"* "-"??_);_(@_)</c:formatCode>
                <c:ptCount val="1"/>
                <c:pt idx="0">
                  <c:v>327725.8590455263</c:v>
                </c:pt>
              </c:numCache>
            </c:numRef>
          </c:val>
          <c:extLst>
            <c:ext xmlns:c16="http://schemas.microsoft.com/office/drawing/2014/chart" uri="{C3380CC4-5D6E-409C-BE32-E72D297353CC}">
              <c16:uniqueId val="{0000000D-5BDA-4331-A289-707C3BE69BC1}"/>
            </c:ext>
          </c:extLst>
        </c:ser>
        <c:ser>
          <c:idx val="14"/>
          <c:order val="14"/>
          <c:tx>
            <c:strRef>
              <c:f>OPEX!$A$708</c:f>
              <c:strCache>
                <c:ptCount val="1"/>
                <c:pt idx="0">
                  <c:v>Ester Separations</c:v>
                </c:pt>
              </c:strCache>
            </c:strRef>
          </c:tx>
          <c:spPr>
            <a:solidFill>
              <a:srgbClr val="6666FF"/>
            </a:solidFill>
            <a:ln>
              <a:noFill/>
            </a:ln>
            <a:effectLst/>
          </c:spPr>
          <c:invertIfNegative val="0"/>
          <c:val>
            <c:numRef>
              <c:f>OPEX!$B$708</c:f>
              <c:numCache>
                <c:formatCode>_("$"* #,##0.00_);_("$"* \(#,##0.00\);_("$"* "-"??_);_(@_)</c:formatCode>
                <c:ptCount val="1"/>
                <c:pt idx="0">
                  <c:v>488605.2883856367</c:v>
                </c:pt>
              </c:numCache>
            </c:numRef>
          </c:val>
          <c:extLst>
            <c:ext xmlns:c16="http://schemas.microsoft.com/office/drawing/2014/chart" uri="{C3380CC4-5D6E-409C-BE32-E72D297353CC}">
              <c16:uniqueId val="{0000000F-5BDA-4331-A289-707C3BE69BC1}"/>
            </c:ext>
          </c:extLst>
        </c:ser>
        <c:ser>
          <c:idx val="15"/>
          <c:order val="15"/>
          <c:tx>
            <c:strRef>
              <c:f>OPEX!$A$709</c:f>
              <c:strCache>
                <c:ptCount val="1"/>
                <c:pt idx="0">
                  <c:v>Overhead and Benefits</c:v>
                </c:pt>
              </c:strCache>
            </c:strRef>
          </c:tx>
          <c:spPr>
            <a:solidFill>
              <a:srgbClr val="006666"/>
            </a:solidFill>
            <a:ln>
              <a:noFill/>
            </a:ln>
            <a:effectLst/>
          </c:spPr>
          <c:invertIfNegative val="0"/>
          <c:val>
            <c:numRef>
              <c:f>OPEX!$B$709</c:f>
              <c:numCache>
                <c:formatCode>_("$"* #,##0.00_);_("$"* \(#,##0.00\);_("$"* "-"??_);_(@_)</c:formatCode>
                <c:ptCount val="1"/>
                <c:pt idx="0">
                  <c:v>21604500</c:v>
                </c:pt>
              </c:numCache>
            </c:numRef>
          </c:val>
          <c:extLst>
            <c:ext xmlns:c16="http://schemas.microsoft.com/office/drawing/2014/chart" uri="{C3380CC4-5D6E-409C-BE32-E72D297353CC}">
              <c16:uniqueId val="{00000011-5BDA-4331-A289-707C3BE69BC1}"/>
            </c:ext>
          </c:extLst>
        </c:ser>
        <c:ser>
          <c:idx val="16"/>
          <c:order val="16"/>
          <c:tx>
            <c:strRef>
              <c:f>OPEX!$A$710</c:f>
              <c:strCache>
                <c:ptCount val="1"/>
                <c:pt idx="0">
                  <c:v>Plant Maintenance</c:v>
                </c:pt>
              </c:strCache>
            </c:strRef>
          </c:tx>
          <c:spPr>
            <a:solidFill>
              <a:srgbClr val="339933"/>
            </a:solidFill>
            <a:ln>
              <a:noFill/>
            </a:ln>
            <a:effectLst/>
          </c:spPr>
          <c:invertIfNegative val="0"/>
          <c:val>
            <c:numRef>
              <c:f>OPEX!$B$710</c:f>
              <c:numCache>
                <c:formatCode>_("$"* #,##0.00_);_("$"* \(#,##0.00\);_("$"* "-"??_);_(@_)</c:formatCode>
                <c:ptCount val="1"/>
                <c:pt idx="0">
                  <c:v>62754668.15900965</c:v>
                </c:pt>
              </c:numCache>
            </c:numRef>
          </c:val>
          <c:extLst>
            <c:ext xmlns:c16="http://schemas.microsoft.com/office/drawing/2014/chart" uri="{C3380CC4-5D6E-409C-BE32-E72D297353CC}">
              <c16:uniqueId val="{00000012-5BDA-4331-A289-707C3BE69BC1}"/>
            </c:ext>
          </c:extLst>
        </c:ser>
        <c:ser>
          <c:idx val="17"/>
          <c:order val="17"/>
          <c:tx>
            <c:strRef>
              <c:f>OPEX!$A$711</c:f>
              <c:strCache>
                <c:ptCount val="1"/>
                <c:pt idx="0">
                  <c:v>Insurance</c:v>
                </c:pt>
              </c:strCache>
            </c:strRef>
          </c:tx>
          <c:spPr>
            <a:solidFill>
              <a:srgbClr val="3366CC"/>
            </a:solidFill>
            <a:ln>
              <a:noFill/>
            </a:ln>
            <a:effectLst/>
          </c:spPr>
          <c:invertIfNegative val="0"/>
          <c:val>
            <c:numRef>
              <c:f>OPEX!$B$711</c:f>
              <c:numCache>
                <c:formatCode>_("$"* #,##0.00_);_("$"* \(#,##0.00\);_("$"* "-"??_);_(@_)</c:formatCode>
                <c:ptCount val="1"/>
                <c:pt idx="0">
                  <c:v>14642755.903768919</c:v>
                </c:pt>
              </c:numCache>
            </c:numRef>
          </c:val>
          <c:extLst>
            <c:ext xmlns:c16="http://schemas.microsoft.com/office/drawing/2014/chart" uri="{C3380CC4-5D6E-409C-BE32-E72D297353CC}">
              <c16:uniqueId val="{00000013-5BDA-4331-A289-707C3BE69BC1}"/>
            </c:ext>
          </c:extLst>
        </c:ser>
        <c:dLbls>
          <c:showLegendKey val="0"/>
          <c:showVal val="0"/>
          <c:showCatName val="0"/>
          <c:showSerName val="0"/>
          <c:showPercent val="0"/>
          <c:showBubbleSize val="0"/>
        </c:dLbls>
        <c:gapWidth val="50"/>
        <c:overlap val="100"/>
        <c:axId val="788352896"/>
        <c:axId val="788351456"/>
      </c:barChart>
      <c:catAx>
        <c:axId val="788352896"/>
        <c:scaling>
          <c:orientation val="minMax"/>
        </c:scaling>
        <c:delete val="1"/>
        <c:axPos val="b"/>
        <c:numFmt formatCode="General" sourceLinked="1"/>
        <c:majorTickMark val="none"/>
        <c:minorTickMark val="none"/>
        <c:tickLblPos val="nextTo"/>
        <c:crossAx val="788351456"/>
        <c:crosses val="autoZero"/>
        <c:auto val="1"/>
        <c:lblAlgn val="ctr"/>
        <c:lblOffset val="100"/>
        <c:noMultiLvlLbl val="0"/>
      </c:catAx>
      <c:valAx>
        <c:axId val="788351456"/>
        <c:scaling>
          <c:orientation val="minMax"/>
        </c:scaling>
        <c:delete val="0"/>
        <c:axPos val="l"/>
        <c:majorGridlines>
          <c:spPr>
            <a:ln w="12700" cap="flat" cmpd="sng" algn="ctr">
              <a:solidFill>
                <a:schemeClr val="tx1"/>
              </a:solidFill>
              <a:miter lim="800000"/>
            </a:ln>
            <a:effectLst/>
          </c:spPr>
        </c:majorGridlines>
        <c:title>
          <c:tx>
            <c:rich>
              <a:bodyPr rot="-540000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r>
                  <a:rPr lang="en-US" sz="1800" b="1"/>
                  <a:t> COSTS </a:t>
                </a:r>
                <a:r>
                  <a:rPr lang="en-US" sz="1800" b="0"/>
                  <a:t>[1E6</a:t>
                </a:r>
                <a:r>
                  <a:rPr lang="en-US" sz="1800" b="0" baseline="0"/>
                  <a:t> </a:t>
                </a:r>
                <a:r>
                  <a:rPr lang="en-US" sz="1800" b="0"/>
                  <a:t>USD (2026) / yr]</a:t>
                </a:r>
              </a:p>
            </c:rich>
          </c:tx>
          <c:layout>
            <c:manualLayout>
              <c:xMode val="edge"/>
              <c:yMode val="edge"/>
              <c:x val="1.8872775583186781E-2"/>
              <c:y val="0.16706949486800232"/>
            </c:manualLayout>
          </c:layout>
          <c:overlay val="0"/>
          <c:spPr>
            <a:noFill/>
            <a:ln>
              <a:noFill/>
            </a:ln>
            <a:effectLst/>
          </c:spPr>
          <c:txPr>
            <a:bodyPr rot="-540000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crossAx val="788352896"/>
        <c:crosses val="autoZero"/>
        <c:crossBetween val="between"/>
        <c:dispUnits>
          <c:builtInUnit val="millions"/>
        </c:dispUnits>
      </c:valAx>
      <c:spPr>
        <a:noFill/>
        <a:ln w="19050">
          <a:solidFill>
            <a:schemeClr val="tx1"/>
          </a:solidFill>
        </a:ln>
        <a:effectLst/>
      </c:spPr>
    </c:plotArea>
    <c:legend>
      <c:legendPos val="b"/>
      <c:layout>
        <c:manualLayout>
          <c:xMode val="edge"/>
          <c:yMode val="edge"/>
          <c:x val="8.8022428453787584E-3"/>
          <c:y val="0.80683741394781172"/>
          <c:w val="0.95052416332799761"/>
          <c:h val="0.19316258605218825"/>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Cond" panose="020B0506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miter lim="800000"/>
    </a:ln>
    <a:effectLst/>
  </c:spPr>
  <c:txPr>
    <a:bodyPr/>
    <a:lstStyle/>
    <a:p>
      <a:pPr>
        <a:defRPr>
          <a:solidFill>
            <a:sysClr val="windowText" lastClr="000000"/>
          </a:solidFill>
          <a:latin typeface="Arial Nova Cond" panose="020B0506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r>
              <a:rPr lang="en-US" sz="2000" b="1" cap="all" baseline="0"/>
              <a:t>Ocean Water Processing Costs</a:t>
            </a:r>
          </a:p>
        </c:rich>
      </c:tx>
      <c:layout>
        <c:manualLayout>
          <c:xMode val="edge"/>
          <c:yMode val="edge"/>
          <c:x val="0.1111445106479423"/>
          <c:y val="1.6161612733823754E-2"/>
        </c:manualLayout>
      </c:layout>
      <c:overlay val="0"/>
      <c:spPr>
        <a:noFill/>
        <a:ln>
          <a:noFill/>
        </a:ln>
        <a:effectLst/>
      </c:spPr>
      <c:txPr>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2145012608553017"/>
          <c:y val="0.11007521724855542"/>
          <c:w val="0.75471687919978403"/>
          <c:h val="0.51229300622116036"/>
        </c:manualLayout>
      </c:layout>
      <c:barChart>
        <c:barDir val="col"/>
        <c:grouping val="stacked"/>
        <c:varyColors val="0"/>
        <c:ser>
          <c:idx val="1"/>
          <c:order val="0"/>
          <c:tx>
            <c:strRef>
              <c:f>Figures!$A$35</c:f>
              <c:strCache>
                <c:ptCount val="1"/>
                <c:pt idx="0">
                  <c:v>Feed Pump</c:v>
                </c:pt>
              </c:strCache>
            </c:strRef>
          </c:tx>
          <c:spPr>
            <a:solidFill>
              <a:schemeClr val="accent2"/>
            </a:solidFill>
            <a:ln>
              <a:noFill/>
            </a:ln>
            <a:effectLst/>
          </c:spPr>
          <c:invertIfNegative val="0"/>
          <c:cat>
            <c:strRef>
              <c:f>Figures!$B$34:$C$34</c:f>
              <c:strCache>
                <c:ptCount val="2"/>
                <c:pt idx="0">
                  <c:v>Capital Costs</c:v>
                </c:pt>
                <c:pt idx="1">
                  <c:v>Operational Costs</c:v>
                </c:pt>
              </c:strCache>
            </c:strRef>
          </c:cat>
          <c:val>
            <c:numRef>
              <c:f>Figures!$B$35:$C$35</c:f>
              <c:numCache>
                <c:formatCode>General</c:formatCode>
                <c:ptCount val="2"/>
                <c:pt idx="0" formatCode="_(&quot;$&quot;* #,##0.00_);_(&quot;$&quot;* \(#,##0.00\);_(&quot;$&quot;* &quot;-&quot;??_);_(@_)">
                  <c:v>52655.971643071593</c:v>
                </c:pt>
              </c:numCache>
            </c:numRef>
          </c:val>
          <c:extLst>
            <c:ext xmlns:c16="http://schemas.microsoft.com/office/drawing/2014/chart" uri="{C3380CC4-5D6E-409C-BE32-E72D297353CC}">
              <c16:uniqueId val="{00000001-56F3-42B5-8885-B8CACD9CF6B0}"/>
            </c:ext>
          </c:extLst>
        </c:ser>
        <c:ser>
          <c:idx val="2"/>
          <c:order val="1"/>
          <c:tx>
            <c:strRef>
              <c:f>Figures!$A$36</c:f>
              <c:strCache>
                <c:ptCount val="1"/>
                <c:pt idx="0">
                  <c:v>Decanter</c:v>
                </c:pt>
              </c:strCache>
            </c:strRef>
          </c:tx>
          <c:spPr>
            <a:solidFill>
              <a:schemeClr val="accent3"/>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FDC6-41FC-8695-54297C3E4EB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Nova Cond" panose="020B0506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Figures!$B$36:$C$36</c:f>
              <c:numCache>
                <c:formatCode>General</c:formatCode>
                <c:ptCount val="2"/>
                <c:pt idx="0" formatCode="_(&quot;$&quot;* #,##0.00_);_(&quot;$&quot;* \(#,##0.00\);_(&quot;$&quot;* &quot;-&quot;??_);_(@_)">
                  <c:v>3588586.3965848275</c:v>
                </c:pt>
              </c:numCache>
            </c:numRef>
          </c:val>
          <c:extLst>
            <c:ext xmlns:c16="http://schemas.microsoft.com/office/drawing/2014/chart" uri="{C3380CC4-5D6E-409C-BE32-E72D297353CC}">
              <c16:uniqueId val="{00000002-56F3-42B5-8885-B8CACD9CF6B0}"/>
            </c:ext>
          </c:extLst>
        </c:ser>
        <c:ser>
          <c:idx val="3"/>
          <c:order val="2"/>
          <c:tx>
            <c:strRef>
              <c:f>Figures!$A$37</c:f>
              <c:strCache>
                <c:ptCount val="1"/>
                <c:pt idx="0">
                  <c:v>Microfiltration</c:v>
                </c:pt>
              </c:strCache>
            </c:strRef>
          </c:tx>
          <c:spPr>
            <a:solidFill>
              <a:schemeClr val="accent4"/>
            </a:solidFill>
            <a:ln>
              <a:noFill/>
            </a:ln>
            <a:effectLst/>
          </c:spPr>
          <c:invertIfNegative val="0"/>
          <c:cat>
            <c:strRef>
              <c:f>Figures!$B$34:$C$34</c:f>
              <c:strCache>
                <c:ptCount val="2"/>
                <c:pt idx="0">
                  <c:v>Capital Costs</c:v>
                </c:pt>
                <c:pt idx="1">
                  <c:v>Operational Costs</c:v>
                </c:pt>
              </c:strCache>
            </c:strRef>
          </c:cat>
          <c:val>
            <c:numRef>
              <c:f>Figures!$B$37:$C$37</c:f>
              <c:numCache>
                <c:formatCode>General</c:formatCode>
                <c:ptCount val="2"/>
                <c:pt idx="0" formatCode="_(&quot;$&quot;* #,##0.00_);_(&quot;$&quot;* \(#,##0.00\);_(&quot;$&quot;* &quot;-&quot;??_);_(@_)">
                  <c:v>3774.824465194702</c:v>
                </c:pt>
              </c:numCache>
            </c:numRef>
          </c:val>
          <c:extLst>
            <c:ext xmlns:c16="http://schemas.microsoft.com/office/drawing/2014/chart" uri="{C3380CC4-5D6E-409C-BE32-E72D297353CC}">
              <c16:uniqueId val="{00000003-56F3-42B5-8885-B8CACD9CF6B0}"/>
            </c:ext>
          </c:extLst>
        </c:ser>
        <c:ser>
          <c:idx val="4"/>
          <c:order val="3"/>
          <c:tx>
            <c:strRef>
              <c:f>Figures!$A$38</c:f>
              <c:strCache>
                <c:ptCount val="1"/>
                <c:pt idx="0">
                  <c:v>Anion-Exchange Membrane</c:v>
                </c:pt>
              </c:strCache>
            </c:strRef>
          </c:tx>
          <c:spPr>
            <a:solidFill>
              <a:schemeClr val="accent5"/>
            </a:solidFill>
            <a:ln>
              <a:noFill/>
            </a:ln>
            <a:effectLst/>
          </c:spPr>
          <c:invertIfNegative val="0"/>
          <c:cat>
            <c:strRef>
              <c:f>Figures!$B$34:$C$34</c:f>
              <c:strCache>
                <c:ptCount val="2"/>
                <c:pt idx="0">
                  <c:v>Capital Costs</c:v>
                </c:pt>
                <c:pt idx="1">
                  <c:v>Operational Costs</c:v>
                </c:pt>
              </c:strCache>
            </c:strRef>
          </c:cat>
          <c:val>
            <c:numRef>
              <c:f>Figures!$B$38:$C$38</c:f>
              <c:numCache>
                <c:formatCode>General</c:formatCode>
                <c:ptCount val="2"/>
                <c:pt idx="0" formatCode="_(&quot;$&quot;* #,##0.00_);_(&quot;$&quot;* \(#,##0.00\);_(&quot;$&quot;* &quot;-&quot;??_);_(@_)">
                  <c:v>14013.799971072551</c:v>
                </c:pt>
              </c:numCache>
            </c:numRef>
          </c:val>
          <c:extLst>
            <c:ext xmlns:c16="http://schemas.microsoft.com/office/drawing/2014/chart" uri="{C3380CC4-5D6E-409C-BE32-E72D297353CC}">
              <c16:uniqueId val="{00000004-56F3-42B5-8885-B8CACD9CF6B0}"/>
            </c:ext>
          </c:extLst>
        </c:ser>
        <c:ser>
          <c:idx val="5"/>
          <c:order val="4"/>
          <c:tx>
            <c:strRef>
              <c:f>Figures!$A$39</c:f>
              <c:strCache>
                <c:ptCount val="1"/>
                <c:pt idx="0">
                  <c:v>Cation-Exchange Membrane</c:v>
                </c:pt>
              </c:strCache>
            </c:strRef>
          </c:tx>
          <c:spPr>
            <a:solidFill>
              <a:schemeClr val="accent6"/>
            </a:solidFill>
            <a:ln>
              <a:noFill/>
            </a:ln>
            <a:effectLst/>
          </c:spPr>
          <c:invertIfNegative val="0"/>
          <c:cat>
            <c:strRef>
              <c:f>Figures!$B$34:$C$34</c:f>
              <c:strCache>
                <c:ptCount val="2"/>
                <c:pt idx="0">
                  <c:v>Capital Costs</c:v>
                </c:pt>
                <c:pt idx="1">
                  <c:v>Operational Costs</c:v>
                </c:pt>
              </c:strCache>
            </c:strRef>
          </c:cat>
          <c:val>
            <c:numRef>
              <c:f>Figures!$B$39:$C$39</c:f>
              <c:numCache>
                <c:formatCode>General</c:formatCode>
                <c:ptCount val="2"/>
                <c:pt idx="0" formatCode="_(&quot;$&quot;* #,##0.00_);_(&quot;$&quot;* \(#,##0.00\);_(&quot;$&quot;* &quot;-&quot;??_);_(@_)">
                  <c:v>15327.5937183606</c:v>
                </c:pt>
              </c:numCache>
            </c:numRef>
          </c:val>
          <c:extLst>
            <c:ext xmlns:c16="http://schemas.microsoft.com/office/drawing/2014/chart" uri="{C3380CC4-5D6E-409C-BE32-E72D297353CC}">
              <c16:uniqueId val="{00000005-56F3-42B5-8885-B8CACD9CF6B0}"/>
            </c:ext>
          </c:extLst>
        </c:ser>
        <c:ser>
          <c:idx val="6"/>
          <c:order val="5"/>
          <c:tx>
            <c:strRef>
              <c:f>Figures!$A$40</c:f>
              <c:strCache>
                <c:ptCount val="1"/>
                <c:pt idx="0">
                  <c:v>Bipolar-Exchange Membranes</c:v>
                </c:pt>
              </c:strCache>
            </c:strRef>
          </c:tx>
          <c:spPr>
            <a:solidFill>
              <a:schemeClr val="accent1">
                <a:lumMod val="60000"/>
              </a:schemeClr>
            </a:solidFill>
            <a:ln>
              <a:noFill/>
            </a:ln>
            <a:effectLst/>
          </c:spPr>
          <c:invertIfNegative val="0"/>
          <c:cat>
            <c:strRef>
              <c:f>Figures!$B$34:$C$34</c:f>
              <c:strCache>
                <c:ptCount val="2"/>
                <c:pt idx="0">
                  <c:v>Capital Costs</c:v>
                </c:pt>
                <c:pt idx="1">
                  <c:v>Operational Costs</c:v>
                </c:pt>
              </c:strCache>
            </c:strRef>
          </c:cat>
          <c:val>
            <c:numRef>
              <c:f>Figures!$B$40:$C$40</c:f>
              <c:numCache>
                <c:formatCode>General</c:formatCode>
                <c:ptCount val="2"/>
                <c:pt idx="0" formatCode="_(&quot;$&quot;* #,##0.00_);_(&quot;$&quot;* \(#,##0.00\);_(&quot;$&quot;* &quot;-&quot;??_);_(@_)">
                  <c:v>65029.472745150662</c:v>
                </c:pt>
              </c:numCache>
            </c:numRef>
          </c:val>
          <c:extLst>
            <c:ext xmlns:c16="http://schemas.microsoft.com/office/drawing/2014/chart" uri="{C3380CC4-5D6E-409C-BE32-E72D297353CC}">
              <c16:uniqueId val="{00000006-56F3-42B5-8885-B8CACD9CF6B0}"/>
            </c:ext>
          </c:extLst>
        </c:ser>
        <c:ser>
          <c:idx val="7"/>
          <c:order val="6"/>
          <c:tx>
            <c:strRef>
              <c:f>Figures!$A$41</c:f>
              <c:strCache>
                <c:ptCount val="1"/>
                <c:pt idx="0">
                  <c:v>Electrodes</c:v>
                </c:pt>
              </c:strCache>
            </c:strRef>
          </c:tx>
          <c:spPr>
            <a:solidFill>
              <a:schemeClr val="accent2">
                <a:lumMod val="60000"/>
              </a:schemeClr>
            </a:solidFill>
            <a:ln>
              <a:noFill/>
            </a:ln>
            <a:effectLst/>
          </c:spPr>
          <c:invertIfNegative val="0"/>
          <c:cat>
            <c:strRef>
              <c:f>Figures!$B$34:$C$34</c:f>
              <c:strCache>
                <c:ptCount val="2"/>
                <c:pt idx="0">
                  <c:v>Capital Costs</c:v>
                </c:pt>
                <c:pt idx="1">
                  <c:v>Operational Costs</c:v>
                </c:pt>
              </c:strCache>
            </c:strRef>
          </c:cat>
          <c:val>
            <c:numRef>
              <c:f>Figures!$B$41:$C$41</c:f>
              <c:numCache>
                <c:formatCode>General</c:formatCode>
                <c:ptCount val="2"/>
                <c:pt idx="0" formatCode="_(&quot;$&quot;* #,##0.00_);_(&quot;$&quot;* \(#,##0.00\);_(&quot;$&quot;* &quot;-&quot;??_);_(@_)">
                  <c:v>173415.15643031165</c:v>
                </c:pt>
              </c:numCache>
            </c:numRef>
          </c:val>
          <c:extLst>
            <c:ext xmlns:c16="http://schemas.microsoft.com/office/drawing/2014/chart" uri="{C3380CC4-5D6E-409C-BE32-E72D297353CC}">
              <c16:uniqueId val="{00000007-56F3-42B5-8885-B8CACD9CF6B0}"/>
            </c:ext>
          </c:extLst>
        </c:ser>
        <c:ser>
          <c:idx val="8"/>
          <c:order val="7"/>
          <c:tx>
            <c:strRef>
              <c:f>Figures!$A$42</c:f>
              <c:strCache>
                <c:ptCount val="1"/>
                <c:pt idx="0">
                  <c:v>Diluate Tanks</c:v>
                </c:pt>
              </c:strCache>
            </c:strRef>
          </c:tx>
          <c:spPr>
            <a:solidFill>
              <a:schemeClr val="accent3">
                <a:lumMod val="60000"/>
              </a:schemeClr>
            </a:solidFill>
            <a:ln>
              <a:noFill/>
            </a:ln>
            <a:effectLst/>
          </c:spPr>
          <c:invertIfNegative val="0"/>
          <c:cat>
            <c:strRef>
              <c:f>Figures!$B$34:$C$34</c:f>
              <c:strCache>
                <c:ptCount val="2"/>
                <c:pt idx="0">
                  <c:v>Capital Costs</c:v>
                </c:pt>
                <c:pt idx="1">
                  <c:v>Operational Costs</c:v>
                </c:pt>
              </c:strCache>
            </c:strRef>
          </c:cat>
          <c:val>
            <c:numRef>
              <c:f>Figures!$B$42:$C$42</c:f>
              <c:numCache>
                <c:formatCode>General</c:formatCode>
                <c:ptCount val="2"/>
                <c:pt idx="0" formatCode="_(&quot;$&quot;* #,##0.00_);_(&quot;$&quot;* \(#,##0.00\);_(&quot;$&quot;* &quot;-&quot;??_);_(@_)">
                  <c:v>23242.010608853096</c:v>
                </c:pt>
              </c:numCache>
            </c:numRef>
          </c:val>
          <c:extLst>
            <c:ext xmlns:c16="http://schemas.microsoft.com/office/drawing/2014/chart" uri="{C3380CC4-5D6E-409C-BE32-E72D297353CC}">
              <c16:uniqueId val="{00000008-56F3-42B5-8885-B8CACD9CF6B0}"/>
            </c:ext>
          </c:extLst>
        </c:ser>
        <c:ser>
          <c:idx val="9"/>
          <c:order val="8"/>
          <c:tx>
            <c:strRef>
              <c:f>Figures!$A$43</c:f>
              <c:strCache>
                <c:ptCount val="1"/>
                <c:pt idx="0">
                  <c:v>Electrolyte Tank Wall</c:v>
                </c:pt>
              </c:strCache>
            </c:strRef>
          </c:tx>
          <c:spPr>
            <a:solidFill>
              <a:schemeClr val="accent4">
                <a:lumMod val="60000"/>
              </a:schemeClr>
            </a:solidFill>
            <a:ln>
              <a:noFill/>
            </a:ln>
            <a:effectLst/>
          </c:spPr>
          <c:invertIfNegative val="0"/>
          <c:cat>
            <c:strRef>
              <c:f>Figures!$B$34:$C$34</c:f>
              <c:strCache>
                <c:ptCount val="2"/>
                <c:pt idx="0">
                  <c:v>Capital Costs</c:v>
                </c:pt>
                <c:pt idx="1">
                  <c:v>Operational Costs</c:v>
                </c:pt>
              </c:strCache>
            </c:strRef>
          </c:cat>
          <c:val>
            <c:numRef>
              <c:f>Figures!$B$43:$C$43</c:f>
              <c:numCache>
                <c:formatCode>General</c:formatCode>
                <c:ptCount val="2"/>
                <c:pt idx="0" formatCode="_(&quot;$&quot;* #,##0.00_);_(&quot;$&quot;* \(#,##0.00\);_(&quot;$&quot;* &quot;-&quot;??_);_(@_)">
                  <c:v>6000.8819963682799</c:v>
                </c:pt>
              </c:numCache>
            </c:numRef>
          </c:val>
          <c:extLst>
            <c:ext xmlns:c16="http://schemas.microsoft.com/office/drawing/2014/chart" uri="{C3380CC4-5D6E-409C-BE32-E72D297353CC}">
              <c16:uniqueId val="{00000009-56F3-42B5-8885-B8CACD9CF6B0}"/>
            </c:ext>
          </c:extLst>
        </c:ser>
        <c:ser>
          <c:idx val="10"/>
          <c:order val="9"/>
          <c:tx>
            <c:strRef>
              <c:f>Figures!$A$44</c:f>
              <c:strCache>
                <c:ptCount val="1"/>
                <c:pt idx="0">
                  <c:v>Concentrate Tank 1 Wall</c:v>
                </c:pt>
              </c:strCache>
            </c:strRef>
          </c:tx>
          <c:spPr>
            <a:solidFill>
              <a:schemeClr val="accent5">
                <a:lumMod val="60000"/>
              </a:schemeClr>
            </a:solidFill>
            <a:ln>
              <a:noFill/>
            </a:ln>
            <a:effectLst/>
          </c:spPr>
          <c:invertIfNegative val="0"/>
          <c:cat>
            <c:strRef>
              <c:f>Figures!$B$34:$C$34</c:f>
              <c:strCache>
                <c:ptCount val="2"/>
                <c:pt idx="0">
                  <c:v>Capital Costs</c:v>
                </c:pt>
                <c:pt idx="1">
                  <c:v>Operational Costs</c:v>
                </c:pt>
              </c:strCache>
            </c:strRef>
          </c:cat>
          <c:val>
            <c:numRef>
              <c:f>Figures!$B$44:$C$44</c:f>
              <c:numCache>
                <c:formatCode>General</c:formatCode>
                <c:ptCount val="2"/>
                <c:pt idx="0" formatCode="_(&quot;$&quot;* #,##0.00_);_(&quot;$&quot;* \(#,##0.00\);_(&quot;$&quot;* &quot;-&quot;??_);_(@_)">
                  <c:v>6000.8819963682799</c:v>
                </c:pt>
              </c:numCache>
            </c:numRef>
          </c:val>
          <c:extLst>
            <c:ext xmlns:c16="http://schemas.microsoft.com/office/drawing/2014/chart" uri="{C3380CC4-5D6E-409C-BE32-E72D297353CC}">
              <c16:uniqueId val="{0000000A-56F3-42B5-8885-B8CACD9CF6B0}"/>
            </c:ext>
          </c:extLst>
        </c:ser>
        <c:ser>
          <c:idx val="11"/>
          <c:order val="10"/>
          <c:tx>
            <c:strRef>
              <c:f>Figures!$A$45</c:f>
              <c:strCache>
                <c:ptCount val="1"/>
                <c:pt idx="0">
                  <c:v>Concentrate Tank 2 Wall</c:v>
                </c:pt>
              </c:strCache>
            </c:strRef>
          </c:tx>
          <c:spPr>
            <a:solidFill>
              <a:schemeClr val="accent6">
                <a:lumMod val="60000"/>
              </a:schemeClr>
            </a:solidFill>
            <a:ln>
              <a:noFill/>
            </a:ln>
            <a:effectLst/>
          </c:spPr>
          <c:invertIfNegative val="0"/>
          <c:cat>
            <c:strRef>
              <c:f>Figures!$B$34:$C$34</c:f>
              <c:strCache>
                <c:ptCount val="2"/>
                <c:pt idx="0">
                  <c:v>Capital Costs</c:v>
                </c:pt>
                <c:pt idx="1">
                  <c:v>Operational Costs</c:v>
                </c:pt>
              </c:strCache>
            </c:strRef>
          </c:cat>
          <c:val>
            <c:numRef>
              <c:f>Figures!$B$45:$C$45</c:f>
              <c:numCache>
                <c:formatCode>General</c:formatCode>
                <c:ptCount val="2"/>
                <c:pt idx="0" formatCode="_(&quot;$&quot;* #,##0.00_);_(&quot;$&quot;* \(#,##0.00\);_(&quot;$&quot;* &quot;-&quot;??_);_(@_)">
                  <c:v>6000.8819963682799</c:v>
                </c:pt>
              </c:numCache>
            </c:numRef>
          </c:val>
          <c:extLst>
            <c:ext xmlns:c16="http://schemas.microsoft.com/office/drawing/2014/chart" uri="{C3380CC4-5D6E-409C-BE32-E72D297353CC}">
              <c16:uniqueId val="{0000000B-56F3-42B5-8885-B8CACD9CF6B0}"/>
            </c:ext>
          </c:extLst>
        </c:ser>
        <c:ser>
          <c:idx val="12"/>
          <c:order val="11"/>
          <c:tx>
            <c:strRef>
              <c:f>Figures!$A$46</c:f>
              <c:strCache>
                <c:ptCount val="1"/>
                <c:pt idx="0">
                  <c:v>Peristaltic Pump</c:v>
                </c:pt>
              </c:strCache>
            </c:strRef>
          </c:tx>
          <c:spPr>
            <a:solidFill>
              <a:schemeClr val="accent1">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Figures!$B$46:$C$46</c:f>
              <c:numCache>
                <c:formatCode>General</c:formatCode>
                <c:ptCount val="2"/>
                <c:pt idx="0" formatCode="_(&quot;$&quot;* #,##0.00_);_(&quot;$&quot;* \(#,##0.00\);_(&quot;$&quot;* &quot;-&quot;??_);_(@_)">
                  <c:v>242949.55662343631</c:v>
                </c:pt>
              </c:numCache>
            </c:numRef>
          </c:val>
          <c:extLst>
            <c:ext xmlns:c16="http://schemas.microsoft.com/office/drawing/2014/chart" uri="{C3380CC4-5D6E-409C-BE32-E72D297353CC}">
              <c16:uniqueId val="{0000000C-56F3-42B5-8885-B8CACD9CF6B0}"/>
            </c:ext>
          </c:extLst>
        </c:ser>
        <c:ser>
          <c:idx val="13"/>
          <c:order val="12"/>
          <c:tx>
            <c:strRef>
              <c:f>Figures!$A$47</c:f>
              <c:strCache>
                <c:ptCount val="1"/>
                <c:pt idx="0">
                  <c:v>Crystallizer</c:v>
                </c:pt>
              </c:strCache>
            </c:strRef>
          </c:tx>
          <c:spPr>
            <a:solidFill>
              <a:schemeClr val="accent2">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Figures!$B$47:$C$47</c:f>
              <c:numCache>
                <c:formatCode>General</c:formatCode>
                <c:ptCount val="2"/>
                <c:pt idx="0" formatCode="_(&quot;$&quot;* #,##0.00_);_(&quot;$&quot;* \(#,##0.00\);_(&quot;$&quot;* &quot;-&quot;??_);_(@_)">
                  <c:v>0</c:v>
                </c:pt>
              </c:numCache>
            </c:numRef>
          </c:val>
          <c:extLst>
            <c:ext xmlns:c16="http://schemas.microsoft.com/office/drawing/2014/chart" uri="{C3380CC4-5D6E-409C-BE32-E72D297353CC}">
              <c16:uniqueId val="{0000000D-56F3-42B5-8885-B8CACD9CF6B0}"/>
            </c:ext>
          </c:extLst>
        </c:ser>
        <c:ser>
          <c:idx val="14"/>
          <c:order val="13"/>
          <c:tx>
            <c:strRef>
              <c:f>Figures!$A$48</c:f>
              <c:strCache>
                <c:ptCount val="1"/>
                <c:pt idx="0">
                  <c:v>Heat Exchanger</c:v>
                </c:pt>
              </c:strCache>
            </c:strRef>
          </c:tx>
          <c:spPr>
            <a:solidFill>
              <a:schemeClr val="accent3">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Figures!$B$48:$C$48</c:f>
              <c:numCache>
                <c:formatCode>General</c:formatCode>
                <c:ptCount val="2"/>
                <c:pt idx="0" formatCode="_(&quot;$&quot;* #,##0.00_);_(&quot;$&quot;* \(#,##0.00\);_(&quot;$&quot;* &quot;-&quot;??_);_(@_)">
                  <c:v>0</c:v>
                </c:pt>
              </c:numCache>
            </c:numRef>
          </c:val>
          <c:extLst>
            <c:ext xmlns:c16="http://schemas.microsoft.com/office/drawing/2014/chart" uri="{C3380CC4-5D6E-409C-BE32-E72D297353CC}">
              <c16:uniqueId val="{0000000E-56F3-42B5-8885-B8CACD9CF6B0}"/>
            </c:ext>
          </c:extLst>
        </c:ser>
        <c:ser>
          <c:idx val="15"/>
          <c:order val="14"/>
          <c:tx>
            <c:strRef>
              <c:f>Figures!$A$49</c:f>
              <c:strCache>
                <c:ptCount val="1"/>
                <c:pt idx="0">
                  <c:v>Electrolyte Storage Tank</c:v>
                </c:pt>
              </c:strCache>
            </c:strRef>
          </c:tx>
          <c:spPr>
            <a:solidFill>
              <a:schemeClr val="accent4">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Figures!$B$49:$C$49</c:f>
              <c:numCache>
                <c:formatCode>General</c:formatCode>
                <c:ptCount val="2"/>
                <c:pt idx="0" formatCode="_(&quot;$&quot;* #,##0.00_);_(&quot;$&quot;* \(#,##0.00\);_(&quot;$&quot;* &quot;-&quot;??_);_(@_)">
                  <c:v>27408.182778858714</c:v>
                </c:pt>
              </c:numCache>
            </c:numRef>
          </c:val>
          <c:extLst>
            <c:ext xmlns:c16="http://schemas.microsoft.com/office/drawing/2014/chart" uri="{C3380CC4-5D6E-409C-BE32-E72D297353CC}">
              <c16:uniqueId val="{0000000F-56F3-42B5-8885-B8CACD9CF6B0}"/>
            </c:ext>
          </c:extLst>
        </c:ser>
        <c:ser>
          <c:idx val="16"/>
          <c:order val="15"/>
          <c:tx>
            <c:strRef>
              <c:f>Figures!$A$50</c:f>
              <c:strCache>
                <c:ptCount val="1"/>
                <c:pt idx="0">
                  <c:v>Acid Storage Tank</c:v>
                </c:pt>
              </c:strCache>
            </c:strRef>
          </c:tx>
          <c:spPr>
            <a:solidFill>
              <a:schemeClr val="accent5">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Figures!$B$50:$C$50</c:f>
              <c:numCache>
                <c:formatCode>General</c:formatCode>
                <c:ptCount val="2"/>
                <c:pt idx="0" formatCode="_(&quot;$&quot;* #,##0.00_);_(&quot;$&quot;* \(#,##0.00\);_(&quot;$&quot;* &quot;-&quot;??_);_(@_)">
                  <c:v>27408.182778858714</c:v>
                </c:pt>
              </c:numCache>
            </c:numRef>
          </c:val>
          <c:extLst>
            <c:ext xmlns:c16="http://schemas.microsoft.com/office/drawing/2014/chart" uri="{C3380CC4-5D6E-409C-BE32-E72D297353CC}">
              <c16:uniqueId val="{00000010-56F3-42B5-8885-B8CACD9CF6B0}"/>
            </c:ext>
          </c:extLst>
        </c:ser>
        <c:ser>
          <c:idx val="17"/>
          <c:order val="16"/>
          <c:tx>
            <c:strRef>
              <c:f>Figures!$A$51</c:f>
              <c:strCache>
                <c:ptCount val="1"/>
                <c:pt idx="0">
                  <c:v>Base Storage Tank</c:v>
                </c:pt>
              </c:strCache>
            </c:strRef>
          </c:tx>
          <c:spPr>
            <a:solidFill>
              <a:schemeClr val="accent6">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Figures!$B$51:$C$51</c:f>
              <c:numCache>
                <c:formatCode>General</c:formatCode>
                <c:ptCount val="2"/>
                <c:pt idx="0" formatCode="_(&quot;$&quot;* #,##0.00_);_(&quot;$&quot;* \(#,##0.00\);_(&quot;$&quot;* &quot;-&quot;??_);_(@_)">
                  <c:v>10116.462301534108</c:v>
                </c:pt>
              </c:numCache>
            </c:numRef>
          </c:val>
          <c:extLst>
            <c:ext xmlns:c16="http://schemas.microsoft.com/office/drawing/2014/chart" uri="{C3380CC4-5D6E-409C-BE32-E72D297353CC}">
              <c16:uniqueId val="{00000011-56F3-42B5-8885-B8CACD9CF6B0}"/>
            </c:ext>
          </c:extLst>
        </c:ser>
        <c:ser>
          <c:idx val="18"/>
          <c:order val="17"/>
          <c:tx>
            <c:strRef>
              <c:f>Figures!$A$52</c:f>
              <c:strCache>
                <c:ptCount val="1"/>
                <c:pt idx="0">
                  <c:v>Desalinated Water Storage Tank</c:v>
                </c:pt>
              </c:strCache>
            </c:strRef>
          </c:tx>
          <c:spPr>
            <a:solidFill>
              <a:schemeClr val="accent1">
                <a:lumMod val="80000"/>
              </a:schemeClr>
            </a:solidFill>
            <a:ln>
              <a:noFill/>
            </a:ln>
            <a:effectLst/>
          </c:spPr>
          <c:invertIfNegative val="0"/>
          <c:cat>
            <c:strRef>
              <c:f>Figures!$B$34:$C$34</c:f>
              <c:strCache>
                <c:ptCount val="2"/>
                <c:pt idx="0">
                  <c:v>Capital Costs</c:v>
                </c:pt>
                <c:pt idx="1">
                  <c:v>Operational Costs</c:v>
                </c:pt>
              </c:strCache>
            </c:strRef>
          </c:cat>
          <c:val>
            <c:numRef>
              <c:f>Figures!$B$52:$C$52</c:f>
              <c:numCache>
                <c:formatCode>General</c:formatCode>
                <c:ptCount val="2"/>
                <c:pt idx="0" formatCode="_(&quot;$&quot;* #,##0.00_);_(&quot;$&quot;* \(#,##0.00\);_(&quot;$&quot;* &quot;-&quot;??_);_(@_)">
                  <c:v>239743.35559020899</c:v>
                </c:pt>
              </c:numCache>
            </c:numRef>
          </c:val>
          <c:extLst>
            <c:ext xmlns:c16="http://schemas.microsoft.com/office/drawing/2014/chart" uri="{C3380CC4-5D6E-409C-BE32-E72D297353CC}">
              <c16:uniqueId val="{00000012-56F3-42B5-8885-B8CACD9CF6B0}"/>
            </c:ext>
          </c:extLst>
        </c:ser>
        <c:dLbls>
          <c:showLegendKey val="0"/>
          <c:showVal val="0"/>
          <c:showCatName val="0"/>
          <c:showSerName val="0"/>
          <c:showPercent val="0"/>
          <c:showBubbleSize val="0"/>
        </c:dLbls>
        <c:gapWidth val="50"/>
        <c:overlap val="100"/>
        <c:axId val="1295435552"/>
        <c:axId val="1295428352"/>
      </c:barChart>
      <c:barChart>
        <c:barDir val="col"/>
        <c:grouping val="stacked"/>
        <c:varyColors val="0"/>
        <c:ser>
          <c:idx val="19"/>
          <c:order val="18"/>
          <c:tx>
            <c:strRef>
              <c:f>Figures!$A$53</c:f>
              <c:strCache>
                <c:ptCount val="1"/>
                <c:pt idx="0">
                  <c:v>Power - Feed Pump</c:v>
                </c:pt>
              </c:strCache>
            </c:strRef>
          </c:tx>
          <c:spPr>
            <a:solidFill>
              <a:schemeClr val="accent2">
                <a:lumMod val="80000"/>
              </a:schemeClr>
            </a:solidFill>
            <a:ln>
              <a:noFill/>
            </a:ln>
            <a:effectLst/>
          </c:spPr>
          <c:invertIfNegative val="0"/>
          <c:cat>
            <c:strRef>
              <c:f>Figures!$B$34:$C$34</c:f>
              <c:strCache>
                <c:ptCount val="2"/>
                <c:pt idx="0">
                  <c:v>Capital Costs</c:v>
                </c:pt>
                <c:pt idx="1">
                  <c:v>Operational Costs</c:v>
                </c:pt>
              </c:strCache>
            </c:strRef>
          </c:cat>
          <c:val>
            <c:numRef>
              <c:f>Figures!$B$53:$C$53</c:f>
              <c:numCache>
                <c:formatCode>_("$"* #,##0.00_);_("$"* \(#,##0.00\);_("$"* "-"??_);_(@_)</c:formatCode>
                <c:ptCount val="2"/>
                <c:pt idx="1">
                  <c:v>2801.335860221574</c:v>
                </c:pt>
              </c:numCache>
            </c:numRef>
          </c:val>
          <c:extLst>
            <c:ext xmlns:c16="http://schemas.microsoft.com/office/drawing/2014/chart" uri="{C3380CC4-5D6E-409C-BE32-E72D297353CC}">
              <c16:uniqueId val="{00000013-56F3-42B5-8885-B8CACD9CF6B0}"/>
            </c:ext>
          </c:extLst>
        </c:ser>
        <c:ser>
          <c:idx val="20"/>
          <c:order val="19"/>
          <c:tx>
            <c:strRef>
              <c:f>Figures!$A$54</c:f>
              <c:strCache>
                <c:ptCount val="1"/>
                <c:pt idx="0">
                  <c:v>Power - Acid Pump</c:v>
                </c:pt>
              </c:strCache>
            </c:strRef>
          </c:tx>
          <c:spPr>
            <a:solidFill>
              <a:schemeClr val="accent3">
                <a:lumMod val="80000"/>
              </a:schemeClr>
            </a:solidFill>
            <a:ln>
              <a:noFill/>
            </a:ln>
            <a:effectLst/>
          </c:spPr>
          <c:invertIfNegative val="0"/>
          <c:cat>
            <c:strRef>
              <c:f>Figures!$B$34:$C$34</c:f>
              <c:strCache>
                <c:ptCount val="2"/>
                <c:pt idx="0">
                  <c:v>Capital Costs</c:v>
                </c:pt>
                <c:pt idx="1">
                  <c:v>Operational Costs</c:v>
                </c:pt>
              </c:strCache>
            </c:strRef>
          </c:cat>
          <c:val>
            <c:numRef>
              <c:f>Figures!$B$54:$C$54</c:f>
              <c:numCache>
                <c:formatCode>_("$"* #,##0.00_);_("$"* \(#,##0.00\);_("$"* "-"??_);_(@_)</c:formatCode>
                <c:ptCount val="2"/>
                <c:pt idx="1">
                  <c:v>327.64622983918719</c:v>
                </c:pt>
              </c:numCache>
            </c:numRef>
          </c:val>
          <c:extLst>
            <c:ext xmlns:c16="http://schemas.microsoft.com/office/drawing/2014/chart" uri="{C3380CC4-5D6E-409C-BE32-E72D297353CC}">
              <c16:uniqueId val="{00000014-56F3-42B5-8885-B8CACD9CF6B0}"/>
            </c:ext>
          </c:extLst>
        </c:ser>
        <c:ser>
          <c:idx val="21"/>
          <c:order val="20"/>
          <c:tx>
            <c:strRef>
              <c:f>Figures!$A$55</c:f>
              <c:strCache>
                <c:ptCount val="1"/>
                <c:pt idx="0">
                  <c:v>Power - Base Pump</c:v>
                </c:pt>
              </c:strCache>
            </c:strRef>
          </c:tx>
          <c:spPr>
            <a:solidFill>
              <a:schemeClr val="accent4">
                <a:lumMod val="80000"/>
              </a:schemeClr>
            </a:solidFill>
            <a:ln>
              <a:noFill/>
            </a:ln>
            <a:effectLst/>
          </c:spPr>
          <c:invertIfNegative val="0"/>
          <c:cat>
            <c:strRef>
              <c:f>Figures!$B$34:$C$34</c:f>
              <c:strCache>
                <c:ptCount val="2"/>
                <c:pt idx="0">
                  <c:v>Capital Costs</c:v>
                </c:pt>
                <c:pt idx="1">
                  <c:v>Operational Costs</c:v>
                </c:pt>
              </c:strCache>
            </c:strRef>
          </c:cat>
          <c:val>
            <c:numRef>
              <c:f>Figures!$B$55:$C$55</c:f>
              <c:numCache>
                <c:formatCode>_("$"* #,##0.00_);_("$"* \(#,##0.00\);_("$"* "-"??_);_(@_)</c:formatCode>
                <c:ptCount val="2"/>
                <c:pt idx="1">
                  <c:v>327.64622983918719</c:v>
                </c:pt>
              </c:numCache>
            </c:numRef>
          </c:val>
          <c:extLst>
            <c:ext xmlns:c16="http://schemas.microsoft.com/office/drawing/2014/chart" uri="{C3380CC4-5D6E-409C-BE32-E72D297353CC}">
              <c16:uniqueId val="{00000015-56F3-42B5-8885-B8CACD9CF6B0}"/>
            </c:ext>
          </c:extLst>
        </c:ser>
        <c:ser>
          <c:idx val="22"/>
          <c:order val="21"/>
          <c:tx>
            <c:strRef>
              <c:f>Figures!$A$56</c:f>
              <c:strCache>
                <c:ptCount val="1"/>
                <c:pt idx="0">
                  <c:v>Power - Electrolyte Pump</c:v>
                </c:pt>
              </c:strCache>
            </c:strRef>
          </c:tx>
          <c:spPr>
            <a:solidFill>
              <a:schemeClr val="accent5">
                <a:lumMod val="80000"/>
              </a:schemeClr>
            </a:solidFill>
            <a:ln>
              <a:noFill/>
            </a:ln>
            <a:effectLst/>
          </c:spPr>
          <c:invertIfNegative val="0"/>
          <c:cat>
            <c:strRef>
              <c:f>Figures!$B$34:$C$34</c:f>
              <c:strCache>
                <c:ptCount val="2"/>
                <c:pt idx="0">
                  <c:v>Capital Costs</c:v>
                </c:pt>
                <c:pt idx="1">
                  <c:v>Operational Costs</c:v>
                </c:pt>
              </c:strCache>
            </c:strRef>
          </c:cat>
          <c:val>
            <c:numRef>
              <c:f>Figures!$B$56:$C$56</c:f>
              <c:numCache>
                <c:formatCode>_("$"* #,##0.00_);_("$"* \(#,##0.00\);_("$"* "-"??_);_(@_)</c:formatCode>
                <c:ptCount val="2"/>
                <c:pt idx="1">
                  <c:v>327.64622983918719</c:v>
                </c:pt>
              </c:numCache>
            </c:numRef>
          </c:val>
          <c:extLst>
            <c:ext xmlns:c16="http://schemas.microsoft.com/office/drawing/2014/chart" uri="{C3380CC4-5D6E-409C-BE32-E72D297353CC}">
              <c16:uniqueId val="{00000016-56F3-42B5-8885-B8CACD9CF6B0}"/>
            </c:ext>
          </c:extLst>
        </c:ser>
        <c:ser>
          <c:idx val="23"/>
          <c:order val="22"/>
          <c:tx>
            <c:strRef>
              <c:f>Figures!$A$57</c:f>
              <c:strCache>
                <c:ptCount val="1"/>
                <c:pt idx="0">
                  <c:v>Heat - Crystallizer</c:v>
                </c:pt>
              </c:strCache>
            </c:strRef>
          </c:tx>
          <c:spPr>
            <a:solidFill>
              <a:schemeClr val="accent6">
                <a:lumMod val="80000"/>
              </a:schemeClr>
            </a:solidFill>
            <a:ln>
              <a:noFill/>
            </a:ln>
            <a:effectLst/>
          </c:spPr>
          <c:invertIfNegative val="0"/>
          <c:cat>
            <c:strRef>
              <c:f>Figures!$B$34:$C$34</c:f>
              <c:strCache>
                <c:ptCount val="2"/>
                <c:pt idx="0">
                  <c:v>Capital Costs</c:v>
                </c:pt>
                <c:pt idx="1">
                  <c:v>Operational Costs</c:v>
                </c:pt>
              </c:strCache>
            </c:strRef>
          </c:cat>
          <c:val>
            <c:numRef>
              <c:f>Figures!$B$57:$C$57</c:f>
              <c:numCache>
                <c:formatCode>_("$"* #,##0.00_);_("$"* \(#,##0.00\);_("$"* "-"??_);_(@_)</c:formatCode>
                <c:ptCount val="2"/>
                <c:pt idx="1">
                  <c:v>0</c:v>
                </c:pt>
              </c:numCache>
            </c:numRef>
          </c:val>
          <c:extLst>
            <c:ext xmlns:c16="http://schemas.microsoft.com/office/drawing/2014/chart" uri="{C3380CC4-5D6E-409C-BE32-E72D297353CC}">
              <c16:uniqueId val="{00000017-56F3-42B5-8885-B8CACD9CF6B0}"/>
            </c:ext>
          </c:extLst>
        </c:ser>
        <c:ser>
          <c:idx val="24"/>
          <c:order val="23"/>
          <c:tx>
            <c:strRef>
              <c:f>Figures!$A$59</c:f>
              <c:strCache>
                <c:ptCount val="1"/>
                <c:pt idx="0">
                  <c:v>Labor</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Figures!$B$34:$C$34</c:f>
              <c:strCache>
                <c:ptCount val="2"/>
                <c:pt idx="0">
                  <c:v>Capital Costs</c:v>
                </c:pt>
                <c:pt idx="1">
                  <c:v>Operational Costs</c:v>
                </c:pt>
              </c:strCache>
            </c:strRef>
          </c:cat>
          <c:val>
            <c:numRef>
              <c:f>Figures!$B$59:$C$59</c:f>
              <c:numCache>
                <c:formatCode>_("$"* #,##0.00_);_("$"* \(#,##0.00\);_("$"* "-"??_);_(@_)</c:formatCode>
                <c:ptCount val="2"/>
                <c:pt idx="1">
                  <c:v>855000</c:v>
                </c:pt>
              </c:numCache>
            </c:numRef>
          </c:val>
          <c:extLst>
            <c:ext xmlns:c16="http://schemas.microsoft.com/office/drawing/2014/chart" uri="{C3380CC4-5D6E-409C-BE32-E72D297353CC}">
              <c16:uniqueId val="{00000018-56F3-42B5-8885-B8CACD9CF6B0}"/>
            </c:ext>
          </c:extLst>
        </c:ser>
        <c:ser>
          <c:idx val="0"/>
          <c:order val="24"/>
          <c:tx>
            <c:strRef>
              <c:f>Figures!$A$58</c:f>
              <c:strCache>
                <c:ptCount val="1"/>
                <c:pt idx="0">
                  <c:v>Power - Applied Voltage</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22195424266409838"/>
                      <c:h val="0.21963943158542179"/>
                    </c:manualLayout>
                  </c15:layout>
                </c:ext>
                <c:ext xmlns:c16="http://schemas.microsoft.com/office/drawing/2014/chart" uri="{C3380CC4-5D6E-409C-BE32-E72D297353CC}">
                  <c16:uniqueId val="{00000003-54D1-4036-937B-625BC1B0D707}"/>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val>
            <c:numRef>
              <c:f>Figures!$B$58:$C$58</c:f>
              <c:numCache>
                <c:formatCode>_("$"* #,##0.00_);_("$"* \(#,##0.00\);_("$"* "-"??_);_(@_)</c:formatCode>
                <c:ptCount val="2"/>
                <c:pt idx="1">
                  <c:v>79945.111508594651</c:v>
                </c:pt>
              </c:numCache>
            </c:numRef>
          </c:val>
          <c:extLst>
            <c:ext xmlns:c16="http://schemas.microsoft.com/office/drawing/2014/chart" uri="{C3380CC4-5D6E-409C-BE32-E72D297353CC}">
              <c16:uniqueId val="{00000000-54D1-4036-937B-625BC1B0D707}"/>
            </c:ext>
          </c:extLst>
        </c:ser>
        <c:dLbls>
          <c:showLegendKey val="0"/>
          <c:showVal val="0"/>
          <c:showCatName val="0"/>
          <c:showSerName val="0"/>
          <c:showPercent val="0"/>
          <c:showBubbleSize val="0"/>
        </c:dLbls>
        <c:gapWidth val="50"/>
        <c:overlap val="100"/>
        <c:axId val="1295501792"/>
        <c:axId val="1295485472"/>
      </c:barChart>
      <c:catAx>
        <c:axId val="129543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Arial Nova Cond" panose="020B0506020202020204" pitchFamily="34" charset="0"/>
                <a:ea typeface="+mn-ea"/>
                <a:cs typeface="+mn-cs"/>
              </a:defRPr>
            </a:pPr>
            <a:endParaRPr lang="en-US"/>
          </a:p>
        </c:txPr>
        <c:crossAx val="1295428352"/>
        <c:crosses val="autoZero"/>
        <c:auto val="1"/>
        <c:lblAlgn val="ctr"/>
        <c:lblOffset val="100"/>
        <c:noMultiLvlLbl val="0"/>
      </c:catAx>
      <c:valAx>
        <c:axId val="1295428352"/>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solidFill>
                    <a:latin typeface="Arial Nova Cond" panose="020B0506020202020204" pitchFamily="34" charset="0"/>
                    <a:ea typeface="+mn-ea"/>
                    <a:cs typeface="+mn-cs"/>
                  </a:defRPr>
                </a:pPr>
                <a:r>
                  <a:rPr lang="en-US" sz="1400" b="1"/>
                  <a:t>CAPEX </a:t>
                </a:r>
                <a:r>
                  <a:rPr lang="en-US" sz="1400" b="0"/>
                  <a:t>[1E6 USD</a:t>
                </a:r>
                <a:r>
                  <a:rPr lang="en-US" sz="1400" b="0" baseline="0"/>
                  <a:t> (2026)]</a:t>
                </a:r>
                <a:endParaRPr lang="en-US" sz="1400" b="0"/>
              </a:p>
            </c:rich>
          </c:tx>
          <c:layout>
            <c:manualLayout>
              <c:xMode val="edge"/>
              <c:yMode val="edge"/>
              <c:x val="1.7907930156957578E-2"/>
              <c:y val="0.16796921064307946"/>
            </c:manualLayout>
          </c:layout>
          <c:overlay val="0"/>
          <c:spPr>
            <a:noFill/>
            <a:ln w="12700">
              <a:noFill/>
            </a:ln>
            <a:effectLst/>
          </c:spPr>
          <c:txPr>
            <a:bodyPr rot="-5400000" spcFirstLastPara="1" vertOverflow="ellipsis" vert="horz" wrap="square" anchor="ctr" anchorCtr="1"/>
            <a:lstStyle/>
            <a:p>
              <a:pPr>
                <a:defRPr sz="14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Nova Cond" panose="020B0506020202020204" pitchFamily="34" charset="0"/>
                <a:ea typeface="+mn-ea"/>
                <a:cs typeface="+mn-cs"/>
              </a:defRPr>
            </a:pPr>
            <a:endParaRPr lang="en-US"/>
          </a:p>
        </c:txPr>
        <c:crossAx val="1295435552"/>
        <c:crosses val="autoZero"/>
        <c:crossBetween val="between"/>
        <c:dispUnits>
          <c:builtInUnit val="millions"/>
        </c:dispUnits>
      </c:valAx>
      <c:valAx>
        <c:axId val="1295485472"/>
        <c:scaling>
          <c:orientation val="minMax"/>
        </c:scaling>
        <c:delete val="0"/>
        <c:axPos val="r"/>
        <c:title>
          <c:tx>
            <c:rich>
              <a:bodyPr rot="-5400000" spcFirstLastPara="1" vertOverflow="ellipsis" vert="horz" wrap="square" anchor="ctr" anchorCtr="1"/>
              <a:lstStyle/>
              <a:p>
                <a:pPr>
                  <a:defRPr sz="1400" b="1" i="0" u="none" strike="noStrike" kern="1200" baseline="0">
                    <a:solidFill>
                      <a:schemeClr val="tx1"/>
                    </a:solidFill>
                    <a:latin typeface="Arial Nova Cond" panose="020B0506020202020204" pitchFamily="34" charset="0"/>
                    <a:ea typeface="+mn-ea"/>
                    <a:cs typeface="+mn-cs"/>
                  </a:defRPr>
                </a:pPr>
                <a:r>
                  <a:rPr lang="en-US" sz="1400" b="1"/>
                  <a:t>OPEX </a:t>
                </a:r>
                <a:r>
                  <a:rPr lang="en-US" sz="1400" b="0"/>
                  <a:t>[1E6</a:t>
                </a:r>
                <a:r>
                  <a:rPr lang="en-US" sz="1400" b="0" baseline="0"/>
                  <a:t> USD (2026) / yr]</a:t>
                </a:r>
                <a:endParaRPr lang="en-US" sz="1400" b="0"/>
              </a:p>
            </c:rich>
          </c:tx>
          <c:layout>
            <c:manualLayout>
              <c:xMode val="edge"/>
              <c:yMode val="edge"/>
              <c:x val="0.95169730904217531"/>
              <c:y val="0.13940222468506838"/>
            </c:manualLayout>
          </c:layout>
          <c:overlay val="0"/>
          <c:spPr>
            <a:noFill/>
            <a:ln w="12700">
              <a:noFill/>
            </a:ln>
            <a:effectLst/>
          </c:spPr>
          <c:txPr>
            <a:bodyPr rot="-5400000" spcFirstLastPara="1" vertOverflow="ellipsis" vert="horz" wrap="square" anchor="ctr" anchorCtr="1"/>
            <a:lstStyle/>
            <a:p>
              <a:pPr>
                <a:defRPr sz="14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0_);_(&quot;$&quot;* \(#,##0.0\);_(&quot;$&quot;* &quot;-&quot;?_);_(@_)" sourceLinked="0"/>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Nova Cond" panose="020B0506020202020204" pitchFamily="34" charset="0"/>
                <a:ea typeface="+mn-ea"/>
                <a:cs typeface="+mn-cs"/>
              </a:defRPr>
            </a:pPr>
            <a:endParaRPr lang="en-US"/>
          </a:p>
        </c:txPr>
        <c:crossAx val="1295501792"/>
        <c:crosses val="max"/>
        <c:crossBetween val="between"/>
        <c:dispUnits>
          <c:builtInUnit val="millions"/>
        </c:dispUnits>
      </c:valAx>
      <c:catAx>
        <c:axId val="1295501792"/>
        <c:scaling>
          <c:orientation val="minMax"/>
        </c:scaling>
        <c:delete val="1"/>
        <c:axPos val="b"/>
        <c:numFmt formatCode="General" sourceLinked="1"/>
        <c:majorTickMark val="out"/>
        <c:minorTickMark val="none"/>
        <c:tickLblPos val="nextTo"/>
        <c:crossAx val="1295485472"/>
        <c:crosses val="autoZero"/>
        <c:auto val="1"/>
        <c:lblAlgn val="ctr"/>
        <c:lblOffset val="100"/>
        <c:noMultiLvlLbl val="0"/>
      </c:catAx>
      <c:spPr>
        <a:noFill/>
        <a:ln w="19050">
          <a:solidFill>
            <a:schemeClr val="tx1"/>
          </a:solidFill>
        </a:ln>
        <a:effectLst/>
      </c:spPr>
    </c:plotArea>
    <c:legend>
      <c:legendPos val="b"/>
      <c:layout>
        <c:manualLayout>
          <c:xMode val="edge"/>
          <c:yMode val="edge"/>
          <c:x val="0"/>
          <c:y val="0.71342873068135837"/>
          <c:w val="0.99635826820091133"/>
          <c:h val="0.2865712693186416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22225" cap="flat" cmpd="sng" algn="ctr">
      <a:noFill/>
      <a:round/>
    </a:ln>
    <a:effectLst/>
  </c:spPr>
  <c:txPr>
    <a:bodyPr/>
    <a:lstStyle/>
    <a:p>
      <a:pPr>
        <a:defRPr>
          <a:solidFill>
            <a:schemeClr val="tx1"/>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r>
              <a:rPr lang="en-US" sz="2000" b="1" cap="all" baseline="0"/>
              <a:t>Cheese Whey Processing Costs</a:t>
            </a:r>
          </a:p>
        </c:rich>
      </c:tx>
      <c:layout>
        <c:manualLayout>
          <c:xMode val="edge"/>
          <c:yMode val="edge"/>
          <c:x val="9.8598594020512603E-2"/>
          <c:y val="1.7367830128945883E-2"/>
        </c:manualLayout>
      </c:layout>
      <c:overlay val="0"/>
      <c:spPr>
        <a:noFill/>
        <a:ln>
          <a:noFill/>
        </a:ln>
        <a:effectLst/>
      </c:spPr>
      <c:txPr>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3401445339373691"/>
          <c:y val="0.10488508806701133"/>
          <c:w val="0.73586689040821751"/>
          <c:h val="0.54920341440990694"/>
        </c:manualLayout>
      </c:layout>
      <c:barChart>
        <c:barDir val="col"/>
        <c:grouping val="stacked"/>
        <c:varyColors val="0"/>
        <c:ser>
          <c:idx val="1"/>
          <c:order val="0"/>
          <c:tx>
            <c:strRef>
              <c:f>Figures!$A$66</c:f>
              <c:strCache>
                <c:ptCount val="1"/>
                <c:pt idx="0">
                  <c:v>Feed Pump - CW+H2O</c:v>
                </c:pt>
              </c:strCache>
            </c:strRef>
          </c:tx>
          <c:spPr>
            <a:solidFill>
              <a:schemeClr val="accent2"/>
            </a:solidFill>
            <a:ln>
              <a:noFill/>
            </a:ln>
            <a:effectLst/>
          </c:spPr>
          <c:invertIfNegative val="0"/>
          <c:cat>
            <c:strRef>
              <c:f>Figures!$B$34:$C$34</c:f>
              <c:strCache>
                <c:ptCount val="2"/>
                <c:pt idx="0">
                  <c:v>Capital Costs</c:v>
                </c:pt>
                <c:pt idx="1">
                  <c:v>Operational Costs</c:v>
                </c:pt>
              </c:strCache>
            </c:strRef>
          </c:cat>
          <c:val>
            <c:numRef>
              <c:f>Figures!$B$66:$C$66</c:f>
              <c:numCache>
                <c:formatCode>General</c:formatCode>
                <c:ptCount val="2"/>
                <c:pt idx="0" formatCode="_(&quot;$&quot;* #,##0.00_);_(&quot;$&quot;* \(#,##0.00\);_(&quot;$&quot;* &quot;-&quot;??_);_(@_)">
                  <c:v>23020.810819827049</c:v>
                </c:pt>
              </c:numCache>
            </c:numRef>
          </c:val>
          <c:extLst>
            <c:ext xmlns:c16="http://schemas.microsoft.com/office/drawing/2014/chart" uri="{C3380CC4-5D6E-409C-BE32-E72D297353CC}">
              <c16:uniqueId val="{00000000-E5B9-43E7-A1FF-409DD31FD4DB}"/>
            </c:ext>
          </c:extLst>
        </c:ser>
        <c:ser>
          <c:idx val="2"/>
          <c:order val="1"/>
          <c:tx>
            <c:strRef>
              <c:f>Figures!$A$67</c:f>
              <c:strCache>
                <c:ptCount val="1"/>
                <c:pt idx="0">
                  <c:v>Feed Pump - Recycle</c:v>
                </c:pt>
              </c:strCache>
            </c:strRef>
          </c:tx>
          <c:spPr>
            <a:solidFill>
              <a:schemeClr val="accent3"/>
            </a:solidFill>
            <a:ln>
              <a:noFill/>
            </a:ln>
            <a:effectLst/>
          </c:spPr>
          <c:invertIfNegative val="0"/>
          <c:cat>
            <c:strRef>
              <c:f>Figures!$B$34:$C$34</c:f>
              <c:strCache>
                <c:ptCount val="2"/>
                <c:pt idx="0">
                  <c:v>Capital Costs</c:v>
                </c:pt>
                <c:pt idx="1">
                  <c:v>Operational Costs</c:v>
                </c:pt>
              </c:strCache>
            </c:strRef>
          </c:cat>
          <c:val>
            <c:numRef>
              <c:f>Figures!$B$67:$C$67</c:f>
              <c:numCache>
                <c:formatCode>General</c:formatCode>
                <c:ptCount val="2"/>
                <c:pt idx="0" formatCode="_(&quot;$&quot;* #,##0.00_);_(&quot;$&quot;* \(#,##0.00\);_(&quot;$&quot;* &quot;-&quot;??_);_(@_)">
                  <c:v>8786.5345219425817</c:v>
                </c:pt>
              </c:numCache>
            </c:numRef>
          </c:val>
          <c:extLst>
            <c:ext xmlns:c16="http://schemas.microsoft.com/office/drawing/2014/chart" uri="{C3380CC4-5D6E-409C-BE32-E72D297353CC}">
              <c16:uniqueId val="{00000001-E5B9-43E7-A1FF-409DD31FD4DB}"/>
            </c:ext>
          </c:extLst>
        </c:ser>
        <c:ser>
          <c:idx val="3"/>
          <c:order val="2"/>
          <c:tx>
            <c:strRef>
              <c:f>Figures!$A$68</c:f>
              <c:strCache>
                <c:ptCount val="1"/>
                <c:pt idx="0">
                  <c:v>Hydrolysis Tank Wall </c:v>
                </c:pt>
              </c:strCache>
            </c:strRef>
          </c:tx>
          <c:spPr>
            <a:solidFill>
              <a:schemeClr val="accent4"/>
            </a:solidFill>
            <a:ln>
              <a:noFill/>
            </a:ln>
            <a:effectLst/>
          </c:spPr>
          <c:invertIfNegative val="0"/>
          <c:cat>
            <c:strRef>
              <c:f>Figures!$B$34:$C$34</c:f>
              <c:strCache>
                <c:ptCount val="2"/>
                <c:pt idx="0">
                  <c:v>Capital Costs</c:v>
                </c:pt>
                <c:pt idx="1">
                  <c:v>Operational Costs</c:v>
                </c:pt>
              </c:strCache>
            </c:strRef>
          </c:cat>
          <c:val>
            <c:numRef>
              <c:f>Figures!$B$68:$C$68</c:f>
              <c:numCache>
                <c:formatCode>General</c:formatCode>
                <c:ptCount val="2"/>
                <c:pt idx="0" formatCode="_(&quot;$&quot;* #,##0.00_);_(&quot;$&quot;* \(#,##0.00\);_(&quot;$&quot;* &quot;-&quot;??_);_(@_)">
                  <c:v>35026.317611926228</c:v>
                </c:pt>
              </c:numCache>
            </c:numRef>
          </c:val>
          <c:extLst>
            <c:ext xmlns:c16="http://schemas.microsoft.com/office/drawing/2014/chart" uri="{C3380CC4-5D6E-409C-BE32-E72D297353CC}">
              <c16:uniqueId val="{00000002-E5B9-43E7-A1FF-409DD31FD4DB}"/>
            </c:ext>
          </c:extLst>
        </c:ser>
        <c:ser>
          <c:idx val="4"/>
          <c:order val="3"/>
          <c:tx>
            <c:strRef>
              <c:f>Figures!$A$69</c:f>
              <c:strCache>
                <c:ptCount val="1"/>
                <c:pt idx="0">
                  <c:v>Hydrolysis Insulation </c:v>
                </c:pt>
              </c:strCache>
            </c:strRef>
          </c:tx>
          <c:spPr>
            <a:solidFill>
              <a:schemeClr val="accent5"/>
            </a:solidFill>
            <a:ln>
              <a:noFill/>
            </a:ln>
            <a:effectLst/>
          </c:spPr>
          <c:invertIfNegative val="0"/>
          <c:cat>
            <c:strRef>
              <c:f>Figures!$B$34:$C$34</c:f>
              <c:strCache>
                <c:ptCount val="2"/>
                <c:pt idx="0">
                  <c:v>Capital Costs</c:v>
                </c:pt>
                <c:pt idx="1">
                  <c:v>Operational Costs</c:v>
                </c:pt>
              </c:strCache>
            </c:strRef>
          </c:cat>
          <c:val>
            <c:numRef>
              <c:f>Figures!$B$69:$C$69</c:f>
              <c:numCache>
                <c:formatCode>General</c:formatCode>
                <c:ptCount val="2"/>
                <c:pt idx="0" formatCode="_(&quot;$&quot;* #,##0.00_);_(&quot;$&quot;* \(#,##0.00\);_(&quot;$&quot;* &quot;-&quot;??_);_(@_)">
                  <c:v>168558.97679191359</c:v>
                </c:pt>
              </c:numCache>
            </c:numRef>
          </c:val>
          <c:extLst>
            <c:ext xmlns:c16="http://schemas.microsoft.com/office/drawing/2014/chart" uri="{C3380CC4-5D6E-409C-BE32-E72D297353CC}">
              <c16:uniqueId val="{00000003-E5B9-43E7-A1FF-409DD31FD4DB}"/>
            </c:ext>
          </c:extLst>
        </c:ser>
        <c:ser>
          <c:idx val="5"/>
          <c:order val="4"/>
          <c:tx>
            <c:strRef>
              <c:f>Figures!$A$70</c:f>
              <c:strCache>
                <c:ptCount val="1"/>
                <c:pt idx="0">
                  <c:v>Hydrolysis Agitator </c:v>
                </c:pt>
              </c:strCache>
            </c:strRef>
          </c:tx>
          <c:spPr>
            <a:solidFill>
              <a:schemeClr val="accent6"/>
            </a:solidFill>
            <a:ln>
              <a:noFill/>
            </a:ln>
            <a:effectLst/>
          </c:spPr>
          <c:invertIfNegative val="0"/>
          <c:cat>
            <c:strRef>
              <c:f>Figures!$B$34:$C$34</c:f>
              <c:strCache>
                <c:ptCount val="2"/>
                <c:pt idx="0">
                  <c:v>Capital Costs</c:v>
                </c:pt>
                <c:pt idx="1">
                  <c:v>Operational Costs</c:v>
                </c:pt>
              </c:strCache>
            </c:strRef>
          </c:cat>
          <c:val>
            <c:numRef>
              <c:f>Figures!$B$70:$C$70</c:f>
              <c:numCache>
                <c:formatCode>General</c:formatCode>
                <c:ptCount val="2"/>
                <c:pt idx="0" formatCode="_(&quot;$&quot;* #,##0.00_);_(&quot;$&quot;* \(#,##0.00\);_(&quot;$&quot;* &quot;-&quot;??_);_(@_)">
                  <c:v>31865.126822698283</c:v>
                </c:pt>
              </c:numCache>
            </c:numRef>
          </c:val>
          <c:extLst>
            <c:ext xmlns:c16="http://schemas.microsoft.com/office/drawing/2014/chart" uri="{C3380CC4-5D6E-409C-BE32-E72D297353CC}">
              <c16:uniqueId val="{00000004-E5B9-43E7-A1FF-409DD31FD4DB}"/>
            </c:ext>
          </c:extLst>
        </c:ser>
        <c:ser>
          <c:idx val="6"/>
          <c:order val="5"/>
          <c:tx>
            <c:strRef>
              <c:f>Figures!$A$71</c:f>
              <c:strCache>
                <c:ptCount val="1"/>
                <c:pt idx="0">
                  <c:v>Feed Pump </c:v>
                </c:pt>
              </c:strCache>
            </c:strRef>
          </c:tx>
          <c:spPr>
            <a:solidFill>
              <a:schemeClr val="accent1">
                <a:lumMod val="60000"/>
              </a:schemeClr>
            </a:solidFill>
            <a:ln>
              <a:noFill/>
            </a:ln>
            <a:effectLst/>
          </c:spPr>
          <c:invertIfNegative val="0"/>
          <c:cat>
            <c:strRef>
              <c:f>Figures!$B$34:$C$34</c:f>
              <c:strCache>
                <c:ptCount val="2"/>
                <c:pt idx="0">
                  <c:v>Capital Costs</c:v>
                </c:pt>
                <c:pt idx="1">
                  <c:v>Operational Costs</c:v>
                </c:pt>
              </c:strCache>
            </c:strRef>
          </c:cat>
          <c:val>
            <c:numRef>
              <c:f>Figures!$B$71:$C$71</c:f>
              <c:numCache>
                <c:formatCode>General</c:formatCode>
                <c:ptCount val="2"/>
                <c:pt idx="0" formatCode="_(&quot;$&quot;* #,##0.00_);_(&quot;$&quot;* \(#,##0.00\);_(&quot;$&quot;* &quot;-&quot;??_);_(@_)">
                  <c:v>14198.592728867774</c:v>
                </c:pt>
              </c:numCache>
            </c:numRef>
          </c:val>
          <c:extLst>
            <c:ext xmlns:c16="http://schemas.microsoft.com/office/drawing/2014/chart" uri="{C3380CC4-5D6E-409C-BE32-E72D297353CC}">
              <c16:uniqueId val="{00000005-E5B9-43E7-A1FF-409DD31FD4DB}"/>
            </c:ext>
          </c:extLst>
        </c:ser>
        <c:ser>
          <c:idx val="7"/>
          <c:order val="6"/>
          <c:tx>
            <c:strRef>
              <c:f>Figures!$A$72</c:f>
              <c:strCache>
                <c:ptCount val="1"/>
                <c:pt idx="0">
                  <c:v>Fermenter Tank Wall </c:v>
                </c:pt>
              </c:strCache>
            </c:strRef>
          </c:tx>
          <c:spPr>
            <a:solidFill>
              <a:schemeClr val="accent2">
                <a:lumMod val="60000"/>
              </a:schemeClr>
            </a:solidFill>
            <a:ln>
              <a:noFill/>
            </a:ln>
            <a:effectLst/>
          </c:spPr>
          <c:invertIfNegative val="0"/>
          <c:cat>
            <c:strRef>
              <c:f>Figures!$B$34:$C$34</c:f>
              <c:strCache>
                <c:ptCount val="2"/>
                <c:pt idx="0">
                  <c:v>Capital Costs</c:v>
                </c:pt>
                <c:pt idx="1">
                  <c:v>Operational Costs</c:v>
                </c:pt>
              </c:strCache>
            </c:strRef>
          </c:cat>
          <c:val>
            <c:numRef>
              <c:f>Figures!$B$72:$C$72</c:f>
              <c:numCache>
                <c:formatCode>General</c:formatCode>
                <c:ptCount val="2"/>
                <c:pt idx="0" formatCode="_(&quot;$&quot;* #,##0.00_);_(&quot;$&quot;* \(#,##0.00\);_(&quot;$&quot;* &quot;-&quot;??_);_(@_)">
                  <c:v>35026.317611926228</c:v>
                </c:pt>
              </c:numCache>
            </c:numRef>
          </c:val>
          <c:extLst>
            <c:ext xmlns:c16="http://schemas.microsoft.com/office/drawing/2014/chart" uri="{C3380CC4-5D6E-409C-BE32-E72D297353CC}">
              <c16:uniqueId val="{00000006-E5B9-43E7-A1FF-409DD31FD4DB}"/>
            </c:ext>
          </c:extLst>
        </c:ser>
        <c:ser>
          <c:idx val="8"/>
          <c:order val="7"/>
          <c:tx>
            <c:strRef>
              <c:f>Figures!$A$73</c:f>
              <c:strCache>
                <c:ptCount val="1"/>
                <c:pt idx="0">
                  <c:v>Fermenter Insulation </c:v>
                </c:pt>
              </c:strCache>
            </c:strRef>
          </c:tx>
          <c:spPr>
            <a:solidFill>
              <a:schemeClr val="accent3">
                <a:lumMod val="60000"/>
              </a:schemeClr>
            </a:solidFill>
            <a:ln>
              <a:noFill/>
            </a:ln>
            <a:effectLst/>
          </c:spPr>
          <c:invertIfNegative val="0"/>
          <c:cat>
            <c:strRef>
              <c:f>Figures!$B$34:$C$34</c:f>
              <c:strCache>
                <c:ptCount val="2"/>
                <c:pt idx="0">
                  <c:v>Capital Costs</c:v>
                </c:pt>
                <c:pt idx="1">
                  <c:v>Operational Costs</c:v>
                </c:pt>
              </c:strCache>
            </c:strRef>
          </c:cat>
          <c:val>
            <c:numRef>
              <c:f>Figures!$B$73:$C$73</c:f>
              <c:numCache>
                <c:formatCode>General</c:formatCode>
                <c:ptCount val="2"/>
                <c:pt idx="0" formatCode="_(&quot;$&quot;* #,##0.00_);_(&quot;$&quot;* \(#,##0.00\);_(&quot;$&quot;* &quot;-&quot;??_);_(@_)">
                  <c:v>68336.747736949226</c:v>
                </c:pt>
              </c:numCache>
            </c:numRef>
          </c:val>
          <c:extLst>
            <c:ext xmlns:c16="http://schemas.microsoft.com/office/drawing/2014/chart" uri="{C3380CC4-5D6E-409C-BE32-E72D297353CC}">
              <c16:uniqueId val="{00000007-E5B9-43E7-A1FF-409DD31FD4DB}"/>
            </c:ext>
          </c:extLst>
        </c:ser>
        <c:ser>
          <c:idx val="9"/>
          <c:order val="8"/>
          <c:tx>
            <c:strRef>
              <c:f>Figures!$A$74</c:f>
              <c:strCache>
                <c:ptCount val="1"/>
                <c:pt idx="0">
                  <c:v>Fermenter Agitator </c:v>
                </c:pt>
              </c:strCache>
            </c:strRef>
          </c:tx>
          <c:spPr>
            <a:solidFill>
              <a:schemeClr val="accent4">
                <a:lumMod val="60000"/>
              </a:schemeClr>
            </a:solidFill>
            <a:ln>
              <a:noFill/>
            </a:ln>
            <a:effectLst/>
          </c:spPr>
          <c:invertIfNegative val="0"/>
          <c:cat>
            <c:strRef>
              <c:f>Figures!$B$34:$C$34</c:f>
              <c:strCache>
                <c:ptCount val="2"/>
                <c:pt idx="0">
                  <c:v>Capital Costs</c:v>
                </c:pt>
                <c:pt idx="1">
                  <c:v>Operational Costs</c:v>
                </c:pt>
              </c:strCache>
            </c:strRef>
          </c:cat>
          <c:val>
            <c:numRef>
              <c:f>Figures!$B$74:$C$74</c:f>
              <c:numCache>
                <c:formatCode>General</c:formatCode>
                <c:ptCount val="2"/>
                <c:pt idx="0" formatCode="_(&quot;$&quot;* #,##0.00_);_(&quot;$&quot;* \(#,##0.00\);_(&quot;$&quot;* &quot;-&quot;??_);_(@_)">
                  <c:v>31865.126822698283</c:v>
                </c:pt>
              </c:numCache>
            </c:numRef>
          </c:val>
          <c:extLst>
            <c:ext xmlns:c16="http://schemas.microsoft.com/office/drawing/2014/chart" uri="{C3380CC4-5D6E-409C-BE32-E72D297353CC}">
              <c16:uniqueId val="{00000008-E5B9-43E7-A1FF-409DD31FD4DB}"/>
            </c:ext>
          </c:extLst>
        </c:ser>
        <c:ser>
          <c:idx val="10"/>
          <c:order val="9"/>
          <c:tx>
            <c:strRef>
              <c:f>Figures!$A$75</c:f>
              <c:strCache>
                <c:ptCount val="1"/>
                <c:pt idx="0">
                  <c:v>Feed Pump</c:v>
                </c:pt>
              </c:strCache>
            </c:strRef>
          </c:tx>
          <c:spPr>
            <a:solidFill>
              <a:schemeClr val="accent5">
                <a:lumMod val="60000"/>
              </a:schemeClr>
            </a:solidFill>
            <a:ln>
              <a:noFill/>
            </a:ln>
            <a:effectLst/>
          </c:spPr>
          <c:invertIfNegative val="0"/>
          <c:cat>
            <c:strRef>
              <c:f>Figures!$B$34:$C$34</c:f>
              <c:strCache>
                <c:ptCount val="2"/>
                <c:pt idx="0">
                  <c:v>Capital Costs</c:v>
                </c:pt>
                <c:pt idx="1">
                  <c:v>Operational Costs</c:v>
                </c:pt>
              </c:strCache>
            </c:strRef>
          </c:cat>
          <c:val>
            <c:numRef>
              <c:f>Figures!$B$75:$C$75</c:f>
              <c:numCache>
                <c:formatCode>General</c:formatCode>
                <c:ptCount val="2"/>
                <c:pt idx="0" formatCode="_(&quot;$&quot;* #,##0.00_);_(&quot;$&quot;* \(#,##0.00\);_(&quot;$&quot;* &quot;-&quot;??_);_(@_)">
                  <c:v>14198.592728867774</c:v>
                </c:pt>
              </c:numCache>
            </c:numRef>
          </c:val>
          <c:extLst>
            <c:ext xmlns:c16="http://schemas.microsoft.com/office/drawing/2014/chart" uri="{C3380CC4-5D6E-409C-BE32-E72D297353CC}">
              <c16:uniqueId val="{00000009-E5B9-43E7-A1FF-409DD31FD4DB}"/>
            </c:ext>
          </c:extLst>
        </c:ser>
        <c:ser>
          <c:idx val="11"/>
          <c:order val="10"/>
          <c:tx>
            <c:strRef>
              <c:f>Figures!$A$76</c:f>
              <c:strCache>
                <c:ptCount val="1"/>
                <c:pt idx="0">
                  <c:v>Decanter</c:v>
                </c:pt>
              </c:strCache>
            </c:strRef>
          </c:tx>
          <c:spPr>
            <a:solidFill>
              <a:schemeClr val="accent6">
                <a:lumMod val="60000"/>
              </a:schemeClr>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B-A1D5-49D9-B0EF-7904828A5D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Nova Cond" panose="020B0506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Figures!$B$76:$C$76</c:f>
              <c:numCache>
                <c:formatCode>General</c:formatCode>
                <c:ptCount val="2"/>
                <c:pt idx="0" formatCode="_(&quot;$&quot;* #,##0.00_);_(&quot;$&quot;* \(#,##0.00\);_(&quot;$&quot;* &quot;-&quot;??_);_(@_)">
                  <c:v>583156.23398006905</c:v>
                </c:pt>
              </c:numCache>
            </c:numRef>
          </c:val>
          <c:extLst>
            <c:ext xmlns:c16="http://schemas.microsoft.com/office/drawing/2014/chart" uri="{C3380CC4-5D6E-409C-BE32-E72D297353CC}">
              <c16:uniqueId val="{0000000A-E5B9-43E7-A1FF-409DD31FD4DB}"/>
            </c:ext>
          </c:extLst>
        </c:ser>
        <c:ser>
          <c:idx val="12"/>
          <c:order val="11"/>
          <c:tx>
            <c:strRef>
              <c:f>Figures!$A$77</c:f>
              <c:strCache>
                <c:ptCount val="1"/>
                <c:pt idx="0">
                  <c:v>Microfiltration</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Figures!$B$77:$C$77</c:f>
              <c:numCache>
                <c:formatCode>General</c:formatCode>
                <c:ptCount val="2"/>
                <c:pt idx="0" formatCode="_(&quot;$&quot;* #,##0.00_);_(&quot;$&quot;* \(#,##0.00\);_(&quot;$&quot;* &quot;-&quot;??_);_(@_)">
                  <c:v>255678.63093127412</c:v>
                </c:pt>
              </c:numCache>
            </c:numRef>
          </c:val>
          <c:extLst>
            <c:ext xmlns:c16="http://schemas.microsoft.com/office/drawing/2014/chart" uri="{C3380CC4-5D6E-409C-BE32-E72D297353CC}">
              <c16:uniqueId val="{0000000B-E5B9-43E7-A1FF-409DD31FD4DB}"/>
            </c:ext>
          </c:extLst>
        </c:ser>
        <c:ser>
          <c:idx val="13"/>
          <c:order val="12"/>
          <c:tx>
            <c:strRef>
              <c:f>Figures!$A$78</c:f>
              <c:strCache>
                <c:ptCount val="1"/>
                <c:pt idx="0">
                  <c:v>Feed Pump</c:v>
                </c:pt>
              </c:strCache>
            </c:strRef>
          </c:tx>
          <c:spPr>
            <a:solidFill>
              <a:schemeClr val="accent2">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Figures!$B$78:$C$78</c:f>
              <c:numCache>
                <c:formatCode>General</c:formatCode>
                <c:ptCount val="2"/>
                <c:pt idx="0" formatCode="_(&quot;$&quot;* #,##0.00_);_(&quot;$&quot;* \(#,##0.00\);_(&quot;$&quot;* &quot;-&quot;??_);_(@_)">
                  <c:v>14198.665594143926</c:v>
                </c:pt>
              </c:numCache>
            </c:numRef>
          </c:val>
          <c:extLst>
            <c:ext xmlns:c16="http://schemas.microsoft.com/office/drawing/2014/chart" uri="{C3380CC4-5D6E-409C-BE32-E72D297353CC}">
              <c16:uniqueId val="{0000000C-E5B9-43E7-A1FF-409DD31FD4DB}"/>
            </c:ext>
          </c:extLst>
        </c:ser>
        <c:ser>
          <c:idx val="14"/>
          <c:order val="13"/>
          <c:tx>
            <c:strRef>
              <c:f>Figures!$A$79</c:f>
              <c:strCache>
                <c:ptCount val="1"/>
                <c:pt idx="0">
                  <c:v>pH Adjustment Tank Wall</c:v>
                </c:pt>
              </c:strCache>
            </c:strRef>
          </c:tx>
          <c:spPr>
            <a:solidFill>
              <a:schemeClr val="accent3">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Figures!$B$79:$C$79</c:f>
              <c:numCache>
                <c:formatCode>General</c:formatCode>
                <c:ptCount val="2"/>
                <c:pt idx="0" formatCode="_(&quot;$&quot;* #,##0.00_);_(&quot;$&quot;* \(#,##0.00\);_(&quot;$&quot;* &quot;-&quot;??_);_(@_)">
                  <c:v>2219.3064424607728</c:v>
                </c:pt>
              </c:numCache>
            </c:numRef>
          </c:val>
          <c:extLst>
            <c:ext xmlns:c16="http://schemas.microsoft.com/office/drawing/2014/chart" uri="{C3380CC4-5D6E-409C-BE32-E72D297353CC}">
              <c16:uniqueId val="{0000000D-E5B9-43E7-A1FF-409DD31FD4DB}"/>
            </c:ext>
          </c:extLst>
        </c:ser>
        <c:ser>
          <c:idx val="15"/>
          <c:order val="14"/>
          <c:tx>
            <c:strRef>
              <c:f>Figures!$A$80</c:f>
              <c:strCache>
                <c:ptCount val="1"/>
                <c:pt idx="0">
                  <c:v>pH Adjustment Insulation</c:v>
                </c:pt>
              </c:strCache>
            </c:strRef>
          </c:tx>
          <c:spPr>
            <a:solidFill>
              <a:schemeClr val="accent4">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Figures!$B$80:$C$80</c:f>
              <c:numCache>
                <c:formatCode>General</c:formatCode>
                <c:ptCount val="2"/>
                <c:pt idx="0" formatCode="_(&quot;$&quot;* #,##0.00_);_(&quot;$&quot;* \(#,##0.00\);_(&quot;$&quot;* &quot;-&quot;??_);_(@_)">
                  <c:v>661.07646306880076</c:v>
                </c:pt>
              </c:numCache>
            </c:numRef>
          </c:val>
          <c:extLst>
            <c:ext xmlns:c16="http://schemas.microsoft.com/office/drawing/2014/chart" uri="{C3380CC4-5D6E-409C-BE32-E72D297353CC}">
              <c16:uniqueId val="{0000000E-E5B9-43E7-A1FF-409DD31FD4DB}"/>
            </c:ext>
          </c:extLst>
        </c:ser>
        <c:ser>
          <c:idx val="16"/>
          <c:order val="15"/>
          <c:tx>
            <c:strRef>
              <c:f>Figures!$A$81</c:f>
              <c:strCache>
                <c:ptCount val="1"/>
                <c:pt idx="0">
                  <c:v>pH Adjustment Agitator</c:v>
                </c:pt>
              </c:strCache>
            </c:strRef>
          </c:tx>
          <c:spPr>
            <a:solidFill>
              <a:schemeClr val="accent5">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Figures!$B$81:$C$81</c:f>
              <c:numCache>
                <c:formatCode>General</c:formatCode>
                <c:ptCount val="2"/>
                <c:pt idx="0" formatCode="_(&quot;$&quot;* #,##0.00_);_(&quot;$&quot;* \(#,##0.00\);_(&quot;$&quot;* &quot;-&quot;??_);_(@_)">
                  <c:v>31865.229027326746</c:v>
                </c:pt>
              </c:numCache>
            </c:numRef>
          </c:val>
          <c:extLst>
            <c:ext xmlns:c16="http://schemas.microsoft.com/office/drawing/2014/chart" uri="{C3380CC4-5D6E-409C-BE32-E72D297353CC}">
              <c16:uniqueId val="{0000000F-E5B9-43E7-A1FF-409DD31FD4DB}"/>
            </c:ext>
          </c:extLst>
        </c:ser>
        <c:ser>
          <c:idx val="17"/>
          <c:order val="16"/>
          <c:tx>
            <c:strRef>
              <c:f>Figures!$A$82</c:f>
              <c:strCache>
                <c:ptCount val="1"/>
                <c:pt idx="0">
                  <c:v>Reverse Osmosis Filtration</c:v>
                </c:pt>
              </c:strCache>
            </c:strRef>
          </c:tx>
          <c:spPr>
            <a:solidFill>
              <a:schemeClr val="accent6">
                <a:lumMod val="80000"/>
                <a:lumOff val="20000"/>
              </a:schemeClr>
            </a:solidFill>
            <a:ln>
              <a:noFill/>
            </a:ln>
            <a:effectLst/>
          </c:spPr>
          <c:invertIfNegative val="0"/>
          <c:dLbls>
            <c:dLbl>
              <c:idx val="0"/>
              <c:showLegendKey val="0"/>
              <c:showVal val="0"/>
              <c:showCatName val="0"/>
              <c:showSerName val="1"/>
              <c:showPercent val="0"/>
              <c:showBubbleSize val="0"/>
              <c:extLst>
                <c:ext xmlns:c15="http://schemas.microsoft.com/office/drawing/2012/chart" uri="{CE6537A1-D6FC-4f65-9D91-7224C49458BB}">
                  <c15:layout>
                    <c:manualLayout>
                      <c:w val="0.23407224588219927"/>
                      <c:h val="6.4234312294613266E-2"/>
                    </c:manualLayout>
                  </c15:layout>
                </c:ext>
                <c:ext xmlns:c16="http://schemas.microsoft.com/office/drawing/2014/chart" uri="{C3380CC4-5D6E-409C-BE32-E72D297353CC}">
                  <c16:uniqueId val="{0000000C-A1D5-49D9-B0EF-7904828A5DC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Figures!$B$82:$C$82</c:f>
              <c:numCache>
                <c:formatCode>General</c:formatCode>
                <c:ptCount val="2"/>
                <c:pt idx="0" formatCode="_(&quot;$&quot;* #,##0.00_);_(&quot;$&quot;* \(#,##0.00\);_(&quot;$&quot;* &quot;-&quot;??_);_(@_)">
                  <c:v>153808.30812384267</c:v>
                </c:pt>
              </c:numCache>
            </c:numRef>
          </c:val>
          <c:extLst>
            <c:ext xmlns:c16="http://schemas.microsoft.com/office/drawing/2014/chart" uri="{C3380CC4-5D6E-409C-BE32-E72D297353CC}">
              <c16:uniqueId val="{00000010-E5B9-43E7-A1FF-409DD31FD4DB}"/>
            </c:ext>
          </c:extLst>
        </c:ser>
        <c:ser>
          <c:idx val="18"/>
          <c:order val="17"/>
          <c:tx>
            <c:strRef>
              <c:f>Figures!$A$83</c:f>
              <c:strCache>
                <c:ptCount val="1"/>
                <c:pt idx="0">
                  <c:v>Lactate Storage Tank</c:v>
                </c:pt>
              </c:strCache>
            </c:strRef>
          </c:tx>
          <c:spPr>
            <a:solidFill>
              <a:schemeClr val="accent1">
                <a:lumMod val="80000"/>
              </a:schemeClr>
            </a:solidFill>
            <a:ln>
              <a:noFill/>
            </a:ln>
            <a:effectLst/>
          </c:spPr>
          <c:invertIfNegative val="0"/>
          <c:cat>
            <c:strRef>
              <c:f>Figures!$B$34:$C$34</c:f>
              <c:strCache>
                <c:ptCount val="2"/>
                <c:pt idx="0">
                  <c:v>Capital Costs</c:v>
                </c:pt>
                <c:pt idx="1">
                  <c:v>Operational Costs</c:v>
                </c:pt>
              </c:strCache>
            </c:strRef>
          </c:cat>
          <c:val>
            <c:numRef>
              <c:f>Figures!$B$83:$C$83</c:f>
              <c:numCache>
                <c:formatCode>General</c:formatCode>
                <c:ptCount val="2"/>
                <c:pt idx="0" formatCode="_(&quot;$&quot;* #,##0.00_);_(&quot;$&quot;* \(#,##0.00\);_(&quot;$&quot;* &quot;-&quot;??_);_(@_)">
                  <c:v>4083.7856890326061</c:v>
                </c:pt>
              </c:numCache>
            </c:numRef>
          </c:val>
          <c:extLst>
            <c:ext xmlns:c16="http://schemas.microsoft.com/office/drawing/2014/chart" uri="{C3380CC4-5D6E-409C-BE32-E72D297353CC}">
              <c16:uniqueId val="{00000011-E5B9-43E7-A1FF-409DD31FD4DB}"/>
            </c:ext>
          </c:extLst>
        </c:ser>
        <c:dLbls>
          <c:showLegendKey val="0"/>
          <c:showVal val="0"/>
          <c:showCatName val="0"/>
          <c:showSerName val="0"/>
          <c:showPercent val="0"/>
          <c:showBubbleSize val="0"/>
        </c:dLbls>
        <c:gapWidth val="50"/>
        <c:overlap val="100"/>
        <c:axId val="1295435552"/>
        <c:axId val="1295428352"/>
      </c:barChart>
      <c:barChart>
        <c:barDir val="col"/>
        <c:grouping val="stacked"/>
        <c:varyColors val="0"/>
        <c:ser>
          <c:idx val="19"/>
          <c:order val="18"/>
          <c:tx>
            <c:strRef>
              <c:f>Figures!$A$84</c:f>
              <c:strCache>
                <c:ptCount val="1"/>
                <c:pt idx="0">
                  <c:v>Purified Water Tank</c:v>
                </c:pt>
              </c:strCache>
            </c:strRef>
          </c:tx>
          <c:spPr>
            <a:solidFill>
              <a:schemeClr val="accent2">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Figures!$B$34:$C$34</c:f>
              <c:strCache>
                <c:ptCount val="2"/>
                <c:pt idx="0">
                  <c:v>Capital Costs</c:v>
                </c:pt>
                <c:pt idx="1">
                  <c:v>Operational Costs</c:v>
                </c:pt>
              </c:strCache>
            </c:strRef>
          </c:cat>
          <c:val>
            <c:numRef>
              <c:f>Figures!$B$84:$C$84</c:f>
              <c:numCache>
                <c:formatCode>General</c:formatCode>
                <c:ptCount val="2"/>
                <c:pt idx="0" formatCode="_(&quot;$&quot;* #,##0.00_);_(&quot;$&quot;* \(#,##0.00\);_(&quot;$&quot;* &quot;-&quot;??_);_(@_)">
                  <c:v>169411.24658644092</c:v>
                </c:pt>
              </c:numCache>
            </c:numRef>
          </c:val>
          <c:extLst>
            <c:ext xmlns:c16="http://schemas.microsoft.com/office/drawing/2014/chart" uri="{C3380CC4-5D6E-409C-BE32-E72D297353CC}">
              <c16:uniqueId val="{00000012-E5B9-43E7-A1FF-409DD31FD4DB}"/>
            </c:ext>
          </c:extLst>
        </c:ser>
        <c:ser>
          <c:idx val="20"/>
          <c:order val="19"/>
          <c:tx>
            <c:strRef>
              <c:f>Figures!$A$85</c:f>
              <c:strCache>
                <c:ptCount val="1"/>
                <c:pt idx="0">
                  <c:v>Power - Feed Pump</c:v>
                </c:pt>
              </c:strCache>
            </c:strRef>
          </c:tx>
          <c:spPr>
            <a:solidFill>
              <a:schemeClr val="accent3">
                <a:lumMod val="80000"/>
              </a:schemeClr>
            </a:solidFill>
            <a:ln>
              <a:noFill/>
            </a:ln>
            <a:effectLst/>
          </c:spPr>
          <c:invertIfNegative val="0"/>
          <c:cat>
            <c:strRef>
              <c:f>Figures!$B$34:$C$34</c:f>
              <c:strCache>
                <c:ptCount val="2"/>
                <c:pt idx="0">
                  <c:v>Capital Costs</c:v>
                </c:pt>
                <c:pt idx="1">
                  <c:v>Operational Costs</c:v>
                </c:pt>
              </c:strCache>
            </c:strRef>
          </c:cat>
          <c:val>
            <c:numRef>
              <c:f>Figures!$B$85:$C$85</c:f>
              <c:numCache>
                <c:formatCode>_("$"* #,##0.00_);_("$"* \(#,##0.00\);_("$"* "-"??_);_(@_)</c:formatCode>
                <c:ptCount val="2"/>
                <c:pt idx="1">
                  <c:v>2556.7849924424809</c:v>
                </c:pt>
              </c:numCache>
            </c:numRef>
          </c:val>
          <c:extLst>
            <c:ext xmlns:c16="http://schemas.microsoft.com/office/drawing/2014/chart" uri="{C3380CC4-5D6E-409C-BE32-E72D297353CC}">
              <c16:uniqueId val="{00000013-E5B9-43E7-A1FF-409DD31FD4DB}"/>
            </c:ext>
          </c:extLst>
        </c:ser>
        <c:ser>
          <c:idx val="0"/>
          <c:order val="20"/>
          <c:tx>
            <c:strRef>
              <c:f>Figures!$A$86</c:f>
              <c:strCache>
                <c:ptCount val="1"/>
                <c:pt idx="0">
                  <c:v>Beta-Galactosidase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Figures!$B$86:$C$86</c:f>
              <c:numCache>
                <c:formatCode>_("$"* #,##0.00_);_("$"* \(#,##0.00\);_("$"* "-"??_);_(@_)</c:formatCode>
                <c:ptCount val="2"/>
                <c:pt idx="1">
                  <c:v>812057.98391340917</c:v>
                </c:pt>
              </c:numCache>
            </c:numRef>
          </c:val>
          <c:extLst>
            <c:ext xmlns:c16="http://schemas.microsoft.com/office/drawing/2014/chart" uri="{C3380CC4-5D6E-409C-BE32-E72D297353CC}">
              <c16:uniqueId val="{00000001-A1D5-49D9-B0EF-7904828A5DC1}"/>
            </c:ext>
          </c:extLst>
        </c:ser>
        <c:ser>
          <c:idx val="21"/>
          <c:order val="21"/>
          <c:tx>
            <c:strRef>
              <c:f>Figures!$A$87</c:f>
              <c:strCache>
                <c:ptCount val="1"/>
                <c:pt idx="0">
                  <c:v>Power - Recycle Pump</c:v>
                </c:pt>
              </c:strCache>
            </c:strRef>
          </c:tx>
          <c:spPr>
            <a:solidFill>
              <a:schemeClr val="accent4">
                <a:lumMod val="80000"/>
              </a:schemeClr>
            </a:solidFill>
            <a:ln>
              <a:noFill/>
            </a:ln>
            <a:effectLst/>
          </c:spPr>
          <c:invertIfNegative val="0"/>
          <c:cat>
            <c:strRef>
              <c:f>Figures!$B$34:$C$34</c:f>
              <c:strCache>
                <c:ptCount val="2"/>
                <c:pt idx="0">
                  <c:v>Capital Costs</c:v>
                </c:pt>
                <c:pt idx="1">
                  <c:v>Operational Costs</c:v>
                </c:pt>
              </c:strCache>
            </c:strRef>
          </c:cat>
          <c:val>
            <c:numRef>
              <c:f>Figures!$B$87:$C$87</c:f>
              <c:numCache>
                <c:formatCode>_("$"* #,##0.00_);_("$"* \(#,##0.00\);_("$"* "-"??_);_(@_)</c:formatCode>
                <c:ptCount val="2"/>
                <c:pt idx="1">
                  <c:v>590.02730594826471</c:v>
                </c:pt>
              </c:numCache>
            </c:numRef>
          </c:val>
          <c:extLst>
            <c:ext xmlns:c16="http://schemas.microsoft.com/office/drawing/2014/chart" uri="{C3380CC4-5D6E-409C-BE32-E72D297353CC}">
              <c16:uniqueId val="{00000002-A1D5-49D9-B0EF-7904828A5DC1}"/>
            </c:ext>
          </c:extLst>
        </c:ser>
        <c:ser>
          <c:idx val="22"/>
          <c:order val="22"/>
          <c:tx>
            <c:strRef>
              <c:f>Figures!$A$88</c:f>
              <c:strCache>
                <c:ptCount val="1"/>
                <c:pt idx="0">
                  <c:v>Heat - Hydrolysis</c:v>
                </c:pt>
              </c:strCache>
            </c:strRef>
          </c:tx>
          <c:spPr>
            <a:solidFill>
              <a:schemeClr val="accent5">
                <a:lumMod val="80000"/>
              </a:schemeClr>
            </a:solidFill>
            <a:ln>
              <a:noFill/>
            </a:ln>
            <a:effectLst/>
          </c:spPr>
          <c:invertIfNegative val="0"/>
          <c:cat>
            <c:strRef>
              <c:f>Figures!$B$34:$C$34</c:f>
              <c:strCache>
                <c:ptCount val="2"/>
                <c:pt idx="0">
                  <c:v>Capital Costs</c:v>
                </c:pt>
                <c:pt idx="1">
                  <c:v>Operational Costs</c:v>
                </c:pt>
              </c:strCache>
            </c:strRef>
          </c:cat>
          <c:val>
            <c:numRef>
              <c:f>Figures!$B$88:$C$88</c:f>
              <c:numCache>
                <c:formatCode>_("$"* #,##0.00_);_("$"* \(#,##0.00\);_("$"* "-"??_);_(@_)</c:formatCode>
                <c:ptCount val="2"/>
                <c:pt idx="1">
                  <c:v>939.65723944322349</c:v>
                </c:pt>
              </c:numCache>
            </c:numRef>
          </c:val>
          <c:extLst>
            <c:ext xmlns:c16="http://schemas.microsoft.com/office/drawing/2014/chart" uri="{C3380CC4-5D6E-409C-BE32-E72D297353CC}">
              <c16:uniqueId val="{00000003-A1D5-49D9-B0EF-7904828A5DC1}"/>
            </c:ext>
          </c:extLst>
        </c:ser>
        <c:ser>
          <c:idx val="23"/>
          <c:order val="23"/>
          <c:tx>
            <c:strRef>
              <c:f>Figures!$A$89</c:f>
              <c:strCache>
                <c:ptCount val="1"/>
                <c:pt idx="0">
                  <c:v>Hydrolysis Mixing</c:v>
                </c:pt>
              </c:strCache>
            </c:strRef>
          </c:tx>
          <c:spPr>
            <a:solidFill>
              <a:schemeClr val="accent6">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Figures!$B$89:$C$89</c:f>
              <c:numCache>
                <c:formatCode>_("$"* #,##0.00_);_("$"* \(#,##0.00\);_("$"* "-"??_);_(@_)</c:formatCode>
                <c:ptCount val="2"/>
                <c:pt idx="1">
                  <c:v>171677.07722947147</c:v>
                </c:pt>
              </c:numCache>
            </c:numRef>
          </c:val>
          <c:extLst>
            <c:ext xmlns:c16="http://schemas.microsoft.com/office/drawing/2014/chart" uri="{C3380CC4-5D6E-409C-BE32-E72D297353CC}">
              <c16:uniqueId val="{00000004-A1D5-49D9-B0EF-7904828A5DC1}"/>
            </c:ext>
          </c:extLst>
        </c:ser>
        <c:ser>
          <c:idx val="24"/>
          <c:order val="24"/>
          <c:tx>
            <c:strRef>
              <c:f>Figures!$A$90</c:f>
              <c:strCache>
                <c:ptCount val="1"/>
                <c:pt idx="0">
                  <c:v>Power - Feed Pump</c:v>
                </c:pt>
              </c:strCache>
            </c:strRef>
          </c:tx>
          <c:spPr>
            <a:solidFill>
              <a:schemeClr val="accent1">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Figures!$B$90:$C$90</c:f>
              <c:numCache>
                <c:formatCode>_("$"* #,##0.00_);_("$"* \(#,##0.00\);_("$"* "-"??_);_(@_)</c:formatCode>
                <c:ptCount val="2"/>
                <c:pt idx="1">
                  <c:v>463.3702663581717</c:v>
                </c:pt>
              </c:numCache>
            </c:numRef>
          </c:val>
          <c:extLst>
            <c:ext xmlns:c16="http://schemas.microsoft.com/office/drawing/2014/chart" uri="{C3380CC4-5D6E-409C-BE32-E72D297353CC}">
              <c16:uniqueId val="{00000005-A1D5-49D9-B0EF-7904828A5DC1}"/>
            </c:ext>
          </c:extLst>
        </c:ser>
        <c:ser>
          <c:idx val="25"/>
          <c:order val="25"/>
          <c:tx>
            <c:strRef>
              <c:f>Figures!$A$91</c:f>
              <c:strCache>
                <c:ptCount val="1"/>
                <c:pt idx="0">
                  <c:v>Heat - Fermentation</c:v>
                </c:pt>
              </c:strCache>
            </c:strRef>
          </c:tx>
          <c:spPr>
            <a:solidFill>
              <a:schemeClr val="accent2">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Figures!$B$91:$C$91</c:f>
              <c:numCache>
                <c:formatCode>_("$"* #,##0.00_);_("$"* \(#,##0.00\);_("$"* "-"??_);_(@_)</c:formatCode>
                <c:ptCount val="2"/>
                <c:pt idx="1">
                  <c:v>26.847349698377819</c:v>
                </c:pt>
              </c:numCache>
            </c:numRef>
          </c:val>
          <c:extLst>
            <c:ext xmlns:c16="http://schemas.microsoft.com/office/drawing/2014/chart" uri="{C3380CC4-5D6E-409C-BE32-E72D297353CC}">
              <c16:uniqueId val="{00000006-A1D5-49D9-B0EF-7904828A5DC1}"/>
            </c:ext>
          </c:extLst>
        </c:ser>
        <c:ser>
          <c:idx val="26"/>
          <c:order val="26"/>
          <c:tx>
            <c:strRef>
              <c:f>Figures!$A$92</c:f>
              <c:strCache>
                <c:ptCount val="1"/>
                <c:pt idx="0">
                  <c:v>Fermentation Mixing</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Figures!$B$34:$C$34</c:f>
              <c:strCache>
                <c:ptCount val="2"/>
                <c:pt idx="0">
                  <c:v>Capital Costs</c:v>
                </c:pt>
                <c:pt idx="1">
                  <c:v>Operational Costs</c:v>
                </c:pt>
              </c:strCache>
            </c:strRef>
          </c:cat>
          <c:val>
            <c:numRef>
              <c:f>Figures!$B$92:$C$92</c:f>
              <c:numCache>
                <c:formatCode>_("$"* #,##0.00_);_("$"* \(#,##0.00\);_("$"* "-"??_);_(@_)</c:formatCode>
                <c:ptCount val="2"/>
                <c:pt idx="1">
                  <c:v>171677.07722947147</c:v>
                </c:pt>
              </c:numCache>
            </c:numRef>
          </c:val>
          <c:extLst>
            <c:ext xmlns:c16="http://schemas.microsoft.com/office/drawing/2014/chart" uri="{C3380CC4-5D6E-409C-BE32-E72D297353CC}">
              <c16:uniqueId val="{00000007-A1D5-49D9-B0EF-7904828A5DC1}"/>
            </c:ext>
          </c:extLst>
        </c:ser>
        <c:ser>
          <c:idx val="27"/>
          <c:order val="27"/>
          <c:tx>
            <c:strRef>
              <c:f>Figures!$A$93</c:f>
              <c:strCache>
                <c:ptCount val="1"/>
                <c:pt idx="0">
                  <c:v>pH Mixing</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Figures!$B$34:$C$34</c:f>
              <c:strCache>
                <c:ptCount val="2"/>
                <c:pt idx="0">
                  <c:v>Capital Costs</c:v>
                </c:pt>
                <c:pt idx="1">
                  <c:v>Operational Costs</c:v>
                </c:pt>
              </c:strCache>
            </c:strRef>
          </c:cat>
          <c:val>
            <c:numRef>
              <c:f>Figures!$B$93:$C$93</c:f>
              <c:numCache>
                <c:formatCode>_("$"* #,##0.00_);_("$"* \(#,##0.00\);_("$"* "-"??_);_(@_)</c:formatCode>
                <c:ptCount val="2"/>
                <c:pt idx="1">
                  <c:v>171678.17850988568</c:v>
                </c:pt>
              </c:numCache>
            </c:numRef>
          </c:val>
          <c:extLst>
            <c:ext xmlns:c16="http://schemas.microsoft.com/office/drawing/2014/chart" uri="{C3380CC4-5D6E-409C-BE32-E72D297353CC}">
              <c16:uniqueId val="{00000008-A1D5-49D9-B0EF-7904828A5DC1}"/>
            </c:ext>
          </c:extLst>
        </c:ser>
        <c:ser>
          <c:idx val="28"/>
          <c:order val="28"/>
          <c:tx>
            <c:strRef>
              <c:f>Figures!$A$94</c:f>
              <c:strCache>
                <c:ptCount val="1"/>
                <c:pt idx="0">
                  <c:v>Power - Reverse Osmosis </c:v>
                </c:pt>
              </c:strCache>
            </c:strRef>
          </c:tx>
          <c:spPr>
            <a:solidFill>
              <a:schemeClr val="accent5">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Figures!$B$94:$C$94</c:f>
              <c:numCache>
                <c:formatCode>_("$"* #,##0.00_);_("$"* \(#,##0.00\);_("$"* "-"??_);_(@_)</c:formatCode>
                <c:ptCount val="2"/>
                <c:pt idx="1">
                  <c:v>333.50958906511488</c:v>
                </c:pt>
              </c:numCache>
            </c:numRef>
          </c:val>
          <c:extLst>
            <c:ext xmlns:c16="http://schemas.microsoft.com/office/drawing/2014/chart" uri="{C3380CC4-5D6E-409C-BE32-E72D297353CC}">
              <c16:uniqueId val="{00000009-A1D5-49D9-B0EF-7904828A5DC1}"/>
            </c:ext>
          </c:extLst>
        </c:ser>
        <c:ser>
          <c:idx val="29"/>
          <c:order val="29"/>
          <c:tx>
            <c:strRef>
              <c:f>Figures!$A$95</c:f>
              <c:strCache>
                <c:ptCount val="1"/>
                <c:pt idx="0">
                  <c:v>Labor</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Figures!$B$95:$C$95</c:f>
              <c:numCache>
                <c:formatCode>_("$"* #,##0.00_);_("$"* \(#,##0.00\);_("$"* "-"??_);_(@_)</c:formatCode>
                <c:ptCount val="2"/>
                <c:pt idx="1">
                  <c:v>855000</c:v>
                </c:pt>
              </c:numCache>
            </c:numRef>
          </c:val>
          <c:extLst>
            <c:ext xmlns:c16="http://schemas.microsoft.com/office/drawing/2014/chart" uri="{C3380CC4-5D6E-409C-BE32-E72D297353CC}">
              <c16:uniqueId val="{0000000A-A1D5-49D9-B0EF-7904828A5DC1}"/>
            </c:ext>
          </c:extLst>
        </c:ser>
        <c:dLbls>
          <c:showLegendKey val="0"/>
          <c:showVal val="0"/>
          <c:showCatName val="0"/>
          <c:showSerName val="0"/>
          <c:showPercent val="0"/>
          <c:showBubbleSize val="0"/>
        </c:dLbls>
        <c:gapWidth val="50"/>
        <c:overlap val="100"/>
        <c:axId val="1295501792"/>
        <c:axId val="1295485472"/>
      </c:barChart>
      <c:catAx>
        <c:axId val="129543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Arial Nova Cond" panose="020B0506020202020204" pitchFamily="34" charset="0"/>
                <a:ea typeface="+mn-ea"/>
                <a:cs typeface="+mn-cs"/>
              </a:defRPr>
            </a:pPr>
            <a:endParaRPr lang="en-US"/>
          </a:p>
        </c:txPr>
        <c:crossAx val="1295428352"/>
        <c:crosses val="autoZero"/>
        <c:auto val="1"/>
        <c:lblAlgn val="ctr"/>
        <c:lblOffset val="100"/>
        <c:noMultiLvlLbl val="0"/>
      </c:catAx>
      <c:valAx>
        <c:axId val="1295428352"/>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800" b="1" i="0" u="none" strike="noStrike" kern="1200" baseline="0">
                    <a:solidFill>
                      <a:schemeClr val="tx1"/>
                    </a:solidFill>
                    <a:latin typeface="Arial Nova Cond" panose="020B0506020202020204" pitchFamily="34" charset="0"/>
                    <a:ea typeface="+mn-ea"/>
                    <a:cs typeface="+mn-cs"/>
                  </a:defRPr>
                </a:pPr>
                <a:r>
                  <a:rPr lang="en-US" sz="1800" b="1"/>
                  <a:t>CAPEX </a:t>
                </a:r>
                <a:r>
                  <a:rPr lang="en-US" sz="1800" b="0"/>
                  <a:t>[1E6 USD (2026)]</a:t>
                </a:r>
              </a:p>
            </c:rich>
          </c:tx>
          <c:layout>
            <c:manualLayout>
              <c:xMode val="edge"/>
              <c:yMode val="edge"/>
              <c:x val="1.9194596940905289E-2"/>
              <c:y val="0.14160701074246207"/>
            </c:manualLayout>
          </c:layout>
          <c:overlay val="0"/>
          <c:spPr>
            <a:noFill/>
            <a:ln>
              <a:noFill/>
            </a:ln>
            <a:effectLst/>
          </c:spPr>
          <c:txPr>
            <a:bodyPr rot="-5400000" spcFirstLastPara="1" vertOverflow="ellipsis" vert="horz" wrap="square" anchor="ctr" anchorCtr="1"/>
            <a:lstStyle/>
            <a:p>
              <a:pPr>
                <a:defRPr sz="18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0_);_(&quot;$&quot;* \(#,##0.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Arial Nova Cond" panose="020B0506020202020204" pitchFamily="34" charset="0"/>
                <a:ea typeface="+mn-ea"/>
                <a:cs typeface="+mn-cs"/>
              </a:defRPr>
            </a:pPr>
            <a:endParaRPr lang="en-US"/>
          </a:p>
        </c:txPr>
        <c:crossAx val="1295435552"/>
        <c:crosses val="autoZero"/>
        <c:crossBetween val="between"/>
        <c:dispUnits>
          <c:builtInUnit val="millions"/>
        </c:dispUnits>
      </c:valAx>
      <c:valAx>
        <c:axId val="1295485472"/>
        <c:scaling>
          <c:orientation val="minMax"/>
        </c:scaling>
        <c:delete val="0"/>
        <c:axPos val="r"/>
        <c:title>
          <c:tx>
            <c:rich>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r>
                  <a:rPr lang="en-US" sz="1600" b="1"/>
                  <a:t> OPEX </a:t>
                </a:r>
                <a:r>
                  <a:rPr lang="en-US" sz="1600" b="0"/>
                  <a:t>[1E5</a:t>
                </a:r>
                <a:r>
                  <a:rPr lang="en-US" sz="1600" b="0" baseline="0"/>
                  <a:t> USD (2026) / yr]</a:t>
                </a:r>
                <a:endParaRPr lang="en-US" sz="1600" b="0"/>
              </a:p>
            </c:rich>
          </c:tx>
          <c:layout>
            <c:manualLayout>
              <c:xMode val="edge"/>
              <c:yMode val="edge"/>
              <c:x val="0.94421803270418492"/>
              <c:y val="0.11087982223469074"/>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_);_(&quot;$&quot;* \(#,##0\);_(&quot;$&quot;* &quot;-&quot;_);_(@_)" sourceLinked="0"/>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Arial Nova Cond" panose="020B0506020202020204" pitchFamily="34" charset="0"/>
                <a:ea typeface="+mn-ea"/>
                <a:cs typeface="+mn-cs"/>
              </a:defRPr>
            </a:pPr>
            <a:endParaRPr lang="en-US"/>
          </a:p>
        </c:txPr>
        <c:crossAx val="1295501792"/>
        <c:crosses val="max"/>
        <c:crossBetween val="between"/>
        <c:dispUnits>
          <c:builtInUnit val="hundredThousands"/>
        </c:dispUnits>
      </c:valAx>
      <c:catAx>
        <c:axId val="1295501792"/>
        <c:scaling>
          <c:orientation val="minMax"/>
        </c:scaling>
        <c:delete val="1"/>
        <c:axPos val="b"/>
        <c:numFmt formatCode="General" sourceLinked="1"/>
        <c:majorTickMark val="out"/>
        <c:minorTickMark val="none"/>
        <c:tickLblPos val="nextTo"/>
        <c:crossAx val="1295485472"/>
        <c:crosses val="autoZero"/>
        <c:auto val="1"/>
        <c:lblAlgn val="ctr"/>
        <c:lblOffset val="100"/>
        <c:noMultiLvlLbl val="0"/>
      </c:catAx>
      <c:spPr>
        <a:noFill/>
        <a:ln w="19050">
          <a:solidFill>
            <a:schemeClr val="tx1"/>
          </a:solidFill>
        </a:ln>
        <a:effectLst/>
      </c:spPr>
    </c:plotArea>
    <c:legend>
      <c:legendPos val="b"/>
      <c:layout>
        <c:manualLayout>
          <c:xMode val="edge"/>
          <c:yMode val="edge"/>
          <c:x val="2.1665954308161305E-3"/>
          <c:y val="0.73521912672830902"/>
          <c:w val="0.9974270553205975"/>
          <c:h val="0.2506062623042480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22225" cap="flat" cmpd="sng" algn="ctr">
      <a:noFill/>
      <a:round/>
    </a:ln>
    <a:effectLst/>
  </c:spPr>
  <c:txPr>
    <a:bodyPr/>
    <a:lstStyle/>
    <a:p>
      <a:pPr>
        <a:defRPr>
          <a:solidFill>
            <a:schemeClr val="tx1"/>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r>
              <a:rPr lang="en-US" sz="2000" b="1" cap="all" baseline="0"/>
              <a:t>Transportation Costs</a:t>
            </a:r>
          </a:p>
        </c:rich>
      </c:tx>
      <c:layout>
        <c:manualLayout>
          <c:xMode val="edge"/>
          <c:yMode val="edge"/>
          <c:x val="0.15048346262295359"/>
          <c:y val="2.8083030242991185E-2"/>
        </c:manualLayout>
      </c:layout>
      <c:overlay val="0"/>
      <c:spPr>
        <a:noFill/>
        <a:ln>
          <a:noFill/>
        </a:ln>
        <a:effectLst/>
      </c:spPr>
      <c:txPr>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4795258160858843"/>
          <c:y val="0.13447724876523118"/>
          <c:w val="0.73693342873674994"/>
          <c:h val="0.62601032571008053"/>
        </c:manualLayout>
      </c:layout>
      <c:barChart>
        <c:barDir val="col"/>
        <c:grouping val="stacked"/>
        <c:varyColors val="0"/>
        <c:ser>
          <c:idx val="0"/>
          <c:order val="0"/>
          <c:tx>
            <c:strRef>
              <c:f>Figures!$A$4</c:f>
              <c:strCache>
                <c:ptCount val="1"/>
                <c:pt idx="0">
                  <c:v>Boats - Ocean Water</c:v>
                </c:pt>
              </c:strCache>
            </c:strRef>
          </c:tx>
          <c:spPr>
            <a:solidFill>
              <a:schemeClr val="accent1"/>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1283728411348152"/>
                      <c:h val="7.1868427566627313E-2"/>
                    </c:manualLayout>
                  </c15:layout>
                </c:ext>
                <c:ext xmlns:c16="http://schemas.microsoft.com/office/drawing/2014/chart" uri="{C3380CC4-5D6E-409C-BE32-E72D297353CC}">
                  <c16:uniqueId val="{00000003-0EC4-4FA8-9838-12AC989105E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Figures!$B$3:$C$3</c:f>
              <c:strCache>
                <c:ptCount val="2"/>
                <c:pt idx="0">
                  <c:v>Capital Costs</c:v>
                </c:pt>
                <c:pt idx="1">
                  <c:v>Operational Costs</c:v>
                </c:pt>
              </c:strCache>
            </c:strRef>
          </c:cat>
          <c:val>
            <c:numRef>
              <c:f>Figures!$B$4:$C$4</c:f>
              <c:numCache>
                <c:formatCode>General</c:formatCode>
                <c:ptCount val="2"/>
                <c:pt idx="0" formatCode="_(&quot;$&quot;* #,##0.00_);_(&quot;$&quot;* \(#,##0.00\);_(&quot;$&quot;* &quot;-&quot;??_);_(@_)">
                  <c:v>40000000</c:v>
                </c:pt>
              </c:numCache>
            </c:numRef>
          </c:val>
          <c:extLst>
            <c:ext xmlns:c16="http://schemas.microsoft.com/office/drawing/2014/chart" uri="{C3380CC4-5D6E-409C-BE32-E72D297353CC}">
              <c16:uniqueId val="{00000019-2D43-4304-B44B-C9804636A670}"/>
            </c:ext>
          </c:extLst>
        </c:ser>
        <c:ser>
          <c:idx val="1"/>
          <c:order val="1"/>
          <c:tx>
            <c:strRef>
              <c:f>Figures!$A$5</c:f>
              <c:strCache>
                <c:ptCount val="1"/>
                <c:pt idx="0">
                  <c:v>Diesel Trucks - Ocean Water</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15305592649062863"/>
                      <c:h val="0.10096583723855501"/>
                    </c:manualLayout>
                  </c15:layout>
                </c:ext>
                <c:ext xmlns:c16="http://schemas.microsoft.com/office/drawing/2014/chart" uri="{C3380CC4-5D6E-409C-BE32-E72D297353CC}">
                  <c16:uniqueId val="{00000001-0EC4-4FA8-9838-12AC989105E9}"/>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Figures!$B$3:$C$3</c:f>
              <c:strCache>
                <c:ptCount val="2"/>
                <c:pt idx="0">
                  <c:v>Capital Costs</c:v>
                </c:pt>
                <c:pt idx="1">
                  <c:v>Operational Costs</c:v>
                </c:pt>
              </c:strCache>
            </c:strRef>
          </c:cat>
          <c:val>
            <c:numRef>
              <c:f>Figures!$B$5:$C$5</c:f>
              <c:numCache>
                <c:formatCode>General</c:formatCode>
                <c:ptCount val="2"/>
                <c:pt idx="0" formatCode="_(&quot;$&quot;* #,##0.00_);_(&quot;$&quot;* \(#,##0.00\);_(&quot;$&quot;* &quot;-&quot;??_);_(@_)">
                  <c:v>14555000</c:v>
                </c:pt>
              </c:numCache>
            </c:numRef>
          </c:val>
          <c:extLst>
            <c:ext xmlns:c16="http://schemas.microsoft.com/office/drawing/2014/chart" uri="{C3380CC4-5D6E-409C-BE32-E72D297353CC}">
              <c16:uniqueId val="{0000001A-2D43-4304-B44B-C9804636A670}"/>
            </c:ext>
          </c:extLst>
        </c:ser>
        <c:ser>
          <c:idx val="2"/>
          <c:order val="2"/>
          <c:tx>
            <c:strRef>
              <c:f>Figures!$A$6</c:f>
              <c:strCache>
                <c:ptCount val="1"/>
                <c:pt idx="0">
                  <c:v>Diesel Trucks - Cheese Whey</c:v>
                </c:pt>
              </c:strCache>
            </c:strRef>
          </c:tx>
          <c:spPr>
            <a:solidFill>
              <a:schemeClr val="accent3"/>
            </a:solidFill>
            <a:ln>
              <a:noFill/>
            </a:ln>
            <a:effectLst/>
          </c:spPr>
          <c:invertIfNegative val="0"/>
          <c:cat>
            <c:strRef>
              <c:f>Figures!$B$3:$C$3</c:f>
              <c:strCache>
                <c:ptCount val="2"/>
                <c:pt idx="0">
                  <c:v>Capital Costs</c:v>
                </c:pt>
                <c:pt idx="1">
                  <c:v>Operational Costs</c:v>
                </c:pt>
              </c:strCache>
            </c:strRef>
          </c:cat>
          <c:val>
            <c:numRef>
              <c:f>Figures!$B$6:$C$6</c:f>
              <c:numCache>
                <c:formatCode>General</c:formatCode>
                <c:ptCount val="2"/>
                <c:pt idx="0" formatCode="_(&quot;$&quot;* #,##0.00_);_(&quot;$&quot;* \(#,##0.00\);_(&quot;$&quot;* &quot;-&quot;??_);_(@_)">
                  <c:v>12425000</c:v>
                </c:pt>
              </c:numCache>
            </c:numRef>
          </c:val>
          <c:extLst>
            <c:ext xmlns:c16="http://schemas.microsoft.com/office/drawing/2014/chart" uri="{C3380CC4-5D6E-409C-BE32-E72D297353CC}">
              <c16:uniqueId val="{0000001B-2D43-4304-B44B-C9804636A670}"/>
            </c:ext>
          </c:extLst>
        </c:ser>
        <c:ser>
          <c:idx val="3"/>
          <c:order val="3"/>
          <c:tx>
            <c:strRef>
              <c:f>Figures!$A$7</c:f>
              <c:strCache>
                <c:ptCount val="1"/>
                <c:pt idx="0">
                  <c:v>Diesel Trucks - Organic Waste</c:v>
                </c:pt>
              </c:strCache>
            </c:strRef>
          </c:tx>
          <c:spPr>
            <a:solidFill>
              <a:schemeClr val="accent4"/>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14404828465365746"/>
                      <c:h val="0.1116585390906657"/>
                    </c:manualLayout>
                  </c15:layout>
                </c:ext>
                <c:ext xmlns:c16="http://schemas.microsoft.com/office/drawing/2014/chart" uri="{C3380CC4-5D6E-409C-BE32-E72D297353CC}">
                  <c16:uniqueId val="{00000000-0EC4-4FA8-9838-12AC989105E9}"/>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Figures!$B$3:$C$3</c:f>
              <c:strCache>
                <c:ptCount val="2"/>
                <c:pt idx="0">
                  <c:v>Capital Costs</c:v>
                </c:pt>
                <c:pt idx="1">
                  <c:v>Operational Costs</c:v>
                </c:pt>
              </c:strCache>
            </c:strRef>
          </c:cat>
          <c:val>
            <c:numRef>
              <c:f>Figures!$B$7:$C$7</c:f>
              <c:numCache>
                <c:formatCode>General</c:formatCode>
                <c:ptCount val="2"/>
                <c:pt idx="0" formatCode="_(&quot;$&quot;* #,##0.00_);_(&quot;$&quot;* \(#,##0.00\);_(&quot;$&quot;* &quot;-&quot;??_);_(@_)">
                  <c:v>15265000</c:v>
                </c:pt>
              </c:numCache>
            </c:numRef>
          </c:val>
          <c:extLst>
            <c:ext xmlns:c16="http://schemas.microsoft.com/office/drawing/2014/chart" uri="{C3380CC4-5D6E-409C-BE32-E72D297353CC}">
              <c16:uniqueId val="{0000001C-2D43-4304-B44B-C9804636A670}"/>
            </c:ext>
          </c:extLst>
        </c:ser>
        <c:ser>
          <c:idx val="4"/>
          <c:order val="4"/>
          <c:tx>
            <c:strRef>
              <c:f>Figures!$A$8</c:f>
              <c:strCache>
                <c:ptCount val="1"/>
                <c:pt idx="0">
                  <c:v>Hydraulic Truck Dump with Scale</c:v>
                </c:pt>
              </c:strCache>
            </c:strRef>
          </c:tx>
          <c:spPr>
            <a:solidFill>
              <a:schemeClr val="accent5"/>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1448066282169343"/>
                      <c:h val="9.4242906192168907E-2"/>
                    </c:manualLayout>
                  </c15:layout>
                </c:ext>
                <c:ext xmlns:c16="http://schemas.microsoft.com/office/drawing/2014/chart" uri="{C3380CC4-5D6E-409C-BE32-E72D297353CC}">
                  <c16:uniqueId val="{00000002-0EC4-4FA8-9838-12AC989105E9}"/>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Figures!$B$3:$C$3</c:f>
              <c:strCache>
                <c:ptCount val="2"/>
                <c:pt idx="0">
                  <c:v>Capital Costs</c:v>
                </c:pt>
                <c:pt idx="1">
                  <c:v>Operational Costs</c:v>
                </c:pt>
              </c:strCache>
            </c:strRef>
          </c:cat>
          <c:val>
            <c:numRef>
              <c:f>Figures!$B$8:$C$8</c:f>
              <c:numCache>
                <c:formatCode>General</c:formatCode>
                <c:ptCount val="2"/>
                <c:pt idx="0" formatCode="_(&quot;$&quot;* #,##0.00_);_(&quot;$&quot;* \(#,##0.00\);_(&quot;$&quot;* &quot;-&quot;??_);_(@_)">
                  <c:v>17889360.397732001</c:v>
                </c:pt>
              </c:numCache>
            </c:numRef>
          </c:val>
          <c:extLst>
            <c:ext xmlns:c16="http://schemas.microsoft.com/office/drawing/2014/chart" uri="{C3380CC4-5D6E-409C-BE32-E72D297353CC}">
              <c16:uniqueId val="{0000001D-2D43-4304-B44B-C9804636A670}"/>
            </c:ext>
          </c:extLst>
        </c:ser>
        <c:dLbls>
          <c:showLegendKey val="0"/>
          <c:showVal val="0"/>
          <c:showCatName val="0"/>
          <c:showSerName val="0"/>
          <c:showPercent val="0"/>
          <c:showBubbleSize val="0"/>
        </c:dLbls>
        <c:gapWidth val="150"/>
        <c:overlap val="100"/>
        <c:axId val="1295435552"/>
        <c:axId val="1295428352"/>
      </c:barChart>
      <c:barChart>
        <c:barDir val="col"/>
        <c:grouping val="stacked"/>
        <c:varyColors val="0"/>
        <c:ser>
          <c:idx val="5"/>
          <c:order val="5"/>
          <c:tx>
            <c:strRef>
              <c:f>Figures!$A$9</c:f>
              <c:strCache>
                <c:ptCount val="1"/>
                <c:pt idx="0">
                  <c:v>Diesel - Waste </c:v>
                </c:pt>
              </c:strCache>
            </c:strRef>
          </c:tx>
          <c:spPr>
            <a:solidFill>
              <a:schemeClr val="accent6"/>
            </a:solidFill>
            <a:ln>
              <a:noFill/>
            </a:ln>
            <a:effectLst/>
          </c:spPr>
          <c:invertIfNegative val="0"/>
          <c:cat>
            <c:strRef>
              <c:f>Figures!$B$3</c:f>
              <c:strCache>
                <c:ptCount val="1"/>
                <c:pt idx="0">
                  <c:v>Capital Costs</c:v>
                </c:pt>
              </c:strCache>
            </c:strRef>
          </c:cat>
          <c:val>
            <c:numRef>
              <c:f>Figures!$B$9:$C$9</c:f>
              <c:numCache>
                <c:formatCode>_("$"* #,##0.00_);_("$"* \(#,##0.00\);_("$"* "-"??_);_(@_)</c:formatCode>
                <c:ptCount val="2"/>
                <c:pt idx="1">
                  <c:v>1340894.4475249692</c:v>
                </c:pt>
              </c:numCache>
            </c:numRef>
          </c:val>
          <c:extLst>
            <c:ext xmlns:c16="http://schemas.microsoft.com/office/drawing/2014/chart" uri="{C3380CC4-5D6E-409C-BE32-E72D297353CC}">
              <c16:uniqueId val="{0000001E-2D43-4304-B44B-C9804636A670}"/>
            </c:ext>
          </c:extLst>
        </c:ser>
        <c:ser>
          <c:idx val="6"/>
          <c:order val="6"/>
          <c:tx>
            <c:strRef>
              <c:f>Figures!$A$10</c:f>
              <c:strCache>
                <c:ptCount val="1"/>
                <c:pt idx="0">
                  <c:v>Diesel - Lactate Concentrate</c:v>
                </c:pt>
              </c:strCache>
            </c:strRef>
          </c:tx>
          <c:spPr>
            <a:solidFill>
              <a:schemeClr val="accent1">
                <a:lumMod val="60000"/>
              </a:schemeClr>
            </a:solidFill>
            <a:ln>
              <a:noFill/>
            </a:ln>
            <a:effectLst/>
          </c:spPr>
          <c:invertIfNegative val="0"/>
          <c:cat>
            <c:strRef>
              <c:f>Figures!$B$3</c:f>
              <c:strCache>
                <c:ptCount val="1"/>
                <c:pt idx="0">
                  <c:v>Capital Costs</c:v>
                </c:pt>
              </c:strCache>
            </c:strRef>
          </c:cat>
          <c:val>
            <c:numRef>
              <c:f>Figures!$B$10:$C$10</c:f>
              <c:numCache>
                <c:formatCode>_("$"* #,##0.00_);_("$"* \(#,##0.00\);_("$"* "-"??_);_(@_)</c:formatCode>
                <c:ptCount val="2"/>
                <c:pt idx="1">
                  <c:v>1340894.4475249695</c:v>
                </c:pt>
              </c:numCache>
            </c:numRef>
          </c:val>
          <c:extLst>
            <c:ext xmlns:c16="http://schemas.microsoft.com/office/drawing/2014/chart" uri="{C3380CC4-5D6E-409C-BE32-E72D297353CC}">
              <c16:uniqueId val="{0000001F-2D43-4304-B44B-C9804636A670}"/>
            </c:ext>
          </c:extLst>
        </c:ser>
        <c:ser>
          <c:idx val="7"/>
          <c:order val="7"/>
          <c:tx>
            <c:strRef>
              <c:f>Figures!$A$11</c:f>
              <c:strCache>
                <c:ptCount val="1"/>
                <c:pt idx="0">
                  <c:v>Diesel - Ocean Water</c:v>
                </c:pt>
              </c:strCache>
            </c:strRef>
          </c:tx>
          <c:spPr>
            <a:solidFill>
              <a:schemeClr val="accent2">
                <a:lumMod val="60000"/>
              </a:schemeClr>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13689026126370299"/>
                      <c:h val="7.4541603029654985E-2"/>
                    </c:manualLayout>
                  </c15:layout>
                </c:ext>
                <c:ext xmlns:c16="http://schemas.microsoft.com/office/drawing/2014/chart" uri="{C3380CC4-5D6E-409C-BE32-E72D297353CC}">
                  <c16:uniqueId val="{00000004-0EC4-4FA8-9838-12AC989105E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c:f>
              <c:strCache>
                <c:ptCount val="1"/>
                <c:pt idx="0">
                  <c:v>Capital Costs</c:v>
                </c:pt>
              </c:strCache>
            </c:strRef>
          </c:cat>
          <c:val>
            <c:numRef>
              <c:f>Figures!$B$11:$C$11</c:f>
              <c:numCache>
                <c:formatCode>_("$"* #,##0.00_);_("$"* \(#,##0.00\);_("$"* "-"??_);_(@_)</c:formatCode>
                <c:ptCount val="2"/>
                <c:pt idx="1">
                  <c:v>2681788.895049938</c:v>
                </c:pt>
              </c:numCache>
            </c:numRef>
          </c:val>
          <c:extLst>
            <c:ext xmlns:c16="http://schemas.microsoft.com/office/drawing/2014/chart" uri="{C3380CC4-5D6E-409C-BE32-E72D297353CC}">
              <c16:uniqueId val="{00000020-2D43-4304-B44B-C9804636A670}"/>
            </c:ext>
          </c:extLst>
        </c:ser>
        <c:ser>
          <c:idx val="8"/>
          <c:order val="8"/>
          <c:tx>
            <c:strRef>
              <c:f>Figures!$A$12</c:f>
              <c:strCache>
                <c:ptCount val="1"/>
                <c:pt idx="0">
                  <c:v>Labor</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c:f>
              <c:strCache>
                <c:ptCount val="1"/>
                <c:pt idx="0">
                  <c:v>Capital Costs</c:v>
                </c:pt>
              </c:strCache>
            </c:strRef>
          </c:cat>
          <c:val>
            <c:numRef>
              <c:f>Figures!$B$12:$C$12</c:f>
              <c:numCache>
                <c:formatCode>_("$"* #,##0.00_);_("$"* \(#,##0.00\);_("$"* "-"??_);_(@_)</c:formatCode>
                <c:ptCount val="2"/>
                <c:pt idx="1">
                  <c:v>13675000</c:v>
                </c:pt>
              </c:numCache>
            </c:numRef>
          </c:val>
          <c:extLst>
            <c:ext xmlns:c16="http://schemas.microsoft.com/office/drawing/2014/chart" uri="{C3380CC4-5D6E-409C-BE32-E72D297353CC}">
              <c16:uniqueId val="{00000022-2D43-4304-B44B-C9804636A670}"/>
            </c:ext>
          </c:extLst>
        </c:ser>
        <c:dLbls>
          <c:showLegendKey val="0"/>
          <c:showVal val="0"/>
          <c:showCatName val="0"/>
          <c:showSerName val="0"/>
          <c:showPercent val="0"/>
          <c:showBubbleSize val="0"/>
        </c:dLbls>
        <c:gapWidth val="150"/>
        <c:overlap val="100"/>
        <c:axId val="1837764448"/>
        <c:axId val="1837765408"/>
      </c:barChart>
      <c:catAx>
        <c:axId val="129543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Arial Nova Cond" panose="020B0506020202020204" pitchFamily="34" charset="0"/>
                <a:ea typeface="+mn-ea"/>
                <a:cs typeface="+mn-cs"/>
              </a:defRPr>
            </a:pPr>
            <a:endParaRPr lang="en-US"/>
          </a:p>
        </c:txPr>
        <c:crossAx val="1295428352"/>
        <c:crosses val="autoZero"/>
        <c:auto val="1"/>
        <c:lblAlgn val="ctr"/>
        <c:lblOffset val="100"/>
        <c:noMultiLvlLbl val="0"/>
      </c:catAx>
      <c:valAx>
        <c:axId val="1295428352"/>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r>
                  <a:rPr lang="en-US" sz="1600" b="1"/>
                  <a:t>CAPEX </a:t>
                </a:r>
                <a:r>
                  <a:rPr lang="en-US" sz="1600" b="0"/>
                  <a:t>[1E6 USD (</a:t>
                </a:r>
                <a:r>
                  <a:rPr lang="en-US" sz="1600" b="0" baseline="0"/>
                  <a:t>2026)]</a:t>
                </a:r>
              </a:p>
            </c:rich>
          </c:tx>
          <c:layout>
            <c:manualLayout>
              <c:xMode val="edge"/>
              <c:yMode val="edge"/>
              <c:x val="2.1537462282867285E-2"/>
              <c:y val="0.20431642808621447"/>
            </c:manualLayout>
          </c:layout>
          <c:overlay val="0"/>
          <c:spPr>
            <a:noFill/>
            <a:ln w="15875">
              <a:noFill/>
            </a:ln>
            <a:effectLst/>
          </c:spPr>
          <c:txPr>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Arial Nova Cond" panose="020B0506020202020204" pitchFamily="34" charset="0"/>
                <a:ea typeface="+mn-ea"/>
                <a:cs typeface="+mn-cs"/>
              </a:defRPr>
            </a:pPr>
            <a:endParaRPr lang="en-US"/>
          </a:p>
        </c:txPr>
        <c:crossAx val="1295435552"/>
        <c:crosses val="autoZero"/>
        <c:crossBetween val="between"/>
        <c:dispUnits>
          <c:builtInUnit val="millions"/>
        </c:dispUnits>
      </c:valAx>
      <c:valAx>
        <c:axId val="1837765408"/>
        <c:scaling>
          <c:orientation val="minMax"/>
        </c:scaling>
        <c:delete val="0"/>
        <c:axPos val="r"/>
        <c:title>
          <c:tx>
            <c:rich>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r>
                  <a:rPr lang="en-US" sz="1600" b="1"/>
                  <a:t>OPEX </a:t>
                </a:r>
                <a:r>
                  <a:rPr lang="en-US" sz="1600" b="0"/>
                  <a:t>[1E6 USD</a:t>
                </a:r>
                <a:r>
                  <a:rPr lang="en-US" sz="1600" b="0" baseline="0"/>
                  <a:t> (2026) / yr]</a:t>
                </a:r>
                <a:endParaRPr lang="en-US" sz="1600" b="0"/>
              </a:p>
            </c:rich>
          </c:tx>
          <c:layout>
            <c:manualLayout>
              <c:xMode val="edge"/>
              <c:yMode val="edge"/>
              <c:x val="0.93800401427904068"/>
              <c:y val="0.16891964803781434"/>
            </c:manualLayout>
          </c:layout>
          <c:overlay val="0"/>
          <c:spPr>
            <a:noFill/>
            <a:ln w="12700">
              <a:noFill/>
            </a:ln>
            <a:effectLst/>
          </c:spPr>
          <c:txPr>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Arial Nova Cond" panose="020B0506020202020204" pitchFamily="34" charset="0"/>
                <a:ea typeface="+mn-ea"/>
                <a:cs typeface="+mn-cs"/>
              </a:defRPr>
            </a:pPr>
            <a:endParaRPr lang="en-US"/>
          </a:p>
        </c:txPr>
        <c:crossAx val="1837764448"/>
        <c:crosses val="max"/>
        <c:crossBetween val="between"/>
        <c:dispUnits>
          <c:builtInUnit val="millions"/>
        </c:dispUnits>
      </c:valAx>
      <c:catAx>
        <c:axId val="1837764448"/>
        <c:scaling>
          <c:orientation val="minMax"/>
        </c:scaling>
        <c:delete val="1"/>
        <c:axPos val="b"/>
        <c:numFmt formatCode="General" sourceLinked="1"/>
        <c:majorTickMark val="out"/>
        <c:minorTickMark val="none"/>
        <c:tickLblPos val="nextTo"/>
        <c:crossAx val="1837765408"/>
        <c:crosses val="autoZero"/>
        <c:auto val="1"/>
        <c:lblAlgn val="ctr"/>
        <c:lblOffset val="100"/>
        <c:noMultiLvlLbl val="0"/>
      </c:catAx>
      <c:spPr>
        <a:noFill/>
        <a:ln w="19050">
          <a:solidFill>
            <a:schemeClr val="tx1"/>
          </a:solidFill>
        </a:ln>
        <a:effectLst/>
      </c:spPr>
    </c:plotArea>
    <c:legend>
      <c:legendPos val="b"/>
      <c:layout>
        <c:manualLayout>
          <c:xMode val="edge"/>
          <c:yMode val="edge"/>
          <c:x val="7.7232493106530299E-3"/>
          <c:y val="0.86145352547641474"/>
          <c:w val="0.98302865845426368"/>
          <c:h val="0.130526948134502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22225" cap="flat" cmpd="sng" algn="ctr">
      <a:noFill/>
      <a:round/>
    </a:ln>
    <a:effectLst/>
  </c:spPr>
  <c:txPr>
    <a:bodyPr/>
    <a:lstStyle/>
    <a:p>
      <a:pPr>
        <a:defRPr>
          <a:solidFill>
            <a:schemeClr val="tx1"/>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r>
              <a:rPr lang="en-US" sz="2000" b="1" cap="all" baseline="0"/>
              <a:t>Manure Treatment Costs</a:t>
            </a:r>
          </a:p>
        </c:rich>
      </c:tx>
      <c:layout>
        <c:manualLayout>
          <c:xMode val="edge"/>
          <c:yMode val="edge"/>
          <c:x val="0.14812496740887521"/>
          <c:y val="2.00727254335656E-2"/>
        </c:manualLayout>
      </c:layout>
      <c:overlay val="0"/>
      <c:spPr>
        <a:noFill/>
        <a:ln>
          <a:noFill/>
        </a:ln>
        <a:effectLst/>
      </c:spPr>
      <c:txPr>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4391339591349939"/>
          <c:y val="9.6518186153814259E-2"/>
          <c:w val="0.74377027167961607"/>
          <c:h val="0.50486978719398745"/>
        </c:manualLayout>
      </c:layout>
      <c:barChart>
        <c:barDir val="col"/>
        <c:grouping val="stacked"/>
        <c:varyColors val="0"/>
        <c:ser>
          <c:idx val="1"/>
          <c:order val="0"/>
          <c:tx>
            <c:strRef>
              <c:f>Figures!$A$107</c:f>
              <c:strCache>
                <c:ptCount val="1"/>
                <c:pt idx="0">
                  <c:v>Sand Removal </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11257441413062651"/>
                      <c:h val="7.8333871790909906E-2"/>
                    </c:manualLayout>
                  </c15:layout>
                </c:ext>
                <c:ext xmlns:c16="http://schemas.microsoft.com/office/drawing/2014/chart" uri="{C3380CC4-5D6E-409C-BE32-E72D297353CC}">
                  <c16:uniqueId val="{00000001-6CF4-4AF0-85C1-784A810DFA68}"/>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Figures!$B$107:$E$107</c:f>
              <c:numCache>
                <c:formatCode>General</c:formatCode>
                <c:ptCount val="4"/>
                <c:pt idx="0" formatCode="_(&quot;$&quot;* #,##0.00_);_(&quot;$&quot;* \(#,##0.00\);_(&quot;$&quot;* &quot;-&quot;??_);_(@_)">
                  <c:v>23197006.827362787</c:v>
                </c:pt>
              </c:numCache>
            </c:numRef>
          </c:val>
          <c:extLst>
            <c:ext xmlns:c16="http://schemas.microsoft.com/office/drawing/2014/chart" uri="{C3380CC4-5D6E-409C-BE32-E72D297353CC}">
              <c16:uniqueId val="{00000000-2724-45EE-8DE2-F62DC08033BE}"/>
            </c:ext>
          </c:extLst>
        </c:ser>
        <c:ser>
          <c:idx val="2"/>
          <c:order val="1"/>
          <c:tx>
            <c:strRef>
              <c:f>Figures!$A$108</c:f>
              <c:strCache>
                <c:ptCount val="1"/>
                <c:pt idx="0">
                  <c:v>Tank Wall - Manure</c:v>
                </c:pt>
              </c:strCache>
            </c:strRef>
          </c:tx>
          <c:spPr>
            <a:solidFill>
              <a:schemeClr val="accent3"/>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Figures!$B$108:$E$108</c:f>
              <c:numCache>
                <c:formatCode>General</c:formatCode>
                <c:ptCount val="4"/>
                <c:pt idx="0" formatCode="_(&quot;$&quot;* #,##0.00_);_(&quot;$&quot;* \(#,##0.00\);_(&quot;$&quot;* &quot;-&quot;??_);_(@_)">
                  <c:v>2322.4683230366713</c:v>
                </c:pt>
              </c:numCache>
            </c:numRef>
          </c:val>
          <c:extLst>
            <c:ext xmlns:c16="http://schemas.microsoft.com/office/drawing/2014/chart" uri="{C3380CC4-5D6E-409C-BE32-E72D297353CC}">
              <c16:uniqueId val="{00000001-2724-45EE-8DE2-F62DC08033BE}"/>
            </c:ext>
          </c:extLst>
        </c:ser>
        <c:ser>
          <c:idx val="3"/>
          <c:order val="2"/>
          <c:tx>
            <c:strRef>
              <c:f>Figures!$A$109</c:f>
              <c:strCache>
                <c:ptCount val="1"/>
                <c:pt idx="0">
                  <c:v>Insulation - Manure</c:v>
                </c:pt>
              </c:strCache>
            </c:strRef>
          </c:tx>
          <c:spPr>
            <a:solidFill>
              <a:schemeClr val="accent4"/>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Figures!$B$109:$E$109</c:f>
              <c:numCache>
                <c:formatCode>General</c:formatCode>
                <c:ptCount val="4"/>
                <c:pt idx="0" formatCode="_(&quot;$&quot;* #,##0.00_);_(&quot;$&quot;* \(#,##0.00\);_(&quot;$&quot;* &quot;-&quot;??_);_(@_)">
                  <c:v>576.50486176214054</c:v>
                </c:pt>
              </c:numCache>
            </c:numRef>
          </c:val>
          <c:extLst>
            <c:ext xmlns:c16="http://schemas.microsoft.com/office/drawing/2014/chart" uri="{C3380CC4-5D6E-409C-BE32-E72D297353CC}">
              <c16:uniqueId val="{00000002-2724-45EE-8DE2-F62DC08033BE}"/>
            </c:ext>
          </c:extLst>
        </c:ser>
        <c:ser>
          <c:idx val="4"/>
          <c:order val="3"/>
          <c:tx>
            <c:strRef>
              <c:f>Figures!$A$110</c:f>
              <c:strCache>
                <c:ptCount val="1"/>
                <c:pt idx="0">
                  <c:v>Agitator - Manure</c:v>
                </c:pt>
              </c:strCache>
            </c:strRef>
          </c:tx>
          <c:spPr>
            <a:solidFill>
              <a:schemeClr val="accent5"/>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Figures!$B$110:$E$110</c:f>
              <c:numCache>
                <c:formatCode>General</c:formatCode>
                <c:ptCount val="4"/>
                <c:pt idx="0" formatCode="_(&quot;$&quot;* #,##0.00_);_(&quot;$&quot;* \(#,##0.00\);_(&quot;$&quot;* &quot;-&quot;??_);_(@_)">
                  <c:v>1733319.9702759301</c:v>
                </c:pt>
              </c:numCache>
            </c:numRef>
          </c:val>
          <c:extLst>
            <c:ext xmlns:c16="http://schemas.microsoft.com/office/drawing/2014/chart" uri="{C3380CC4-5D6E-409C-BE32-E72D297353CC}">
              <c16:uniqueId val="{00000003-2724-45EE-8DE2-F62DC08033BE}"/>
            </c:ext>
          </c:extLst>
        </c:ser>
        <c:ser>
          <c:idx val="5"/>
          <c:order val="4"/>
          <c:tx>
            <c:strRef>
              <c:f>Figures!$A$111</c:f>
              <c:strCache>
                <c:ptCount val="1"/>
                <c:pt idx="0">
                  <c:v>Feed Pump - Manure</c:v>
                </c:pt>
              </c:strCache>
            </c:strRef>
          </c:tx>
          <c:spPr>
            <a:solidFill>
              <a:schemeClr val="accent6"/>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Figures!$B$111:$E$111</c:f>
              <c:numCache>
                <c:formatCode>General</c:formatCode>
                <c:ptCount val="4"/>
                <c:pt idx="0" formatCode="_(&quot;$&quot;* #,##0.00_);_(&quot;$&quot;* \(#,##0.00\);_(&quot;$&quot;* &quot;-&quot;??_);_(@_)">
                  <c:v>3921621.2219733256</c:v>
                </c:pt>
              </c:numCache>
            </c:numRef>
          </c:val>
          <c:extLst>
            <c:ext xmlns:c16="http://schemas.microsoft.com/office/drawing/2014/chart" uri="{C3380CC4-5D6E-409C-BE32-E72D297353CC}">
              <c16:uniqueId val="{00000004-2724-45EE-8DE2-F62DC08033BE}"/>
            </c:ext>
          </c:extLst>
        </c:ser>
        <c:ser>
          <c:idx val="6"/>
          <c:order val="5"/>
          <c:tx>
            <c:strRef>
              <c:f>Figures!$A$112</c:f>
              <c:strCache>
                <c:ptCount val="1"/>
                <c:pt idx="0">
                  <c:v>Feed Pump - Water</c:v>
                </c:pt>
              </c:strCache>
            </c:strRef>
          </c:tx>
          <c:spPr>
            <a:solidFill>
              <a:schemeClr val="accent1">
                <a:lumMod val="6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Figures!$B$112:$E$112</c:f>
              <c:numCache>
                <c:formatCode>General</c:formatCode>
                <c:ptCount val="4"/>
                <c:pt idx="0" formatCode="_(&quot;$&quot;* #,##0.00_);_(&quot;$&quot;* \(#,##0.00\);_(&quot;$&quot;* &quot;-&quot;??_);_(@_)">
                  <c:v>135958.67096339058</c:v>
                </c:pt>
              </c:numCache>
            </c:numRef>
          </c:val>
          <c:extLst>
            <c:ext xmlns:c16="http://schemas.microsoft.com/office/drawing/2014/chart" uri="{C3380CC4-5D6E-409C-BE32-E72D297353CC}">
              <c16:uniqueId val="{00000005-2724-45EE-8DE2-F62DC08033BE}"/>
            </c:ext>
          </c:extLst>
        </c:ser>
        <c:ser>
          <c:idx val="7"/>
          <c:order val="6"/>
          <c:tx>
            <c:strRef>
              <c:f>Figures!$A$113</c:f>
              <c:strCache>
                <c:ptCount val="1"/>
                <c:pt idx="0">
                  <c:v>Manure Slurry Pump Grinder</c:v>
                </c:pt>
              </c:strCache>
            </c:strRef>
          </c:tx>
          <c:spPr>
            <a:solidFill>
              <a:schemeClr val="accent2">
                <a:lumMod val="6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Figures!$B$113:$E$113</c:f>
              <c:numCache>
                <c:formatCode>General</c:formatCode>
                <c:ptCount val="4"/>
                <c:pt idx="0" formatCode="_(&quot;$&quot;* #,##0.00_);_(&quot;$&quot;* \(#,##0.00\);_(&quot;$&quot;* &quot;-&quot;??_);_(@_)">
                  <c:v>9382.8608914528777</c:v>
                </c:pt>
              </c:numCache>
            </c:numRef>
          </c:val>
          <c:extLst>
            <c:ext xmlns:c16="http://schemas.microsoft.com/office/drawing/2014/chart" uri="{C3380CC4-5D6E-409C-BE32-E72D297353CC}">
              <c16:uniqueId val="{00000006-2724-45EE-8DE2-F62DC08033BE}"/>
            </c:ext>
          </c:extLst>
        </c:ser>
        <c:ser>
          <c:idx val="8"/>
          <c:order val="7"/>
          <c:tx>
            <c:strRef>
              <c:f>Figures!$A$114</c:f>
              <c:strCache>
                <c:ptCount val="1"/>
                <c:pt idx="0">
                  <c:v>Feed Pump</c:v>
                </c:pt>
              </c:strCache>
            </c:strRef>
          </c:tx>
          <c:spPr>
            <a:solidFill>
              <a:schemeClr val="accent3">
                <a:lumMod val="6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Figures!$B$114:$E$114</c:f>
              <c:numCache>
                <c:formatCode>General</c:formatCode>
                <c:ptCount val="4"/>
                <c:pt idx="0" formatCode="_(&quot;$&quot;* #,##0.00_);_(&quot;$&quot;* \(#,##0.00\);_(&quot;$&quot;* &quot;-&quot;??_);_(@_)">
                  <c:v>45288.607151800468</c:v>
                </c:pt>
              </c:numCache>
            </c:numRef>
          </c:val>
          <c:extLst>
            <c:ext xmlns:c16="http://schemas.microsoft.com/office/drawing/2014/chart" uri="{C3380CC4-5D6E-409C-BE32-E72D297353CC}">
              <c16:uniqueId val="{00000007-2724-45EE-8DE2-F62DC08033BE}"/>
            </c:ext>
          </c:extLst>
        </c:ser>
        <c:ser>
          <c:idx val="9"/>
          <c:order val="8"/>
          <c:tx>
            <c:strRef>
              <c:f>Figures!$A$115</c:f>
              <c:strCache>
                <c:ptCount val="1"/>
                <c:pt idx="0">
                  <c:v>Syngas Makeup Compressor</c:v>
                </c:pt>
              </c:strCache>
            </c:strRef>
          </c:tx>
          <c:spPr>
            <a:solidFill>
              <a:schemeClr val="accent4">
                <a:lumMod val="6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Figures!$B$115:$E$115</c:f>
              <c:numCache>
                <c:formatCode>General</c:formatCode>
                <c:ptCount val="4"/>
                <c:pt idx="0" formatCode="_(&quot;$&quot;* #,##0.00_);_(&quot;$&quot;* \(#,##0.00\);_(&quot;$&quot;* &quot;-&quot;??_);_(@_)">
                  <c:v>112340.63789839575</c:v>
                </c:pt>
              </c:numCache>
            </c:numRef>
          </c:val>
          <c:extLst>
            <c:ext xmlns:c16="http://schemas.microsoft.com/office/drawing/2014/chart" uri="{C3380CC4-5D6E-409C-BE32-E72D297353CC}">
              <c16:uniqueId val="{00000008-2724-45EE-8DE2-F62DC08033BE}"/>
            </c:ext>
          </c:extLst>
        </c:ser>
        <c:ser>
          <c:idx val="10"/>
          <c:order val="9"/>
          <c:tx>
            <c:strRef>
              <c:f>Figures!$A$116</c:f>
              <c:strCache>
                <c:ptCount val="1"/>
                <c:pt idx="0">
                  <c:v>Syngas Recycle Compressor</c:v>
                </c:pt>
              </c:strCache>
            </c:strRef>
          </c:tx>
          <c:spPr>
            <a:solidFill>
              <a:schemeClr val="accent5">
                <a:lumMod val="6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Figures!$B$116:$E$116</c:f>
              <c:numCache>
                <c:formatCode>General</c:formatCode>
                <c:ptCount val="4"/>
                <c:pt idx="0" formatCode="_(&quot;$&quot;* #,##0.00_);_(&quot;$&quot;* \(#,##0.00\);_(&quot;$&quot;* &quot;-&quot;??_);_(@_)">
                  <c:v>2539.7795703260531</c:v>
                </c:pt>
              </c:numCache>
            </c:numRef>
          </c:val>
          <c:extLst>
            <c:ext xmlns:c16="http://schemas.microsoft.com/office/drawing/2014/chart" uri="{C3380CC4-5D6E-409C-BE32-E72D297353CC}">
              <c16:uniqueId val="{00000009-2724-45EE-8DE2-F62DC08033BE}"/>
            </c:ext>
          </c:extLst>
        </c:ser>
        <c:ser>
          <c:idx val="11"/>
          <c:order val="10"/>
          <c:tx>
            <c:strRef>
              <c:f>Figures!$A$117</c:f>
              <c:strCache>
                <c:ptCount val="1"/>
                <c:pt idx="0">
                  <c:v>Digester Tank Wall </c:v>
                </c:pt>
              </c:strCache>
            </c:strRef>
          </c:tx>
          <c:spPr>
            <a:solidFill>
              <a:schemeClr val="accent6">
                <a:lumMod val="6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Figures!$B$117:$E$117</c:f>
              <c:numCache>
                <c:formatCode>General</c:formatCode>
                <c:ptCount val="4"/>
                <c:pt idx="0" formatCode="_(&quot;$&quot;* #,##0.00_);_(&quot;$&quot;* \(#,##0.00\);_(&quot;$&quot;* &quot;-&quot;??_);_(@_)">
                  <c:v>2132518.4113270217</c:v>
                </c:pt>
              </c:numCache>
            </c:numRef>
          </c:val>
          <c:extLst>
            <c:ext xmlns:c16="http://schemas.microsoft.com/office/drawing/2014/chart" uri="{C3380CC4-5D6E-409C-BE32-E72D297353CC}">
              <c16:uniqueId val="{0000000A-2724-45EE-8DE2-F62DC08033BE}"/>
            </c:ext>
          </c:extLst>
        </c:ser>
        <c:ser>
          <c:idx val="12"/>
          <c:order val="11"/>
          <c:tx>
            <c:strRef>
              <c:f>Figures!$A$118</c:f>
              <c:strCache>
                <c:ptCount val="1"/>
                <c:pt idx="0">
                  <c:v>Digester Insulation </c:v>
                </c:pt>
              </c:strCache>
            </c:strRef>
          </c:tx>
          <c:spPr>
            <a:solidFill>
              <a:schemeClr val="accent1">
                <a:lumMod val="80000"/>
                <a:lumOff val="2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Figures!$B$118:$E$118</c:f>
              <c:numCache>
                <c:formatCode>General</c:formatCode>
                <c:ptCount val="4"/>
                <c:pt idx="0" formatCode="_(&quot;$&quot;* #,##0.00_);_(&quot;$&quot;* \(#,##0.00\);_(&quot;$&quot;* &quot;-&quot;??_);_(@_)">
                  <c:v>2217819.526434883</c:v>
                </c:pt>
              </c:numCache>
            </c:numRef>
          </c:val>
          <c:extLst>
            <c:ext xmlns:c16="http://schemas.microsoft.com/office/drawing/2014/chart" uri="{C3380CC4-5D6E-409C-BE32-E72D297353CC}">
              <c16:uniqueId val="{0000000B-2724-45EE-8DE2-F62DC08033BE}"/>
            </c:ext>
          </c:extLst>
        </c:ser>
        <c:ser>
          <c:idx val="13"/>
          <c:order val="12"/>
          <c:tx>
            <c:strRef>
              <c:f>Figures!$A$119</c:f>
              <c:strCache>
                <c:ptCount val="1"/>
                <c:pt idx="0">
                  <c:v>Digester Gas Cover </c:v>
                </c:pt>
              </c:strCache>
            </c:strRef>
          </c:tx>
          <c:spPr>
            <a:solidFill>
              <a:schemeClr val="accent2">
                <a:lumMod val="80000"/>
                <a:lumOff val="2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Figures!$B$119:$E$119</c:f>
              <c:numCache>
                <c:formatCode>General</c:formatCode>
                <c:ptCount val="4"/>
                <c:pt idx="0" formatCode="_(&quot;$&quot;* #,##0.00_);_(&quot;$&quot;* \(#,##0.00\);_(&quot;$&quot;* &quot;-&quot;??_);_(@_)">
                  <c:v>16000.981867361199</c:v>
                </c:pt>
              </c:numCache>
            </c:numRef>
          </c:val>
          <c:extLst>
            <c:ext xmlns:c16="http://schemas.microsoft.com/office/drawing/2014/chart" uri="{C3380CC4-5D6E-409C-BE32-E72D297353CC}">
              <c16:uniqueId val="{0000000C-2724-45EE-8DE2-F62DC08033BE}"/>
            </c:ext>
          </c:extLst>
        </c:ser>
        <c:ser>
          <c:idx val="14"/>
          <c:order val="13"/>
          <c:tx>
            <c:strRef>
              <c:f>Figures!$A$120</c:f>
              <c:strCache>
                <c:ptCount val="1"/>
                <c:pt idx="0">
                  <c:v>Agitator </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Figures!$B$120:$E$120</c:f>
              <c:numCache>
                <c:formatCode>General</c:formatCode>
                <c:ptCount val="4"/>
                <c:pt idx="0" formatCode="_(&quot;$&quot;* #,##0.00_);_(&quot;$&quot;* \(#,##0.00\);_(&quot;$&quot;* &quot;-&quot;??_);_(@_)">
                  <c:v>4402632.7245008629</c:v>
                </c:pt>
              </c:numCache>
            </c:numRef>
          </c:val>
          <c:extLst>
            <c:ext xmlns:c16="http://schemas.microsoft.com/office/drawing/2014/chart" uri="{C3380CC4-5D6E-409C-BE32-E72D297353CC}">
              <c16:uniqueId val="{0000000D-2724-45EE-8DE2-F62DC08033BE}"/>
            </c:ext>
          </c:extLst>
        </c:ser>
        <c:ser>
          <c:idx val="15"/>
          <c:order val="14"/>
          <c:tx>
            <c:strRef>
              <c:f>Figures!$A$121</c:f>
              <c:strCache>
                <c:ptCount val="1"/>
                <c:pt idx="0">
                  <c:v>Electrodes</c:v>
                </c:pt>
              </c:strCache>
            </c:strRef>
          </c:tx>
          <c:spPr>
            <a:solidFill>
              <a:schemeClr val="accent4">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Figures!$B$121:$E$121</c:f>
              <c:numCache>
                <c:formatCode>General</c:formatCode>
                <c:ptCount val="4"/>
                <c:pt idx="0" formatCode="_(&quot;$&quot;* #,##0.00_);_(&quot;$&quot;* \(#,##0.00\);_(&quot;$&quot;* &quot;-&quot;??_);_(@_)">
                  <c:v>11155251.365313325</c:v>
                </c:pt>
              </c:numCache>
            </c:numRef>
          </c:val>
          <c:extLst>
            <c:ext xmlns:c16="http://schemas.microsoft.com/office/drawing/2014/chart" uri="{C3380CC4-5D6E-409C-BE32-E72D297353CC}">
              <c16:uniqueId val="{0000000E-2724-45EE-8DE2-F62DC08033BE}"/>
            </c:ext>
          </c:extLst>
        </c:ser>
        <c:ser>
          <c:idx val="16"/>
          <c:order val="15"/>
          <c:tx>
            <c:strRef>
              <c:f>Figures!$A$122</c:f>
              <c:strCache>
                <c:ptCount val="1"/>
                <c:pt idx="0">
                  <c:v>Feed Pump</c:v>
                </c:pt>
              </c:strCache>
            </c:strRef>
          </c:tx>
          <c:spPr>
            <a:solidFill>
              <a:schemeClr val="accent5">
                <a:lumMod val="80000"/>
                <a:lumOff val="2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Figures!$B$122:$E$122</c:f>
              <c:numCache>
                <c:formatCode>_("$"* #,##0.00_);_("$"* \(#,##0.00\);_("$"* "-"??_);_(@_)</c:formatCode>
                <c:ptCount val="4"/>
                <c:pt idx="1">
                  <c:v>45288.607151800468</c:v>
                </c:pt>
              </c:numCache>
            </c:numRef>
          </c:val>
          <c:extLst>
            <c:ext xmlns:c16="http://schemas.microsoft.com/office/drawing/2014/chart" uri="{C3380CC4-5D6E-409C-BE32-E72D297353CC}">
              <c16:uniqueId val="{0000000F-2724-45EE-8DE2-F62DC08033BE}"/>
            </c:ext>
          </c:extLst>
        </c:ser>
        <c:ser>
          <c:idx val="17"/>
          <c:order val="16"/>
          <c:tx>
            <c:strRef>
              <c:f>Figures!$A$123</c:f>
              <c:strCache>
                <c:ptCount val="1"/>
                <c:pt idx="0">
                  <c:v>Centrifuge</c:v>
                </c:pt>
              </c:strCache>
            </c:strRef>
          </c:tx>
          <c:spPr>
            <a:solidFill>
              <a:schemeClr val="accent6">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Figures!$B$123:$E$123</c:f>
              <c:numCache>
                <c:formatCode>_("$"* #,##0.00_);_("$"* \(#,##0.00\);_("$"* "-"??_);_(@_)</c:formatCode>
                <c:ptCount val="4"/>
                <c:pt idx="1">
                  <c:v>25022970.382616952</c:v>
                </c:pt>
              </c:numCache>
            </c:numRef>
          </c:val>
          <c:extLst>
            <c:ext xmlns:c16="http://schemas.microsoft.com/office/drawing/2014/chart" uri="{C3380CC4-5D6E-409C-BE32-E72D297353CC}">
              <c16:uniqueId val="{00000010-2724-45EE-8DE2-F62DC08033BE}"/>
            </c:ext>
          </c:extLst>
        </c:ser>
        <c:ser>
          <c:idx val="18"/>
          <c:order val="17"/>
          <c:tx>
            <c:strRef>
              <c:f>Figures!$A$124</c:f>
              <c:strCache>
                <c:ptCount val="1"/>
                <c:pt idx="0">
                  <c:v>Biosolids Drier</c:v>
                </c:pt>
              </c:strCache>
            </c:strRef>
          </c:tx>
          <c:spPr>
            <a:solidFill>
              <a:schemeClr val="accent1">
                <a:lumMod val="8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Figures!$B$124:$E$124</c:f>
              <c:numCache>
                <c:formatCode>_("$"* #,##0.00_);_("$"* \(#,##0.00\);_("$"* "-"??_);_(@_)</c:formatCode>
                <c:ptCount val="4"/>
                <c:pt idx="1">
                  <c:v>2426574.0534330667</c:v>
                </c:pt>
              </c:numCache>
            </c:numRef>
          </c:val>
          <c:extLst>
            <c:ext xmlns:c16="http://schemas.microsoft.com/office/drawing/2014/chart" uri="{C3380CC4-5D6E-409C-BE32-E72D297353CC}">
              <c16:uniqueId val="{00000011-2724-45EE-8DE2-F62DC08033BE}"/>
            </c:ext>
          </c:extLst>
        </c:ser>
        <c:ser>
          <c:idx val="19"/>
          <c:order val="18"/>
          <c:tx>
            <c:strRef>
              <c:f>Figures!$A$125</c:f>
              <c:strCache>
                <c:ptCount val="1"/>
                <c:pt idx="0">
                  <c:v>Microfiltration</c:v>
                </c:pt>
              </c:strCache>
            </c:strRef>
          </c:tx>
          <c:spPr>
            <a:solidFill>
              <a:schemeClr val="accent2">
                <a:lumMod val="8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Figures!$B$125:$E$125</c:f>
              <c:numCache>
                <c:formatCode>_("$"* #,##0.00_);_("$"* \(#,##0.00\);_("$"* "-"??_);_(@_)</c:formatCode>
                <c:ptCount val="4"/>
                <c:pt idx="1">
                  <c:v>3760.7794176182269</c:v>
                </c:pt>
              </c:numCache>
            </c:numRef>
          </c:val>
          <c:extLst>
            <c:ext xmlns:c16="http://schemas.microsoft.com/office/drawing/2014/chart" uri="{C3380CC4-5D6E-409C-BE32-E72D297353CC}">
              <c16:uniqueId val="{00000012-2724-45EE-8DE2-F62DC08033BE}"/>
            </c:ext>
          </c:extLst>
        </c:ser>
        <c:ser>
          <c:idx val="20"/>
          <c:order val="19"/>
          <c:tx>
            <c:strRef>
              <c:f>Figures!$A$126</c:f>
              <c:strCache>
                <c:ptCount val="1"/>
                <c:pt idx="0">
                  <c:v>Feed Pump</c:v>
                </c:pt>
              </c:strCache>
            </c:strRef>
          </c:tx>
          <c:spPr>
            <a:solidFill>
              <a:schemeClr val="accent3">
                <a:lumMod val="8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Figures!$B$126:$E$126</c:f>
              <c:numCache>
                <c:formatCode>_("$"* #,##0.00_);_("$"* \(#,##0.00\);_("$"* "-"??_);_(@_)</c:formatCode>
                <c:ptCount val="4"/>
                <c:pt idx="1">
                  <c:v>52460.053757688722</c:v>
                </c:pt>
              </c:numCache>
            </c:numRef>
          </c:val>
          <c:extLst>
            <c:ext xmlns:c16="http://schemas.microsoft.com/office/drawing/2014/chart" uri="{C3380CC4-5D6E-409C-BE32-E72D297353CC}">
              <c16:uniqueId val="{00000013-2724-45EE-8DE2-F62DC08033BE}"/>
            </c:ext>
          </c:extLst>
        </c:ser>
        <c:ser>
          <c:idx val="0"/>
          <c:order val="20"/>
          <c:tx>
            <c:strRef>
              <c:f>Figures!$A$127</c:f>
              <c:strCache>
                <c:ptCount val="1"/>
                <c:pt idx="0">
                  <c:v>Air Compressor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Figures!$B$127:$E$127</c:f>
              <c:numCache>
                <c:formatCode>_("$"* #,##0.00_);_("$"* \(#,##0.00\);_("$"* "-"??_);_(@_)</c:formatCode>
                <c:ptCount val="4"/>
                <c:pt idx="1">
                  <c:v>18031375.115202356</c:v>
                </c:pt>
              </c:numCache>
            </c:numRef>
          </c:val>
          <c:extLst>
            <c:ext xmlns:c16="http://schemas.microsoft.com/office/drawing/2014/chart" uri="{C3380CC4-5D6E-409C-BE32-E72D297353CC}">
              <c16:uniqueId val="{00000014-2724-45EE-8DE2-F62DC08033BE}"/>
            </c:ext>
          </c:extLst>
        </c:ser>
        <c:ser>
          <c:idx val="21"/>
          <c:order val="21"/>
          <c:tx>
            <c:strRef>
              <c:f>Figures!$A$128</c:f>
              <c:strCache>
                <c:ptCount val="1"/>
                <c:pt idx="0">
                  <c:v>Caustic Pump</c:v>
                </c:pt>
              </c:strCache>
            </c:strRef>
          </c:tx>
          <c:spPr>
            <a:solidFill>
              <a:schemeClr val="accent4">
                <a:lumMod val="8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Figures!$B$128:$E$128</c:f>
              <c:numCache>
                <c:formatCode>_("$"* #,##0.00_);_("$"* \(#,##0.00\);_("$"* "-"??_);_(@_)</c:formatCode>
                <c:ptCount val="4"/>
                <c:pt idx="1">
                  <c:v>5712.3661522272505</c:v>
                </c:pt>
              </c:numCache>
            </c:numRef>
          </c:val>
          <c:extLst>
            <c:ext xmlns:c16="http://schemas.microsoft.com/office/drawing/2014/chart" uri="{C3380CC4-5D6E-409C-BE32-E72D297353CC}">
              <c16:uniqueId val="{00000015-2724-45EE-8DE2-F62DC08033BE}"/>
            </c:ext>
          </c:extLst>
        </c:ser>
        <c:ser>
          <c:idx val="22"/>
          <c:order val="22"/>
          <c:tx>
            <c:strRef>
              <c:f>Figures!$A$129</c:f>
              <c:strCache>
                <c:ptCount val="1"/>
                <c:pt idx="0">
                  <c:v>Absorber Pre-Cooler</c:v>
                </c:pt>
              </c:strCache>
            </c:strRef>
          </c:tx>
          <c:spPr>
            <a:solidFill>
              <a:schemeClr val="accent5">
                <a:lumMod val="8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Figures!$B$129:$E$129</c:f>
              <c:numCache>
                <c:formatCode>_("$"* #,##0.00_);_("$"* \(#,##0.00\);_("$"* "-"??_);_(@_)</c:formatCode>
                <c:ptCount val="4"/>
                <c:pt idx="1">
                  <c:v>1798744.3322196491</c:v>
                </c:pt>
              </c:numCache>
            </c:numRef>
          </c:val>
          <c:extLst>
            <c:ext xmlns:c16="http://schemas.microsoft.com/office/drawing/2014/chart" uri="{C3380CC4-5D6E-409C-BE32-E72D297353CC}">
              <c16:uniqueId val="{00000016-2724-45EE-8DE2-F62DC08033BE}"/>
            </c:ext>
          </c:extLst>
        </c:ser>
        <c:ser>
          <c:idx val="23"/>
          <c:order val="23"/>
          <c:tx>
            <c:strRef>
              <c:f>Figures!$A$130</c:f>
              <c:strCache>
                <c:ptCount val="1"/>
                <c:pt idx="0">
                  <c:v>Absorber Column</c:v>
                </c:pt>
              </c:strCache>
            </c:strRef>
          </c:tx>
          <c:spPr>
            <a:solidFill>
              <a:schemeClr val="accent6">
                <a:lumMod val="8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Figures!$B$130:$E$130</c:f>
              <c:numCache>
                <c:formatCode>_("$"* #,##0.00_);_("$"* \(#,##0.00\);_("$"* "-"??_);_(@_)</c:formatCode>
                <c:ptCount val="4"/>
                <c:pt idx="1">
                  <c:v>4984205.3540569097</c:v>
                </c:pt>
              </c:numCache>
            </c:numRef>
          </c:val>
          <c:extLst>
            <c:ext xmlns:c16="http://schemas.microsoft.com/office/drawing/2014/chart" uri="{C3380CC4-5D6E-409C-BE32-E72D297353CC}">
              <c16:uniqueId val="{00000017-2724-45EE-8DE2-F62DC08033BE}"/>
            </c:ext>
          </c:extLst>
        </c:ser>
        <c:ser>
          <c:idx val="24"/>
          <c:order val="24"/>
          <c:tx>
            <c:strRef>
              <c:f>Figures!$A$131</c:f>
              <c:strCache>
                <c:ptCount val="1"/>
                <c:pt idx="0">
                  <c:v>Flash Drum</c:v>
                </c:pt>
              </c:strCache>
            </c:strRef>
          </c:tx>
          <c:spPr>
            <a:solidFill>
              <a:schemeClr val="accent1">
                <a:lumMod val="60000"/>
                <a:lumOff val="4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Figures!$B$131:$E$131</c:f>
              <c:numCache>
                <c:formatCode>_("$"* #,##0.00_);_("$"* \(#,##0.00\);_("$"* "-"??_);_(@_)</c:formatCode>
                <c:ptCount val="4"/>
                <c:pt idx="1">
                  <c:v>13341.264851021117</c:v>
                </c:pt>
              </c:numCache>
            </c:numRef>
          </c:val>
          <c:extLst>
            <c:ext xmlns:c16="http://schemas.microsoft.com/office/drawing/2014/chart" uri="{C3380CC4-5D6E-409C-BE32-E72D297353CC}">
              <c16:uniqueId val="{00000018-2724-45EE-8DE2-F62DC08033BE}"/>
            </c:ext>
          </c:extLst>
        </c:ser>
        <c:ser>
          <c:idx val="25"/>
          <c:order val="25"/>
          <c:tx>
            <c:strRef>
              <c:f>Figures!$A$132</c:f>
              <c:strCache>
                <c:ptCount val="1"/>
                <c:pt idx="0">
                  <c:v>Solvent Circulation Pump</c:v>
                </c:pt>
              </c:strCache>
            </c:strRef>
          </c:tx>
          <c:spPr>
            <a:solidFill>
              <a:schemeClr val="accent2">
                <a:lumMod val="60000"/>
                <a:lumOff val="4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Figures!$B$132:$E$132</c:f>
              <c:numCache>
                <c:formatCode>_("$"* #,##0.00_);_("$"* \(#,##0.00\);_("$"* "-"??_);_(@_)</c:formatCode>
                <c:ptCount val="4"/>
                <c:pt idx="1">
                  <c:v>1665832.1894447983</c:v>
                </c:pt>
              </c:numCache>
            </c:numRef>
          </c:val>
          <c:extLst>
            <c:ext xmlns:c16="http://schemas.microsoft.com/office/drawing/2014/chart" uri="{C3380CC4-5D6E-409C-BE32-E72D297353CC}">
              <c16:uniqueId val="{00000019-2724-45EE-8DE2-F62DC08033BE}"/>
            </c:ext>
          </c:extLst>
        </c:ser>
        <c:ser>
          <c:idx val="26"/>
          <c:order val="26"/>
          <c:tx>
            <c:strRef>
              <c:f>Figures!$A$133</c:f>
              <c:strCache>
                <c:ptCount val="1"/>
                <c:pt idx="0">
                  <c:v>Lean-rich Heat Exchanger</c:v>
                </c:pt>
              </c:strCache>
            </c:strRef>
          </c:tx>
          <c:spPr>
            <a:solidFill>
              <a:schemeClr val="accent3">
                <a:lumMod val="60000"/>
                <a:lumOff val="4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Figures!$B$133:$E$133</c:f>
              <c:numCache>
                <c:formatCode>_("$"* #,##0.00_);_("$"* \(#,##0.00\);_("$"* "-"??_);_(@_)</c:formatCode>
                <c:ptCount val="4"/>
                <c:pt idx="1">
                  <c:v>1149690.0350024605</c:v>
                </c:pt>
              </c:numCache>
            </c:numRef>
          </c:val>
          <c:extLst>
            <c:ext xmlns:c16="http://schemas.microsoft.com/office/drawing/2014/chart" uri="{C3380CC4-5D6E-409C-BE32-E72D297353CC}">
              <c16:uniqueId val="{0000001A-2724-45EE-8DE2-F62DC08033BE}"/>
            </c:ext>
          </c:extLst>
        </c:ser>
        <c:ser>
          <c:idx val="27"/>
          <c:order val="27"/>
          <c:tx>
            <c:strRef>
              <c:f>Figures!$A$134</c:f>
              <c:strCache>
                <c:ptCount val="1"/>
                <c:pt idx="0">
                  <c:v>Stripper Column</c:v>
                </c:pt>
              </c:strCache>
            </c:strRef>
          </c:tx>
          <c:spPr>
            <a:solidFill>
              <a:schemeClr val="accent4">
                <a:lumMod val="60000"/>
                <a:lumOff val="4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Figures!$B$134:$E$134</c:f>
              <c:numCache>
                <c:formatCode>_("$"* #,##0.00_);_("$"* \(#,##0.00\);_("$"* "-"??_);_(@_)</c:formatCode>
                <c:ptCount val="4"/>
                <c:pt idx="1">
                  <c:v>2441917.9636363443</c:v>
                </c:pt>
              </c:numCache>
            </c:numRef>
          </c:val>
          <c:extLst>
            <c:ext xmlns:c16="http://schemas.microsoft.com/office/drawing/2014/chart" uri="{C3380CC4-5D6E-409C-BE32-E72D297353CC}">
              <c16:uniqueId val="{0000001B-2724-45EE-8DE2-F62DC08033BE}"/>
            </c:ext>
          </c:extLst>
        </c:ser>
        <c:ser>
          <c:idx val="28"/>
          <c:order val="28"/>
          <c:tx>
            <c:strRef>
              <c:f>Figures!$A$135</c:f>
              <c:strCache>
                <c:ptCount val="1"/>
                <c:pt idx="0">
                  <c:v>Stripper Reboiler</c:v>
                </c:pt>
              </c:strCache>
            </c:strRef>
          </c:tx>
          <c:spPr>
            <a:solidFill>
              <a:schemeClr val="accent5">
                <a:lumMod val="60000"/>
                <a:lumOff val="4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Figures!$B$135:$E$135</c:f>
              <c:numCache>
                <c:formatCode>_("$"* #,##0.00_);_("$"* \(#,##0.00\);_("$"* "-"??_);_(@_)</c:formatCode>
                <c:ptCount val="4"/>
                <c:pt idx="1">
                  <c:v>986332.06674066349</c:v>
                </c:pt>
              </c:numCache>
            </c:numRef>
          </c:val>
          <c:extLst>
            <c:ext xmlns:c16="http://schemas.microsoft.com/office/drawing/2014/chart" uri="{C3380CC4-5D6E-409C-BE32-E72D297353CC}">
              <c16:uniqueId val="{0000001C-2724-45EE-8DE2-F62DC08033BE}"/>
            </c:ext>
          </c:extLst>
        </c:ser>
        <c:ser>
          <c:idx val="29"/>
          <c:order val="29"/>
          <c:tx>
            <c:strRef>
              <c:f>Figures!$A$136</c:f>
              <c:strCache>
                <c:ptCount val="1"/>
                <c:pt idx="0">
                  <c:v>Stripper OH Condenser</c:v>
                </c:pt>
              </c:strCache>
            </c:strRef>
          </c:tx>
          <c:spPr>
            <a:solidFill>
              <a:schemeClr val="accent6">
                <a:lumMod val="60000"/>
                <a:lumOff val="4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Figures!$B$136:$E$136</c:f>
              <c:numCache>
                <c:formatCode>_("$"* #,##0.00_);_("$"* \(#,##0.00\);_("$"* "-"??_);_(@_)</c:formatCode>
                <c:ptCount val="4"/>
                <c:pt idx="1">
                  <c:v>5447232.2785764607</c:v>
                </c:pt>
              </c:numCache>
            </c:numRef>
          </c:val>
          <c:extLst>
            <c:ext xmlns:c16="http://schemas.microsoft.com/office/drawing/2014/chart" uri="{C3380CC4-5D6E-409C-BE32-E72D297353CC}">
              <c16:uniqueId val="{0000001D-2724-45EE-8DE2-F62DC08033BE}"/>
            </c:ext>
          </c:extLst>
        </c:ser>
        <c:ser>
          <c:idx val="30"/>
          <c:order val="30"/>
          <c:tx>
            <c:strRef>
              <c:f>Figures!$A$137</c:f>
              <c:strCache>
                <c:ptCount val="1"/>
                <c:pt idx="0">
                  <c:v>Stripper Acculumator</c:v>
                </c:pt>
              </c:strCache>
            </c:strRef>
          </c:tx>
          <c:spPr>
            <a:solidFill>
              <a:schemeClr val="accent1">
                <a:lumMod val="5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Figures!$B$137:$E$137</c:f>
              <c:numCache>
                <c:formatCode>_("$"* #,##0.00_);_("$"* \(#,##0.00\);_("$"* "-"??_);_(@_)</c:formatCode>
                <c:ptCount val="4"/>
                <c:pt idx="1">
                  <c:v>1801803.5459840987</c:v>
                </c:pt>
              </c:numCache>
            </c:numRef>
          </c:val>
          <c:extLst>
            <c:ext xmlns:c16="http://schemas.microsoft.com/office/drawing/2014/chart" uri="{C3380CC4-5D6E-409C-BE32-E72D297353CC}">
              <c16:uniqueId val="{0000001E-2724-45EE-8DE2-F62DC08033BE}"/>
            </c:ext>
          </c:extLst>
        </c:ser>
        <c:ser>
          <c:idx val="31"/>
          <c:order val="31"/>
          <c:tx>
            <c:strRef>
              <c:f>Figures!$A$138</c:f>
              <c:strCache>
                <c:ptCount val="1"/>
                <c:pt idx="0">
                  <c:v>Misc. Tanks, Filters</c:v>
                </c:pt>
              </c:strCache>
            </c:strRef>
          </c:tx>
          <c:spPr>
            <a:solidFill>
              <a:schemeClr val="accent2">
                <a:lumMod val="5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Figures!$B$138:$E$138</c:f>
              <c:numCache>
                <c:formatCode>_("$"* #,##0.00_);_("$"* \(#,##0.00\);_("$"* "-"??_);_(@_)</c:formatCode>
                <c:ptCount val="4"/>
                <c:pt idx="1">
                  <c:v>4741588.278905523</c:v>
                </c:pt>
              </c:numCache>
            </c:numRef>
          </c:val>
          <c:extLst>
            <c:ext xmlns:c16="http://schemas.microsoft.com/office/drawing/2014/chart" uri="{C3380CC4-5D6E-409C-BE32-E72D297353CC}">
              <c16:uniqueId val="{0000001F-2724-45EE-8DE2-F62DC08033BE}"/>
            </c:ext>
          </c:extLst>
        </c:ser>
        <c:ser>
          <c:idx val="32"/>
          <c:order val="32"/>
          <c:tx>
            <c:strRef>
              <c:f>Figures!$A$139</c:f>
              <c:strCache>
                <c:ptCount val="1"/>
                <c:pt idx="0">
                  <c:v>Acid Pump</c:v>
                </c:pt>
              </c:strCache>
            </c:strRef>
          </c:tx>
          <c:spPr>
            <a:solidFill>
              <a:schemeClr val="accent3">
                <a:lumMod val="5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Figures!$B$139:$E$139</c:f>
              <c:numCache>
                <c:formatCode>_("$"* #,##0.00_);_("$"* \(#,##0.00\);_("$"* "-"??_);_(@_)</c:formatCode>
                <c:ptCount val="4"/>
                <c:pt idx="1">
                  <c:v>503188.15835703519</c:v>
                </c:pt>
              </c:numCache>
            </c:numRef>
          </c:val>
          <c:extLst>
            <c:ext xmlns:c16="http://schemas.microsoft.com/office/drawing/2014/chart" uri="{C3380CC4-5D6E-409C-BE32-E72D297353CC}">
              <c16:uniqueId val="{00000020-2724-45EE-8DE2-F62DC08033BE}"/>
            </c:ext>
          </c:extLst>
        </c:ser>
        <c:ser>
          <c:idx val="33"/>
          <c:order val="33"/>
          <c:tx>
            <c:strRef>
              <c:f>Figures!$A$140</c:f>
              <c:strCache>
                <c:ptCount val="1"/>
                <c:pt idx="0">
                  <c:v>Ammonia Pump</c:v>
                </c:pt>
              </c:strCache>
            </c:strRef>
          </c:tx>
          <c:spPr>
            <a:solidFill>
              <a:schemeClr val="accent4">
                <a:lumMod val="5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Figures!$B$140:$E$140</c:f>
              <c:numCache>
                <c:formatCode>_("$"* #,##0.00_);_("$"* \(#,##0.00\);_("$"* "-"??_);_(@_)</c:formatCode>
                <c:ptCount val="4"/>
                <c:pt idx="1">
                  <c:v>19918.478400719705</c:v>
                </c:pt>
              </c:numCache>
            </c:numRef>
          </c:val>
          <c:extLst>
            <c:ext xmlns:c16="http://schemas.microsoft.com/office/drawing/2014/chart" uri="{C3380CC4-5D6E-409C-BE32-E72D297353CC}">
              <c16:uniqueId val="{00000021-2724-45EE-8DE2-F62DC08033BE}"/>
            </c:ext>
          </c:extLst>
        </c:ser>
        <c:ser>
          <c:idx val="34"/>
          <c:order val="34"/>
          <c:tx>
            <c:strRef>
              <c:f>Figures!$A$141</c:f>
              <c:strCache>
                <c:ptCount val="1"/>
                <c:pt idx="0">
                  <c:v>Crystallizer</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Figures!$B$141:$E$141</c:f>
              <c:numCache>
                <c:formatCode>_("$"* #,##0.00_);_("$"* \(#,##0.00\);_("$"* "-"??_);_(@_)</c:formatCode>
                <c:ptCount val="4"/>
                <c:pt idx="1">
                  <c:v>30709654.192600388</c:v>
                </c:pt>
              </c:numCache>
            </c:numRef>
          </c:val>
          <c:extLst>
            <c:ext xmlns:c16="http://schemas.microsoft.com/office/drawing/2014/chart" uri="{C3380CC4-5D6E-409C-BE32-E72D297353CC}">
              <c16:uniqueId val="{00000022-2724-45EE-8DE2-F62DC08033BE}"/>
            </c:ext>
          </c:extLst>
        </c:ser>
        <c:dLbls>
          <c:showLegendKey val="0"/>
          <c:showVal val="0"/>
          <c:showCatName val="0"/>
          <c:showSerName val="0"/>
          <c:showPercent val="0"/>
          <c:showBubbleSize val="0"/>
        </c:dLbls>
        <c:gapWidth val="50"/>
        <c:overlap val="100"/>
        <c:axId val="1295435552"/>
        <c:axId val="1295428352"/>
      </c:barChart>
      <c:barChart>
        <c:barDir val="col"/>
        <c:grouping val="stacked"/>
        <c:varyColors val="0"/>
        <c:ser>
          <c:idx val="35"/>
          <c:order val="35"/>
          <c:tx>
            <c:strRef>
              <c:f>Figures!$A$142</c:f>
              <c:strCache>
                <c:ptCount val="1"/>
                <c:pt idx="0">
                  <c:v>Power - Grit Removal</c:v>
                </c:pt>
              </c:strCache>
            </c:strRef>
          </c:tx>
          <c:spPr>
            <a:solidFill>
              <a:schemeClr val="accent6">
                <a:lumMod val="5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Figures!$B$142:$E$142</c:f>
              <c:numCache>
                <c:formatCode>General</c:formatCode>
                <c:ptCount val="4"/>
                <c:pt idx="2" formatCode="_(&quot;$&quot;* #,##0.00_);_(&quot;$&quot;* \(#,##0.00\);_(&quot;$&quot;* &quot;-&quot;??_);_(@_)">
                  <c:v>37217.653187965385</c:v>
                </c:pt>
              </c:numCache>
            </c:numRef>
          </c:val>
          <c:extLst>
            <c:ext xmlns:c16="http://schemas.microsoft.com/office/drawing/2014/chart" uri="{C3380CC4-5D6E-409C-BE32-E72D297353CC}">
              <c16:uniqueId val="{00000023-2724-45EE-8DE2-F62DC08033BE}"/>
            </c:ext>
          </c:extLst>
        </c:ser>
        <c:ser>
          <c:idx val="36"/>
          <c:order val="36"/>
          <c:tx>
            <c:strRef>
              <c:f>Figures!$A$143</c:f>
              <c:strCache>
                <c:ptCount val="1"/>
                <c:pt idx="0">
                  <c:v>Power - Water Pump</c:v>
                </c:pt>
              </c:strCache>
            </c:strRef>
          </c:tx>
          <c:spPr>
            <a:solidFill>
              <a:schemeClr val="accent1">
                <a:lumMod val="70000"/>
                <a:lumOff val="3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Figures!$B$143:$E$143</c:f>
              <c:numCache>
                <c:formatCode>General</c:formatCode>
                <c:ptCount val="4"/>
                <c:pt idx="2" formatCode="_(&quot;$&quot;* #,##0.00_);_(&quot;$&quot;* \(#,##0.00\);_(&quot;$&quot;* &quot;-&quot;??_);_(@_)">
                  <c:v>38.5498605938661</c:v>
                </c:pt>
              </c:numCache>
            </c:numRef>
          </c:val>
          <c:extLst>
            <c:ext xmlns:c16="http://schemas.microsoft.com/office/drawing/2014/chart" uri="{C3380CC4-5D6E-409C-BE32-E72D297353CC}">
              <c16:uniqueId val="{00000024-2724-45EE-8DE2-F62DC08033BE}"/>
            </c:ext>
          </c:extLst>
        </c:ser>
        <c:ser>
          <c:idx val="37"/>
          <c:order val="37"/>
          <c:tx>
            <c:strRef>
              <c:f>Figures!$A$144</c:f>
              <c:strCache>
                <c:ptCount val="1"/>
                <c:pt idx="0">
                  <c:v>Power - Manure Pump</c:v>
                </c:pt>
              </c:strCache>
            </c:strRef>
          </c:tx>
          <c:spPr>
            <a:solidFill>
              <a:schemeClr val="accent2">
                <a:lumMod val="70000"/>
                <a:lumOff val="3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Figures!$B$144:$E$144</c:f>
              <c:numCache>
                <c:formatCode>General</c:formatCode>
                <c:ptCount val="4"/>
                <c:pt idx="2" formatCode="_(&quot;$&quot;* #,##0.00_);_(&quot;$&quot;* \(#,##0.00\);_(&quot;$&quot;* &quot;-&quot;??_);_(@_)">
                  <c:v>19.665116140373566</c:v>
                </c:pt>
              </c:numCache>
            </c:numRef>
          </c:val>
          <c:extLst>
            <c:ext xmlns:c16="http://schemas.microsoft.com/office/drawing/2014/chart" uri="{C3380CC4-5D6E-409C-BE32-E72D297353CC}">
              <c16:uniqueId val="{00000025-2724-45EE-8DE2-F62DC08033BE}"/>
            </c:ext>
          </c:extLst>
        </c:ser>
        <c:ser>
          <c:idx val="38"/>
          <c:order val="38"/>
          <c:tx>
            <c:strRef>
              <c:f>Figures!$A$145</c:f>
              <c:strCache>
                <c:ptCount val="1"/>
                <c:pt idx="0">
                  <c:v>Power - Manure Grinder</c:v>
                </c:pt>
              </c:strCache>
            </c:strRef>
          </c:tx>
          <c:spPr>
            <a:solidFill>
              <a:schemeClr val="accent3">
                <a:lumMod val="70000"/>
                <a:lumOff val="3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Figures!$B$145:$E$145</c:f>
              <c:numCache>
                <c:formatCode>General</c:formatCode>
                <c:ptCount val="4"/>
                <c:pt idx="2" formatCode="_(&quot;$&quot;* #,##0.00_);_(&quot;$&quot;* \(#,##0.00\);_(&quot;$&quot;* &quot;-&quot;??_);_(@_)">
                  <c:v>2194.3120454931918</c:v>
                </c:pt>
              </c:numCache>
            </c:numRef>
          </c:val>
          <c:extLst>
            <c:ext xmlns:c16="http://schemas.microsoft.com/office/drawing/2014/chart" uri="{C3380CC4-5D6E-409C-BE32-E72D297353CC}">
              <c16:uniqueId val="{00000026-2724-45EE-8DE2-F62DC08033BE}"/>
            </c:ext>
          </c:extLst>
        </c:ser>
        <c:ser>
          <c:idx val="39"/>
          <c:order val="39"/>
          <c:tx>
            <c:strRef>
              <c:f>Figures!$A$146</c:f>
              <c:strCache>
                <c:ptCount val="1"/>
                <c:pt idx="0">
                  <c:v>Heat</c:v>
                </c:pt>
              </c:strCache>
            </c:strRef>
          </c:tx>
          <c:spPr>
            <a:solidFill>
              <a:schemeClr val="accent4">
                <a:lumMod val="70000"/>
                <a:lumOff val="3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Figures!$B$146:$E$146</c:f>
              <c:numCache>
                <c:formatCode>General</c:formatCode>
                <c:ptCount val="4"/>
                <c:pt idx="2" formatCode="_(&quot;$&quot;* #,##0.00_);_(&quot;$&quot;* \(#,##0.00\);_(&quot;$&quot;* &quot;-&quot;??_);_(@_)">
                  <c:v>721.746625111669</c:v>
                </c:pt>
              </c:numCache>
            </c:numRef>
          </c:val>
          <c:extLst>
            <c:ext xmlns:c16="http://schemas.microsoft.com/office/drawing/2014/chart" uri="{C3380CC4-5D6E-409C-BE32-E72D297353CC}">
              <c16:uniqueId val="{00000027-2724-45EE-8DE2-F62DC08033BE}"/>
            </c:ext>
          </c:extLst>
        </c:ser>
        <c:ser>
          <c:idx val="40"/>
          <c:order val="40"/>
          <c:tx>
            <c:strRef>
              <c:f>Figures!$A$147</c:f>
              <c:strCache>
                <c:ptCount val="1"/>
                <c:pt idx="0">
                  <c:v>Power - Mixing</c:v>
                </c:pt>
              </c:strCache>
            </c:strRef>
          </c:tx>
          <c:spPr>
            <a:solidFill>
              <a:schemeClr val="accent5">
                <a:lumMod val="70000"/>
                <a:lumOff val="30000"/>
              </a:schemeClr>
            </a:solidFill>
            <a:ln>
              <a:noFill/>
            </a:ln>
            <a:effectLst/>
          </c:spPr>
          <c:invertIfNegative val="0"/>
          <c:dLbls>
            <c:dLbl>
              <c:idx val="2"/>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11316089153185124"/>
                      <c:h val="0.11108179137143473"/>
                    </c:manualLayout>
                  </c15:layout>
                </c:ext>
                <c:ext xmlns:c16="http://schemas.microsoft.com/office/drawing/2014/chart" uri="{C3380CC4-5D6E-409C-BE32-E72D297353CC}">
                  <c16:uniqueId val="{00000002-6CF4-4AF0-85C1-784A810DFA68}"/>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Figures!$B$147:$E$147</c:f>
              <c:numCache>
                <c:formatCode>General</c:formatCode>
                <c:ptCount val="4"/>
                <c:pt idx="2" formatCode="_(&quot;$&quot;* #,##0.00_);_(&quot;$&quot;* \(#,##0.00\);_(&quot;$&quot;* &quot;-&quot;??_);_(@_)">
                  <c:v>625213.14086906414</c:v>
                </c:pt>
              </c:numCache>
            </c:numRef>
          </c:val>
          <c:extLst>
            <c:ext xmlns:c16="http://schemas.microsoft.com/office/drawing/2014/chart" uri="{C3380CC4-5D6E-409C-BE32-E72D297353CC}">
              <c16:uniqueId val="{00000028-2724-45EE-8DE2-F62DC08033BE}"/>
            </c:ext>
          </c:extLst>
        </c:ser>
        <c:ser>
          <c:idx val="41"/>
          <c:order val="41"/>
          <c:tx>
            <c:strRef>
              <c:f>Figures!$A$148</c:f>
              <c:strCache>
                <c:ptCount val="1"/>
                <c:pt idx="0">
                  <c:v>Power - Feed Pump</c:v>
                </c:pt>
              </c:strCache>
            </c:strRef>
          </c:tx>
          <c:spPr>
            <a:solidFill>
              <a:schemeClr val="accent6">
                <a:lumMod val="70000"/>
                <a:lumOff val="3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Figures!$B$148:$E$148</c:f>
              <c:numCache>
                <c:formatCode>General</c:formatCode>
                <c:ptCount val="4"/>
                <c:pt idx="2" formatCode="_(&quot;$&quot;* #,##0.00_);_(&quot;$&quot;* \(#,##0.00\);_(&quot;$&quot;* &quot;-&quot;??_);_(@_)">
                  <c:v>2900.0392831003469</c:v>
                </c:pt>
              </c:numCache>
            </c:numRef>
          </c:val>
          <c:extLst>
            <c:ext xmlns:c16="http://schemas.microsoft.com/office/drawing/2014/chart" uri="{C3380CC4-5D6E-409C-BE32-E72D297353CC}">
              <c16:uniqueId val="{00000029-2724-45EE-8DE2-F62DC08033BE}"/>
            </c:ext>
          </c:extLst>
        </c:ser>
        <c:ser>
          <c:idx val="42"/>
          <c:order val="42"/>
          <c:tx>
            <c:strRef>
              <c:f>Figures!$A$149</c:f>
              <c:strCache>
                <c:ptCount val="1"/>
                <c:pt idx="0">
                  <c:v>Power - Centrifuge Decanter</c:v>
                </c:pt>
              </c:strCache>
            </c:strRef>
          </c:tx>
          <c:spPr>
            <a:solidFill>
              <a:schemeClr val="accent1">
                <a:lumMod val="7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Figures!$B$149:$E$149</c:f>
              <c:numCache>
                <c:formatCode>General</c:formatCode>
                <c:ptCount val="4"/>
                <c:pt idx="2" formatCode="_(&quot;$&quot;* #,##0.00_);_(&quot;$&quot;* \(#,##0.00\);_(&quot;$&quot;* &quot;-&quot;??_);_(@_)">
                  <c:v>70182.360745503902</c:v>
                </c:pt>
              </c:numCache>
            </c:numRef>
          </c:val>
          <c:extLst>
            <c:ext xmlns:c16="http://schemas.microsoft.com/office/drawing/2014/chart" uri="{C3380CC4-5D6E-409C-BE32-E72D297353CC}">
              <c16:uniqueId val="{0000002A-2724-45EE-8DE2-F62DC08033BE}"/>
            </c:ext>
          </c:extLst>
        </c:ser>
        <c:ser>
          <c:idx val="43"/>
          <c:order val="43"/>
          <c:tx>
            <c:strRef>
              <c:f>Figures!$A$150</c:f>
              <c:strCache>
                <c:ptCount val="1"/>
                <c:pt idx="0">
                  <c:v>Power - Microfiltration</c:v>
                </c:pt>
              </c:strCache>
            </c:strRef>
          </c:tx>
          <c:spPr>
            <a:solidFill>
              <a:schemeClr val="accent2">
                <a:lumMod val="7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Figures!$B$150:$E$150</c:f>
              <c:numCache>
                <c:formatCode>General</c:formatCode>
                <c:ptCount val="4"/>
                <c:pt idx="2" formatCode="_(&quot;$&quot;* #,##0.00_);_(&quot;$&quot;* \(#,##0.00\);_(&quot;$&quot;* &quot;-&quot;??_);_(@_)">
                  <c:v>2900.0392831003469</c:v>
                </c:pt>
              </c:numCache>
            </c:numRef>
          </c:val>
          <c:extLst>
            <c:ext xmlns:c16="http://schemas.microsoft.com/office/drawing/2014/chart" uri="{C3380CC4-5D6E-409C-BE32-E72D297353CC}">
              <c16:uniqueId val="{0000002B-2724-45EE-8DE2-F62DC08033BE}"/>
            </c:ext>
          </c:extLst>
        </c:ser>
        <c:ser>
          <c:idx val="44"/>
          <c:order val="44"/>
          <c:tx>
            <c:strRef>
              <c:f>Figures!$A$151</c:f>
              <c:strCache>
                <c:ptCount val="1"/>
                <c:pt idx="0">
                  <c:v>Waste Disposal</c:v>
                </c:pt>
              </c:strCache>
            </c:strRef>
          </c:tx>
          <c:spPr>
            <a:solidFill>
              <a:schemeClr val="accent3">
                <a:lumMod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Figures!$B$151:$E$151</c:f>
              <c:numCache>
                <c:formatCode>General</c:formatCode>
                <c:ptCount val="4"/>
                <c:pt idx="2" formatCode="_(&quot;$&quot;* #,##0.00_);_(&quot;$&quot;* \(#,##0.00\);_(&quot;$&quot;* &quot;-&quot;??_);_(@_)">
                  <c:v>104215.07399645179</c:v>
                </c:pt>
              </c:numCache>
            </c:numRef>
          </c:val>
          <c:extLst>
            <c:ext xmlns:c16="http://schemas.microsoft.com/office/drawing/2014/chart" uri="{C3380CC4-5D6E-409C-BE32-E72D297353CC}">
              <c16:uniqueId val="{0000002C-2724-45EE-8DE2-F62DC08033BE}"/>
            </c:ext>
          </c:extLst>
        </c:ser>
        <c:ser>
          <c:idx val="45"/>
          <c:order val="45"/>
          <c:tx>
            <c:strRef>
              <c:f>Figures!$A$152</c:f>
              <c:strCache>
                <c:ptCount val="1"/>
                <c:pt idx="0">
                  <c:v>Heat - Stripper</c:v>
                </c:pt>
              </c:strCache>
            </c:strRef>
          </c:tx>
          <c:spPr>
            <a:solidFill>
              <a:schemeClr val="accent4">
                <a:lumMod val="7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Figures!$B$152:$E$152</c:f>
              <c:numCache>
                <c:formatCode>General</c:formatCode>
                <c:ptCount val="4"/>
                <c:pt idx="3" formatCode="_(&quot;$&quot;* #,##0.00_);_(&quot;$&quot;* \(#,##0.00\);_(&quot;$&quot;* &quot;-&quot;??_);_(@_)">
                  <c:v>1891.2105320340224</c:v>
                </c:pt>
              </c:numCache>
            </c:numRef>
          </c:val>
          <c:extLst>
            <c:ext xmlns:c16="http://schemas.microsoft.com/office/drawing/2014/chart" uri="{C3380CC4-5D6E-409C-BE32-E72D297353CC}">
              <c16:uniqueId val="{0000002D-2724-45EE-8DE2-F62DC08033BE}"/>
            </c:ext>
          </c:extLst>
        </c:ser>
        <c:ser>
          <c:idx val="46"/>
          <c:order val="46"/>
          <c:tx>
            <c:strRef>
              <c:f>Figures!$A$153</c:f>
              <c:strCache>
                <c:ptCount val="1"/>
                <c:pt idx="0">
                  <c:v>Power - Air Pump</c:v>
                </c:pt>
              </c:strCache>
            </c:strRef>
          </c:tx>
          <c:spPr>
            <a:solidFill>
              <a:schemeClr val="accent5">
                <a:lumMod val="7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Figures!$B$153:$E$153</c:f>
              <c:numCache>
                <c:formatCode>General</c:formatCode>
                <c:ptCount val="4"/>
                <c:pt idx="3" formatCode="_(&quot;$&quot;* #,##0.00_);_(&quot;$&quot;* \(#,##0.00\);_(&quot;$&quot;* &quot;-&quot;??_);_(@_)">
                  <c:v>151.8835070431864</c:v>
                </c:pt>
              </c:numCache>
            </c:numRef>
          </c:val>
          <c:extLst>
            <c:ext xmlns:c16="http://schemas.microsoft.com/office/drawing/2014/chart" uri="{C3380CC4-5D6E-409C-BE32-E72D297353CC}">
              <c16:uniqueId val="{0000002E-2724-45EE-8DE2-F62DC08033BE}"/>
            </c:ext>
          </c:extLst>
        </c:ser>
        <c:ser>
          <c:idx val="47"/>
          <c:order val="47"/>
          <c:tx>
            <c:strRef>
              <c:f>Figures!$A$154</c:f>
              <c:strCache>
                <c:ptCount val="1"/>
                <c:pt idx="0">
                  <c:v>Power - LD Feed Pump</c:v>
                </c:pt>
              </c:strCache>
            </c:strRef>
          </c:tx>
          <c:spPr>
            <a:solidFill>
              <a:schemeClr val="accent6">
                <a:lumMod val="7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Figures!$B$154:$E$154</c:f>
              <c:numCache>
                <c:formatCode>General</c:formatCode>
                <c:ptCount val="4"/>
                <c:pt idx="3" formatCode="_(&quot;$&quot;* #,##0.00_);_(&quot;$&quot;* \(#,##0.00\);_(&quot;$&quot;* &quot;-&quot;??_);_(@_)">
                  <c:v>5699.2834930089166</c:v>
                </c:pt>
              </c:numCache>
            </c:numRef>
          </c:val>
          <c:extLst>
            <c:ext xmlns:c16="http://schemas.microsoft.com/office/drawing/2014/chart" uri="{C3380CC4-5D6E-409C-BE32-E72D297353CC}">
              <c16:uniqueId val="{0000002F-2724-45EE-8DE2-F62DC08033BE}"/>
            </c:ext>
          </c:extLst>
        </c:ser>
        <c:ser>
          <c:idx val="48"/>
          <c:order val="48"/>
          <c:tx>
            <c:strRef>
              <c:f>Figures!$A$155</c:f>
              <c:strCache>
                <c:ptCount val="1"/>
                <c:pt idx="0">
                  <c:v>Power - Acid Feed Pump</c:v>
                </c:pt>
              </c:strCache>
            </c:strRef>
          </c:tx>
          <c:spPr>
            <a:solidFill>
              <a:schemeClr val="accent1">
                <a:lumMod val="50000"/>
                <a:lumOff val="5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Figures!$B$155:$E$155</c:f>
              <c:numCache>
                <c:formatCode>General</c:formatCode>
                <c:ptCount val="4"/>
                <c:pt idx="3" formatCode="_(&quot;$&quot;* #,##0.00_);_(&quot;$&quot;* \(#,##0.00\);_(&quot;$&quot;* &quot;-&quot;??_);_(@_)">
                  <c:v>666.91104645124267</c:v>
                </c:pt>
              </c:numCache>
            </c:numRef>
          </c:val>
          <c:extLst>
            <c:ext xmlns:c16="http://schemas.microsoft.com/office/drawing/2014/chart" uri="{C3380CC4-5D6E-409C-BE32-E72D297353CC}">
              <c16:uniqueId val="{00000030-2724-45EE-8DE2-F62DC08033BE}"/>
            </c:ext>
          </c:extLst>
        </c:ser>
        <c:ser>
          <c:idx val="49"/>
          <c:order val="49"/>
          <c:tx>
            <c:strRef>
              <c:f>Figures!$A$156</c:f>
              <c:strCache>
                <c:ptCount val="1"/>
                <c:pt idx="0">
                  <c:v>Power - Crystiallizer Pump</c:v>
                </c:pt>
              </c:strCache>
            </c:strRef>
          </c:tx>
          <c:spPr>
            <a:solidFill>
              <a:schemeClr val="accent2">
                <a:lumMod val="50000"/>
                <a:lumOff val="5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Figures!$B$156:$E$156</c:f>
              <c:numCache>
                <c:formatCode>General</c:formatCode>
                <c:ptCount val="4"/>
                <c:pt idx="3" formatCode="_(&quot;$&quot;* #,##0.00_);_(&quot;$&quot;* \(#,##0.00\);_(&quot;$&quot;* &quot;-&quot;??_);_(@_)">
                  <c:v>871.38101856477783</c:v>
                </c:pt>
              </c:numCache>
            </c:numRef>
          </c:val>
          <c:extLst>
            <c:ext xmlns:c16="http://schemas.microsoft.com/office/drawing/2014/chart" uri="{C3380CC4-5D6E-409C-BE32-E72D297353CC}">
              <c16:uniqueId val="{00000031-2724-45EE-8DE2-F62DC08033BE}"/>
            </c:ext>
          </c:extLst>
        </c:ser>
        <c:ser>
          <c:idx val="50"/>
          <c:order val="50"/>
          <c:tx>
            <c:strRef>
              <c:f>Figures!$A$157</c:f>
              <c:strCache>
                <c:ptCount val="1"/>
                <c:pt idx="0">
                  <c:v>Power - Output Pump</c:v>
                </c:pt>
              </c:strCache>
            </c:strRef>
          </c:tx>
          <c:spPr>
            <a:solidFill>
              <a:schemeClr val="accent3">
                <a:lumMod val="50000"/>
                <a:lumOff val="50000"/>
              </a:schemeClr>
            </a:solidFill>
            <a:ln>
              <a:noFill/>
            </a:ln>
            <a:effectLst/>
          </c:spPr>
          <c:invertIfNegative val="0"/>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Figures!$B$157:$E$157</c:f>
              <c:numCache>
                <c:formatCode>General</c:formatCode>
                <c:ptCount val="4"/>
                <c:pt idx="3" formatCode="_(&quot;$&quot;* #,##0.00_);_(&quot;$&quot;* \(#,##0.00\);_(&quot;$&quot;* &quot;-&quot;??_);_(@_)">
                  <c:v>666.91104645124267</c:v>
                </c:pt>
              </c:numCache>
            </c:numRef>
          </c:val>
          <c:extLst>
            <c:ext xmlns:c16="http://schemas.microsoft.com/office/drawing/2014/chart" uri="{C3380CC4-5D6E-409C-BE32-E72D297353CC}">
              <c16:uniqueId val="{00000032-2724-45EE-8DE2-F62DC08033BE}"/>
            </c:ext>
          </c:extLst>
        </c:ser>
        <c:ser>
          <c:idx val="51"/>
          <c:order val="51"/>
          <c:tx>
            <c:strRef>
              <c:f>Figures!$A$158</c:f>
              <c:strCache>
                <c:ptCount val="1"/>
                <c:pt idx="0">
                  <c:v>Labor</c:v>
                </c:pt>
              </c:strCache>
            </c:strRef>
          </c:tx>
          <c:spPr>
            <a:solidFill>
              <a:schemeClr val="accent4">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Figures!$B$106:$E$106</c:f>
              <c:strCache>
                <c:ptCount val="4"/>
                <c:pt idx="0">
                  <c:v>Capital Costs -       Digestion</c:v>
                </c:pt>
                <c:pt idx="1">
                  <c:v>Capital Cost -      Treatment</c:v>
                </c:pt>
                <c:pt idx="2">
                  <c:v>Operational Costs - Digestion</c:v>
                </c:pt>
                <c:pt idx="3">
                  <c:v>Operational Costs - Treatment</c:v>
                </c:pt>
              </c:strCache>
            </c:strRef>
          </c:cat>
          <c:val>
            <c:numRef>
              <c:f>Figures!$B$158:$E$158</c:f>
              <c:numCache>
                <c:formatCode>General</c:formatCode>
                <c:ptCount val="4"/>
                <c:pt idx="2" formatCode="_(&quot;$&quot;* #,##0.00_);_(&quot;$&quot;* \(#,##0.00\);_(&quot;$&quot;* &quot;-&quot;??_);_(@_)">
                  <c:v>1525000</c:v>
                </c:pt>
                <c:pt idx="3" formatCode="_(&quot;$&quot;* #,##0.00_);_(&quot;$&quot;* \(#,##0.00\);_(&quot;$&quot;* &quot;-&quot;??_);_(@_)">
                  <c:v>630000</c:v>
                </c:pt>
              </c:numCache>
            </c:numRef>
          </c:val>
          <c:extLst>
            <c:ext xmlns:c16="http://schemas.microsoft.com/office/drawing/2014/chart" uri="{C3380CC4-5D6E-409C-BE32-E72D297353CC}">
              <c16:uniqueId val="{00000033-2724-45EE-8DE2-F62DC08033BE}"/>
            </c:ext>
          </c:extLst>
        </c:ser>
        <c:dLbls>
          <c:showLegendKey val="0"/>
          <c:showVal val="0"/>
          <c:showCatName val="0"/>
          <c:showSerName val="0"/>
          <c:showPercent val="0"/>
          <c:showBubbleSize val="0"/>
        </c:dLbls>
        <c:gapWidth val="50"/>
        <c:overlap val="100"/>
        <c:axId val="1295501792"/>
        <c:axId val="1295485472"/>
      </c:barChart>
      <c:catAx>
        <c:axId val="129543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Arial Nova Cond" panose="020B0506020202020204" pitchFamily="34" charset="0"/>
                <a:ea typeface="+mn-ea"/>
                <a:cs typeface="+mn-cs"/>
              </a:defRPr>
            </a:pPr>
            <a:endParaRPr lang="en-US"/>
          </a:p>
        </c:txPr>
        <c:crossAx val="1295428352"/>
        <c:crosses val="autoZero"/>
        <c:auto val="1"/>
        <c:lblAlgn val="ctr"/>
        <c:lblOffset val="100"/>
        <c:noMultiLvlLbl val="0"/>
      </c:catAx>
      <c:valAx>
        <c:axId val="1295428352"/>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Arial Nova Cond" panose="020B0506020202020204" pitchFamily="34" charset="0"/>
                    <a:ea typeface="+mn-ea"/>
                    <a:cs typeface="+mn-cs"/>
                  </a:defRPr>
                </a:pPr>
                <a:r>
                  <a:rPr lang="en-US" sz="1600" b="1"/>
                  <a:t>CAPEX</a:t>
                </a:r>
                <a:r>
                  <a:rPr lang="en-US" sz="1600" b="0"/>
                  <a:t> [1E6 USD (2026)]</a:t>
                </a:r>
              </a:p>
            </c:rich>
          </c:tx>
          <c:layout>
            <c:manualLayout>
              <c:xMode val="edge"/>
              <c:yMode val="edge"/>
              <c:x val="2.5160087604943423E-2"/>
              <c:y val="0.14239851331877137"/>
            </c:manualLayout>
          </c:layout>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Arial Nova Cond" panose="020B0506020202020204" pitchFamily="34" charset="0"/>
                  <a:ea typeface="+mn-ea"/>
                  <a:cs typeface="+mn-cs"/>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Nova Cond" panose="020B0506020202020204" pitchFamily="34" charset="0"/>
                <a:ea typeface="+mn-ea"/>
                <a:cs typeface="+mn-cs"/>
              </a:defRPr>
            </a:pPr>
            <a:endParaRPr lang="en-US"/>
          </a:p>
        </c:txPr>
        <c:crossAx val="1295435552"/>
        <c:crosses val="autoZero"/>
        <c:crossBetween val="between"/>
        <c:dispUnits>
          <c:builtInUnit val="millions"/>
        </c:dispUnits>
      </c:valAx>
      <c:valAx>
        <c:axId val="1295485472"/>
        <c:scaling>
          <c:orientation val="minMax"/>
        </c:scaling>
        <c:delete val="0"/>
        <c:axPos val="r"/>
        <c:title>
          <c:tx>
            <c:rich>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r>
                  <a:rPr lang="en-US" sz="1600" b="1"/>
                  <a:t>OPEX </a:t>
                </a:r>
                <a:r>
                  <a:rPr lang="en-US" sz="1600" b="0"/>
                  <a:t>[1E6</a:t>
                </a:r>
                <a:r>
                  <a:rPr lang="en-US" sz="1600" b="0" baseline="0"/>
                  <a:t> USD (2026) / yr]</a:t>
                </a:r>
                <a:endParaRPr lang="en-US" sz="1600" b="0"/>
              </a:p>
            </c:rich>
          </c:tx>
          <c:layout>
            <c:manualLayout>
              <c:xMode val="edge"/>
              <c:yMode val="edge"/>
              <c:x val="0.94223653334723878"/>
              <c:y val="0.13228523149665261"/>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_);_(&quot;$&quot;* \(#,##0\);_(&quot;$&quot;* &quot;-&quot;_);_(@_)" sourceLinked="0"/>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Nova Cond" panose="020B0506020202020204" pitchFamily="34" charset="0"/>
                <a:ea typeface="+mn-ea"/>
                <a:cs typeface="+mn-cs"/>
              </a:defRPr>
            </a:pPr>
            <a:endParaRPr lang="en-US"/>
          </a:p>
        </c:txPr>
        <c:crossAx val="1295501792"/>
        <c:crosses val="max"/>
        <c:crossBetween val="between"/>
        <c:dispUnits>
          <c:builtInUnit val="millions"/>
        </c:dispUnits>
      </c:valAx>
      <c:catAx>
        <c:axId val="1295501792"/>
        <c:scaling>
          <c:orientation val="minMax"/>
        </c:scaling>
        <c:delete val="1"/>
        <c:axPos val="b"/>
        <c:numFmt formatCode="General" sourceLinked="1"/>
        <c:majorTickMark val="out"/>
        <c:minorTickMark val="none"/>
        <c:tickLblPos val="nextTo"/>
        <c:crossAx val="1295485472"/>
        <c:crosses val="autoZero"/>
        <c:auto val="1"/>
        <c:lblAlgn val="ctr"/>
        <c:lblOffset val="100"/>
        <c:noMultiLvlLbl val="0"/>
      </c:catAx>
      <c:spPr>
        <a:noFill/>
        <a:ln w="19050">
          <a:solidFill>
            <a:schemeClr val="tx1"/>
          </a:solidFill>
        </a:ln>
        <a:effectLst/>
      </c:spPr>
    </c:plotArea>
    <c:legend>
      <c:legendPos val="b"/>
      <c:layout>
        <c:manualLayout>
          <c:xMode val="edge"/>
          <c:yMode val="edge"/>
          <c:x val="3.6662408093028104E-3"/>
          <c:y val="0.7092728264469661"/>
          <c:w val="0.98919695468530022"/>
          <c:h val="0.284675677090083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22225" cap="flat" cmpd="sng" algn="ctr">
      <a:noFill/>
      <a:round/>
    </a:ln>
    <a:effectLst/>
  </c:spPr>
  <c:txPr>
    <a:bodyPr/>
    <a:lstStyle/>
    <a:p>
      <a:pPr>
        <a:defRPr>
          <a:solidFill>
            <a:schemeClr val="tx1"/>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r>
              <a:rPr lang="en-US" sz="2000" b="1" cap="all" baseline="0"/>
              <a:t>Food Waste Digestion Costs</a:t>
            </a:r>
          </a:p>
        </c:rich>
      </c:tx>
      <c:layout>
        <c:manualLayout>
          <c:xMode val="edge"/>
          <c:yMode val="edge"/>
          <c:x val="0.12436386417455605"/>
          <c:y val="1.9598447864656515E-2"/>
        </c:manualLayout>
      </c:layout>
      <c:overlay val="0"/>
      <c:spPr>
        <a:noFill/>
        <a:ln>
          <a:noFill/>
        </a:ln>
        <a:effectLst/>
      </c:spPr>
      <c:txPr>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2803858436254262"/>
          <c:y val="0.10607526677189967"/>
          <c:w val="0.73529796158661653"/>
          <c:h val="0.57910095592586852"/>
        </c:manualLayout>
      </c:layout>
      <c:barChart>
        <c:barDir val="col"/>
        <c:grouping val="stacked"/>
        <c:varyColors val="0"/>
        <c:ser>
          <c:idx val="1"/>
          <c:order val="0"/>
          <c:tx>
            <c:strRef>
              <c:f>Figures!$A$165</c:f>
              <c:strCache>
                <c:ptCount val="1"/>
                <c:pt idx="0">
                  <c:v>Tank Wall - Food Waste</c:v>
                </c:pt>
              </c:strCache>
            </c:strRef>
          </c:tx>
          <c:spPr>
            <a:solidFill>
              <a:schemeClr val="accent2"/>
            </a:solidFill>
            <a:ln>
              <a:noFill/>
            </a:ln>
            <a:effectLst/>
          </c:spPr>
          <c:invertIfNegative val="0"/>
          <c:cat>
            <c:strRef>
              <c:f>Figures!$B$34:$C$34</c:f>
              <c:strCache>
                <c:ptCount val="2"/>
                <c:pt idx="0">
                  <c:v>Capital Costs</c:v>
                </c:pt>
                <c:pt idx="1">
                  <c:v>Operational Costs</c:v>
                </c:pt>
              </c:strCache>
            </c:strRef>
          </c:cat>
          <c:val>
            <c:numRef>
              <c:f>Figures!$B$165:$C$165</c:f>
              <c:numCache>
                <c:formatCode>General</c:formatCode>
                <c:ptCount val="2"/>
                <c:pt idx="0" formatCode="_(&quot;$&quot;* #,##0.00_);_(&quot;$&quot;* \(#,##0.00\);_(&quot;$&quot;* &quot;-&quot;??_);_(@_)">
                  <c:v>1206.7387980444146</c:v>
                </c:pt>
              </c:numCache>
            </c:numRef>
          </c:val>
          <c:extLst>
            <c:ext xmlns:c16="http://schemas.microsoft.com/office/drawing/2014/chart" uri="{C3380CC4-5D6E-409C-BE32-E72D297353CC}">
              <c16:uniqueId val="{00000000-1D7A-45FD-A33A-1D62AD835D93}"/>
            </c:ext>
          </c:extLst>
        </c:ser>
        <c:ser>
          <c:idx val="2"/>
          <c:order val="1"/>
          <c:tx>
            <c:strRef>
              <c:f>Figures!$A$166</c:f>
              <c:strCache>
                <c:ptCount val="1"/>
                <c:pt idx="0">
                  <c:v>Insulation - Food Waste</c:v>
                </c:pt>
              </c:strCache>
            </c:strRef>
          </c:tx>
          <c:spPr>
            <a:solidFill>
              <a:schemeClr val="accent3"/>
            </a:solidFill>
            <a:ln>
              <a:noFill/>
            </a:ln>
            <a:effectLst/>
          </c:spPr>
          <c:invertIfNegative val="0"/>
          <c:cat>
            <c:strRef>
              <c:f>Figures!$B$34:$C$34</c:f>
              <c:strCache>
                <c:ptCount val="2"/>
                <c:pt idx="0">
                  <c:v>Capital Costs</c:v>
                </c:pt>
                <c:pt idx="1">
                  <c:v>Operational Costs</c:v>
                </c:pt>
              </c:strCache>
            </c:strRef>
          </c:cat>
          <c:val>
            <c:numRef>
              <c:f>Figures!$B$166:$C$166</c:f>
              <c:numCache>
                <c:formatCode>General</c:formatCode>
                <c:ptCount val="2"/>
                <c:pt idx="0" formatCode="_(&quot;$&quot;* #,##0.00_);_(&quot;$&quot;* \(#,##0.00\);_(&quot;$&quot;* &quot;-&quot;??_);_(@_)">
                  <c:v>299.54801839448908</c:v>
                </c:pt>
              </c:numCache>
            </c:numRef>
          </c:val>
          <c:extLst>
            <c:ext xmlns:c16="http://schemas.microsoft.com/office/drawing/2014/chart" uri="{C3380CC4-5D6E-409C-BE32-E72D297353CC}">
              <c16:uniqueId val="{00000001-1D7A-45FD-A33A-1D62AD835D93}"/>
            </c:ext>
          </c:extLst>
        </c:ser>
        <c:ser>
          <c:idx val="3"/>
          <c:order val="2"/>
          <c:tx>
            <c:strRef>
              <c:f>Figures!$A$167</c:f>
              <c:strCache>
                <c:ptCount val="1"/>
                <c:pt idx="0">
                  <c:v>Pretreatment Agitator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Figures!$B$167:$C$167</c:f>
              <c:numCache>
                <c:formatCode>General</c:formatCode>
                <c:ptCount val="2"/>
                <c:pt idx="0" formatCode="_(&quot;$&quot;* #,##0.00_);_(&quot;$&quot;* \(#,##0.00\);_(&quot;$&quot;* &quot;-&quot;??_);_(@_)">
                  <c:v>192591.10780843673</c:v>
                </c:pt>
              </c:numCache>
            </c:numRef>
          </c:val>
          <c:extLst>
            <c:ext xmlns:c16="http://schemas.microsoft.com/office/drawing/2014/chart" uri="{C3380CC4-5D6E-409C-BE32-E72D297353CC}">
              <c16:uniqueId val="{00000002-1D7A-45FD-A33A-1D62AD835D93}"/>
            </c:ext>
          </c:extLst>
        </c:ser>
        <c:ser>
          <c:idx val="4"/>
          <c:order val="3"/>
          <c:tx>
            <c:strRef>
              <c:f>Figures!$A$168</c:f>
              <c:strCache>
                <c:ptCount val="1"/>
                <c:pt idx="0">
                  <c:v>Feed Pump - Food Waste</c:v>
                </c:pt>
              </c:strCache>
            </c:strRef>
          </c:tx>
          <c:spPr>
            <a:solidFill>
              <a:schemeClr val="accent5"/>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14664748864229929"/>
                      <c:h val="0.10040011665208516"/>
                    </c:manualLayout>
                  </c15:layout>
                </c:ext>
                <c:ext xmlns:c16="http://schemas.microsoft.com/office/drawing/2014/chart" uri="{C3380CC4-5D6E-409C-BE32-E72D297353CC}">
                  <c16:uniqueId val="{00000002-F99A-4FB5-B330-C50D794D85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Figures!$B$168:$C$168</c:f>
              <c:numCache>
                <c:formatCode>General</c:formatCode>
                <c:ptCount val="2"/>
                <c:pt idx="0" formatCode="_(&quot;$&quot;* #,##0.00_);_(&quot;$&quot;* \(#,##0.00\);_(&quot;$&quot;* &quot;-&quot;??_);_(@_)">
                  <c:v>676194.50398798333</c:v>
                </c:pt>
              </c:numCache>
            </c:numRef>
          </c:val>
          <c:extLst>
            <c:ext xmlns:c16="http://schemas.microsoft.com/office/drawing/2014/chart" uri="{C3380CC4-5D6E-409C-BE32-E72D297353CC}">
              <c16:uniqueId val="{00000003-1D7A-45FD-A33A-1D62AD835D93}"/>
            </c:ext>
          </c:extLst>
        </c:ser>
        <c:ser>
          <c:idx val="5"/>
          <c:order val="4"/>
          <c:tx>
            <c:strRef>
              <c:f>Figures!$A$169</c:f>
              <c:strCache>
                <c:ptCount val="1"/>
                <c:pt idx="0">
                  <c:v>Feed Pump - Water</c:v>
                </c:pt>
              </c:strCache>
            </c:strRef>
          </c:tx>
          <c:spPr>
            <a:solidFill>
              <a:schemeClr val="accent6"/>
            </a:solidFill>
            <a:ln>
              <a:noFill/>
            </a:ln>
            <a:effectLst/>
          </c:spPr>
          <c:invertIfNegative val="0"/>
          <c:cat>
            <c:strRef>
              <c:f>Figures!$B$34:$C$34</c:f>
              <c:strCache>
                <c:ptCount val="2"/>
                <c:pt idx="0">
                  <c:v>Capital Costs</c:v>
                </c:pt>
                <c:pt idx="1">
                  <c:v>Operational Costs</c:v>
                </c:pt>
              </c:strCache>
            </c:strRef>
          </c:cat>
          <c:val>
            <c:numRef>
              <c:f>Figures!$B$169:$C$169</c:f>
              <c:numCache>
                <c:formatCode>General</c:formatCode>
                <c:ptCount val="2"/>
                <c:pt idx="0" formatCode="_(&quot;$&quot;* #,##0.00_);_(&quot;$&quot;* \(#,##0.00\);_(&quot;$&quot;* &quot;-&quot;??_);_(@_)">
                  <c:v>135958.67096339058</c:v>
                </c:pt>
              </c:numCache>
            </c:numRef>
          </c:val>
          <c:extLst>
            <c:ext xmlns:c16="http://schemas.microsoft.com/office/drawing/2014/chart" uri="{C3380CC4-5D6E-409C-BE32-E72D297353CC}">
              <c16:uniqueId val="{00000004-1D7A-45FD-A33A-1D62AD835D93}"/>
            </c:ext>
          </c:extLst>
        </c:ser>
        <c:ser>
          <c:idx val="6"/>
          <c:order val="5"/>
          <c:tx>
            <c:strRef>
              <c:f>Figures!$A$170</c:f>
              <c:strCache>
                <c:ptCount val="1"/>
                <c:pt idx="0">
                  <c:v>Food Waste Slurry Pump Grinder</c:v>
                </c:pt>
              </c:strCache>
            </c:strRef>
          </c:tx>
          <c:spPr>
            <a:solidFill>
              <a:schemeClr val="accent1">
                <a:lumMod val="60000"/>
              </a:schemeClr>
            </a:solidFill>
            <a:ln>
              <a:noFill/>
            </a:ln>
            <a:effectLst/>
          </c:spPr>
          <c:invertIfNegative val="0"/>
          <c:cat>
            <c:strRef>
              <c:f>Figures!$B$34:$C$34</c:f>
              <c:strCache>
                <c:ptCount val="2"/>
                <c:pt idx="0">
                  <c:v>Capital Costs</c:v>
                </c:pt>
                <c:pt idx="1">
                  <c:v>Operational Costs</c:v>
                </c:pt>
              </c:strCache>
            </c:strRef>
          </c:cat>
          <c:val>
            <c:numRef>
              <c:f>Figures!$B$170:$C$170</c:f>
              <c:numCache>
                <c:formatCode>General</c:formatCode>
                <c:ptCount val="2"/>
                <c:pt idx="0" formatCode="_(&quot;$&quot;* #,##0.00_);_(&quot;$&quot;* \(#,##0.00\);_(&quot;$&quot;* &quot;-&quot;??_);_(@_)">
                  <c:v>1934.0570495004508</c:v>
                </c:pt>
              </c:numCache>
            </c:numRef>
          </c:val>
          <c:extLst>
            <c:ext xmlns:c16="http://schemas.microsoft.com/office/drawing/2014/chart" uri="{C3380CC4-5D6E-409C-BE32-E72D297353CC}">
              <c16:uniqueId val="{00000005-1D7A-45FD-A33A-1D62AD835D93}"/>
            </c:ext>
          </c:extLst>
        </c:ser>
        <c:ser>
          <c:idx val="7"/>
          <c:order val="6"/>
          <c:tx>
            <c:strRef>
              <c:f>Figures!$A$171</c:f>
              <c:strCache>
                <c:ptCount val="1"/>
                <c:pt idx="0">
                  <c:v>Feed Pump</c:v>
                </c:pt>
              </c:strCache>
            </c:strRef>
          </c:tx>
          <c:spPr>
            <a:solidFill>
              <a:schemeClr val="accent2">
                <a:lumMod val="60000"/>
              </a:schemeClr>
            </a:solidFill>
            <a:ln>
              <a:noFill/>
            </a:ln>
            <a:effectLst/>
          </c:spPr>
          <c:invertIfNegative val="0"/>
          <c:cat>
            <c:strRef>
              <c:f>Figures!$B$34:$C$34</c:f>
              <c:strCache>
                <c:ptCount val="2"/>
                <c:pt idx="0">
                  <c:v>Capital Costs</c:v>
                </c:pt>
                <c:pt idx="1">
                  <c:v>Operational Costs</c:v>
                </c:pt>
              </c:strCache>
            </c:strRef>
          </c:cat>
          <c:val>
            <c:numRef>
              <c:f>Figures!$B$171:$C$171</c:f>
              <c:numCache>
                <c:formatCode>General</c:formatCode>
                <c:ptCount val="2"/>
                <c:pt idx="0" formatCode="_(&quot;$&quot;* #,##0.00_);_(&quot;$&quot;* \(#,##0.00\);_(&quot;$&quot;* &quot;-&quot;??_);_(@_)">
                  <c:v>7808.9916174792288</c:v>
                </c:pt>
              </c:numCache>
            </c:numRef>
          </c:val>
          <c:extLst>
            <c:ext xmlns:c16="http://schemas.microsoft.com/office/drawing/2014/chart" uri="{C3380CC4-5D6E-409C-BE32-E72D297353CC}">
              <c16:uniqueId val="{00000006-1D7A-45FD-A33A-1D62AD835D93}"/>
            </c:ext>
          </c:extLst>
        </c:ser>
        <c:ser>
          <c:idx val="8"/>
          <c:order val="7"/>
          <c:tx>
            <c:strRef>
              <c:f>Figures!$A$172</c:f>
              <c:strCache>
                <c:ptCount val="1"/>
                <c:pt idx="0">
                  <c:v>Digester Tank Wall </c:v>
                </c:pt>
              </c:strCache>
            </c:strRef>
          </c:tx>
          <c:spPr>
            <a:solidFill>
              <a:schemeClr val="accent3">
                <a:lumMod val="60000"/>
              </a:schemeClr>
            </a:solidFill>
            <a:ln>
              <a:noFill/>
            </a:ln>
            <a:effectLst/>
          </c:spPr>
          <c:invertIfNegative val="0"/>
          <c:cat>
            <c:strRef>
              <c:f>Figures!$B$34:$C$34</c:f>
              <c:strCache>
                <c:ptCount val="2"/>
                <c:pt idx="0">
                  <c:v>Capital Costs</c:v>
                </c:pt>
                <c:pt idx="1">
                  <c:v>Operational Costs</c:v>
                </c:pt>
              </c:strCache>
            </c:strRef>
          </c:cat>
          <c:val>
            <c:numRef>
              <c:f>Figures!$B$172:$C$172</c:f>
              <c:numCache>
                <c:formatCode>General</c:formatCode>
                <c:ptCount val="2"/>
                <c:pt idx="0" formatCode="_(&quot;$&quot;* #,##0.00_);_(&quot;$&quot;* \(#,##0.00\);_(&quot;$&quot;* &quot;-&quot;??_);_(@_)">
                  <c:v>56429.102504992064</c:v>
                </c:pt>
              </c:numCache>
            </c:numRef>
          </c:val>
          <c:extLst>
            <c:ext xmlns:c16="http://schemas.microsoft.com/office/drawing/2014/chart" uri="{C3380CC4-5D6E-409C-BE32-E72D297353CC}">
              <c16:uniqueId val="{00000007-1D7A-45FD-A33A-1D62AD835D93}"/>
            </c:ext>
          </c:extLst>
        </c:ser>
        <c:ser>
          <c:idx val="9"/>
          <c:order val="8"/>
          <c:tx>
            <c:strRef>
              <c:f>Figures!$A$173</c:f>
              <c:strCache>
                <c:ptCount val="1"/>
                <c:pt idx="0">
                  <c:v>Ensiling Insulation </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Figures!$B$34:$C$34</c:f>
              <c:strCache>
                <c:ptCount val="2"/>
                <c:pt idx="0">
                  <c:v>Capital Costs</c:v>
                </c:pt>
                <c:pt idx="1">
                  <c:v>Operational Costs</c:v>
                </c:pt>
              </c:strCache>
            </c:strRef>
          </c:cat>
          <c:val>
            <c:numRef>
              <c:f>Figures!$B$173:$C$173</c:f>
              <c:numCache>
                <c:formatCode>General</c:formatCode>
                <c:ptCount val="2"/>
                <c:pt idx="0" formatCode="_(&quot;$&quot;* #,##0.00_);_(&quot;$&quot;* \(#,##0.00\);_(&quot;$&quot;* &quot;-&quot;??_);_(@_)">
                  <c:v>247519.00322787979</c:v>
                </c:pt>
              </c:numCache>
            </c:numRef>
          </c:val>
          <c:extLst>
            <c:ext xmlns:c16="http://schemas.microsoft.com/office/drawing/2014/chart" uri="{C3380CC4-5D6E-409C-BE32-E72D297353CC}">
              <c16:uniqueId val="{00000008-1D7A-45FD-A33A-1D62AD835D93}"/>
            </c:ext>
          </c:extLst>
        </c:ser>
        <c:ser>
          <c:idx val="10"/>
          <c:order val="9"/>
          <c:tx>
            <c:strRef>
              <c:f>Figures!$A$174</c:f>
              <c:strCache>
                <c:ptCount val="1"/>
                <c:pt idx="0">
                  <c:v>Digester Gas Cover </c:v>
                </c:pt>
              </c:strCache>
            </c:strRef>
          </c:tx>
          <c:spPr>
            <a:solidFill>
              <a:schemeClr val="accent5">
                <a:lumMod val="60000"/>
              </a:schemeClr>
            </a:solidFill>
            <a:ln>
              <a:noFill/>
            </a:ln>
            <a:effectLst/>
          </c:spPr>
          <c:invertIfNegative val="0"/>
          <c:cat>
            <c:strRef>
              <c:f>Figures!$B$34:$C$34</c:f>
              <c:strCache>
                <c:ptCount val="2"/>
                <c:pt idx="0">
                  <c:v>Capital Costs</c:v>
                </c:pt>
                <c:pt idx="1">
                  <c:v>Operational Costs</c:v>
                </c:pt>
              </c:strCache>
            </c:strRef>
          </c:cat>
          <c:val>
            <c:numRef>
              <c:f>Figures!$B$174:$C$174</c:f>
              <c:numCache>
                <c:formatCode>General</c:formatCode>
                <c:ptCount val="2"/>
                <c:pt idx="0" formatCode="_(&quot;$&quot;* #,##0.00_);_(&quot;$&quot;* \(#,##0.00\);_(&quot;$&quot;* &quot;-&quot;??_);_(@_)">
                  <c:v>1777.8868741512442</c:v>
                </c:pt>
              </c:numCache>
            </c:numRef>
          </c:val>
          <c:extLst>
            <c:ext xmlns:c16="http://schemas.microsoft.com/office/drawing/2014/chart" uri="{C3380CC4-5D6E-409C-BE32-E72D297353CC}">
              <c16:uniqueId val="{00000009-1D7A-45FD-A33A-1D62AD835D93}"/>
            </c:ext>
          </c:extLst>
        </c:ser>
        <c:ser>
          <c:idx val="11"/>
          <c:order val="10"/>
          <c:tx>
            <c:strRef>
              <c:f>Figures!$A$175</c:f>
              <c:strCache>
                <c:ptCount val="1"/>
                <c:pt idx="0">
                  <c:v>Syngas Makeup Compressor</c:v>
                </c:pt>
              </c:strCache>
            </c:strRef>
          </c:tx>
          <c:spPr>
            <a:solidFill>
              <a:schemeClr val="accent6">
                <a:lumMod val="60000"/>
              </a:schemeClr>
            </a:solidFill>
            <a:ln>
              <a:noFill/>
            </a:ln>
            <a:effectLst/>
          </c:spPr>
          <c:invertIfNegative val="0"/>
          <c:cat>
            <c:strRef>
              <c:f>Figures!$B$34:$C$34</c:f>
              <c:strCache>
                <c:ptCount val="2"/>
                <c:pt idx="0">
                  <c:v>Capital Costs</c:v>
                </c:pt>
                <c:pt idx="1">
                  <c:v>Operational Costs</c:v>
                </c:pt>
              </c:strCache>
            </c:strRef>
          </c:cat>
          <c:val>
            <c:numRef>
              <c:f>Figures!$B$175:$C$175</c:f>
              <c:numCache>
                <c:formatCode>General</c:formatCode>
                <c:ptCount val="2"/>
                <c:pt idx="0" formatCode="_(&quot;$&quot;* #,##0.00_);_(&quot;$&quot;* \(#,##0.00\);_(&quot;$&quot;* &quot;-&quot;??_);_(@_)">
                  <c:v>112340.63789839575</c:v>
                </c:pt>
              </c:numCache>
            </c:numRef>
          </c:val>
          <c:extLst>
            <c:ext xmlns:c16="http://schemas.microsoft.com/office/drawing/2014/chart" uri="{C3380CC4-5D6E-409C-BE32-E72D297353CC}">
              <c16:uniqueId val="{0000000A-1D7A-45FD-A33A-1D62AD835D93}"/>
            </c:ext>
          </c:extLst>
        </c:ser>
        <c:ser>
          <c:idx val="12"/>
          <c:order val="11"/>
          <c:tx>
            <c:strRef>
              <c:f>Figures!$A$176</c:f>
              <c:strCache>
                <c:ptCount val="1"/>
                <c:pt idx="0">
                  <c:v>Syngas Recycle Compressor</c:v>
                </c:pt>
              </c:strCache>
            </c:strRef>
          </c:tx>
          <c:spPr>
            <a:solidFill>
              <a:schemeClr val="accent1">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Figures!$B$176:$C$176</c:f>
              <c:numCache>
                <c:formatCode>General</c:formatCode>
                <c:ptCount val="2"/>
                <c:pt idx="0" formatCode="_(&quot;$&quot;* #,##0.00_);_(&quot;$&quot;* \(#,##0.00\);_(&quot;$&quot;* &quot;-&quot;??_);_(@_)">
                  <c:v>2539.7795703260531</c:v>
                </c:pt>
              </c:numCache>
            </c:numRef>
          </c:val>
          <c:extLst>
            <c:ext xmlns:c16="http://schemas.microsoft.com/office/drawing/2014/chart" uri="{C3380CC4-5D6E-409C-BE32-E72D297353CC}">
              <c16:uniqueId val="{0000000B-1D7A-45FD-A33A-1D62AD835D93}"/>
            </c:ext>
          </c:extLst>
        </c:ser>
        <c:ser>
          <c:idx val="13"/>
          <c:order val="12"/>
          <c:tx>
            <c:strRef>
              <c:f>Figures!$A$177</c:f>
              <c:strCache>
                <c:ptCount val="1"/>
                <c:pt idx="0">
                  <c:v>Feed Pump</c:v>
                </c:pt>
              </c:strCache>
            </c:strRef>
          </c:tx>
          <c:spPr>
            <a:solidFill>
              <a:schemeClr val="accent2">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Figures!$B$177:$C$177</c:f>
              <c:numCache>
                <c:formatCode>General</c:formatCode>
                <c:ptCount val="2"/>
                <c:pt idx="0" formatCode="_(&quot;$&quot;* #,##0.00_);_(&quot;$&quot;* \(#,##0.00\);_(&quot;$&quot;* &quot;-&quot;??_);_(@_)">
                  <c:v>7808.9916174792288</c:v>
                </c:pt>
              </c:numCache>
            </c:numRef>
          </c:val>
          <c:extLst>
            <c:ext xmlns:c16="http://schemas.microsoft.com/office/drawing/2014/chart" uri="{C3380CC4-5D6E-409C-BE32-E72D297353CC}">
              <c16:uniqueId val="{0000000C-1D7A-45FD-A33A-1D62AD835D93}"/>
            </c:ext>
          </c:extLst>
        </c:ser>
        <c:ser>
          <c:idx val="14"/>
          <c:order val="13"/>
          <c:tx>
            <c:strRef>
              <c:f>Figures!$A$178</c:f>
              <c:strCache>
                <c:ptCount val="1"/>
                <c:pt idx="0">
                  <c:v>Syngas Makeup Compressor</c:v>
                </c:pt>
              </c:strCache>
            </c:strRef>
          </c:tx>
          <c:spPr>
            <a:solidFill>
              <a:schemeClr val="accent3">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Figures!$B$178:$C$178</c:f>
              <c:numCache>
                <c:formatCode>General</c:formatCode>
                <c:ptCount val="2"/>
                <c:pt idx="0" formatCode="_(&quot;$&quot;* #,##0.00_);_(&quot;$&quot;* \(#,##0.00\);_(&quot;$&quot;* &quot;-&quot;??_);_(@_)">
                  <c:v>112340.63789839575</c:v>
                </c:pt>
              </c:numCache>
            </c:numRef>
          </c:val>
          <c:extLst>
            <c:ext xmlns:c16="http://schemas.microsoft.com/office/drawing/2014/chart" uri="{C3380CC4-5D6E-409C-BE32-E72D297353CC}">
              <c16:uniqueId val="{0000000D-1D7A-45FD-A33A-1D62AD835D93}"/>
            </c:ext>
          </c:extLst>
        </c:ser>
        <c:ser>
          <c:idx val="15"/>
          <c:order val="14"/>
          <c:tx>
            <c:strRef>
              <c:f>Figures!$A$179</c:f>
              <c:strCache>
                <c:ptCount val="1"/>
                <c:pt idx="0">
                  <c:v>Syngas Recycle Compressor</c:v>
                </c:pt>
              </c:strCache>
            </c:strRef>
          </c:tx>
          <c:spPr>
            <a:solidFill>
              <a:schemeClr val="accent4">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Figures!$B$179:$C$179</c:f>
              <c:numCache>
                <c:formatCode>General</c:formatCode>
                <c:ptCount val="2"/>
                <c:pt idx="0" formatCode="_(&quot;$&quot;* #,##0.00_);_(&quot;$&quot;* \(#,##0.00\);_(&quot;$&quot;* &quot;-&quot;??_);_(@_)">
                  <c:v>2539.7795703260531</c:v>
                </c:pt>
              </c:numCache>
            </c:numRef>
          </c:val>
          <c:extLst>
            <c:ext xmlns:c16="http://schemas.microsoft.com/office/drawing/2014/chart" uri="{C3380CC4-5D6E-409C-BE32-E72D297353CC}">
              <c16:uniqueId val="{0000000E-1D7A-45FD-A33A-1D62AD835D93}"/>
            </c:ext>
          </c:extLst>
        </c:ser>
        <c:ser>
          <c:idx val="16"/>
          <c:order val="15"/>
          <c:tx>
            <c:strRef>
              <c:f>Figures!$A$180</c:f>
              <c:strCache>
                <c:ptCount val="1"/>
                <c:pt idx="0">
                  <c:v>Digester Tank Wall </c:v>
                </c:pt>
              </c:strCache>
            </c:strRef>
          </c:tx>
          <c:spPr>
            <a:solidFill>
              <a:schemeClr val="accent5">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Figures!$B$180:$C$180</c:f>
              <c:numCache>
                <c:formatCode>General</c:formatCode>
                <c:ptCount val="2"/>
                <c:pt idx="0" formatCode="_(&quot;$&quot;* #,##0.00_);_(&quot;$&quot;* \(#,##0.00\);_(&quot;$&quot;* &quot;-&quot;??_);_(@_)">
                  <c:v>56429.102504992064</c:v>
                </c:pt>
              </c:numCache>
            </c:numRef>
          </c:val>
          <c:extLst>
            <c:ext xmlns:c16="http://schemas.microsoft.com/office/drawing/2014/chart" uri="{C3380CC4-5D6E-409C-BE32-E72D297353CC}">
              <c16:uniqueId val="{0000000F-1D7A-45FD-A33A-1D62AD835D93}"/>
            </c:ext>
          </c:extLst>
        </c:ser>
        <c:ser>
          <c:idx val="17"/>
          <c:order val="16"/>
          <c:tx>
            <c:strRef>
              <c:f>Figures!$A$181</c:f>
              <c:strCache>
                <c:ptCount val="1"/>
                <c:pt idx="0">
                  <c:v>Digester Insulation </c:v>
                </c:pt>
              </c:strCache>
            </c:strRef>
          </c:tx>
          <c:spPr>
            <a:solidFill>
              <a:schemeClr val="accent6">
                <a:lumMod val="80000"/>
                <a:lumOff val="20000"/>
              </a:schemeClr>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F99A-4FB5-B330-C50D794D85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Nova Cond" panose="020B0506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Figures!$B$181:$C$181</c:f>
              <c:numCache>
                <c:formatCode>General</c:formatCode>
                <c:ptCount val="2"/>
                <c:pt idx="0" formatCode="_(&quot;$&quot;* #,##0.00_);_(&quot;$&quot;* \(#,##0.00\);_(&quot;$&quot;* &quot;-&quot;??_);_(@_)">
                  <c:v>247519.00322787979</c:v>
                </c:pt>
              </c:numCache>
            </c:numRef>
          </c:val>
          <c:extLst>
            <c:ext xmlns:c16="http://schemas.microsoft.com/office/drawing/2014/chart" uri="{C3380CC4-5D6E-409C-BE32-E72D297353CC}">
              <c16:uniqueId val="{00000010-1D7A-45FD-A33A-1D62AD835D93}"/>
            </c:ext>
          </c:extLst>
        </c:ser>
        <c:ser>
          <c:idx val="18"/>
          <c:order val="17"/>
          <c:tx>
            <c:strRef>
              <c:f>Figures!$A$182</c:f>
              <c:strCache>
                <c:ptCount val="1"/>
                <c:pt idx="0">
                  <c:v>Digester Gas Cover </c:v>
                </c:pt>
              </c:strCache>
            </c:strRef>
          </c:tx>
          <c:spPr>
            <a:solidFill>
              <a:schemeClr val="accent1">
                <a:lumMod val="80000"/>
              </a:schemeClr>
            </a:solidFill>
            <a:ln>
              <a:noFill/>
            </a:ln>
            <a:effectLst/>
          </c:spPr>
          <c:invertIfNegative val="0"/>
          <c:cat>
            <c:strRef>
              <c:f>Figures!$B$34:$C$34</c:f>
              <c:strCache>
                <c:ptCount val="2"/>
                <c:pt idx="0">
                  <c:v>Capital Costs</c:v>
                </c:pt>
                <c:pt idx="1">
                  <c:v>Operational Costs</c:v>
                </c:pt>
              </c:strCache>
            </c:strRef>
          </c:cat>
          <c:val>
            <c:numRef>
              <c:f>Figures!$B$182:$C$182</c:f>
              <c:numCache>
                <c:formatCode>General</c:formatCode>
                <c:ptCount val="2"/>
                <c:pt idx="0" formatCode="_(&quot;$&quot;* #,##0.00_);_(&quot;$&quot;* \(#,##0.00\);_(&quot;$&quot;* &quot;-&quot;??_);_(@_)">
                  <c:v>158.99201399589785</c:v>
                </c:pt>
              </c:numCache>
            </c:numRef>
          </c:val>
          <c:extLst>
            <c:ext xmlns:c16="http://schemas.microsoft.com/office/drawing/2014/chart" uri="{C3380CC4-5D6E-409C-BE32-E72D297353CC}">
              <c16:uniqueId val="{00000011-1D7A-45FD-A33A-1D62AD835D93}"/>
            </c:ext>
          </c:extLst>
        </c:ser>
        <c:ser>
          <c:idx val="19"/>
          <c:order val="18"/>
          <c:tx>
            <c:strRef>
              <c:f>Figures!$A$183</c:f>
              <c:strCache>
                <c:ptCount val="1"/>
                <c:pt idx="0">
                  <c:v>Digester Agitator </c:v>
                </c:pt>
              </c:strCache>
            </c:strRef>
          </c:tx>
          <c:spPr>
            <a:solidFill>
              <a:schemeClr val="accent2">
                <a:lumMod val="80000"/>
              </a:schemeClr>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13640284327621821"/>
                      <c:h val="0.10389893221403355"/>
                    </c:manualLayout>
                  </c15:layout>
                </c:ext>
                <c:ext xmlns:c16="http://schemas.microsoft.com/office/drawing/2014/chart" uri="{C3380CC4-5D6E-409C-BE32-E72D297353CC}">
                  <c16:uniqueId val="{00000003-F99A-4FB5-B330-C50D794D85E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Figures!$B$183:$C$183</c:f>
              <c:numCache>
                <c:formatCode>General</c:formatCode>
                <c:ptCount val="2"/>
                <c:pt idx="0" formatCode="_(&quot;$&quot;* #,##0.00_);_(&quot;$&quot;* \(#,##0.00\);_(&quot;$&quot;* &quot;-&quot;??_);_(@_)">
                  <c:v>489181.41383342916</c:v>
                </c:pt>
              </c:numCache>
            </c:numRef>
          </c:val>
          <c:extLst>
            <c:ext xmlns:c16="http://schemas.microsoft.com/office/drawing/2014/chart" uri="{C3380CC4-5D6E-409C-BE32-E72D297353CC}">
              <c16:uniqueId val="{00000012-1D7A-45FD-A33A-1D62AD835D93}"/>
            </c:ext>
          </c:extLst>
        </c:ser>
        <c:ser>
          <c:idx val="20"/>
          <c:order val="19"/>
          <c:tx>
            <c:strRef>
              <c:f>Figures!$A$184</c:f>
              <c:strCache>
                <c:ptCount val="1"/>
                <c:pt idx="0">
                  <c:v>Electrodes</c:v>
                </c:pt>
              </c:strCache>
            </c:strRef>
          </c:tx>
          <c:spPr>
            <a:solidFill>
              <a:schemeClr val="accent3">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Figures!$B$184:$C$184</c:f>
              <c:numCache>
                <c:formatCode>General</c:formatCode>
                <c:ptCount val="2"/>
                <c:pt idx="0" formatCode="_(&quot;$&quot;* #,##0.00_);_(&quot;$&quot;* \(#,##0.00\);_(&quot;$&quot;* &quot;-&quot;??_);_(@_)">
                  <c:v>1274885.8703215229</c:v>
                </c:pt>
              </c:numCache>
            </c:numRef>
          </c:val>
          <c:extLst>
            <c:ext xmlns:c16="http://schemas.microsoft.com/office/drawing/2014/chart" uri="{C3380CC4-5D6E-409C-BE32-E72D297353CC}">
              <c16:uniqueId val="{00000013-1D7A-45FD-A33A-1D62AD835D93}"/>
            </c:ext>
          </c:extLst>
        </c:ser>
        <c:dLbls>
          <c:showLegendKey val="0"/>
          <c:showVal val="0"/>
          <c:showCatName val="0"/>
          <c:showSerName val="0"/>
          <c:showPercent val="0"/>
          <c:showBubbleSize val="0"/>
        </c:dLbls>
        <c:gapWidth val="150"/>
        <c:overlap val="100"/>
        <c:axId val="1295435552"/>
        <c:axId val="1295428352"/>
      </c:barChart>
      <c:barChart>
        <c:barDir val="col"/>
        <c:grouping val="stacked"/>
        <c:varyColors val="0"/>
        <c:ser>
          <c:idx val="0"/>
          <c:order val="20"/>
          <c:tx>
            <c:strRef>
              <c:f>Figures!$A$185</c:f>
              <c:strCache>
                <c:ptCount val="1"/>
                <c:pt idx="0">
                  <c:v>Power - Water Pump</c:v>
                </c:pt>
              </c:strCache>
            </c:strRef>
          </c:tx>
          <c:spPr>
            <a:solidFill>
              <a:schemeClr val="accent1"/>
            </a:solidFill>
            <a:ln>
              <a:noFill/>
            </a:ln>
            <a:effectLst/>
          </c:spPr>
          <c:invertIfNegative val="0"/>
          <c:cat>
            <c:strRef>
              <c:f>Figures!$B$34:$C$34</c:f>
              <c:strCache>
                <c:ptCount val="2"/>
                <c:pt idx="0">
                  <c:v>Capital Costs</c:v>
                </c:pt>
                <c:pt idx="1">
                  <c:v>Operational Costs</c:v>
                </c:pt>
              </c:strCache>
            </c:strRef>
          </c:cat>
          <c:val>
            <c:numRef>
              <c:f>Figures!$B$185:$C$185</c:f>
              <c:numCache>
                <c:formatCode>_("$"* #,##0.00_);_("$"* \(#,##0.00\);_("$"* "-"??_);_(@_)</c:formatCode>
                <c:ptCount val="2"/>
                <c:pt idx="1">
                  <c:v>38.5498605938661</c:v>
                </c:pt>
              </c:numCache>
            </c:numRef>
          </c:val>
          <c:extLst>
            <c:ext xmlns:c16="http://schemas.microsoft.com/office/drawing/2014/chart" uri="{C3380CC4-5D6E-409C-BE32-E72D297353CC}">
              <c16:uniqueId val="{00000014-1D7A-45FD-A33A-1D62AD835D93}"/>
            </c:ext>
          </c:extLst>
        </c:ser>
        <c:ser>
          <c:idx val="21"/>
          <c:order val="21"/>
          <c:tx>
            <c:strRef>
              <c:f>Figures!$A$186</c:f>
              <c:strCache>
                <c:ptCount val="1"/>
                <c:pt idx="0">
                  <c:v>Power - Food Waste Pump</c:v>
                </c:pt>
              </c:strCache>
            </c:strRef>
          </c:tx>
          <c:spPr>
            <a:solidFill>
              <a:schemeClr val="accent4">
                <a:lumMod val="80000"/>
              </a:schemeClr>
            </a:solidFill>
            <a:ln>
              <a:noFill/>
            </a:ln>
            <a:effectLst/>
          </c:spPr>
          <c:invertIfNegative val="0"/>
          <c:cat>
            <c:strRef>
              <c:f>Figures!$B$34:$C$34</c:f>
              <c:strCache>
                <c:ptCount val="2"/>
                <c:pt idx="0">
                  <c:v>Capital Costs</c:v>
                </c:pt>
                <c:pt idx="1">
                  <c:v>Operational Costs</c:v>
                </c:pt>
              </c:strCache>
            </c:strRef>
          </c:cat>
          <c:val>
            <c:numRef>
              <c:f>Figures!$B$186:$C$186</c:f>
              <c:numCache>
                <c:formatCode>_("$"* #,##0.00_);_("$"* \(#,##0.00\);_("$"* "-"??_);_(@_)</c:formatCode>
                <c:ptCount val="2"/>
                <c:pt idx="1">
                  <c:v>14.005928544937811</c:v>
                </c:pt>
              </c:numCache>
            </c:numRef>
          </c:val>
          <c:extLst>
            <c:ext xmlns:c16="http://schemas.microsoft.com/office/drawing/2014/chart" uri="{C3380CC4-5D6E-409C-BE32-E72D297353CC}">
              <c16:uniqueId val="{00000015-1D7A-45FD-A33A-1D62AD835D93}"/>
            </c:ext>
          </c:extLst>
        </c:ser>
        <c:ser>
          <c:idx val="22"/>
          <c:order val="22"/>
          <c:tx>
            <c:strRef>
              <c:f>Figures!$A$187</c:f>
              <c:strCache>
                <c:ptCount val="1"/>
                <c:pt idx="0">
                  <c:v>Power - Food Waste Grinder</c:v>
                </c:pt>
              </c:strCache>
            </c:strRef>
          </c:tx>
          <c:spPr>
            <a:solidFill>
              <a:schemeClr val="accent5">
                <a:lumMod val="80000"/>
              </a:schemeClr>
            </a:solidFill>
            <a:ln>
              <a:noFill/>
            </a:ln>
            <a:effectLst/>
          </c:spPr>
          <c:invertIfNegative val="0"/>
          <c:cat>
            <c:strRef>
              <c:f>Figures!$B$34:$C$34</c:f>
              <c:strCache>
                <c:ptCount val="2"/>
                <c:pt idx="0">
                  <c:v>Capital Costs</c:v>
                </c:pt>
                <c:pt idx="1">
                  <c:v>Operational Costs</c:v>
                </c:pt>
              </c:strCache>
            </c:strRef>
          </c:cat>
          <c:val>
            <c:numRef>
              <c:f>Figures!$B$187:$C$187</c:f>
              <c:numCache>
                <c:formatCode>_("$"* #,##0.00_);_("$"* \(#,##0.00\);_("$"* "-"??_);_(@_)</c:formatCode>
                <c:ptCount val="2"/>
                <c:pt idx="1">
                  <c:v>1097.1560227465959</c:v>
                </c:pt>
              </c:numCache>
            </c:numRef>
          </c:val>
          <c:extLst>
            <c:ext xmlns:c16="http://schemas.microsoft.com/office/drawing/2014/chart" uri="{C3380CC4-5D6E-409C-BE32-E72D297353CC}">
              <c16:uniqueId val="{00000016-1D7A-45FD-A33A-1D62AD835D93}"/>
            </c:ext>
          </c:extLst>
        </c:ser>
        <c:ser>
          <c:idx val="23"/>
          <c:order val="23"/>
          <c:tx>
            <c:strRef>
              <c:f>Figures!$A$188</c:f>
              <c:strCache>
                <c:ptCount val="1"/>
                <c:pt idx="0">
                  <c:v>Pump Energy</c:v>
                </c:pt>
              </c:strCache>
            </c:strRef>
          </c:tx>
          <c:spPr>
            <a:solidFill>
              <a:schemeClr val="accent6">
                <a:lumMod val="80000"/>
              </a:schemeClr>
            </a:solidFill>
            <a:ln>
              <a:noFill/>
            </a:ln>
            <a:effectLst/>
          </c:spPr>
          <c:invertIfNegative val="0"/>
          <c:cat>
            <c:strRef>
              <c:f>Figures!$B$34:$C$34</c:f>
              <c:strCache>
                <c:ptCount val="2"/>
                <c:pt idx="0">
                  <c:v>Capital Costs</c:v>
                </c:pt>
                <c:pt idx="1">
                  <c:v>Operational Costs</c:v>
                </c:pt>
              </c:strCache>
            </c:strRef>
          </c:cat>
          <c:val>
            <c:numRef>
              <c:f>Figures!$B$188:$C$188</c:f>
              <c:numCache>
                <c:formatCode>_("$"* #,##0.00_);_("$"* \(#,##0.00\);_("$"* "-"??_);_(@_)</c:formatCode>
                <c:ptCount val="2"/>
                <c:pt idx="1">
                  <c:v>322.22658701114977</c:v>
                </c:pt>
              </c:numCache>
            </c:numRef>
          </c:val>
          <c:extLst>
            <c:ext xmlns:c16="http://schemas.microsoft.com/office/drawing/2014/chart" uri="{C3380CC4-5D6E-409C-BE32-E72D297353CC}">
              <c16:uniqueId val="{00000017-1D7A-45FD-A33A-1D62AD835D93}"/>
            </c:ext>
          </c:extLst>
        </c:ser>
        <c:ser>
          <c:idx val="24"/>
          <c:order val="24"/>
          <c:tx>
            <c:strRef>
              <c:f>Figures!$A$189</c:f>
              <c:strCache>
                <c:ptCount val="1"/>
                <c:pt idx="0">
                  <c:v>Heat</c:v>
                </c:pt>
              </c:strCache>
            </c:strRef>
          </c:tx>
          <c:spPr>
            <a:solidFill>
              <a:schemeClr val="accent1">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Figures!$B$189:$C$189</c:f>
              <c:numCache>
                <c:formatCode>_("$"* #,##0.00_);_("$"* \(#,##0.00\);_("$"* "-"??_);_(@_)</c:formatCode>
                <c:ptCount val="2"/>
                <c:pt idx="1">
                  <c:v>80.194069456852105</c:v>
                </c:pt>
              </c:numCache>
            </c:numRef>
          </c:val>
          <c:extLst>
            <c:ext xmlns:c16="http://schemas.microsoft.com/office/drawing/2014/chart" uri="{C3380CC4-5D6E-409C-BE32-E72D297353CC}">
              <c16:uniqueId val="{00000018-1D7A-45FD-A33A-1D62AD835D93}"/>
            </c:ext>
          </c:extLst>
        </c:ser>
        <c:ser>
          <c:idx val="25"/>
          <c:order val="25"/>
          <c:tx>
            <c:strRef>
              <c:f>Figures!$A$190</c:f>
              <c:strCache>
                <c:ptCount val="1"/>
                <c:pt idx="0">
                  <c:v>Power - Mixing</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Figures!$B$190:$C$190</c:f>
              <c:numCache>
                <c:formatCode>_("$"* #,##0.00_);_("$"* \(#,##0.00\);_("$"* "-"??_);_(@_)</c:formatCode>
                <c:ptCount val="2"/>
                <c:pt idx="1">
                  <c:v>69468.126763229346</c:v>
                </c:pt>
              </c:numCache>
            </c:numRef>
          </c:val>
          <c:extLst>
            <c:ext xmlns:c16="http://schemas.microsoft.com/office/drawing/2014/chart" uri="{C3380CC4-5D6E-409C-BE32-E72D297353CC}">
              <c16:uniqueId val="{00000019-1D7A-45FD-A33A-1D62AD835D93}"/>
            </c:ext>
          </c:extLst>
        </c:ser>
        <c:ser>
          <c:idx val="26"/>
          <c:order val="26"/>
          <c:tx>
            <c:strRef>
              <c:f>Figures!$A$191</c:f>
              <c:strCache>
                <c:ptCount val="1"/>
                <c:pt idx="0">
                  <c:v>Power - Feed Pump</c:v>
                </c:pt>
              </c:strCache>
            </c:strRef>
          </c:tx>
          <c:spPr>
            <a:solidFill>
              <a:schemeClr val="accent3">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Figures!$B$191:$C$191</c:f>
              <c:numCache>
                <c:formatCode>_("$"* #,##0.00_);_("$"* \(#,##0.00\);_("$"* "-"??_);_(@_)</c:formatCode>
                <c:ptCount val="2"/>
                <c:pt idx="1">
                  <c:v>322.22658701114977</c:v>
                </c:pt>
              </c:numCache>
            </c:numRef>
          </c:val>
          <c:extLst>
            <c:ext xmlns:c16="http://schemas.microsoft.com/office/drawing/2014/chart" uri="{C3380CC4-5D6E-409C-BE32-E72D297353CC}">
              <c16:uniqueId val="{0000001A-1D7A-45FD-A33A-1D62AD835D93}"/>
            </c:ext>
          </c:extLst>
        </c:ser>
        <c:ser>
          <c:idx val="27"/>
          <c:order val="27"/>
          <c:tx>
            <c:strRef>
              <c:f>Figures!$A$192</c:f>
              <c:strCache>
                <c:ptCount val="1"/>
                <c:pt idx="0">
                  <c:v>Labor</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Figures!$B$192:$C$192</c:f>
              <c:numCache>
                <c:formatCode>_("$"* #,##0.00_);_("$"* \(#,##0.00\);_("$"* "-"??_);_(@_)</c:formatCode>
                <c:ptCount val="2"/>
                <c:pt idx="1">
                  <c:v>3050000</c:v>
                </c:pt>
              </c:numCache>
            </c:numRef>
          </c:val>
          <c:extLst>
            <c:ext xmlns:c16="http://schemas.microsoft.com/office/drawing/2014/chart" uri="{C3380CC4-5D6E-409C-BE32-E72D297353CC}">
              <c16:uniqueId val="{0000001B-1D7A-45FD-A33A-1D62AD835D93}"/>
            </c:ext>
          </c:extLst>
        </c:ser>
        <c:dLbls>
          <c:showLegendKey val="0"/>
          <c:showVal val="0"/>
          <c:showCatName val="0"/>
          <c:showSerName val="0"/>
          <c:showPercent val="0"/>
          <c:showBubbleSize val="0"/>
        </c:dLbls>
        <c:gapWidth val="150"/>
        <c:overlap val="100"/>
        <c:axId val="1295501792"/>
        <c:axId val="1295485472"/>
      </c:barChart>
      <c:catAx>
        <c:axId val="129543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Arial Nova Cond" panose="020B0506020202020204" pitchFamily="34" charset="0"/>
                <a:ea typeface="+mn-ea"/>
                <a:cs typeface="+mn-cs"/>
              </a:defRPr>
            </a:pPr>
            <a:endParaRPr lang="en-US"/>
          </a:p>
        </c:txPr>
        <c:crossAx val="1295428352"/>
        <c:crosses val="autoZero"/>
        <c:auto val="1"/>
        <c:lblAlgn val="ctr"/>
        <c:lblOffset val="100"/>
        <c:noMultiLvlLbl val="0"/>
      </c:catAx>
      <c:valAx>
        <c:axId val="1295428352"/>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r>
                  <a:rPr lang="en-US" sz="1600" b="1"/>
                  <a:t>CAPEX </a:t>
                </a:r>
                <a:r>
                  <a:rPr lang="en-US" sz="1600" b="0"/>
                  <a:t>[1E6 USD (2026)]</a:t>
                </a:r>
              </a:p>
            </c:rich>
          </c:tx>
          <c:layout>
            <c:manualLayout>
              <c:xMode val="edge"/>
              <c:yMode val="edge"/>
              <c:x val="2.3681397146192017E-2"/>
              <c:y val="0.20084319621364163"/>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Nova Cond" panose="020B0506020202020204" pitchFamily="34" charset="0"/>
                <a:ea typeface="+mn-ea"/>
                <a:cs typeface="+mn-cs"/>
              </a:defRPr>
            </a:pPr>
            <a:endParaRPr lang="en-US"/>
          </a:p>
        </c:txPr>
        <c:crossAx val="1295435552"/>
        <c:crosses val="autoZero"/>
        <c:crossBetween val="between"/>
        <c:dispUnits>
          <c:builtInUnit val="millions"/>
        </c:dispUnits>
      </c:valAx>
      <c:valAx>
        <c:axId val="1295485472"/>
        <c:scaling>
          <c:orientation val="minMax"/>
        </c:scaling>
        <c:delete val="0"/>
        <c:axPos val="r"/>
        <c:title>
          <c:tx>
            <c:rich>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r>
                  <a:rPr lang="en-US" sz="1600" b="1"/>
                  <a:t>OPEX </a:t>
                </a:r>
                <a:r>
                  <a:rPr lang="en-US" sz="1600" b="0"/>
                  <a:t>[1E6 </a:t>
                </a:r>
                <a:r>
                  <a:rPr lang="en-US" sz="1600" b="0" baseline="0"/>
                  <a:t>USD (2026) / yr]</a:t>
                </a:r>
                <a:endParaRPr lang="en-US" sz="1600" b="0"/>
              </a:p>
            </c:rich>
          </c:tx>
          <c:layout>
            <c:manualLayout>
              <c:xMode val="edge"/>
              <c:yMode val="edge"/>
              <c:x val="0.94590600220251864"/>
              <c:y val="0.1633702308836045"/>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0_);_(&quot;$&quot;* \(#,##0.0\);_(&quot;$&quot;* &quot;-&quot;?_);_(@_)" sourceLinked="0"/>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Nova Cond" panose="020B0506020202020204" pitchFamily="34" charset="0"/>
                <a:ea typeface="+mn-ea"/>
                <a:cs typeface="+mn-cs"/>
              </a:defRPr>
            </a:pPr>
            <a:endParaRPr lang="en-US"/>
          </a:p>
        </c:txPr>
        <c:crossAx val="1295501792"/>
        <c:crosses val="max"/>
        <c:crossBetween val="between"/>
        <c:dispUnits>
          <c:builtInUnit val="millions"/>
        </c:dispUnits>
      </c:valAx>
      <c:catAx>
        <c:axId val="1295501792"/>
        <c:scaling>
          <c:orientation val="minMax"/>
        </c:scaling>
        <c:delete val="1"/>
        <c:axPos val="b"/>
        <c:numFmt formatCode="General" sourceLinked="1"/>
        <c:majorTickMark val="out"/>
        <c:minorTickMark val="none"/>
        <c:tickLblPos val="nextTo"/>
        <c:crossAx val="1295485472"/>
        <c:crosses val="autoZero"/>
        <c:auto val="1"/>
        <c:lblAlgn val="ctr"/>
        <c:lblOffset val="100"/>
        <c:noMultiLvlLbl val="0"/>
      </c:catAx>
      <c:spPr>
        <a:noFill/>
        <a:ln w="19050">
          <a:solidFill>
            <a:schemeClr val="tx1"/>
          </a:solidFill>
        </a:ln>
        <a:effectLst/>
      </c:spPr>
    </c:plotArea>
    <c:legend>
      <c:legendPos val="b"/>
      <c:layout>
        <c:manualLayout>
          <c:xMode val="edge"/>
          <c:yMode val="edge"/>
          <c:x val="0"/>
          <c:y val="0.76580202018331489"/>
          <c:w val="0.99762211474502915"/>
          <c:h val="0.2201937700083563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22225" cap="flat" cmpd="sng" algn="ctr">
      <a:noFill/>
      <a:round/>
    </a:ln>
    <a:effectLst/>
  </c:spPr>
  <c:txPr>
    <a:bodyPr/>
    <a:lstStyle/>
    <a:p>
      <a:pPr>
        <a:defRPr>
          <a:solidFill>
            <a:schemeClr val="tx1"/>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r>
              <a:rPr lang="en-US" sz="2000" b="1" cap="all" baseline="0"/>
              <a:t>Chain-Elongation Costs</a:t>
            </a:r>
          </a:p>
        </c:rich>
      </c:tx>
      <c:layout>
        <c:manualLayout>
          <c:xMode val="edge"/>
          <c:yMode val="edge"/>
          <c:x val="0.13003478921010142"/>
          <c:y val="1.9116030866906625E-2"/>
        </c:manualLayout>
      </c:layout>
      <c:overlay val="0"/>
      <c:spPr>
        <a:noFill/>
        <a:ln>
          <a:noFill/>
        </a:ln>
        <a:effectLst/>
      </c:spPr>
      <c:txPr>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3441264995865077"/>
          <c:y val="0.11391846019247595"/>
          <c:w val="0.7261307205709443"/>
          <c:h val="0.53677040571786516"/>
        </c:manualLayout>
      </c:layout>
      <c:barChart>
        <c:barDir val="col"/>
        <c:grouping val="stacked"/>
        <c:varyColors val="0"/>
        <c:ser>
          <c:idx val="1"/>
          <c:order val="0"/>
          <c:tx>
            <c:strRef>
              <c:f>Figures!$A$199</c:f>
              <c:strCache>
                <c:ptCount val="1"/>
                <c:pt idx="0">
                  <c:v>Feed Pump - Digestate</c:v>
                </c:pt>
              </c:strCache>
            </c:strRef>
          </c:tx>
          <c:spPr>
            <a:solidFill>
              <a:schemeClr val="accent2"/>
            </a:solidFill>
            <a:ln>
              <a:noFill/>
            </a:ln>
            <a:effectLst/>
          </c:spPr>
          <c:invertIfNegative val="0"/>
          <c:cat>
            <c:strRef>
              <c:f>Figures!$B$34:$C$34</c:f>
              <c:strCache>
                <c:ptCount val="2"/>
                <c:pt idx="0">
                  <c:v>Capital Costs</c:v>
                </c:pt>
                <c:pt idx="1">
                  <c:v>Operational Costs</c:v>
                </c:pt>
              </c:strCache>
            </c:strRef>
          </c:cat>
          <c:val>
            <c:numRef>
              <c:f>Figures!$B$199:$C$199</c:f>
              <c:numCache>
                <c:formatCode>General</c:formatCode>
                <c:ptCount val="2"/>
                <c:pt idx="0" formatCode="_(&quot;$&quot;* #,##0.00_);_(&quot;$&quot;* \(#,##0.00\);_(&quot;$&quot;* &quot;-&quot;??_);_(@_)">
                  <c:v>85718.205767279025</c:v>
                </c:pt>
              </c:numCache>
            </c:numRef>
          </c:val>
          <c:extLst>
            <c:ext xmlns:c16="http://schemas.microsoft.com/office/drawing/2014/chart" uri="{C3380CC4-5D6E-409C-BE32-E72D297353CC}">
              <c16:uniqueId val="{00000000-FF44-4AFB-863F-8E144779C281}"/>
            </c:ext>
          </c:extLst>
        </c:ser>
        <c:ser>
          <c:idx val="2"/>
          <c:order val="1"/>
          <c:tx>
            <c:strRef>
              <c:f>Figures!$A$200</c:f>
              <c:strCache>
                <c:ptCount val="1"/>
                <c:pt idx="0">
                  <c:v>Feed Pump - Lactate</c:v>
                </c:pt>
              </c:strCache>
            </c:strRef>
          </c:tx>
          <c:spPr>
            <a:solidFill>
              <a:schemeClr val="accent3"/>
            </a:solidFill>
            <a:ln>
              <a:noFill/>
            </a:ln>
            <a:effectLst/>
          </c:spPr>
          <c:invertIfNegative val="0"/>
          <c:cat>
            <c:strRef>
              <c:f>Figures!$B$34:$C$34</c:f>
              <c:strCache>
                <c:ptCount val="2"/>
                <c:pt idx="0">
                  <c:v>Capital Costs</c:v>
                </c:pt>
                <c:pt idx="1">
                  <c:v>Operational Costs</c:v>
                </c:pt>
              </c:strCache>
            </c:strRef>
          </c:cat>
          <c:val>
            <c:numRef>
              <c:f>Figures!$B$200:$C$200</c:f>
              <c:numCache>
                <c:formatCode>General</c:formatCode>
                <c:ptCount val="2"/>
                <c:pt idx="0" formatCode="_(&quot;$&quot;* #,##0.00_);_(&quot;$&quot;* \(#,##0.00\);_(&quot;$&quot;* &quot;-&quot;??_);_(@_)">
                  <c:v>13643.491340046196</c:v>
                </c:pt>
              </c:numCache>
            </c:numRef>
          </c:val>
          <c:extLst>
            <c:ext xmlns:c16="http://schemas.microsoft.com/office/drawing/2014/chart" uri="{C3380CC4-5D6E-409C-BE32-E72D297353CC}">
              <c16:uniqueId val="{00000001-FF44-4AFB-863F-8E144779C281}"/>
            </c:ext>
          </c:extLst>
        </c:ser>
        <c:ser>
          <c:idx val="3"/>
          <c:order val="2"/>
          <c:tx>
            <c:strRef>
              <c:f>Figures!$A$201</c:f>
              <c:strCache>
                <c:ptCount val="1"/>
                <c:pt idx="0">
                  <c:v>Feed Pump - Other</c:v>
                </c:pt>
              </c:strCache>
            </c:strRef>
          </c:tx>
          <c:spPr>
            <a:solidFill>
              <a:schemeClr val="accent4"/>
            </a:solidFill>
            <a:ln>
              <a:noFill/>
            </a:ln>
            <a:effectLst/>
          </c:spPr>
          <c:invertIfNegative val="0"/>
          <c:cat>
            <c:strRef>
              <c:f>Figures!$B$34:$C$34</c:f>
              <c:strCache>
                <c:ptCount val="2"/>
                <c:pt idx="0">
                  <c:v>Capital Costs</c:v>
                </c:pt>
                <c:pt idx="1">
                  <c:v>Operational Costs</c:v>
                </c:pt>
              </c:strCache>
            </c:strRef>
          </c:cat>
          <c:val>
            <c:numRef>
              <c:f>Figures!$B$201:$C$201</c:f>
              <c:numCache>
                <c:formatCode>General</c:formatCode>
                <c:ptCount val="2"/>
                <c:pt idx="0" formatCode="_(&quot;$&quot;* #,##0.00_);_(&quot;$&quot;* \(#,##0.00\);_(&quot;$&quot;* &quot;-&quot;??_);_(@_)">
                  <c:v>12.494386587966757</c:v>
                </c:pt>
              </c:numCache>
            </c:numRef>
          </c:val>
          <c:extLst>
            <c:ext xmlns:c16="http://schemas.microsoft.com/office/drawing/2014/chart" uri="{C3380CC4-5D6E-409C-BE32-E72D297353CC}">
              <c16:uniqueId val="{00000002-FF44-4AFB-863F-8E144779C281}"/>
            </c:ext>
          </c:extLst>
        </c:ser>
        <c:ser>
          <c:idx val="4"/>
          <c:order val="3"/>
          <c:tx>
            <c:strRef>
              <c:f>Figures!$A$202</c:f>
              <c:strCache>
                <c:ptCount val="1"/>
                <c:pt idx="0">
                  <c:v>Syngas Makeup Compressor</c:v>
                </c:pt>
              </c:strCache>
            </c:strRef>
          </c:tx>
          <c:spPr>
            <a:solidFill>
              <a:schemeClr val="accent5"/>
            </a:solidFill>
            <a:ln>
              <a:noFill/>
            </a:ln>
            <a:effectLst/>
          </c:spPr>
          <c:invertIfNegative val="0"/>
          <c:cat>
            <c:strRef>
              <c:f>Figures!$B$34:$C$34</c:f>
              <c:strCache>
                <c:ptCount val="2"/>
                <c:pt idx="0">
                  <c:v>Capital Costs</c:v>
                </c:pt>
                <c:pt idx="1">
                  <c:v>Operational Costs</c:v>
                </c:pt>
              </c:strCache>
            </c:strRef>
          </c:cat>
          <c:val>
            <c:numRef>
              <c:f>Figures!$B$202:$C$202</c:f>
              <c:numCache>
                <c:formatCode>General</c:formatCode>
                <c:ptCount val="2"/>
                <c:pt idx="0" formatCode="_(&quot;$&quot;* #,##0.00_);_(&quot;$&quot;* \(#,##0.00\);_(&quot;$&quot;* &quot;-&quot;??_);_(@_)">
                  <c:v>112340.63789839575</c:v>
                </c:pt>
              </c:numCache>
            </c:numRef>
          </c:val>
          <c:extLst>
            <c:ext xmlns:c16="http://schemas.microsoft.com/office/drawing/2014/chart" uri="{C3380CC4-5D6E-409C-BE32-E72D297353CC}">
              <c16:uniqueId val="{00000003-FF44-4AFB-863F-8E144779C281}"/>
            </c:ext>
          </c:extLst>
        </c:ser>
        <c:ser>
          <c:idx val="5"/>
          <c:order val="4"/>
          <c:tx>
            <c:strRef>
              <c:f>Figures!$A$203</c:f>
              <c:strCache>
                <c:ptCount val="1"/>
                <c:pt idx="0">
                  <c:v>Syngas Recycle Compressor</c:v>
                </c:pt>
              </c:strCache>
            </c:strRef>
          </c:tx>
          <c:spPr>
            <a:solidFill>
              <a:schemeClr val="accent6"/>
            </a:solidFill>
            <a:ln>
              <a:noFill/>
            </a:ln>
            <a:effectLst/>
          </c:spPr>
          <c:invertIfNegative val="0"/>
          <c:cat>
            <c:strRef>
              <c:f>Figures!$B$34:$C$34</c:f>
              <c:strCache>
                <c:ptCount val="2"/>
                <c:pt idx="0">
                  <c:v>Capital Costs</c:v>
                </c:pt>
                <c:pt idx="1">
                  <c:v>Operational Costs</c:v>
                </c:pt>
              </c:strCache>
            </c:strRef>
          </c:cat>
          <c:val>
            <c:numRef>
              <c:f>Figures!$B$203:$C$203</c:f>
              <c:numCache>
                <c:formatCode>General</c:formatCode>
                <c:ptCount val="2"/>
                <c:pt idx="0" formatCode="_(&quot;$&quot;* #,##0.00_);_(&quot;$&quot;* \(#,##0.00\);_(&quot;$&quot;* &quot;-&quot;??_);_(@_)">
                  <c:v>2539.7795703260531</c:v>
                </c:pt>
              </c:numCache>
            </c:numRef>
          </c:val>
          <c:extLst>
            <c:ext xmlns:c16="http://schemas.microsoft.com/office/drawing/2014/chart" uri="{C3380CC4-5D6E-409C-BE32-E72D297353CC}">
              <c16:uniqueId val="{00000004-FF44-4AFB-863F-8E144779C281}"/>
            </c:ext>
          </c:extLst>
        </c:ser>
        <c:ser>
          <c:idx val="6"/>
          <c:order val="5"/>
          <c:tx>
            <c:strRef>
              <c:f>Figures!$A$204</c:f>
              <c:strCache>
                <c:ptCount val="1"/>
                <c:pt idx="0">
                  <c:v>Tank Wall</c:v>
                </c:pt>
              </c:strCache>
            </c:strRef>
          </c:tx>
          <c:spPr>
            <a:solidFill>
              <a:schemeClr val="accent1">
                <a:lumMod val="60000"/>
              </a:schemeClr>
            </a:solidFill>
            <a:ln>
              <a:noFill/>
            </a:ln>
            <a:effectLst/>
          </c:spPr>
          <c:invertIfNegative val="0"/>
          <c:cat>
            <c:strRef>
              <c:f>Figures!$B$34:$C$34</c:f>
              <c:strCache>
                <c:ptCount val="2"/>
                <c:pt idx="0">
                  <c:v>Capital Costs</c:v>
                </c:pt>
                <c:pt idx="1">
                  <c:v>Operational Costs</c:v>
                </c:pt>
              </c:strCache>
            </c:strRef>
          </c:cat>
          <c:val>
            <c:numRef>
              <c:f>Figures!$B$204:$C$204</c:f>
              <c:numCache>
                <c:formatCode>General</c:formatCode>
                <c:ptCount val="2"/>
                <c:pt idx="0" formatCode="_(&quot;$&quot;* #,##0.00_);_(&quot;$&quot;* \(#,##0.00\);_(&quot;$&quot;* &quot;-&quot;??_);_(@_)">
                  <c:v>229679.29921966657</c:v>
                </c:pt>
              </c:numCache>
            </c:numRef>
          </c:val>
          <c:extLst>
            <c:ext xmlns:c16="http://schemas.microsoft.com/office/drawing/2014/chart" uri="{C3380CC4-5D6E-409C-BE32-E72D297353CC}">
              <c16:uniqueId val="{00000005-FF44-4AFB-863F-8E144779C281}"/>
            </c:ext>
          </c:extLst>
        </c:ser>
        <c:ser>
          <c:idx val="7"/>
          <c:order val="6"/>
          <c:tx>
            <c:strRef>
              <c:f>Figures!$A$205</c:f>
              <c:strCache>
                <c:ptCount val="1"/>
                <c:pt idx="0">
                  <c:v>Insulation</c:v>
                </c:pt>
              </c:strCache>
            </c:strRef>
          </c:tx>
          <c:spPr>
            <a:solidFill>
              <a:schemeClr val="accent2">
                <a:lumMod val="60000"/>
              </a:schemeClr>
            </a:solidFill>
            <a:ln>
              <a:noFill/>
            </a:ln>
            <a:effectLst/>
          </c:spPr>
          <c:invertIfNegative val="0"/>
          <c:cat>
            <c:strRef>
              <c:f>Figures!$B$34:$C$34</c:f>
              <c:strCache>
                <c:ptCount val="2"/>
                <c:pt idx="0">
                  <c:v>Capital Costs</c:v>
                </c:pt>
                <c:pt idx="1">
                  <c:v>Operational Costs</c:v>
                </c:pt>
              </c:strCache>
            </c:strRef>
          </c:cat>
          <c:val>
            <c:numRef>
              <c:f>Figures!$B$205:$C$205</c:f>
              <c:numCache>
                <c:formatCode>General</c:formatCode>
                <c:ptCount val="2"/>
                <c:pt idx="0" formatCode="_(&quot;$&quot;* #,##0.00_);_(&quot;$&quot;* \(#,##0.00\);_(&quot;$&quot;* &quot;-&quot;??_);_(@_)">
                  <c:v>68702.238163116053</c:v>
                </c:pt>
              </c:numCache>
            </c:numRef>
          </c:val>
          <c:extLst>
            <c:ext xmlns:c16="http://schemas.microsoft.com/office/drawing/2014/chart" uri="{C3380CC4-5D6E-409C-BE32-E72D297353CC}">
              <c16:uniqueId val="{00000006-FF44-4AFB-863F-8E144779C281}"/>
            </c:ext>
          </c:extLst>
        </c:ser>
        <c:ser>
          <c:idx val="8"/>
          <c:order val="7"/>
          <c:tx>
            <c:strRef>
              <c:f>Figures!$A$206</c:f>
              <c:strCache>
                <c:ptCount val="1"/>
                <c:pt idx="0">
                  <c:v>Agitator</c:v>
                </c:pt>
              </c:strCache>
            </c:strRef>
          </c:tx>
          <c:spPr>
            <a:solidFill>
              <a:schemeClr val="accent3">
                <a:lumMod val="60000"/>
              </a:schemeClr>
            </a:solidFill>
            <a:ln>
              <a:noFill/>
            </a:ln>
            <a:effectLst/>
          </c:spPr>
          <c:invertIfNegative val="0"/>
          <c:cat>
            <c:strRef>
              <c:f>Figures!$B$34:$C$34</c:f>
              <c:strCache>
                <c:ptCount val="2"/>
                <c:pt idx="0">
                  <c:v>Capital Costs</c:v>
                </c:pt>
                <c:pt idx="1">
                  <c:v>Operational Costs</c:v>
                </c:pt>
              </c:strCache>
            </c:strRef>
          </c:cat>
          <c:val>
            <c:numRef>
              <c:f>Figures!$B$206:$C$206</c:f>
              <c:numCache>
                <c:formatCode>General</c:formatCode>
                <c:ptCount val="2"/>
                <c:pt idx="0" formatCode="_(&quot;$&quot;* #,##0.00_);_(&quot;$&quot;* \(#,##0.00\);_(&quot;$&quot;* &quot;-&quot;??_);_(@_)">
                  <c:v>6014590.0185604189</c:v>
                </c:pt>
              </c:numCache>
            </c:numRef>
          </c:val>
          <c:extLst>
            <c:ext xmlns:c16="http://schemas.microsoft.com/office/drawing/2014/chart" uri="{C3380CC4-5D6E-409C-BE32-E72D297353CC}">
              <c16:uniqueId val="{00000007-FF44-4AFB-863F-8E144779C281}"/>
            </c:ext>
          </c:extLst>
        </c:ser>
        <c:ser>
          <c:idx val="9"/>
          <c:order val="8"/>
          <c:tx>
            <c:strRef>
              <c:f>Figures!$A$207</c:f>
              <c:strCache>
                <c:ptCount val="1"/>
                <c:pt idx="0">
                  <c:v>Electrodes</c:v>
                </c:pt>
              </c:strCache>
            </c:strRef>
          </c:tx>
          <c:spPr>
            <a:solidFill>
              <a:schemeClr val="accent4">
                <a:lumMod val="60000"/>
              </a:schemeClr>
            </a:solidFill>
            <a:ln>
              <a:noFill/>
            </a:ln>
            <a:effectLst/>
          </c:spPr>
          <c:invertIfNegative val="0"/>
          <c:dLbls>
            <c:dLbl>
              <c:idx val="0"/>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B4CE-4EC4-9EF4-ECC9A5955EA7}"/>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Arial Nova Cond" panose="020B0506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Figures!$B$207:$C$207</c:f>
              <c:numCache>
                <c:formatCode>General</c:formatCode>
                <c:ptCount val="2"/>
                <c:pt idx="0" formatCode="_(&quot;$&quot;* #,##0.00_);_(&quot;$&quot;* \(#,##0.00\);_(&quot;$&quot;* &quot;-&quot;??_);_(@_)">
                  <c:v>41003874.095263489</c:v>
                </c:pt>
              </c:numCache>
            </c:numRef>
          </c:val>
          <c:extLst>
            <c:ext xmlns:c16="http://schemas.microsoft.com/office/drawing/2014/chart" uri="{C3380CC4-5D6E-409C-BE32-E72D297353CC}">
              <c16:uniqueId val="{00000008-FF44-4AFB-863F-8E144779C281}"/>
            </c:ext>
          </c:extLst>
        </c:ser>
        <c:ser>
          <c:idx val="10"/>
          <c:order val="9"/>
          <c:tx>
            <c:strRef>
              <c:f>Figures!$A$208</c:f>
              <c:strCache>
                <c:ptCount val="1"/>
                <c:pt idx="0">
                  <c:v>Gas Cover</c:v>
                </c:pt>
              </c:strCache>
            </c:strRef>
          </c:tx>
          <c:spPr>
            <a:solidFill>
              <a:schemeClr val="accent5">
                <a:lumMod val="60000"/>
              </a:schemeClr>
            </a:solidFill>
            <a:ln>
              <a:noFill/>
            </a:ln>
            <a:effectLst/>
          </c:spPr>
          <c:invertIfNegative val="0"/>
          <c:cat>
            <c:strRef>
              <c:f>Figures!$B$34:$C$34</c:f>
              <c:strCache>
                <c:ptCount val="2"/>
                <c:pt idx="0">
                  <c:v>Capital Costs</c:v>
                </c:pt>
                <c:pt idx="1">
                  <c:v>Operational Costs</c:v>
                </c:pt>
              </c:strCache>
            </c:strRef>
          </c:cat>
          <c:val>
            <c:numRef>
              <c:f>Figures!$B$208:$C$208</c:f>
              <c:numCache>
                <c:formatCode>General</c:formatCode>
                <c:ptCount val="2"/>
                <c:pt idx="0" formatCode="_(&quot;$&quot;* #,##0.00_);_(&quot;$&quot;* \(#,##0.00\);_(&quot;$&quot;* &quot;-&quot;??_);_(@_)">
                  <c:v>248.40963645742028</c:v>
                </c:pt>
              </c:numCache>
            </c:numRef>
          </c:val>
          <c:extLst>
            <c:ext xmlns:c16="http://schemas.microsoft.com/office/drawing/2014/chart" uri="{C3380CC4-5D6E-409C-BE32-E72D297353CC}">
              <c16:uniqueId val="{00000009-FF44-4AFB-863F-8E144779C281}"/>
            </c:ext>
          </c:extLst>
        </c:ser>
        <c:ser>
          <c:idx val="11"/>
          <c:order val="10"/>
          <c:tx>
            <c:strRef>
              <c:f>Figures!$A$209</c:f>
              <c:strCache>
                <c:ptCount val="1"/>
                <c:pt idx="0">
                  <c:v>Feed Pump</c:v>
                </c:pt>
              </c:strCache>
            </c:strRef>
          </c:tx>
          <c:spPr>
            <a:solidFill>
              <a:schemeClr val="accent6">
                <a:lumMod val="60000"/>
              </a:schemeClr>
            </a:solidFill>
            <a:ln>
              <a:noFill/>
            </a:ln>
            <a:effectLst/>
          </c:spPr>
          <c:invertIfNegative val="0"/>
          <c:cat>
            <c:strRef>
              <c:f>Figures!$B$34:$C$34</c:f>
              <c:strCache>
                <c:ptCount val="2"/>
                <c:pt idx="0">
                  <c:v>Capital Costs</c:v>
                </c:pt>
                <c:pt idx="1">
                  <c:v>Operational Costs</c:v>
                </c:pt>
              </c:strCache>
            </c:strRef>
          </c:cat>
          <c:val>
            <c:numRef>
              <c:f>Figures!$B$209:$C$209</c:f>
              <c:numCache>
                <c:formatCode>General</c:formatCode>
                <c:ptCount val="2"/>
                <c:pt idx="0" formatCode="_(&quot;$&quot;* #,##0.00_);_(&quot;$&quot;* \(#,##0.00\);_(&quot;$&quot;* &quot;-&quot;??_);_(@_)">
                  <c:v>85718.205767279025</c:v>
                </c:pt>
              </c:numCache>
            </c:numRef>
          </c:val>
          <c:extLst>
            <c:ext xmlns:c16="http://schemas.microsoft.com/office/drawing/2014/chart" uri="{C3380CC4-5D6E-409C-BE32-E72D297353CC}">
              <c16:uniqueId val="{0000000A-FF44-4AFB-863F-8E144779C281}"/>
            </c:ext>
          </c:extLst>
        </c:ser>
        <c:ser>
          <c:idx val="12"/>
          <c:order val="11"/>
          <c:tx>
            <c:strRef>
              <c:f>Figures!$A$210</c:f>
              <c:strCache>
                <c:ptCount val="1"/>
                <c:pt idx="0">
                  <c:v>Centrifuge</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Figures!$B$210:$C$210</c:f>
              <c:numCache>
                <c:formatCode>General</c:formatCode>
                <c:ptCount val="2"/>
                <c:pt idx="0" formatCode="_(&quot;$&quot;* #,##0.00_);_(&quot;$&quot;* \(#,##0.00\);_(&quot;$&quot;* &quot;-&quot;??_);_(@_)">
                  <c:v>40378663.743194744</c:v>
                </c:pt>
              </c:numCache>
            </c:numRef>
          </c:val>
          <c:extLst>
            <c:ext xmlns:c16="http://schemas.microsoft.com/office/drawing/2014/chart" uri="{C3380CC4-5D6E-409C-BE32-E72D297353CC}">
              <c16:uniqueId val="{0000000B-FF44-4AFB-863F-8E144779C281}"/>
            </c:ext>
          </c:extLst>
        </c:ser>
        <c:ser>
          <c:idx val="13"/>
          <c:order val="12"/>
          <c:tx>
            <c:strRef>
              <c:f>Figures!$A$211</c:f>
              <c:strCache>
                <c:ptCount val="1"/>
                <c:pt idx="0">
                  <c:v>Biosolids Drier</c:v>
                </c:pt>
              </c:strCache>
            </c:strRef>
          </c:tx>
          <c:spPr>
            <a:solidFill>
              <a:schemeClr val="accent2">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Figures!$B$211:$C$211</c:f>
              <c:numCache>
                <c:formatCode>General</c:formatCode>
                <c:ptCount val="2"/>
                <c:pt idx="0" formatCode="_(&quot;$&quot;* #,##0.00_);_(&quot;$&quot;* \(#,##0.00\);_(&quot;$&quot;* &quot;-&quot;??_);_(@_)">
                  <c:v>5514510.9436309226</c:v>
                </c:pt>
              </c:numCache>
            </c:numRef>
          </c:val>
          <c:extLst>
            <c:ext xmlns:c16="http://schemas.microsoft.com/office/drawing/2014/chart" uri="{C3380CC4-5D6E-409C-BE32-E72D297353CC}">
              <c16:uniqueId val="{0000000C-FF44-4AFB-863F-8E144779C281}"/>
            </c:ext>
          </c:extLst>
        </c:ser>
        <c:ser>
          <c:idx val="14"/>
          <c:order val="13"/>
          <c:tx>
            <c:strRef>
              <c:f>Figures!$A$212</c:f>
              <c:strCache>
                <c:ptCount val="1"/>
                <c:pt idx="0">
                  <c:v>Microfiltration</c:v>
                </c:pt>
              </c:strCache>
            </c:strRef>
          </c:tx>
          <c:spPr>
            <a:solidFill>
              <a:schemeClr val="accent3">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Figures!$B$212:$C$212</c:f>
              <c:numCache>
                <c:formatCode>General</c:formatCode>
                <c:ptCount val="2"/>
                <c:pt idx="0" formatCode="_(&quot;$&quot;* #,##0.00_);_(&quot;$&quot;* \(#,##0.00\);_(&quot;$&quot;* &quot;-&quot;??_);_(@_)">
                  <c:v>5909.7724987971669</c:v>
                </c:pt>
              </c:numCache>
            </c:numRef>
          </c:val>
          <c:extLst>
            <c:ext xmlns:c16="http://schemas.microsoft.com/office/drawing/2014/chart" uri="{C3380CC4-5D6E-409C-BE32-E72D297353CC}">
              <c16:uniqueId val="{0000000D-FF44-4AFB-863F-8E144779C281}"/>
            </c:ext>
          </c:extLst>
        </c:ser>
        <c:ser>
          <c:idx val="15"/>
          <c:order val="14"/>
          <c:tx>
            <c:strRef>
              <c:f>Figures!$A$213</c:f>
              <c:strCache>
                <c:ptCount val="1"/>
                <c:pt idx="0">
                  <c:v>Power - Lactate Feed Pump</c:v>
                </c:pt>
              </c:strCache>
            </c:strRef>
          </c:tx>
          <c:spPr>
            <a:solidFill>
              <a:schemeClr val="accent4">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Figures!$B$213:$C$213</c:f>
              <c:numCache>
                <c:formatCode>_("$"* #,##0.00_);_("$"* \(#,##0.00\);_("$"* "-"??_);_(@_)</c:formatCode>
                <c:ptCount val="2"/>
                <c:pt idx="1">
                  <c:v>616.43214242633655</c:v>
                </c:pt>
              </c:numCache>
            </c:numRef>
          </c:val>
          <c:extLst>
            <c:ext xmlns:c16="http://schemas.microsoft.com/office/drawing/2014/chart" uri="{C3380CC4-5D6E-409C-BE32-E72D297353CC}">
              <c16:uniqueId val="{0000000E-FF44-4AFB-863F-8E144779C281}"/>
            </c:ext>
          </c:extLst>
        </c:ser>
        <c:ser>
          <c:idx val="16"/>
          <c:order val="15"/>
          <c:tx>
            <c:strRef>
              <c:f>Figures!$A$214</c:f>
              <c:strCache>
                <c:ptCount val="1"/>
                <c:pt idx="0">
                  <c:v>Power - Digestate Feed Pump</c:v>
                </c:pt>
              </c:strCache>
            </c:strRef>
          </c:tx>
          <c:spPr>
            <a:solidFill>
              <a:schemeClr val="accent5">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Figures!$B$214:$C$214</c:f>
              <c:numCache>
                <c:formatCode>_("$"* #,##0.00_);_("$"* \(#,##0.00\);_("$"* "-"??_);_(@_)</c:formatCode>
                <c:ptCount val="2"/>
                <c:pt idx="1">
                  <c:v>306.88246382014256</c:v>
                </c:pt>
              </c:numCache>
            </c:numRef>
          </c:val>
          <c:extLst>
            <c:ext xmlns:c16="http://schemas.microsoft.com/office/drawing/2014/chart" uri="{C3380CC4-5D6E-409C-BE32-E72D297353CC}">
              <c16:uniqueId val="{0000000F-FF44-4AFB-863F-8E144779C281}"/>
            </c:ext>
          </c:extLst>
        </c:ser>
        <c:ser>
          <c:idx val="17"/>
          <c:order val="16"/>
          <c:tx>
            <c:strRef>
              <c:f>Figures!$A$215</c:f>
              <c:strCache>
                <c:ptCount val="1"/>
                <c:pt idx="0">
                  <c:v>Power - Liquid Digestate Feed Pump</c:v>
                </c:pt>
              </c:strCache>
            </c:strRef>
          </c:tx>
          <c:spPr>
            <a:solidFill>
              <a:schemeClr val="accent6">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Figures!$B$215:$C$215</c:f>
              <c:numCache>
                <c:formatCode>_("$"* #,##0.00_);_("$"* \(#,##0.00\);_("$"* "-"??_);_(@_)</c:formatCode>
                <c:ptCount val="2"/>
                <c:pt idx="1">
                  <c:v>5427.889040960873</c:v>
                </c:pt>
              </c:numCache>
            </c:numRef>
          </c:val>
          <c:extLst>
            <c:ext xmlns:c16="http://schemas.microsoft.com/office/drawing/2014/chart" uri="{C3380CC4-5D6E-409C-BE32-E72D297353CC}">
              <c16:uniqueId val="{00000010-FF44-4AFB-863F-8E144779C281}"/>
            </c:ext>
          </c:extLst>
        </c:ser>
        <c:ser>
          <c:idx val="18"/>
          <c:order val="17"/>
          <c:tx>
            <c:strRef>
              <c:f>Figures!$A$216</c:f>
              <c:strCache>
                <c:ptCount val="1"/>
                <c:pt idx="0">
                  <c:v>Power - Mixing</c:v>
                </c:pt>
              </c:strCache>
            </c:strRef>
          </c:tx>
          <c:spPr>
            <a:solidFill>
              <a:schemeClr val="accent1">
                <a:lumMod val="80000"/>
              </a:schemeClr>
            </a:solidFill>
            <a:ln>
              <a:noFill/>
            </a:ln>
            <a:effectLst/>
          </c:spPr>
          <c:invertIfNegative val="0"/>
          <c:cat>
            <c:strRef>
              <c:f>Figures!$B$34:$C$34</c:f>
              <c:strCache>
                <c:ptCount val="2"/>
                <c:pt idx="0">
                  <c:v>Capital Costs</c:v>
                </c:pt>
                <c:pt idx="1">
                  <c:v>Operational Costs</c:v>
                </c:pt>
              </c:strCache>
            </c:strRef>
          </c:cat>
          <c:val>
            <c:numRef>
              <c:f>Figures!$B$216:$C$216</c:f>
              <c:numCache>
                <c:formatCode>_("$"* #,##0.00_);_("$"* \(#,##0.00\);_("$"* "-"??_);_(@_)</c:formatCode>
                <c:ptCount val="2"/>
                <c:pt idx="1">
                  <c:v>854125.4635248296</c:v>
                </c:pt>
              </c:numCache>
            </c:numRef>
          </c:val>
          <c:extLst>
            <c:ext xmlns:c16="http://schemas.microsoft.com/office/drawing/2014/chart" uri="{C3380CC4-5D6E-409C-BE32-E72D297353CC}">
              <c16:uniqueId val="{00000011-FF44-4AFB-863F-8E144779C281}"/>
            </c:ext>
          </c:extLst>
        </c:ser>
        <c:dLbls>
          <c:showLegendKey val="0"/>
          <c:showVal val="0"/>
          <c:showCatName val="0"/>
          <c:showSerName val="0"/>
          <c:showPercent val="0"/>
          <c:showBubbleSize val="0"/>
        </c:dLbls>
        <c:gapWidth val="150"/>
        <c:overlap val="100"/>
        <c:axId val="1295435552"/>
        <c:axId val="1295428352"/>
      </c:barChart>
      <c:barChart>
        <c:barDir val="col"/>
        <c:grouping val="stacked"/>
        <c:varyColors val="0"/>
        <c:ser>
          <c:idx val="19"/>
          <c:order val="18"/>
          <c:tx>
            <c:strRef>
              <c:f>Figures!$A$217</c:f>
              <c:strCache>
                <c:ptCount val="1"/>
                <c:pt idx="0">
                  <c:v>Heat - CSTR</c:v>
                </c:pt>
              </c:strCache>
            </c:strRef>
          </c:tx>
          <c:spPr>
            <a:solidFill>
              <a:schemeClr val="accent2">
                <a:lumMod val="80000"/>
              </a:schemeClr>
            </a:solidFill>
            <a:ln>
              <a:noFill/>
            </a:ln>
            <a:effectLst/>
          </c:spPr>
          <c:invertIfNegative val="0"/>
          <c:cat>
            <c:strRef>
              <c:f>Figures!$B$34:$C$34</c:f>
              <c:strCache>
                <c:ptCount val="2"/>
                <c:pt idx="0">
                  <c:v>Capital Costs</c:v>
                </c:pt>
                <c:pt idx="1">
                  <c:v>Operational Costs</c:v>
                </c:pt>
              </c:strCache>
            </c:strRef>
          </c:cat>
          <c:val>
            <c:numRef>
              <c:f>Figures!$B$217:$C$217</c:f>
              <c:numCache>
                <c:formatCode>_("$"* #,##0.00_);_("$"* \(#,##0.00\);_("$"* "-"??_);_(@_)</c:formatCode>
                <c:ptCount val="2"/>
                <c:pt idx="1">
                  <c:v>534.09515920135436</c:v>
                </c:pt>
              </c:numCache>
            </c:numRef>
          </c:val>
          <c:extLst>
            <c:ext xmlns:c16="http://schemas.microsoft.com/office/drawing/2014/chart" uri="{C3380CC4-5D6E-409C-BE32-E72D297353CC}">
              <c16:uniqueId val="{00000012-FF44-4AFB-863F-8E144779C281}"/>
            </c:ext>
          </c:extLst>
        </c:ser>
        <c:ser>
          <c:idx val="20"/>
          <c:order val="19"/>
          <c:tx>
            <c:strRef>
              <c:f>Figures!$A$218</c:f>
              <c:strCache>
                <c:ptCount val="1"/>
                <c:pt idx="0">
                  <c:v>Power - Centrifuge</c:v>
                </c:pt>
              </c:strCache>
            </c:strRef>
          </c:tx>
          <c:spPr>
            <a:solidFill>
              <a:schemeClr val="accent3">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Figures!$B$218:$C$218</c:f>
              <c:numCache>
                <c:formatCode>_("$"* #,##0.00_);_("$"* \(#,##0.00\);_("$"* "-"??_);_(@_)</c:formatCode>
                <c:ptCount val="2"/>
                <c:pt idx="1">
                  <c:v>113738.09956373119</c:v>
                </c:pt>
              </c:numCache>
            </c:numRef>
          </c:val>
          <c:extLst>
            <c:ext xmlns:c16="http://schemas.microsoft.com/office/drawing/2014/chart" uri="{C3380CC4-5D6E-409C-BE32-E72D297353CC}">
              <c16:uniqueId val="{00000013-FF44-4AFB-863F-8E144779C281}"/>
            </c:ext>
          </c:extLst>
        </c:ser>
        <c:ser>
          <c:idx val="0"/>
          <c:order val="20"/>
          <c:tx>
            <c:strRef>
              <c:f>Figures!$A$219</c:f>
              <c:strCache>
                <c:ptCount val="1"/>
                <c:pt idx="0">
                  <c:v>Power - Microfiltration</c:v>
                </c:pt>
              </c:strCache>
            </c:strRef>
          </c:tx>
          <c:spPr>
            <a:solidFill>
              <a:schemeClr val="accent1"/>
            </a:solidFill>
            <a:ln>
              <a:noFill/>
            </a:ln>
            <a:effectLst/>
          </c:spPr>
          <c:invertIfNegative val="0"/>
          <c:cat>
            <c:strRef>
              <c:f>Figures!$B$34:$C$34</c:f>
              <c:strCache>
                <c:ptCount val="2"/>
                <c:pt idx="0">
                  <c:v>Capital Costs</c:v>
                </c:pt>
                <c:pt idx="1">
                  <c:v>Operational Costs</c:v>
                </c:pt>
              </c:strCache>
            </c:strRef>
          </c:cat>
          <c:val>
            <c:numRef>
              <c:f>Figures!$B$219:$C$219</c:f>
              <c:numCache>
                <c:formatCode>_("$"* #,##0.00_);_("$"* \(#,##0.00\);_("$"* "-"??_);_(@_)</c:formatCode>
                <c:ptCount val="2"/>
                <c:pt idx="1">
                  <c:v>6131.5421257544731</c:v>
                </c:pt>
              </c:numCache>
            </c:numRef>
          </c:val>
          <c:extLst>
            <c:ext xmlns:c16="http://schemas.microsoft.com/office/drawing/2014/chart" uri="{C3380CC4-5D6E-409C-BE32-E72D297353CC}">
              <c16:uniqueId val="{00000014-FF44-4AFB-863F-8E144779C281}"/>
            </c:ext>
          </c:extLst>
        </c:ser>
        <c:ser>
          <c:idx val="21"/>
          <c:order val="21"/>
          <c:tx>
            <c:strRef>
              <c:f>Figures!$A$220</c:f>
              <c:strCache>
                <c:ptCount val="1"/>
                <c:pt idx="0">
                  <c:v>Waste Biosolids Disposal</c:v>
                </c:pt>
              </c:strCache>
            </c:strRef>
          </c:tx>
          <c:spPr>
            <a:solidFill>
              <a:schemeClr val="accent4">
                <a:lumMod val="80000"/>
              </a:schemeClr>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10723807962885284"/>
                      <c:h val="0.18040011665208519"/>
                    </c:manualLayout>
                  </c15:layout>
                </c:ext>
                <c:ext xmlns:c16="http://schemas.microsoft.com/office/drawing/2014/chart" uri="{C3380CC4-5D6E-409C-BE32-E72D297353CC}">
                  <c16:uniqueId val="{00000001-B4CE-4EC4-9EF4-ECC9A5955EA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Figures!$B$220:$C$220</c:f>
              <c:numCache>
                <c:formatCode>_("$"* #,##0.00_);_("$"* \(#,##0.00\);_("$"* "-"??_);_(@_)</c:formatCode>
                <c:ptCount val="2"/>
                <c:pt idx="1">
                  <c:v>409373.40970903501</c:v>
                </c:pt>
              </c:numCache>
            </c:numRef>
          </c:val>
          <c:extLst>
            <c:ext xmlns:c16="http://schemas.microsoft.com/office/drawing/2014/chart" uri="{C3380CC4-5D6E-409C-BE32-E72D297353CC}">
              <c16:uniqueId val="{00000015-FF44-4AFB-863F-8E144779C281}"/>
            </c:ext>
          </c:extLst>
        </c:ser>
        <c:ser>
          <c:idx val="22"/>
          <c:order val="22"/>
          <c:tx>
            <c:strRef>
              <c:f>Figures!$A$221</c:f>
              <c:strCache>
                <c:ptCount val="1"/>
                <c:pt idx="0">
                  <c:v>Labor</c:v>
                </c:pt>
              </c:strCache>
            </c:strRef>
          </c:tx>
          <c:spPr>
            <a:solidFill>
              <a:schemeClr val="accent5">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Figures!$B$221:$C$221</c:f>
              <c:numCache>
                <c:formatCode>_("$"* #,##0.00_);_("$"* \(#,##0.00\);_("$"* "-"??_);_(@_)</c:formatCode>
                <c:ptCount val="2"/>
                <c:pt idx="1">
                  <c:v>630000</c:v>
                </c:pt>
              </c:numCache>
            </c:numRef>
          </c:val>
          <c:extLst>
            <c:ext xmlns:c16="http://schemas.microsoft.com/office/drawing/2014/chart" uri="{C3380CC4-5D6E-409C-BE32-E72D297353CC}">
              <c16:uniqueId val="{00000016-FF44-4AFB-863F-8E144779C281}"/>
            </c:ext>
          </c:extLst>
        </c:ser>
        <c:dLbls>
          <c:showLegendKey val="0"/>
          <c:showVal val="0"/>
          <c:showCatName val="0"/>
          <c:showSerName val="0"/>
          <c:showPercent val="0"/>
          <c:showBubbleSize val="0"/>
        </c:dLbls>
        <c:gapWidth val="150"/>
        <c:overlap val="100"/>
        <c:axId val="1295501792"/>
        <c:axId val="1295485472"/>
      </c:barChart>
      <c:catAx>
        <c:axId val="129543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Arial Nova Cond" panose="020B0506020202020204" pitchFamily="34" charset="0"/>
                <a:ea typeface="+mn-ea"/>
                <a:cs typeface="+mn-cs"/>
              </a:defRPr>
            </a:pPr>
            <a:endParaRPr lang="en-US"/>
          </a:p>
        </c:txPr>
        <c:crossAx val="1295428352"/>
        <c:crosses val="autoZero"/>
        <c:auto val="1"/>
        <c:lblAlgn val="ctr"/>
        <c:lblOffset val="100"/>
        <c:noMultiLvlLbl val="0"/>
      </c:catAx>
      <c:valAx>
        <c:axId val="1295428352"/>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r>
                  <a:rPr lang="en-US" sz="1600" b="1" i="0" u="none" strike="noStrike" kern="1200" baseline="0">
                    <a:solidFill>
                      <a:sysClr val="windowText" lastClr="000000"/>
                    </a:solidFill>
                    <a:latin typeface="Arial Nova Cond" panose="020B0506020202020204" pitchFamily="34" charset="0"/>
                  </a:rPr>
                  <a:t>CAPEX </a:t>
                </a:r>
                <a:r>
                  <a:rPr lang="en-US" sz="1600" b="0" i="0" u="none" strike="noStrike" kern="1200" baseline="0">
                    <a:solidFill>
                      <a:sysClr val="windowText" lastClr="000000"/>
                    </a:solidFill>
                    <a:latin typeface="Arial Nova Cond" panose="020B0506020202020204" pitchFamily="34" charset="0"/>
                  </a:rPr>
                  <a:t>[1E6 USD (2026)]</a:t>
                </a:r>
              </a:p>
            </c:rich>
          </c:tx>
          <c:layout>
            <c:manualLayout>
              <c:xMode val="edge"/>
              <c:yMode val="edge"/>
              <c:x val="7.6802424757789244E-3"/>
              <c:y val="0.12939488623596321"/>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Nova Cond" panose="020B0506020202020204" pitchFamily="34" charset="0"/>
                <a:ea typeface="+mn-ea"/>
                <a:cs typeface="+mn-cs"/>
              </a:defRPr>
            </a:pPr>
            <a:endParaRPr lang="en-US"/>
          </a:p>
        </c:txPr>
        <c:crossAx val="1295435552"/>
        <c:crosses val="autoZero"/>
        <c:crossBetween val="between"/>
        <c:dispUnits>
          <c:builtInUnit val="millions"/>
        </c:dispUnits>
      </c:valAx>
      <c:valAx>
        <c:axId val="1295485472"/>
        <c:scaling>
          <c:orientation val="minMax"/>
        </c:scaling>
        <c:delete val="0"/>
        <c:axPos val="r"/>
        <c:title>
          <c:tx>
            <c:rich>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r>
                  <a:rPr lang="en-US" sz="1600" b="1" i="0" u="none" strike="noStrike" kern="1200" baseline="0">
                    <a:solidFill>
                      <a:sysClr val="windowText" lastClr="000000"/>
                    </a:solidFill>
                    <a:latin typeface="Arial Nova Cond" panose="020B0506020202020204" pitchFamily="34" charset="0"/>
                  </a:rPr>
                  <a:t>OPEX </a:t>
                </a:r>
                <a:r>
                  <a:rPr lang="en-US" sz="1600" b="0" i="0" u="none" strike="noStrike" kern="1200" baseline="0">
                    <a:solidFill>
                      <a:sysClr val="windowText" lastClr="000000"/>
                    </a:solidFill>
                    <a:latin typeface="Arial Nova Cond" panose="020B0506020202020204" pitchFamily="34" charset="0"/>
                  </a:rPr>
                  <a:t>[1E6 USD (2026) / yr ]</a:t>
                </a:r>
              </a:p>
            </c:rich>
          </c:tx>
          <c:layout>
            <c:manualLayout>
              <c:xMode val="edge"/>
              <c:yMode val="edge"/>
              <c:x val="0.94762055253518385"/>
              <c:y val="0.11895998470717531"/>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0_);_(&quot;$&quot;* \(#,##0.0\);_(&quot;$&quot;* &quot;-&quot;?_);_(@_)" sourceLinked="0"/>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Nova Cond" panose="020B0506020202020204" pitchFamily="34" charset="0"/>
                <a:ea typeface="+mn-ea"/>
                <a:cs typeface="+mn-cs"/>
              </a:defRPr>
            </a:pPr>
            <a:endParaRPr lang="en-US"/>
          </a:p>
        </c:txPr>
        <c:crossAx val="1295501792"/>
        <c:crosses val="max"/>
        <c:crossBetween val="between"/>
        <c:dispUnits>
          <c:builtInUnit val="millions"/>
        </c:dispUnits>
      </c:valAx>
      <c:catAx>
        <c:axId val="1295501792"/>
        <c:scaling>
          <c:orientation val="minMax"/>
        </c:scaling>
        <c:delete val="1"/>
        <c:axPos val="b"/>
        <c:numFmt formatCode="General" sourceLinked="1"/>
        <c:majorTickMark val="out"/>
        <c:minorTickMark val="none"/>
        <c:tickLblPos val="nextTo"/>
        <c:crossAx val="1295485472"/>
        <c:crosses val="autoZero"/>
        <c:auto val="1"/>
        <c:lblAlgn val="ctr"/>
        <c:lblOffset val="100"/>
        <c:noMultiLvlLbl val="0"/>
      </c:catAx>
      <c:spPr>
        <a:noFill/>
        <a:ln w="19050">
          <a:solidFill>
            <a:schemeClr val="tx1"/>
          </a:solidFill>
        </a:ln>
        <a:effectLst/>
      </c:spPr>
    </c:plotArea>
    <c:legend>
      <c:legendPos val="b"/>
      <c:layout>
        <c:manualLayout>
          <c:xMode val="edge"/>
          <c:yMode val="edge"/>
          <c:x val="0"/>
          <c:y val="0.74148116339862802"/>
          <c:w val="0.99855824502628454"/>
          <c:h val="0.2520417490673677"/>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22225" cap="flat" cmpd="sng" algn="ctr">
      <a:noFill/>
      <a:round/>
    </a:ln>
    <a:effectLst/>
  </c:spPr>
  <c:txPr>
    <a:bodyPr/>
    <a:lstStyle/>
    <a:p>
      <a:pPr>
        <a:defRPr>
          <a:solidFill>
            <a:schemeClr val="tx1"/>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r>
              <a:rPr lang="en-US" sz="2000" b="1" cap="all" baseline="0"/>
              <a:t>Path A Separation Costs</a:t>
            </a:r>
          </a:p>
        </c:rich>
      </c:tx>
      <c:layout>
        <c:manualLayout>
          <c:xMode val="edge"/>
          <c:yMode val="edge"/>
          <c:x val="0.12958265909227246"/>
          <c:y val="2.0192043023360962E-2"/>
        </c:manualLayout>
      </c:layout>
      <c:overlay val="0"/>
      <c:spPr>
        <a:noFill/>
        <a:ln>
          <a:noFill/>
        </a:ln>
        <a:effectLst/>
      </c:spPr>
      <c:txPr>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426753138624838"/>
          <c:y val="0.13465920093321668"/>
          <c:w val="0.72412863539308292"/>
          <c:h val="0.53224297625944395"/>
        </c:manualLayout>
      </c:layout>
      <c:barChart>
        <c:barDir val="col"/>
        <c:grouping val="stacked"/>
        <c:varyColors val="0"/>
        <c:ser>
          <c:idx val="1"/>
          <c:order val="0"/>
          <c:tx>
            <c:strRef>
              <c:f>Figures!$A$229</c:f>
              <c:strCache>
                <c:ptCount val="1"/>
                <c:pt idx="0">
                  <c:v>Anion-Exchange Membrane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Figures!$B$229:$C$229</c:f>
              <c:numCache>
                <c:formatCode>General</c:formatCode>
                <c:ptCount val="2"/>
                <c:pt idx="0" formatCode="_(&quot;$&quot;* #,##0.00_);_(&quot;$&quot;* \(#,##0.00\);_(&quot;$&quot;* &quot;-&quot;??_);_(@_)">
                  <c:v>3657776.3686772222</c:v>
                </c:pt>
              </c:numCache>
            </c:numRef>
          </c:val>
          <c:extLst>
            <c:ext xmlns:c16="http://schemas.microsoft.com/office/drawing/2014/chart" uri="{C3380CC4-5D6E-409C-BE32-E72D297353CC}">
              <c16:uniqueId val="{00000000-0751-4C8E-98CC-0200EA5F7208}"/>
            </c:ext>
          </c:extLst>
        </c:ser>
        <c:ser>
          <c:idx val="2"/>
          <c:order val="1"/>
          <c:tx>
            <c:strRef>
              <c:f>Figures!$A$230</c:f>
              <c:strCache>
                <c:ptCount val="1"/>
                <c:pt idx="0">
                  <c:v>Cation-Exchange Membrane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Figures!$B$230:$C$230</c:f>
              <c:numCache>
                <c:formatCode>General</c:formatCode>
                <c:ptCount val="2"/>
                <c:pt idx="0" formatCode="_(&quot;$&quot;* #,##0.00_);_(&quot;$&quot;* \(#,##0.00\);_(&quot;$&quot;* &quot;-&quot;??_);_(@_)">
                  <c:v>4000692.9032407119</c:v>
                </c:pt>
              </c:numCache>
            </c:numRef>
          </c:val>
          <c:extLst>
            <c:ext xmlns:c16="http://schemas.microsoft.com/office/drawing/2014/chart" uri="{C3380CC4-5D6E-409C-BE32-E72D297353CC}">
              <c16:uniqueId val="{00000001-0751-4C8E-98CC-0200EA5F7208}"/>
            </c:ext>
          </c:extLst>
        </c:ser>
        <c:ser>
          <c:idx val="3"/>
          <c:order val="2"/>
          <c:tx>
            <c:strRef>
              <c:f>Figures!$A$231</c:f>
              <c:strCache>
                <c:ptCount val="1"/>
                <c:pt idx="0">
                  <c:v>Bipolar-Exchange Membrane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Figures!$B$231:$C$231</c:f>
              <c:numCache>
                <c:formatCode>General</c:formatCode>
                <c:ptCount val="2"/>
                <c:pt idx="0" formatCode="_(&quot;$&quot;* #,##0.00_);_(&quot;$&quot;* \(#,##0.00\);_(&quot;$&quot;* &quot;-&quot;??_);_(@_)">
                  <c:v>12002078.709722135</c:v>
                </c:pt>
              </c:numCache>
            </c:numRef>
          </c:val>
          <c:extLst>
            <c:ext xmlns:c16="http://schemas.microsoft.com/office/drawing/2014/chart" uri="{C3380CC4-5D6E-409C-BE32-E72D297353CC}">
              <c16:uniqueId val="{00000002-0751-4C8E-98CC-0200EA5F7208}"/>
            </c:ext>
          </c:extLst>
        </c:ser>
        <c:ser>
          <c:idx val="4"/>
          <c:order val="3"/>
          <c:tx>
            <c:strRef>
              <c:f>Figures!$A$232</c:f>
              <c:strCache>
                <c:ptCount val="1"/>
                <c:pt idx="0">
                  <c:v>Electrodes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Figures!$B$34:$C$34</c:f>
              <c:strCache>
                <c:ptCount val="2"/>
                <c:pt idx="0">
                  <c:v>Capital Costs</c:v>
                </c:pt>
                <c:pt idx="1">
                  <c:v>Operational Costs</c:v>
                </c:pt>
              </c:strCache>
            </c:strRef>
          </c:cat>
          <c:val>
            <c:numRef>
              <c:f>Figures!$B$232:$C$232</c:f>
              <c:numCache>
                <c:formatCode>General</c:formatCode>
                <c:ptCount val="2"/>
                <c:pt idx="0" formatCode="_(&quot;$&quot;* #,##0.00_);_(&quot;$&quot;* \(#,##0.00\);_(&quot;$&quot;* &quot;-&quot;??_);_(@_)">
                  <c:v>6453123.8183125043</c:v>
                </c:pt>
              </c:numCache>
            </c:numRef>
          </c:val>
          <c:extLst>
            <c:ext xmlns:c16="http://schemas.microsoft.com/office/drawing/2014/chart" uri="{C3380CC4-5D6E-409C-BE32-E72D297353CC}">
              <c16:uniqueId val="{00000003-0751-4C8E-98CC-0200EA5F7208}"/>
            </c:ext>
          </c:extLst>
        </c:ser>
        <c:ser>
          <c:idx val="5"/>
          <c:order val="4"/>
          <c:tx>
            <c:strRef>
              <c:f>Figures!$A$233</c:f>
              <c:strCache>
                <c:ptCount val="1"/>
                <c:pt idx="0">
                  <c:v>Diluate Tank Wall</c:v>
                </c:pt>
              </c:strCache>
            </c:strRef>
          </c:tx>
          <c:spPr>
            <a:solidFill>
              <a:schemeClr val="accent6"/>
            </a:solidFill>
            <a:ln>
              <a:noFill/>
            </a:ln>
            <a:effectLst/>
          </c:spPr>
          <c:invertIfNegative val="0"/>
          <c:cat>
            <c:strRef>
              <c:f>Figures!$B$34:$C$34</c:f>
              <c:strCache>
                <c:ptCount val="2"/>
                <c:pt idx="0">
                  <c:v>Capital Costs</c:v>
                </c:pt>
                <c:pt idx="1">
                  <c:v>Operational Costs</c:v>
                </c:pt>
              </c:strCache>
            </c:strRef>
          </c:cat>
          <c:val>
            <c:numRef>
              <c:f>Figures!$B$233:$C$233</c:f>
              <c:numCache>
                <c:formatCode>General</c:formatCode>
                <c:ptCount val="2"/>
                <c:pt idx="0" formatCode="_(&quot;$&quot;* #,##0.00_);_(&quot;$&quot;* \(#,##0.00\);_(&quot;$&quot;* &quot;-&quot;??_);_(@_)">
                  <c:v>27341.450935610712</c:v>
                </c:pt>
              </c:numCache>
            </c:numRef>
          </c:val>
          <c:extLst>
            <c:ext xmlns:c16="http://schemas.microsoft.com/office/drawing/2014/chart" uri="{C3380CC4-5D6E-409C-BE32-E72D297353CC}">
              <c16:uniqueId val="{00000004-0751-4C8E-98CC-0200EA5F7208}"/>
            </c:ext>
          </c:extLst>
        </c:ser>
        <c:ser>
          <c:idx val="6"/>
          <c:order val="5"/>
          <c:tx>
            <c:strRef>
              <c:f>Figures!$A$234</c:f>
              <c:strCache>
                <c:ptCount val="1"/>
                <c:pt idx="0">
                  <c:v>Electrolyte Tank Wall</c:v>
                </c:pt>
              </c:strCache>
            </c:strRef>
          </c:tx>
          <c:spPr>
            <a:solidFill>
              <a:schemeClr val="accent1">
                <a:lumMod val="60000"/>
              </a:schemeClr>
            </a:solidFill>
            <a:ln>
              <a:noFill/>
            </a:ln>
            <a:effectLst/>
          </c:spPr>
          <c:invertIfNegative val="0"/>
          <c:cat>
            <c:strRef>
              <c:f>Figures!$B$34:$C$34</c:f>
              <c:strCache>
                <c:ptCount val="2"/>
                <c:pt idx="0">
                  <c:v>Capital Costs</c:v>
                </c:pt>
                <c:pt idx="1">
                  <c:v>Operational Costs</c:v>
                </c:pt>
              </c:strCache>
            </c:strRef>
          </c:cat>
          <c:val>
            <c:numRef>
              <c:f>Figures!$B$234:$C$234</c:f>
              <c:numCache>
                <c:formatCode>General</c:formatCode>
                <c:ptCount val="2"/>
                <c:pt idx="0" formatCode="_(&quot;$&quot;* #,##0.00_);_(&quot;$&quot;* \(#,##0.00\);_(&quot;$&quot;* &quot;-&quot;??_);_(@_)">
                  <c:v>912.14140656716438</c:v>
                </c:pt>
              </c:numCache>
            </c:numRef>
          </c:val>
          <c:extLst>
            <c:ext xmlns:c16="http://schemas.microsoft.com/office/drawing/2014/chart" uri="{C3380CC4-5D6E-409C-BE32-E72D297353CC}">
              <c16:uniqueId val="{00000005-0751-4C8E-98CC-0200EA5F7208}"/>
            </c:ext>
          </c:extLst>
        </c:ser>
        <c:ser>
          <c:idx val="7"/>
          <c:order val="6"/>
          <c:tx>
            <c:strRef>
              <c:f>Figures!$A$235</c:f>
              <c:strCache>
                <c:ptCount val="1"/>
                <c:pt idx="0">
                  <c:v>Concentrate Tank 1 Wall</c:v>
                </c:pt>
              </c:strCache>
            </c:strRef>
          </c:tx>
          <c:spPr>
            <a:solidFill>
              <a:schemeClr val="accent2">
                <a:lumMod val="60000"/>
              </a:schemeClr>
            </a:solidFill>
            <a:ln>
              <a:noFill/>
            </a:ln>
            <a:effectLst/>
          </c:spPr>
          <c:invertIfNegative val="0"/>
          <c:cat>
            <c:strRef>
              <c:f>Figures!$B$34:$C$34</c:f>
              <c:strCache>
                <c:ptCount val="2"/>
                <c:pt idx="0">
                  <c:v>Capital Costs</c:v>
                </c:pt>
                <c:pt idx="1">
                  <c:v>Operational Costs</c:v>
                </c:pt>
              </c:strCache>
            </c:strRef>
          </c:cat>
          <c:val>
            <c:numRef>
              <c:f>Figures!$B$235:$C$235</c:f>
              <c:numCache>
                <c:formatCode>General</c:formatCode>
                <c:ptCount val="2"/>
                <c:pt idx="0" formatCode="_(&quot;$&quot;* #,##0.00_);_(&quot;$&quot;* \(#,##0.00\);_(&quot;$&quot;* &quot;-&quot;??_);_(@_)">
                  <c:v>912.14140656716438</c:v>
                </c:pt>
              </c:numCache>
            </c:numRef>
          </c:val>
          <c:extLst>
            <c:ext xmlns:c16="http://schemas.microsoft.com/office/drawing/2014/chart" uri="{C3380CC4-5D6E-409C-BE32-E72D297353CC}">
              <c16:uniqueId val="{00000006-0751-4C8E-98CC-0200EA5F7208}"/>
            </c:ext>
          </c:extLst>
        </c:ser>
        <c:ser>
          <c:idx val="8"/>
          <c:order val="7"/>
          <c:tx>
            <c:strRef>
              <c:f>Figures!$A$236</c:f>
              <c:strCache>
                <c:ptCount val="1"/>
                <c:pt idx="0">
                  <c:v>Concentrate Tank 2 Wall</c:v>
                </c:pt>
              </c:strCache>
            </c:strRef>
          </c:tx>
          <c:spPr>
            <a:solidFill>
              <a:schemeClr val="accent3">
                <a:lumMod val="60000"/>
              </a:schemeClr>
            </a:solidFill>
            <a:ln>
              <a:noFill/>
            </a:ln>
            <a:effectLst/>
          </c:spPr>
          <c:invertIfNegative val="0"/>
          <c:cat>
            <c:strRef>
              <c:f>Figures!$B$34:$C$34</c:f>
              <c:strCache>
                <c:ptCount val="2"/>
                <c:pt idx="0">
                  <c:v>Capital Costs</c:v>
                </c:pt>
                <c:pt idx="1">
                  <c:v>Operational Costs</c:v>
                </c:pt>
              </c:strCache>
            </c:strRef>
          </c:cat>
          <c:val>
            <c:numRef>
              <c:f>Figures!$B$236:$C$236</c:f>
              <c:numCache>
                <c:formatCode>General</c:formatCode>
                <c:ptCount val="2"/>
                <c:pt idx="0" formatCode="_(&quot;$&quot;* #,##0.00_);_(&quot;$&quot;* \(#,##0.00\);_(&quot;$&quot;* &quot;-&quot;??_);_(@_)">
                  <c:v>912.14140656716438</c:v>
                </c:pt>
              </c:numCache>
            </c:numRef>
          </c:val>
          <c:extLst>
            <c:ext xmlns:c16="http://schemas.microsoft.com/office/drawing/2014/chart" uri="{C3380CC4-5D6E-409C-BE32-E72D297353CC}">
              <c16:uniqueId val="{00000007-0751-4C8E-98CC-0200EA5F7208}"/>
            </c:ext>
          </c:extLst>
        </c:ser>
        <c:ser>
          <c:idx val="9"/>
          <c:order val="8"/>
          <c:tx>
            <c:strRef>
              <c:f>Figures!$A$237</c:f>
              <c:strCache>
                <c:ptCount val="1"/>
                <c:pt idx="0">
                  <c:v>Peristaltic Pump</c:v>
                </c:pt>
              </c:strCache>
            </c:strRef>
          </c:tx>
          <c:spPr>
            <a:solidFill>
              <a:schemeClr val="accent4">
                <a:lumMod val="60000"/>
              </a:schemeClr>
            </a:solidFill>
            <a:ln>
              <a:noFill/>
            </a:ln>
            <a:effectLst/>
          </c:spPr>
          <c:invertIfNegative val="0"/>
          <c:cat>
            <c:strRef>
              <c:f>Figures!$B$34:$C$34</c:f>
              <c:strCache>
                <c:ptCount val="2"/>
                <c:pt idx="0">
                  <c:v>Capital Costs</c:v>
                </c:pt>
                <c:pt idx="1">
                  <c:v>Operational Costs</c:v>
                </c:pt>
              </c:strCache>
            </c:strRef>
          </c:cat>
          <c:val>
            <c:numRef>
              <c:f>Figures!$B$237:$C$237</c:f>
              <c:numCache>
                <c:formatCode>General</c:formatCode>
                <c:ptCount val="2"/>
                <c:pt idx="0" formatCode="_(&quot;$&quot;* #,##0.00_);_(&quot;$&quot;* \(#,##0.00\);_(&quot;$&quot;* &quot;-&quot;??_);_(@_)">
                  <c:v>889439.80976708652</c:v>
                </c:pt>
              </c:numCache>
            </c:numRef>
          </c:val>
          <c:extLst>
            <c:ext xmlns:c16="http://schemas.microsoft.com/office/drawing/2014/chart" uri="{C3380CC4-5D6E-409C-BE32-E72D297353CC}">
              <c16:uniqueId val="{00000008-0751-4C8E-98CC-0200EA5F7208}"/>
            </c:ext>
          </c:extLst>
        </c:ser>
        <c:ser>
          <c:idx val="10"/>
          <c:order val="9"/>
          <c:tx>
            <c:strRef>
              <c:f>Figures!$A$238</c:f>
              <c:strCache>
                <c:ptCount val="1"/>
                <c:pt idx="0">
                  <c:v>Storage Tank</c:v>
                </c:pt>
              </c:strCache>
            </c:strRef>
          </c:tx>
          <c:spPr>
            <a:solidFill>
              <a:schemeClr val="accent5">
                <a:lumMod val="60000"/>
              </a:schemeClr>
            </a:solidFill>
            <a:ln>
              <a:noFill/>
            </a:ln>
            <a:effectLst/>
          </c:spPr>
          <c:invertIfNegative val="0"/>
          <c:cat>
            <c:strRef>
              <c:f>Figures!$B$34:$C$34</c:f>
              <c:strCache>
                <c:ptCount val="2"/>
                <c:pt idx="0">
                  <c:v>Capital Costs</c:v>
                </c:pt>
                <c:pt idx="1">
                  <c:v>Operational Costs</c:v>
                </c:pt>
              </c:strCache>
            </c:strRef>
          </c:cat>
          <c:val>
            <c:numRef>
              <c:f>Figures!$B$238:$C$238</c:f>
              <c:numCache>
                <c:formatCode>General</c:formatCode>
                <c:ptCount val="2"/>
                <c:pt idx="0" formatCode="_(&quot;$&quot;* #,##0.00_);_(&quot;$&quot;* \(#,##0.00\);_(&quot;$&quot;* &quot;-&quot;??_);_(@_)">
                  <c:v>289284.21721224807</c:v>
                </c:pt>
              </c:numCache>
            </c:numRef>
          </c:val>
          <c:extLst>
            <c:ext xmlns:c16="http://schemas.microsoft.com/office/drawing/2014/chart" uri="{C3380CC4-5D6E-409C-BE32-E72D297353CC}">
              <c16:uniqueId val="{00000009-0751-4C8E-98CC-0200EA5F7208}"/>
            </c:ext>
          </c:extLst>
        </c:ser>
        <c:ser>
          <c:idx val="11"/>
          <c:order val="10"/>
          <c:tx>
            <c:strRef>
              <c:f>Figures!$A$239</c:f>
              <c:strCache>
                <c:ptCount val="1"/>
                <c:pt idx="0">
                  <c:v>Feed Pump - Solvent</c:v>
                </c:pt>
              </c:strCache>
            </c:strRef>
          </c:tx>
          <c:spPr>
            <a:solidFill>
              <a:schemeClr val="accent6">
                <a:lumMod val="60000"/>
              </a:schemeClr>
            </a:solidFill>
            <a:ln>
              <a:noFill/>
            </a:ln>
            <a:effectLst/>
          </c:spPr>
          <c:invertIfNegative val="0"/>
          <c:cat>
            <c:strRef>
              <c:f>Figures!$B$34:$C$34</c:f>
              <c:strCache>
                <c:ptCount val="2"/>
                <c:pt idx="0">
                  <c:v>Capital Costs</c:v>
                </c:pt>
                <c:pt idx="1">
                  <c:v>Operational Costs</c:v>
                </c:pt>
              </c:strCache>
            </c:strRef>
          </c:cat>
          <c:val>
            <c:numRef>
              <c:f>Figures!$B$239:$C$239</c:f>
              <c:numCache>
                <c:formatCode>General</c:formatCode>
                <c:ptCount val="2"/>
                <c:pt idx="0" formatCode="_(&quot;$&quot;* #,##0.00_);_(&quot;$&quot;* \(#,##0.00\);_(&quot;$&quot;* &quot;-&quot;??_);_(@_)">
                  <c:v>2868.5521178948256</c:v>
                </c:pt>
              </c:numCache>
            </c:numRef>
          </c:val>
          <c:extLst>
            <c:ext xmlns:c16="http://schemas.microsoft.com/office/drawing/2014/chart" uri="{C3380CC4-5D6E-409C-BE32-E72D297353CC}">
              <c16:uniqueId val="{0000000A-0751-4C8E-98CC-0200EA5F7208}"/>
            </c:ext>
          </c:extLst>
        </c:ser>
        <c:ser>
          <c:idx val="12"/>
          <c:order val="11"/>
          <c:tx>
            <c:strRef>
              <c:f>Figures!$A$240</c:f>
              <c:strCache>
                <c:ptCount val="1"/>
                <c:pt idx="0">
                  <c:v>Feed Pump - Feed</c:v>
                </c:pt>
              </c:strCache>
            </c:strRef>
          </c:tx>
          <c:spPr>
            <a:solidFill>
              <a:schemeClr val="accent1">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Figures!$B$240:$C$240</c:f>
              <c:numCache>
                <c:formatCode>General</c:formatCode>
                <c:ptCount val="2"/>
                <c:pt idx="0" formatCode="_(&quot;$&quot;* #,##0.00_);_(&quot;$&quot;* \(#,##0.00\);_(&quot;$&quot;* &quot;-&quot;??_);_(@_)">
                  <c:v>20927.670388427814</c:v>
                </c:pt>
              </c:numCache>
            </c:numRef>
          </c:val>
          <c:extLst>
            <c:ext xmlns:c16="http://schemas.microsoft.com/office/drawing/2014/chart" uri="{C3380CC4-5D6E-409C-BE32-E72D297353CC}">
              <c16:uniqueId val="{0000000B-0751-4C8E-98CC-0200EA5F7208}"/>
            </c:ext>
          </c:extLst>
        </c:ser>
        <c:ser>
          <c:idx val="13"/>
          <c:order val="12"/>
          <c:tx>
            <c:strRef>
              <c:f>Figures!$A$241</c:f>
              <c:strCache>
                <c:ptCount val="1"/>
                <c:pt idx="0">
                  <c:v>Mixing Tank Wall</c:v>
                </c:pt>
              </c:strCache>
            </c:strRef>
          </c:tx>
          <c:spPr>
            <a:solidFill>
              <a:schemeClr val="accent2">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Figures!$B$241:$C$241</c:f>
              <c:numCache>
                <c:formatCode>General</c:formatCode>
                <c:ptCount val="2"/>
                <c:pt idx="0" formatCode="_(&quot;$&quot;* #,##0.00_);_(&quot;$&quot;* \(#,##0.00\);_(&quot;$&quot;* &quot;-&quot;??_);_(@_)">
                  <c:v>7312.4842583230447</c:v>
                </c:pt>
              </c:numCache>
            </c:numRef>
          </c:val>
          <c:extLst>
            <c:ext xmlns:c16="http://schemas.microsoft.com/office/drawing/2014/chart" uri="{C3380CC4-5D6E-409C-BE32-E72D297353CC}">
              <c16:uniqueId val="{0000000C-0751-4C8E-98CC-0200EA5F7208}"/>
            </c:ext>
          </c:extLst>
        </c:ser>
        <c:ser>
          <c:idx val="14"/>
          <c:order val="13"/>
          <c:tx>
            <c:strRef>
              <c:f>Figures!$A$242</c:f>
              <c:strCache>
                <c:ptCount val="1"/>
                <c:pt idx="0">
                  <c:v>Agitator</c:v>
                </c:pt>
              </c:strCache>
            </c:strRef>
          </c:tx>
          <c:spPr>
            <a:solidFill>
              <a:schemeClr val="accent3">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Figures!$B$242:$C$242</c:f>
              <c:numCache>
                <c:formatCode>General</c:formatCode>
                <c:ptCount val="2"/>
                <c:pt idx="0" formatCode="_(&quot;$&quot;* #,##0.00_);_(&quot;$&quot;* \(#,##0.00\);_(&quot;$&quot;* &quot;-&quot;??_);_(@_)">
                  <c:v>1589.7401794396849</c:v>
                </c:pt>
              </c:numCache>
            </c:numRef>
          </c:val>
          <c:extLst>
            <c:ext xmlns:c16="http://schemas.microsoft.com/office/drawing/2014/chart" uri="{C3380CC4-5D6E-409C-BE32-E72D297353CC}">
              <c16:uniqueId val="{0000000D-0751-4C8E-98CC-0200EA5F7208}"/>
            </c:ext>
          </c:extLst>
        </c:ser>
        <c:ser>
          <c:idx val="15"/>
          <c:order val="14"/>
          <c:tx>
            <c:strRef>
              <c:f>Figures!$A$243</c:f>
              <c:strCache>
                <c:ptCount val="1"/>
                <c:pt idx="0">
                  <c:v>Decanter - Settler</c:v>
                </c:pt>
              </c:strCache>
            </c:strRef>
          </c:tx>
          <c:spPr>
            <a:solidFill>
              <a:schemeClr val="accent4">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Figures!$B$243:$C$243</c:f>
              <c:numCache>
                <c:formatCode>General</c:formatCode>
                <c:ptCount val="2"/>
                <c:pt idx="0" formatCode="_(&quot;$&quot;* #,##0.00_);_(&quot;$&quot;* \(#,##0.00\);_(&quot;$&quot;* &quot;-&quot;??_);_(@_)">
                  <c:v>847893.09372974304</c:v>
                </c:pt>
              </c:numCache>
            </c:numRef>
          </c:val>
          <c:extLst>
            <c:ext xmlns:c16="http://schemas.microsoft.com/office/drawing/2014/chart" uri="{C3380CC4-5D6E-409C-BE32-E72D297353CC}">
              <c16:uniqueId val="{0000000E-0751-4C8E-98CC-0200EA5F7208}"/>
            </c:ext>
          </c:extLst>
        </c:ser>
        <c:ser>
          <c:idx val="16"/>
          <c:order val="15"/>
          <c:tx>
            <c:strRef>
              <c:f>Figures!$A$244</c:f>
              <c:strCache>
                <c:ptCount val="1"/>
                <c:pt idx="0">
                  <c:v>Distillation Column</c:v>
                </c:pt>
              </c:strCache>
            </c:strRef>
          </c:tx>
          <c:spPr>
            <a:solidFill>
              <a:schemeClr val="accent5">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Figures!$B$244:$C$244</c:f>
              <c:numCache>
                <c:formatCode>General</c:formatCode>
                <c:ptCount val="2"/>
                <c:pt idx="0" formatCode="_(&quot;$&quot;* #,##0.00_);_(&quot;$&quot;* \(#,##0.00\);_(&quot;$&quot;* &quot;-&quot;??_);_(@_)">
                  <c:v>16137.203060660289</c:v>
                </c:pt>
              </c:numCache>
            </c:numRef>
          </c:val>
          <c:extLst>
            <c:ext xmlns:c16="http://schemas.microsoft.com/office/drawing/2014/chart" uri="{C3380CC4-5D6E-409C-BE32-E72D297353CC}">
              <c16:uniqueId val="{0000000F-0751-4C8E-98CC-0200EA5F7208}"/>
            </c:ext>
          </c:extLst>
        </c:ser>
        <c:ser>
          <c:idx val="17"/>
          <c:order val="16"/>
          <c:tx>
            <c:strRef>
              <c:f>Figures!$A$245</c:f>
              <c:strCache>
                <c:ptCount val="1"/>
                <c:pt idx="0">
                  <c:v>Feed Pump</c:v>
                </c:pt>
              </c:strCache>
            </c:strRef>
          </c:tx>
          <c:spPr>
            <a:solidFill>
              <a:schemeClr val="accent6">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Figures!$B$245:$C$245</c:f>
              <c:numCache>
                <c:formatCode>General</c:formatCode>
                <c:ptCount val="2"/>
                <c:pt idx="0" formatCode="_(&quot;$&quot;* #,##0.00_);_(&quot;$&quot;* \(#,##0.00\);_(&quot;$&quot;* &quot;-&quot;??_);_(@_)">
                  <c:v>905.09620449667841</c:v>
                </c:pt>
              </c:numCache>
            </c:numRef>
          </c:val>
          <c:extLst>
            <c:ext xmlns:c16="http://schemas.microsoft.com/office/drawing/2014/chart" uri="{C3380CC4-5D6E-409C-BE32-E72D297353CC}">
              <c16:uniqueId val="{00000010-0751-4C8E-98CC-0200EA5F7208}"/>
            </c:ext>
          </c:extLst>
        </c:ser>
        <c:ser>
          <c:idx val="18"/>
          <c:order val="17"/>
          <c:tx>
            <c:strRef>
              <c:f>Figures!$A$246</c:f>
              <c:strCache>
                <c:ptCount val="1"/>
                <c:pt idx="0">
                  <c:v>Condensor</c:v>
                </c:pt>
              </c:strCache>
            </c:strRef>
          </c:tx>
          <c:spPr>
            <a:solidFill>
              <a:schemeClr val="accent1">
                <a:lumMod val="80000"/>
              </a:schemeClr>
            </a:solidFill>
            <a:ln>
              <a:noFill/>
            </a:ln>
            <a:effectLst/>
          </c:spPr>
          <c:invertIfNegative val="0"/>
          <c:cat>
            <c:strRef>
              <c:f>Figures!$B$34:$C$34</c:f>
              <c:strCache>
                <c:ptCount val="2"/>
                <c:pt idx="0">
                  <c:v>Capital Costs</c:v>
                </c:pt>
                <c:pt idx="1">
                  <c:v>Operational Costs</c:v>
                </c:pt>
              </c:strCache>
            </c:strRef>
          </c:cat>
          <c:val>
            <c:numRef>
              <c:f>Figures!$B$246:$C$246</c:f>
              <c:numCache>
                <c:formatCode>General</c:formatCode>
                <c:ptCount val="2"/>
                <c:pt idx="0" formatCode="_(&quot;$&quot;* #,##0.00_);_(&quot;$&quot;* \(#,##0.00\);_(&quot;$&quot;* &quot;-&quot;??_);_(@_)">
                  <c:v>596.98693636997416</c:v>
                </c:pt>
              </c:numCache>
            </c:numRef>
          </c:val>
          <c:extLst>
            <c:ext xmlns:c16="http://schemas.microsoft.com/office/drawing/2014/chart" uri="{C3380CC4-5D6E-409C-BE32-E72D297353CC}">
              <c16:uniqueId val="{00000011-0751-4C8E-98CC-0200EA5F7208}"/>
            </c:ext>
          </c:extLst>
        </c:ser>
        <c:dLbls>
          <c:showLegendKey val="0"/>
          <c:showVal val="0"/>
          <c:showCatName val="0"/>
          <c:showSerName val="0"/>
          <c:showPercent val="0"/>
          <c:showBubbleSize val="0"/>
        </c:dLbls>
        <c:gapWidth val="50"/>
        <c:overlap val="100"/>
        <c:axId val="1295435552"/>
        <c:axId val="1295428352"/>
      </c:barChart>
      <c:barChart>
        <c:barDir val="col"/>
        <c:grouping val="stacked"/>
        <c:varyColors val="0"/>
        <c:ser>
          <c:idx val="19"/>
          <c:order val="18"/>
          <c:tx>
            <c:strRef>
              <c:f>Figures!$A$247</c:f>
              <c:strCache>
                <c:ptCount val="1"/>
                <c:pt idx="0">
                  <c:v>Reboiler</c:v>
                </c:pt>
              </c:strCache>
            </c:strRef>
          </c:tx>
          <c:spPr>
            <a:solidFill>
              <a:schemeClr val="accent2">
                <a:lumMod val="80000"/>
              </a:schemeClr>
            </a:solidFill>
            <a:ln>
              <a:noFill/>
            </a:ln>
            <a:effectLst/>
          </c:spPr>
          <c:invertIfNegative val="0"/>
          <c:cat>
            <c:strRef>
              <c:f>Figures!$B$34:$C$34</c:f>
              <c:strCache>
                <c:ptCount val="2"/>
                <c:pt idx="0">
                  <c:v>Capital Costs</c:v>
                </c:pt>
                <c:pt idx="1">
                  <c:v>Operational Costs</c:v>
                </c:pt>
              </c:strCache>
            </c:strRef>
          </c:cat>
          <c:val>
            <c:numRef>
              <c:f>Figures!$B$247:$C$247</c:f>
              <c:numCache>
                <c:formatCode>General</c:formatCode>
                <c:ptCount val="2"/>
                <c:pt idx="0" formatCode="_(&quot;$&quot;* #,##0.00_);_(&quot;$&quot;* \(#,##0.00\);_(&quot;$&quot;* &quot;-&quot;??_);_(@_)">
                  <c:v>11.700922032152322</c:v>
                </c:pt>
              </c:numCache>
            </c:numRef>
          </c:val>
          <c:extLst>
            <c:ext xmlns:c16="http://schemas.microsoft.com/office/drawing/2014/chart" uri="{C3380CC4-5D6E-409C-BE32-E72D297353CC}">
              <c16:uniqueId val="{00000012-0751-4C8E-98CC-0200EA5F7208}"/>
            </c:ext>
          </c:extLst>
        </c:ser>
        <c:ser>
          <c:idx val="20"/>
          <c:order val="19"/>
          <c:tx>
            <c:strRef>
              <c:f>Figures!$A$248</c:f>
              <c:strCache>
                <c:ptCount val="1"/>
                <c:pt idx="0">
                  <c:v>Power - Applied Voltage</c:v>
                </c:pt>
              </c:strCache>
            </c:strRef>
          </c:tx>
          <c:spPr>
            <a:solidFill>
              <a:schemeClr val="accent3">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Figures!$B$248:$C$248</c:f>
              <c:numCache>
                <c:formatCode>_("$"* #,##0.00_);_("$"* \(#,##0.00\);_("$"* "-"??_);_(@_)</c:formatCode>
                <c:ptCount val="2"/>
                <c:pt idx="1">
                  <c:v>141540.04209229251</c:v>
                </c:pt>
              </c:numCache>
            </c:numRef>
          </c:val>
          <c:extLst>
            <c:ext xmlns:c16="http://schemas.microsoft.com/office/drawing/2014/chart" uri="{C3380CC4-5D6E-409C-BE32-E72D297353CC}">
              <c16:uniqueId val="{00000013-0751-4C8E-98CC-0200EA5F7208}"/>
            </c:ext>
          </c:extLst>
        </c:ser>
        <c:ser>
          <c:idx val="0"/>
          <c:order val="20"/>
          <c:tx>
            <c:strRef>
              <c:f>Figures!$A$249</c:f>
              <c:strCache>
                <c:ptCount val="1"/>
                <c:pt idx="0">
                  <c:v>Power - Electrolyte Pump</c:v>
                </c:pt>
              </c:strCache>
            </c:strRef>
          </c:tx>
          <c:spPr>
            <a:solidFill>
              <a:schemeClr val="accent1"/>
            </a:solidFill>
            <a:ln>
              <a:noFill/>
            </a:ln>
            <a:effectLst/>
          </c:spPr>
          <c:invertIfNegative val="0"/>
          <c:cat>
            <c:strRef>
              <c:f>Figures!$B$34:$C$34</c:f>
              <c:strCache>
                <c:ptCount val="2"/>
                <c:pt idx="0">
                  <c:v>Capital Costs</c:v>
                </c:pt>
                <c:pt idx="1">
                  <c:v>Operational Costs</c:v>
                </c:pt>
              </c:strCache>
            </c:strRef>
          </c:cat>
          <c:val>
            <c:numRef>
              <c:f>Figures!$B$249:$C$249</c:f>
              <c:numCache>
                <c:formatCode>_("$"* #,##0.00_);_("$"* \(#,##0.00\);_("$"* "-"??_);_(@_)</c:formatCode>
                <c:ptCount val="2"/>
                <c:pt idx="1">
                  <c:v>504.40134682273248</c:v>
                </c:pt>
              </c:numCache>
            </c:numRef>
          </c:val>
          <c:extLst>
            <c:ext xmlns:c16="http://schemas.microsoft.com/office/drawing/2014/chart" uri="{C3380CC4-5D6E-409C-BE32-E72D297353CC}">
              <c16:uniqueId val="{00000014-0751-4C8E-98CC-0200EA5F7208}"/>
            </c:ext>
          </c:extLst>
        </c:ser>
        <c:ser>
          <c:idx val="21"/>
          <c:order val="21"/>
          <c:tx>
            <c:strRef>
              <c:f>Figures!$A$250</c:f>
              <c:strCache>
                <c:ptCount val="1"/>
                <c:pt idx="0">
                  <c:v>Power - Acid 1 Pump</c:v>
                </c:pt>
              </c:strCache>
            </c:strRef>
          </c:tx>
          <c:spPr>
            <a:solidFill>
              <a:schemeClr val="accent4">
                <a:lumMod val="80000"/>
              </a:schemeClr>
            </a:solidFill>
            <a:ln>
              <a:noFill/>
            </a:ln>
            <a:effectLst/>
          </c:spPr>
          <c:invertIfNegative val="0"/>
          <c:cat>
            <c:strRef>
              <c:f>Figures!$B$34:$C$34</c:f>
              <c:strCache>
                <c:ptCount val="2"/>
                <c:pt idx="0">
                  <c:v>Capital Costs</c:v>
                </c:pt>
                <c:pt idx="1">
                  <c:v>Operational Costs</c:v>
                </c:pt>
              </c:strCache>
            </c:strRef>
          </c:cat>
          <c:val>
            <c:numRef>
              <c:f>Figures!$B$250:$C$250</c:f>
              <c:numCache>
                <c:formatCode>_("$"* #,##0.00_);_("$"* \(#,##0.00\);_("$"* "-"??_);_(@_)</c:formatCode>
                <c:ptCount val="2"/>
                <c:pt idx="1">
                  <c:v>521.15930543736852</c:v>
                </c:pt>
              </c:numCache>
            </c:numRef>
          </c:val>
          <c:extLst>
            <c:ext xmlns:c16="http://schemas.microsoft.com/office/drawing/2014/chart" uri="{C3380CC4-5D6E-409C-BE32-E72D297353CC}">
              <c16:uniqueId val="{00000015-0751-4C8E-98CC-0200EA5F7208}"/>
            </c:ext>
          </c:extLst>
        </c:ser>
        <c:ser>
          <c:idx val="22"/>
          <c:order val="22"/>
          <c:tx>
            <c:strRef>
              <c:f>Figures!$A$251</c:f>
              <c:strCache>
                <c:ptCount val="1"/>
                <c:pt idx="0">
                  <c:v>Power - Acid 2 Pump</c:v>
                </c:pt>
              </c:strCache>
            </c:strRef>
          </c:tx>
          <c:spPr>
            <a:solidFill>
              <a:schemeClr val="accent5">
                <a:lumMod val="80000"/>
              </a:schemeClr>
            </a:solidFill>
            <a:ln>
              <a:noFill/>
            </a:ln>
            <a:effectLst/>
          </c:spPr>
          <c:invertIfNegative val="0"/>
          <c:cat>
            <c:strRef>
              <c:f>Figures!$B$34:$C$34</c:f>
              <c:strCache>
                <c:ptCount val="2"/>
                <c:pt idx="0">
                  <c:v>Capital Costs</c:v>
                </c:pt>
                <c:pt idx="1">
                  <c:v>Operational Costs</c:v>
                </c:pt>
              </c:strCache>
            </c:strRef>
          </c:cat>
          <c:val>
            <c:numRef>
              <c:f>Figures!$B$251:$C$251</c:f>
              <c:numCache>
                <c:formatCode>_("$"* #,##0.00_);_("$"* \(#,##0.00\);_("$"* "-"??_);_(@_)</c:formatCode>
                <c:ptCount val="2"/>
                <c:pt idx="1">
                  <c:v>521.15930543736852</c:v>
                </c:pt>
              </c:numCache>
            </c:numRef>
          </c:val>
          <c:extLst>
            <c:ext xmlns:c16="http://schemas.microsoft.com/office/drawing/2014/chart" uri="{C3380CC4-5D6E-409C-BE32-E72D297353CC}">
              <c16:uniqueId val="{00000016-0751-4C8E-98CC-0200EA5F7208}"/>
            </c:ext>
          </c:extLst>
        </c:ser>
        <c:ser>
          <c:idx val="23"/>
          <c:order val="23"/>
          <c:tx>
            <c:strRef>
              <c:f>Figures!$A$252</c:f>
              <c:strCache>
                <c:ptCount val="1"/>
                <c:pt idx="0">
                  <c:v>Power - Base 1 Pump</c:v>
                </c:pt>
              </c:strCache>
            </c:strRef>
          </c:tx>
          <c:spPr>
            <a:solidFill>
              <a:schemeClr val="accent6">
                <a:lumMod val="80000"/>
              </a:schemeClr>
            </a:solidFill>
            <a:ln>
              <a:noFill/>
            </a:ln>
            <a:effectLst/>
          </c:spPr>
          <c:invertIfNegative val="0"/>
          <c:cat>
            <c:strRef>
              <c:f>Figures!$B$34:$C$34</c:f>
              <c:strCache>
                <c:ptCount val="2"/>
                <c:pt idx="0">
                  <c:v>Capital Costs</c:v>
                </c:pt>
                <c:pt idx="1">
                  <c:v>Operational Costs</c:v>
                </c:pt>
              </c:strCache>
            </c:strRef>
          </c:cat>
          <c:val>
            <c:numRef>
              <c:f>Figures!$B$252:$C$252</c:f>
              <c:numCache>
                <c:formatCode>_("$"* #,##0.00_);_("$"* \(#,##0.00\);_("$"* "-"??_);_(@_)</c:formatCode>
                <c:ptCount val="2"/>
                <c:pt idx="1">
                  <c:v>521.15930543736852</c:v>
                </c:pt>
              </c:numCache>
            </c:numRef>
          </c:val>
          <c:extLst>
            <c:ext xmlns:c16="http://schemas.microsoft.com/office/drawing/2014/chart" uri="{C3380CC4-5D6E-409C-BE32-E72D297353CC}">
              <c16:uniqueId val="{00000017-0751-4C8E-98CC-0200EA5F7208}"/>
            </c:ext>
          </c:extLst>
        </c:ser>
        <c:ser>
          <c:idx val="24"/>
          <c:order val="24"/>
          <c:tx>
            <c:strRef>
              <c:f>Figures!$A$253</c:f>
              <c:strCache>
                <c:ptCount val="1"/>
                <c:pt idx="0">
                  <c:v>Power - Base 2 Pump</c:v>
                </c:pt>
              </c:strCache>
            </c:strRef>
          </c:tx>
          <c:spPr>
            <a:solidFill>
              <a:schemeClr val="accent1">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Figures!$B$253:$C$253</c:f>
              <c:numCache>
                <c:formatCode>_("$"* #,##0.00_);_("$"* \(#,##0.00\);_("$"* "-"??_);_(@_)</c:formatCode>
                <c:ptCount val="2"/>
                <c:pt idx="1">
                  <c:v>521.15930543736852</c:v>
                </c:pt>
              </c:numCache>
            </c:numRef>
          </c:val>
          <c:extLst>
            <c:ext xmlns:c16="http://schemas.microsoft.com/office/drawing/2014/chart" uri="{C3380CC4-5D6E-409C-BE32-E72D297353CC}">
              <c16:uniqueId val="{00000018-0751-4C8E-98CC-0200EA5F7208}"/>
            </c:ext>
          </c:extLst>
        </c:ser>
        <c:ser>
          <c:idx val="25"/>
          <c:order val="25"/>
          <c:tx>
            <c:strRef>
              <c:f>Figures!$A$254</c:f>
              <c:strCache>
                <c:ptCount val="1"/>
                <c:pt idx="0">
                  <c:v>Power - Feed Pump</c:v>
                </c:pt>
              </c:strCache>
            </c:strRef>
          </c:tx>
          <c:spPr>
            <a:solidFill>
              <a:schemeClr val="accent2">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Figures!$B$254:$C$254</c:f>
              <c:numCache>
                <c:formatCode>_("$"* #,##0.00_);_("$"* \(#,##0.00\);_("$"* "-"??_);_(@_)</c:formatCode>
                <c:ptCount val="2"/>
                <c:pt idx="1">
                  <c:v>4455.8493834231695</c:v>
                </c:pt>
              </c:numCache>
            </c:numRef>
          </c:val>
          <c:extLst>
            <c:ext xmlns:c16="http://schemas.microsoft.com/office/drawing/2014/chart" uri="{C3380CC4-5D6E-409C-BE32-E72D297353CC}">
              <c16:uniqueId val="{00000019-0751-4C8E-98CC-0200EA5F7208}"/>
            </c:ext>
          </c:extLst>
        </c:ser>
        <c:ser>
          <c:idx val="26"/>
          <c:order val="26"/>
          <c:tx>
            <c:strRef>
              <c:f>Figures!$A$255</c:f>
              <c:strCache>
                <c:ptCount val="1"/>
                <c:pt idx="0">
                  <c:v>Wastewater Treatment</c:v>
                </c:pt>
              </c:strCache>
            </c:strRef>
          </c:tx>
          <c:spPr>
            <a:solidFill>
              <a:schemeClr val="accent3">
                <a:lumMod val="60000"/>
                <a:lumOff val="40000"/>
              </a:schemeClr>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14276802181727202"/>
                      <c:h val="0.13299270924467776"/>
                    </c:manualLayout>
                  </c15:layout>
                </c:ext>
                <c:ext xmlns:c16="http://schemas.microsoft.com/office/drawing/2014/chart" uri="{C3380CC4-5D6E-409C-BE32-E72D297353CC}">
                  <c16:uniqueId val="{00000000-9C9A-4790-81D3-F785E43D684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Figures!$B$255:$C$255</c:f>
              <c:numCache>
                <c:formatCode>_("$"* #,##0.00_);_("$"* \(#,##0.00\);_("$"* "-"??_);_(@_)</c:formatCode>
                <c:ptCount val="2"/>
                <c:pt idx="1">
                  <c:v>713598.78640375519</c:v>
                </c:pt>
              </c:numCache>
            </c:numRef>
          </c:val>
          <c:extLst>
            <c:ext xmlns:c16="http://schemas.microsoft.com/office/drawing/2014/chart" uri="{C3380CC4-5D6E-409C-BE32-E72D297353CC}">
              <c16:uniqueId val="{0000001A-0751-4C8E-98CC-0200EA5F7208}"/>
            </c:ext>
          </c:extLst>
        </c:ser>
        <c:ser>
          <c:idx val="27"/>
          <c:order val="27"/>
          <c:tx>
            <c:strRef>
              <c:f>Figures!$A$256</c:f>
              <c:strCache>
                <c:ptCount val="1"/>
                <c:pt idx="0">
                  <c:v>Nonyl Acetate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Figures!$B$256:$C$256</c:f>
              <c:numCache>
                <c:formatCode>_("$"* #,##0.00_);_("$"* \(#,##0.00\);_("$"* "-"??_);_(@_)</c:formatCode>
                <c:ptCount val="2"/>
                <c:pt idx="1">
                  <c:v>340623.48680873733</c:v>
                </c:pt>
              </c:numCache>
            </c:numRef>
          </c:val>
          <c:extLst>
            <c:ext xmlns:c16="http://schemas.microsoft.com/office/drawing/2014/chart" uri="{C3380CC4-5D6E-409C-BE32-E72D297353CC}">
              <c16:uniqueId val="{0000001B-0751-4C8E-98CC-0200EA5F7208}"/>
            </c:ext>
          </c:extLst>
        </c:ser>
        <c:ser>
          <c:idx val="28"/>
          <c:order val="28"/>
          <c:tx>
            <c:strRef>
              <c:f>Figures!$A$257</c:f>
              <c:strCache>
                <c:ptCount val="1"/>
                <c:pt idx="0">
                  <c:v>Heat - Distillation</c:v>
                </c:pt>
              </c:strCache>
            </c:strRef>
          </c:tx>
          <c:spPr>
            <a:solidFill>
              <a:schemeClr val="accent5">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Figures!$B$257:$C$257</c:f>
              <c:numCache>
                <c:formatCode>_("$"* #,##0.00_);_("$"* \(#,##0.00\);_("$"* "-"??_);_(@_)</c:formatCode>
                <c:ptCount val="2"/>
                <c:pt idx="1">
                  <c:v>120.71404321916224</c:v>
                </c:pt>
              </c:numCache>
            </c:numRef>
          </c:val>
          <c:extLst>
            <c:ext xmlns:c16="http://schemas.microsoft.com/office/drawing/2014/chart" uri="{C3380CC4-5D6E-409C-BE32-E72D297353CC}">
              <c16:uniqueId val="{0000001C-0751-4C8E-98CC-0200EA5F7208}"/>
            </c:ext>
          </c:extLst>
        </c:ser>
        <c:ser>
          <c:idx val="29"/>
          <c:order val="29"/>
          <c:tx>
            <c:strRef>
              <c:f>Figures!$A$258</c:f>
              <c:strCache>
                <c:ptCount val="1"/>
                <c:pt idx="0">
                  <c:v>Power - Feed Pump</c:v>
                </c:pt>
              </c:strCache>
            </c:strRef>
          </c:tx>
          <c:spPr>
            <a:solidFill>
              <a:schemeClr val="accent6">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Figures!$B$258:$C$258</c:f>
              <c:numCache>
                <c:formatCode>_("$"* #,##0.00_);_("$"* \(#,##0.00\);_("$"* "-"??_);_(@_)</c:formatCode>
                <c:ptCount val="2"/>
                <c:pt idx="1">
                  <c:v>332.13630912041549</c:v>
                </c:pt>
              </c:numCache>
            </c:numRef>
          </c:val>
          <c:extLst>
            <c:ext xmlns:c16="http://schemas.microsoft.com/office/drawing/2014/chart" uri="{C3380CC4-5D6E-409C-BE32-E72D297353CC}">
              <c16:uniqueId val="{0000001D-0751-4C8E-98CC-0200EA5F7208}"/>
            </c:ext>
          </c:extLst>
        </c:ser>
        <c:ser>
          <c:idx val="30"/>
          <c:order val="30"/>
          <c:tx>
            <c:strRef>
              <c:f>Figures!$A$259</c:f>
              <c:strCache>
                <c:ptCount val="1"/>
                <c:pt idx="0">
                  <c:v>Power - Recovery Pump</c:v>
                </c:pt>
              </c:strCache>
            </c:strRef>
          </c:tx>
          <c:spPr>
            <a:solidFill>
              <a:schemeClr val="accent1">
                <a:lumMod val="50000"/>
              </a:schemeClr>
            </a:solidFill>
            <a:ln>
              <a:noFill/>
            </a:ln>
            <a:effectLst/>
          </c:spPr>
          <c:invertIfNegative val="0"/>
          <c:cat>
            <c:strRef>
              <c:f>Figures!$B$34:$C$34</c:f>
              <c:strCache>
                <c:ptCount val="2"/>
                <c:pt idx="0">
                  <c:v>Capital Costs</c:v>
                </c:pt>
                <c:pt idx="1">
                  <c:v>Operational Costs</c:v>
                </c:pt>
              </c:strCache>
            </c:strRef>
          </c:cat>
          <c:val>
            <c:numRef>
              <c:f>Figures!$B$259:$C$259</c:f>
              <c:numCache>
                <c:formatCode>_("$"* #,##0.00_);_("$"* \(#,##0.00\);_("$"* "-"??_);_(@_)</c:formatCode>
                <c:ptCount val="2"/>
                <c:pt idx="1">
                  <c:v>57.256095579941878</c:v>
                </c:pt>
              </c:numCache>
            </c:numRef>
          </c:val>
          <c:extLst>
            <c:ext xmlns:c16="http://schemas.microsoft.com/office/drawing/2014/chart" uri="{C3380CC4-5D6E-409C-BE32-E72D297353CC}">
              <c16:uniqueId val="{0000001E-0751-4C8E-98CC-0200EA5F7208}"/>
            </c:ext>
          </c:extLst>
        </c:ser>
        <c:ser>
          <c:idx val="31"/>
          <c:order val="31"/>
          <c:tx>
            <c:strRef>
              <c:f>Figures!$A$260</c:f>
              <c:strCache>
                <c:ptCount val="1"/>
                <c:pt idx="0">
                  <c:v>Power - Distillation Pump</c:v>
                </c:pt>
              </c:strCache>
            </c:strRef>
          </c:tx>
          <c:spPr>
            <a:solidFill>
              <a:schemeClr val="accent2">
                <a:lumMod val="50000"/>
              </a:schemeClr>
            </a:solidFill>
            <a:ln>
              <a:noFill/>
            </a:ln>
            <a:effectLst/>
          </c:spPr>
          <c:invertIfNegative val="0"/>
          <c:cat>
            <c:strRef>
              <c:f>Figures!$B$34:$C$34</c:f>
              <c:strCache>
                <c:ptCount val="2"/>
                <c:pt idx="0">
                  <c:v>Capital Costs</c:v>
                </c:pt>
                <c:pt idx="1">
                  <c:v>Operational Costs</c:v>
                </c:pt>
              </c:strCache>
            </c:strRef>
          </c:cat>
          <c:val>
            <c:numRef>
              <c:f>Figures!$B$260:$C$260</c:f>
              <c:numCache>
                <c:formatCode>_("$"* #,##0.00_);_("$"* \(#,##0.00\);_("$"* "-"??_);_(@_)</c:formatCode>
                <c:ptCount val="2"/>
                <c:pt idx="1">
                  <c:v>29.555208422837786</c:v>
                </c:pt>
              </c:numCache>
            </c:numRef>
          </c:val>
          <c:extLst>
            <c:ext xmlns:c16="http://schemas.microsoft.com/office/drawing/2014/chart" uri="{C3380CC4-5D6E-409C-BE32-E72D297353CC}">
              <c16:uniqueId val="{0000001F-0751-4C8E-98CC-0200EA5F7208}"/>
            </c:ext>
          </c:extLst>
        </c:ser>
        <c:ser>
          <c:idx val="32"/>
          <c:order val="32"/>
          <c:tx>
            <c:strRef>
              <c:f>Figures!$A$261</c:f>
              <c:strCache>
                <c:ptCount val="1"/>
                <c:pt idx="0">
                  <c:v>Wastewater Treatment</c:v>
                </c:pt>
              </c:strCache>
            </c:strRef>
          </c:tx>
          <c:spPr>
            <a:solidFill>
              <a:schemeClr val="accent3">
                <a:lumMod val="50000"/>
              </a:schemeClr>
            </a:solidFill>
            <a:ln>
              <a:noFill/>
            </a:ln>
            <a:effectLst/>
          </c:spPr>
          <c:invertIfNegative val="0"/>
          <c:cat>
            <c:strRef>
              <c:f>Figures!$B$34:$C$34</c:f>
              <c:strCache>
                <c:ptCount val="2"/>
                <c:pt idx="0">
                  <c:v>Capital Costs</c:v>
                </c:pt>
                <c:pt idx="1">
                  <c:v>Operational Costs</c:v>
                </c:pt>
              </c:strCache>
            </c:strRef>
          </c:cat>
          <c:val>
            <c:numRef>
              <c:f>Figures!$B$261:$C$261</c:f>
              <c:numCache>
                <c:formatCode>_("$"* #,##0.00_);_("$"* \(#,##0.00\);_("$"* "-"??_);_(@_)</c:formatCode>
                <c:ptCount val="2"/>
                <c:pt idx="1">
                  <c:v>71347.627398839584</c:v>
                </c:pt>
              </c:numCache>
            </c:numRef>
          </c:val>
          <c:extLst>
            <c:ext xmlns:c16="http://schemas.microsoft.com/office/drawing/2014/chart" uri="{C3380CC4-5D6E-409C-BE32-E72D297353CC}">
              <c16:uniqueId val="{00000020-0751-4C8E-98CC-0200EA5F7208}"/>
            </c:ext>
          </c:extLst>
        </c:ser>
        <c:ser>
          <c:idx val="33"/>
          <c:order val="33"/>
          <c:tx>
            <c:strRef>
              <c:f>Figures!$A$262</c:f>
              <c:strCache>
                <c:ptCount val="1"/>
                <c:pt idx="0">
                  <c:v>Labor</c:v>
                </c:pt>
              </c:strCache>
            </c:strRef>
          </c:tx>
          <c:spPr>
            <a:solidFill>
              <a:schemeClr val="accent4">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Figures!$B$262:$C$262</c:f>
              <c:numCache>
                <c:formatCode>_("$"* #,##0.00_);_("$"* \(#,##0.00\);_("$"* "-"??_);_(@_)</c:formatCode>
                <c:ptCount val="2"/>
                <c:pt idx="1">
                  <c:v>1435000</c:v>
                </c:pt>
              </c:numCache>
            </c:numRef>
          </c:val>
          <c:extLst>
            <c:ext xmlns:c16="http://schemas.microsoft.com/office/drawing/2014/chart" uri="{C3380CC4-5D6E-409C-BE32-E72D297353CC}">
              <c16:uniqueId val="{00000021-0751-4C8E-98CC-0200EA5F7208}"/>
            </c:ext>
          </c:extLst>
        </c:ser>
        <c:dLbls>
          <c:showLegendKey val="0"/>
          <c:showVal val="0"/>
          <c:showCatName val="0"/>
          <c:showSerName val="0"/>
          <c:showPercent val="0"/>
          <c:showBubbleSize val="0"/>
        </c:dLbls>
        <c:gapWidth val="50"/>
        <c:overlap val="100"/>
        <c:axId val="1295501792"/>
        <c:axId val="1295485472"/>
      </c:barChart>
      <c:catAx>
        <c:axId val="129543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Arial Nova Cond" panose="020B0506020202020204" pitchFamily="34" charset="0"/>
                <a:ea typeface="+mn-ea"/>
                <a:cs typeface="+mn-cs"/>
              </a:defRPr>
            </a:pPr>
            <a:endParaRPr lang="en-US"/>
          </a:p>
        </c:txPr>
        <c:crossAx val="1295428352"/>
        <c:crosses val="autoZero"/>
        <c:auto val="1"/>
        <c:lblAlgn val="ctr"/>
        <c:lblOffset val="100"/>
        <c:noMultiLvlLbl val="0"/>
      </c:catAx>
      <c:valAx>
        <c:axId val="1295428352"/>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r>
                  <a:rPr lang="en-US" sz="1600" b="1" i="0" u="none" strike="noStrike" kern="1200" baseline="0">
                    <a:solidFill>
                      <a:sysClr val="windowText" lastClr="000000"/>
                    </a:solidFill>
                    <a:latin typeface="Arial Nova Cond" panose="020B0506020202020204" pitchFamily="34" charset="0"/>
                  </a:rPr>
                  <a:t>CAPEX </a:t>
                </a:r>
                <a:r>
                  <a:rPr lang="en-US" sz="1600" b="0" i="0" u="none" strike="noStrike" kern="1200" baseline="0">
                    <a:solidFill>
                      <a:sysClr val="windowText" lastClr="000000"/>
                    </a:solidFill>
                    <a:latin typeface="Arial Nova Cond" panose="020B0506020202020204" pitchFamily="34" charset="0"/>
                  </a:rPr>
                  <a:t>[1E6 USD (2026)]</a:t>
                </a:r>
              </a:p>
            </c:rich>
          </c:tx>
          <c:layout>
            <c:manualLayout>
              <c:xMode val="edge"/>
              <c:yMode val="edge"/>
              <c:x val="1.479397517004582E-2"/>
              <c:y val="0.18764628548885712"/>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Nova Cond" panose="020B0506020202020204" pitchFamily="34" charset="0"/>
                <a:ea typeface="+mn-ea"/>
                <a:cs typeface="+mn-cs"/>
              </a:defRPr>
            </a:pPr>
            <a:endParaRPr lang="en-US"/>
          </a:p>
        </c:txPr>
        <c:crossAx val="1295435552"/>
        <c:crosses val="autoZero"/>
        <c:crossBetween val="between"/>
        <c:dispUnits>
          <c:builtInUnit val="millions"/>
        </c:dispUnits>
      </c:valAx>
      <c:valAx>
        <c:axId val="1295485472"/>
        <c:scaling>
          <c:orientation val="minMax"/>
        </c:scaling>
        <c:delete val="0"/>
        <c:axPos val="r"/>
        <c:title>
          <c:tx>
            <c:rich>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r>
                  <a:rPr lang="en-US" sz="1600" b="1" i="0" u="none" strike="noStrike" kern="1200" baseline="0">
                    <a:solidFill>
                      <a:sysClr val="windowText" lastClr="000000"/>
                    </a:solidFill>
                    <a:latin typeface="Arial Nova Cond" panose="020B0506020202020204" pitchFamily="34" charset="0"/>
                  </a:rPr>
                  <a:t>OPEX </a:t>
                </a:r>
                <a:r>
                  <a:rPr lang="en-US" sz="1600" b="0" i="0" u="none" strike="noStrike" kern="1200" baseline="0">
                    <a:solidFill>
                      <a:sysClr val="windowText" lastClr="000000"/>
                    </a:solidFill>
                    <a:latin typeface="Arial Nova Cond" panose="020B0506020202020204" pitchFamily="34" charset="0"/>
                  </a:rPr>
                  <a:t>[1E6 USD (2026) / yr ]</a:t>
                </a:r>
              </a:p>
            </c:rich>
          </c:tx>
          <c:layout>
            <c:manualLayout>
              <c:xMode val="edge"/>
              <c:yMode val="edge"/>
              <c:x val="0.94046285006062813"/>
              <c:y val="0.15579830613402865"/>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_);_(&quot;$&quot;* \(#,##0\);_(&quot;$&quot;* &quot;-&quot;_);_(@_)" sourceLinked="0"/>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Nova Cond" panose="020B0506020202020204" pitchFamily="34" charset="0"/>
                <a:ea typeface="+mn-ea"/>
                <a:cs typeface="+mn-cs"/>
              </a:defRPr>
            </a:pPr>
            <a:endParaRPr lang="en-US"/>
          </a:p>
        </c:txPr>
        <c:crossAx val="1295501792"/>
        <c:crosses val="max"/>
        <c:crossBetween val="between"/>
        <c:dispUnits>
          <c:builtInUnit val="millions"/>
        </c:dispUnits>
      </c:valAx>
      <c:catAx>
        <c:axId val="1295501792"/>
        <c:scaling>
          <c:orientation val="minMax"/>
        </c:scaling>
        <c:delete val="1"/>
        <c:axPos val="b"/>
        <c:numFmt formatCode="General" sourceLinked="1"/>
        <c:majorTickMark val="out"/>
        <c:minorTickMark val="none"/>
        <c:tickLblPos val="nextTo"/>
        <c:crossAx val="1295485472"/>
        <c:crosses val="autoZero"/>
        <c:auto val="1"/>
        <c:lblAlgn val="ctr"/>
        <c:lblOffset val="100"/>
        <c:noMultiLvlLbl val="0"/>
      </c:catAx>
      <c:spPr>
        <a:noFill/>
        <a:ln w="19050">
          <a:solidFill>
            <a:schemeClr val="tx1"/>
          </a:solidFill>
        </a:ln>
        <a:effectLst/>
      </c:spPr>
    </c:plotArea>
    <c:legend>
      <c:legendPos val="b"/>
      <c:layout>
        <c:manualLayout>
          <c:xMode val="edge"/>
          <c:yMode val="edge"/>
          <c:x val="0"/>
          <c:y val="0.74528373695889161"/>
          <c:w val="0.99786846724341749"/>
          <c:h val="0.2470345421066700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22225" cap="flat" cmpd="sng" algn="ctr">
      <a:noFill/>
      <a:round/>
    </a:ln>
    <a:effectLst/>
  </c:spPr>
  <c:txPr>
    <a:bodyPr/>
    <a:lstStyle/>
    <a:p>
      <a:pPr>
        <a:defRPr>
          <a:solidFill>
            <a:schemeClr val="tx1"/>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r>
              <a:rPr lang="en-US" sz="2000" b="1" cap="all" baseline="0"/>
              <a:t>Path A Fuel Upgrading Costs</a:t>
            </a:r>
          </a:p>
        </c:rich>
      </c:tx>
      <c:layout>
        <c:manualLayout>
          <c:xMode val="edge"/>
          <c:yMode val="edge"/>
          <c:x val="9.0433090654810644E-2"/>
          <c:y val="1.9415427468090669E-2"/>
        </c:manualLayout>
      </c:layout>
      <c:overlay val="0"/>
      <c:spPr>
        <a:noFill/>
        <a:ln>
          <a:noFill/>
        </a:ln>
        <a:effectLst/>
      </c:spPr>
      <c:txPr>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2427340840664163"/>
          <c:y val="0.12252453299781844"/>
          <c:w val="0.73642509698278802"/>
          <c:h val="0.46800926131177967"/>
        </c:manualLayout>
      </c:layout>
      <c:barChart>
        <c:barDir val="col"/>
        <c:grouping val="stacked"/>
        <c:varyColors val="0"/>
        <c:ser>
          <c:idx val="1"/>
          <c:order val="0"/>
          <c:tx>
            <c:strRef>
              <c:f>Figures!$A$269</c:f>
              <c:strCache>
                <c:ptCount val="1"/>
                <c:pt idx="0">
                  <c:v>Storage Tank</c:v>
                </c:pt>
              </c:strCache>
            </c:strRef>
          </c:tx>
          <c:spPr>
            <a:solidFill>
              <a:schemeClr val="accent2"/>
            </a:solidFill>
            <a:ln>
              <a:noFill/>
            </a:ln>
            <a:effectLst/>
          </c:spPr>
          <c:invertIfNegative val="0"/>
          <c:cat>
            <c:strRef>
              <c:f>Figures!$B$34:$C$34</c:f>
              <c:strCache>
                <c:ptCount val="2"/>
                <c:pt idx="0">
                  <c:v>Capital Costs</c:v>
                </c:pt>
                <c:pt idx="1">
                  <c:v>Operational Costs</c:v>
                </c:pt>
              </c:strCache>
            </c:strRef>
          </c:cat>
          <c:val>
            <c:numRef>
              <c:f>Figures!$B$269:$C$269</c:f>
              <c:numCache>
                <c:formatCode>General</c:formatCode>
                <c:ptCount val="2"/>
                <c:pt idx="0" formatCode="_(&quot;$&quot;* #,##0.00_);_(&quot;$&quot;* \(#,##0.00\);_(&quot;$&quot;* &quot;-&quot;??_);_(@_)">
                  <c:v>79628.587426385187</c:v>
                </c:pt>
              </c:numCache>
            </c:numRef>
          </c:val>
          <c:extLst>
            <c:ext xmlns:c16="http://schemas.microsoft.com/office/drawing/2014/chart" uri="{C3380CC4-5D6E-409C-BE32-E72D297353CC}">
              <c16:uniqueId val="{00000000-9C39-455D-9111-055B767BEE7A}"/>
            </c:ext>
          </c:extLst>
        </c:ser>
        <c:ser>
          <c:idx val="2"/>
          <c:order val="1"/>
          <c:tx>
            <c:strRef>
              <c:f>Figures!$A$270</c:f>
              <c:strCache>
                <c:ptCount val="1"/>
                <c:pt idx="0">
                  <c:v>Feed Pump</c:v>
                </c:pt>
              </c:strCache>
            </c:strRef>
          </c:tx>
          <c:spPr>
            <a:solidFill>
              <a:schemeClr val="accent3"/>
            </a:solidFill>
            <a:ln>
              <a:noFill/>
            </a:ln>
            <a:effectLst/>
          </c:spPr>
          <c:invertIfNegative val="0"/>
          <c:cat>
            <c:strRef>
              <c:f>Figures!$B$34:$C$34</c:f>
              <c:strCache>
                <c:ptCount val="2"/>
                <c:pt idx="0">
                  <c:v>Capital Costs</c:v>
                </c:pt>
                <c:pt idx="1">
                  <c:v>Operational Costs</c:v>
                </c:pt>
              </c:strCache>
            </c:strRef>
          </c:cat>
          <c:val>
            <c:numRef>
              <c:f>Figures!$B$270:$C$270</c:f>
              <c:numCache>
                <c:formatCode>General</c:formatCode>
                <c:ptCount val="2"/>
                <c:pt idx="0" formatCode="_(&quot;$&quot;* #,##0.00_);_(&quot;$&quot;* \(#,##0.00\);_(&quot;$&quot;* &quot;-&quot;??_);_(@_)">
                  <c:v>60477.548283387863</c:v>
                </c:pt>
              </c:numCache>
            </c:numRef>
          </c:val>
          <c:extLst>
            <c:ext xmlns:c16="http://schemas.microsoft.com/office/drawing/2014/chart" uri="{C3380CC4-5D6E-409C-BE32-E72D297353CC}">
              <c16:uniqueId val="{00000001-9C39-455D-9111-055B767BEE7A}"/>
            </c:ext>
          </c:extLst>
        </c:ser>
        <c:ser>
          <c:idx val="3"/>
          <c:order val="2"/>
          <c:tx>
            <c:strRef>
              <c:f>Figures!$A$271</c:f>
              <c:strCache>
                <c:ptCount val="1"/>
                <c:pt idx="0">
                  <c:v>Fixed Bed Reactor - Ketonization</c:v>
                </c:pt>
              </c:strCache>
            </c:strRef>
          </c:tx>
          <c:spPr>
            <a:solidFill>
              <a:schemeClr val="accent4"/>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28834648628281351"/>
                      <c:h val="5.5261160431053065E-2"/>
                    </c:manualLayout>
                  </c15:layout>
                </c:ext>
                <c:ext xmlns:c16="http://schemas.microsoft.com/office/drawing/2014/chart" uri="{C3380CC4-5D6E-409C-BE32-E72D297353CC}">
                  <c16:uniqueId val="{0000006D-9890-4DC3-B8C0-CF181DA025C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Figures!$B$271:$C$271</c:f>
              <c:numCache>
                <c:formatCode>General</c:formatCode>
                <c:ptCount val="2"/>
                <c:pt idx="0" formatCode="_(&quot;$&quot;* #,##0.00_);_(&quot;$&quot;* \(#,##0.00\);_(&quot;$&quot;* &quot;-&quot;??_);_(@_)">
                  <c:v>633985.87244320207</c:v>
                </c:pt>
              </c:numCache>
            </c:numRef>
          </c:val>
          <c:extLst>
            <c:ext xmlns:c16="http://schemas.microsoft.com/office/drawing/2014/chart" uri="{C3380CC4-5D6E-409C-BE32-E72D297353CC}">
              <c16:uniqueId val="{00000002-9C39-455D-9111-055B767BEE7A}"/>
            </c:ext>
          </c:extLst>
        </c:ser>
        <c:ser>
          <c:idx val="4"/>
          <c:order val="3"/>
          <c:tx>
            <c:strRef>
              <c:f>Figures!$A$272</c:f>
              <c:strCache>
                <c:ptCount val="1"/>
                <c:pt idx="0">
                  <c:v>Heat Exchanger</c:v>
                </c:pt>
              </c:strCache>
            </c:strRef>
          </c:tx>
          <c:spPr>
            <a:solidFill>
              <a:schemeClr val="accent5"/>
            </a:solidFill>
            <a:ln>
              <a:noFill/>
            </a:ln>
            <a:effectLst/>
          </c:spPr>
          <c:invertIfNegative val="0"/>
          <c:cat>
            <c:strRef>
              <c:f>Figures!$B$34:$C$34</c:f>
              <c:strCache>
                <c:ptCount val="2"/>
                <c:pt idx="0">
                  <c:v>Capital Costs</c:v>
                </c:pt>
                <c:pt idx="1">
                  <c:v>Operational Costs</c:v>
                </c:pt>
              </c:strCache>
            </c:strRef>
          </c:cat>
          <c:val>
            <c:numRef>
              <c:f>Figures!$B$272:$C$272</c:f>
              <c:numCache>
                <c:formatCode>General</c:formatCode>
                <c:ptCount val="2"/>
                <c:pt idx="0" formatCode="_(&quot;$&quot;* #,##0.00_);_(&quot;$&quot;* \(#,##0.00\);_(&quot;$&quot;* &quot;-&quot;??_);_(@_)">
                  <c:v>1491.1177465123089</c:v>
                </c:pt>
              </c:numCache>
            </c:numRef>
          </c:val>
          <c:extLst>
            <c:ext xmlns:c16="http://schemas.microsoft.com/office/drawing/2014/chart" uri="{C3380CC4-5D6E-409C-BE32-E72D297353CC}">
              <c16:uniqueId val="{00000003-9C39-455D-9111-055B767BEE7A}"/>
            </c:ext>
          </c:extLst>
        </c:ser>
        <c:ser>
          <c:idx val="5"/>
          <c:order val="4"/>
          <c:tx>
            <c:strRef>
              <c:f>Figures!$A$273</c:f>
              <c:strCache>
                <c:ptCount val="1"/>
                <c:pt idx="0">
                  <c:v>Knockout Drum</c:v>
                </c:pt>
              </c:strCache>
            </c:strRef>
          </c:tx>
          <c:spPr>
            <a:solidFill>
              <a:schemeClr val="accent6"/>
            </a:solidFill>
            <a:ln>
              <a:noFill/>
            </a:ln>
            <a:effectLst/>
          </c:spPr>
          <c:invertIfNegative val="0"/>
          <c:cat>
            <c:strRef>
              <c:f>Figures!$B$34:$C$34</c:f>
              <c:strCache>
                <c:ptCount val="2"/>
                <c:pt idx="0">
                  <c:v>Capital Costs</c:v>
                </c:pt>
                <c:pt idx="1">
                  <c:v>Operational Costs</c:v>
                </c:pt>
              </c:strCache>
            </c:strRef>
          </c:cat>
          <c:val>
            <c:numRef>
              <c:f>Figures!$B$273:$C$273</c:f>
              <c:numCache>
                <c:formatCode>General</c:formatCode>
                <c:ptCount val="2"/>
                <c:pt idx="0" formatCode="_(&quot;$&quot;* #,##0.00_);_(&quot;$&quot;* \(#,##0.00\);_(&quot;$&quot;* &quot;-&quot;??_);_(@_)">
                  <c:v>1827.6662969296542</c:v>
                </c:pt>
              </c:numCache>
            </c:numRef>
          </c:val>
          <c:extLst>
            <c:ext xmlns:c16="http://schemas.microsoft.com/office/drawing/2014/chart" uri="{C3380CC4-5D6E-409C-BE32-E72D297353CC}">
              <c16:uniqueId val="{00000004-9C39-455D-9111-055B767BEE7A}"/>
            </c:ext>
          </c:extLst>
        </c:ser>
        <c:ser>
          <c:idx val="6"/>
          <c:order val="5"/>
          <c:tx>
            <c:strRef>
              <c:f>Figures!$A$274</c:f>
              <c:strCache>
                <c:ptCount val="1"/>
                <c:pt idx="0">
                  <c:v>Product Pump</c:v>
                </c:pt>
              </c:strCache>
            </c:strRef>
          </c:tx>
          <c:spPr>
            <a:solidFill>
              <a:schemeClr val="accent1">
                <a:lumMod val="60000"/>
              </a:schemeClr>
            </a:solidFill>
            <a:ln>
              <a:noFill/>
            </a:ln>
            <a:effectLst/>
          </c:spPr>
          <c:invertIfNegative val="0"/>
          <c:cat>
            <c:strRef>
              <c:f>Figures!$B$34:$C$34</c:f>
              <c:strCache>
                <c:ptCount val="2"/>
                <c:pt idx="0">
                  <c:v>Capital Costs</c:v>
                </c:pt>
                <c:pt idx="1">
                  <c:v>Operational Costs</c:v>
                </c:pt>
              </c:strCache>
            </c:strRef>
          </c:cat>
          <c:val>
            <c:numRef>
              <c:f>Figures!$B$274:$C$274</c:f>
              <c:numCache>
                <c:formatCode>General</c:formatCode>
                <c:ptCount val="2"/>
                <c:pt idx="0" formatCode="_(&quot;$&quot;* #,##0.00_);_(&quot;$&quot;* \(#,##0.00\);_(&quot;$&quot;* &quot;-&quot;??_);_(@_)">
                  <c:v>60477.548283387863</c:v>
                </c:pt>
              </c:numCache>
            </c:numRef>
          </c:val>
          <c:extLst>
            <c:ext xmlns:c16="http://schemas.microsoft.com/office/drawing/2014/chart" uri="{C3380CC4-5D6E-409C-BE32-E72D297353CC}">
              <c16:uniqueId val="{00000005-9C39-455D-9111-055B767BEE7A}"/>
            </c:ext>
          </c:extLst>
        </c:ser>
        <c:ser>
          <c:idx val="7"/>
          <c:order val="6"/>
          <c:tx>
            <c:strRef>
              <c:f>Figures!$A$275</c:f>
              <c:strCache>
                <c:ptCount val="1"/>
                <c:pt idx="0">
                  <c:v>Catalyst Regeneration Air Blower</c:v>
                </c:pt>
              </c:strCache>
            </c:strRef>
          </c:tx>
          <c:spPr>
            <a:solidFill>
              <a:schemeClr val="accent2">
                <a:lumMod val="60000"/>
              </a:schemeClr>
            </a:solidFill>
            <a:ln>
              <a:noFill/>
            </a:ln>
            <a:effectLst/>
          </c:spPr>
          <c:invertIfNegative val="0"/>
          <c:cat>
            <c:strRef>
              <c:f>Figures!$B$34:$C$34</c:f>
              <c:strCache>
                <c:ptCount val="2"/>
                <c:pt idx="0">
                  <c:v>Capital Costs</c:v>
                </c:pt>
                <c:pt idx="1">
                  <c:v>Operational Costs</c:v>
                </c:pt>
              </c:strCache>
            </c:strRef>
          </c:cat>
          <c:val>
            <c:numRef>
              <c:f>Figures!$B$275:$C$275</c:f>
              <c:numCache>
                <c:formatCode>General</c:formatCode>
                <c:ptCount val="2"/>
                <c:pt idx="0" formatCode="_(&quot;$&quot;* #,##0.00_);_(&quot;$&quot;* \(#,##0.00\);_(&quot;$&quot;* &quot;-&quot;??_);_(@_)">
                  <c:v>948622.83801964088</c:v>
                </c:pt>
              </c:numCache>
            </c:numRef>
          </c:val>
          <c:extLst>
            <c:ext xmlns:c16="http://schemas.microsoft.com/office/drawing/2014/chart" uri="{C3380CC4-5D6E-409C-BE32-E72D297353CC}">
              <c16:uniqueId val="{00000006-9C39-455D-9111-055B767BEE7A}"/>
            </c:ext>
          </c:extLst>
        </c:ser>
        <c:ser>
          <c:idx val="8"/>
          <c:order val="7"/>
          <c:tx>
            <c:strRef>
              <c:f>Figures!$A$276</c:f>
              <c:strCache>
                <c:ptCount val="1"/>
                <c:pt idx="0">
                  <c:v>Storage Tank</c:v>
                </c:pt>
              </c:strCache>
            </c:strRef>
          </c:tx>
          <c:spPr>
            <a:solidFill>
              <a:schemeClr val="accent3">
                <a:lumMod val="60000"/>
              </a:schemeClr>
            </a:solidFill>
            <a:ln>
              <a:noFill/>
            </a:ln>
            <a:effectLst/>
          </c:spPr>
          <c:invertIfNegative val="0"/>
          <c:cat>
            <c:strRef>
              <c:f>Figures!$B$34:$C$34</c:f>
              <c:strCache>
                <c:ptCount val="2"/>
                <c:pt idx="0">
                  <c:v>Capital Costs</c:v>
                </c:pt>
                <c:pt idx="1">
                  <c:v>Operational Costs</c:v>
                </c:pt>
              </c:strCache>
            </c:strRef>
          </c:cat>
          <c:val>
            <c:numRef>
              <c:f>Figures!$B$276:$C$276</c:f>
              <c:numCache>
                <c:formatCode>General</c:formatCode>
                <c:ptCount val="2"/>
                <c:pt idx="0" formatCode="_(&quot;$&quot;* #,##0.00_);_(&quot;$&quot;* \(#,##0.00\);_(&quot;$&quot;* &quot;-&quot;??_);_(@_)">
                  <c:v>79628.587426385187</c:v>
                </c:pt>
              </c:numCache>
            </c:numRef>
          </c:val>
          <c:extLst>
            <c:ext xmlns:c16="http://schemas.microsoft.com/office/drawing/2014/chart" uri="{C3380CC4-5D6E-409C-BE32-E72D297353CC}">
              <c16:uniqueId val="{00000007-9C39-455D-9111-055B767BEE7A}"/>
            </c:ext>
          </c:extLst>
        </c:ser>
        <c:ser>
          <c:idx val="9"/>
          <c:order val="8"/>
          <c:tx>
            <c:strRef>
              <c:f>Figures!$A$277</c:f>
              <c:strCache>
                <c:ptCount val="1"/>
                <c:pt idx="0">
                  <c:v>High Pressure Feed Pump</c:v>
                </c:pt>
              </c:strCache>
            </c:strRef>
          </c:tx>
          <c:spPr>
            <a:solidFill>
              <a:schemeClr val="accent4">
                <a:lumMod val="60000"/>
              </a:schemeClr>
            </a:solidFill>
            <a:ln>
              <a:noFill/>
            </a:ln>
            <a:effectLst/>
          </c:spPr>
          <c:invertIfNegative val="0"/>
          <c:cat>
            <c:strRef>
              <c:f>Figures!$B$34:$C$34</c:f>
              <c:strCache>
                <c:ptCount val="2"/>
                <c:pt idx="0">
                  <c:v>Capital Costs</c:v>
                </c:pt>
                <c:pt idx="1">
                  <c:v>Operational Costs</c:v>
                </c:pt>
              </c:strCache>
            </c:strRef>
          </c:cat>
          <c:val>
            <c:numRef>
              <c:f>Figures!$B$277:$C$277</c:f>
              <c:numCache>
                <c:formatCode>General</c:formatCode>
                <c:ptCount val="2"/>
                <c:pt idx="0" formatCode="_(&quot;$&quot;* #,##0.00_);_(&quot;$&quot;* \(#,##0.00\);_(&quot;$&quot;* &quot;-&quot;??_);_(@_)">
                  <c:v>435.14926701462122</c:v>
                </c:pt>
              </c:numCache>
            </c:numRef>
          </c:val>
          <c:extLst>
            <c:ext xmlns:c16="http://schemas.microsoft.com/office/drawing/2014/chart" uri="{C3380CC4-5D6E-409C-BE32-E72D297353CC}">
              <c16:uniqueId val="{00000008-9C39-455D-9111-055B767BEE7A}"/>
            </c:ext>
          </c:extLst>
        </c:ser>
        <c:ser>
          <c:idx val="10"/>
          <c:order val="9"/>
          <c:tx>
            <c:strRef>
              <c:f>Figures!$A$278</c:f>
              <c:strCache>
                <c:ptCount val="1"/>
                <c:pt idx="0">
                  <c:v>Fixed Bed Reactor - Hydrodeoxygenation</c:v>
                </c:pt>
              </c:strCache>
            </c:strRef>
          </c:tx>
          <c:spPr>
            <a:solidFill>
              <a:schemeClr val="accent5">
                <a:lumMod val="60000"/>
              </a:schemeClr>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21190200769178885"/>
                      <c:h val="0.19970370370370369"/>
                    </c:manualLayout>
                  </c15:layout>
                </c:ext>
                <c:ext xmlns:c16="http://schemas.microsoft.com/office/drawing/2014/chart" uri="{C3380CC4-5D6E-409C-BE32-E72D297353CC}">
                  <c16:uniqueId val="{00000000-B967-4AD6-BFD0-F1551E62967D}"/>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Figures!$B$278:$C$278</c:f>
              <c:numCache>
                <c:formatCode>General</c:formatCode>
                <c:ptCount val="2"/>
                <c:pt idx="0" formatCode="_(&quot;$&quot;* #,##0.00_);_(&quot;$&quot;* \(#,##0.00\);_(&quot;$&quot;* &quot;-&quot;??_);_(@_)">
                  <c:v>1798123.2228001643</c:v>
                </c:pt>
              </c:numCache>
            </c:numRef>
          </c:val>
          <c:extLst>
            <c:ext xmlns:c16="http://schemas.microsoft.com/office/drawing/2014/chart" uri="{C3380CC4-5D6E-409C-BE32-E72D297353CC}">
              <c16:uniqueId val="{00000009-9C39-455D-9111-055B767BEE7A}"/>
            </c:ext>
          </c:extLst>
        </c:ser>
        <c:ser>
          <c:idx val="11"/>
          <c:order val="10"/>
          <c:tx>
            <c:strRef>
              <c:f>Figures!$A$279</c:f>
              <c:strCache>
                <c:ptCount val="1"/>
                <c:pt idx="0">
                  <c:v>Heat Exchanger</c:v>
                </c:pt>
              </c:strCache>
            </c:strRef>
          </c:tx>
          <c:spPr>
            <a:solidFill>
              <a:schemeClr val="accent6">
                <a:lumMod val="60000"/>
              </a:schemeClr>
            </a:solidFill>
            <a:ln>
              <a:noFill/>
            </a:ln>
            <a:effectLst/>
          </c:spPr>
          <c:invertIfNegative val="0"/>
          <c:cat>
            <c:strRef>
              <c:f>Figures!$B$34:$C$34</c:f>
              <c:strCache>
                <c:ptCount val="2"/>
                <c:pt idx="0">
                  <c:v>Capital Costs</c:v>
                </c:pt>
                <c:pt idx="1">
                  <c:v>Operational Costs</c:v>
                </c:pt>
              </c:strCache>
            </c:strRef>
          </c:cat>
          <c:val>
            <c:numRef>
              <c:f>Figures!$B$279:$C$279</c:f>
              <c:numCache>
                <c:formatCode>General</c:formatCode>
                <c:ptCount val="2"/>
                <c:pt idx="0" formatCode="_(&quot;$&quot;* #,##0.00_);_(&quot;$&quot;* \(#,##0.00\);_(&quot;$&quot;* &quot;-&quot;??_);_(@_)">
                  <c:v>1491.1177465123089</c:v>
                </c:pt>
              </c:numCache>
            </c:numRef>
          </c:val>
          <c:extLst>
            <c:ext xmlns:c16="http://schemas.microsoft.com/office/drawing/2014/chart" uri="{C3380CC4-5D6E-409C-BE32-E72D297353CC}">
              <c16:uniqueId val="{0000000A-9C39-455D-9111-055B767BEE7A}"/>
            </c:ext>
          </c:extLst>
        </c:ser>
        <c:ser>
          <c:idx val="12"/>
          <c:order val="11"/>
          <c:tx>
            <c:strRef>
              <c:f>Figures!$A$280</c:f>
              <c:strCache>
                <c:ptCount val="1"/>
                <c:pt idx="0">
                  <c:v>Cool Water Heat Exchanger</c:v>
                </c:pt>
              </c:strCache>
            </c:strRef>
          </c:tx>
          <c:spPr>
            <a:solidFill>
              <a:schemeClr val="accent1">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Figures!$B$280:$C$280</c:f>
              <c:numCache>
                <c:formatCode>General</c:formatCode>
                <c:ptCount val="2"/>
                <c:pt idx="0" formatCode="_(&quot;$&quot;* #,##0.00_);_(&quot;$&quot;* \(#,##0.00\);_(&quot;$&quot;* &quot;-&quot;??_);_(@_)">
                  <c:v>4273.1861522534537</c:v>
                </c:pt>
              </c:numCache>
            </c:numRef>
          </c:val>
          <c:extLst>
            <c:ext xmlns:c16="http://schemas.microsoft.com/office/drawing/2014/chart" uri="{C3380CC4-5D6E-409C-BE32-E72D297353CC}">
              <c16:uniqueId val="{0000000B-9C39-455D-9111-055B767BEE7A}"/>
            </c:ext>
          </c:extLst>
        </c:ser>
        <c:ser>
          <c:idx val="13"/>
          <c:order val="12"/>
          <c:tx>
            <c:strRef>
              <c:f>Figures!$A$281</c:f>
              <c:strCache>
                <c:ptCount val="1"/>
                <c:pt idx="0">
                  <c:v>H2 Makeup Compressor</c:v>
                </c:pt>
              </c:strCache>
            </c:strRef>
          </c:tx>
          <c:spPr>
            <a:solidFill>
              <a:schemeClr val="accent2">
                <a:lumMod val="80000"/>
                <a:lumOff val="20000"/>
              </a:schemeClr>
            </a:solidFill>
            <a:ln>
              <a:noFill/>
            </a:ln>
            <a:effectLst/>
          </c:spPr>
          <c:invertIfNegative val="0"/>
          <c:dLbls>
            <c:dLbl>
              <c:idx val="0"/>
              <c:showLegendKey val="0"/>
              <c:showVal val="0"/>
              <c:showCatName val="0"/>
              <c:showSerName val="1"/>
              <c:showPercent val="0"/>
              <c:showBubbleSize val="0"/>
              <c:extLst>
                <c:ext xmlns:c15="http://schemas.microsoft.com/office/drawing/2012/chart" uri="{CE6537A1-D6FC-4f65-9D91-7224C49458BB}">
                  <c15:layout>
                    <c:manualLayout>
                      <c:w val="0.19970363168555835"/>
                      <c:h val="8.773333333333333E-2"/>
                    </c:manualLayout>
                  </c15:layout>
                </c:ext>
                <c:ext xmlns:c16="http://schemas.microsoft.com/office/drawing/2014/chart" uri="{C3380CC4-5D6E-409C-BE32-E72D297353CC}">
                  <c16:uniqueId val="{00000002-B967-4AD6-BFD0-F1551E62967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Figures!$B$281:$C$281</c:f>
              <c:numCache>
                <c:formatCode>General</c:formatCode>
                <c:ptCount val="2"/>
                <c:pt idx="0" formatCode="_(&quot;$&quot;* #,##0.00_);_(&quot;$&quot;* \(#,##0.00\);_(&quot;$&quot;* &quot;-&quot;??_);_(@_)">
                  <c:v>1057795.2844331148</c:v>
                </c:pt>
              </c:numCache>
            </c:numRef>
          </c:val>
          <c:extLst>
            <c:ext xmlns:c16="http://schemas.microsoft.com/office/drawing/2014/chart" uri="{C3380CC4-5D6E-409C-BE32-E72D297353CC}">
              <c16:uniqueId val="{0000000C-9C39-455D-9111-055B767BEE7A}"/>
            </c:ext>
          </c:extLst>
        </c:ser>
        <c:ser>
          <c:idx val="14"/>
          <c:order val="13"/>
          <c:tx>
            <c:strRef>
              <c:f>Figures!$A$282</c:f>
              <c:strCache>
                <c:ptCount val="1"/>
                <c:pt idx="0">
                  <c:v>H2 Recycle Compressor</c:v>
                </c:pt>
              </c:strCache>
            </c:strRef>
          </c:tx>
          <c:spPr>
            <a:solidFill>
              <a:schemeClr val="accent3">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Figures!$B$282:$C$282</c:f>
              <c:numCache>
                <c:formatCode>General</c:formatCode>
                <c:ptCount val="2"/>
                <c:pt idx="0" formatCode="_(&quot;$&quot;* #,##0.00_);_(&quot;$&quot;* \(#,##0.00\);_(&quot;$&quot;* &quot;-&quot;??_);_(@_)">
                  <c:v>23914.470339934105</c:v>
                </c:pt>
              </c:numCache>
            </c:numRef>
          </c:val>
          <c:extLst>
            <c:ext xmlns:c16="http://schemas.microsoft.com/office/drawing/2014/chart" uri="{C3380CC4-5D6E-409C-BE32-E72D297353CC}">
              <c16:uniqueId val="{0000000D-9C39-455D-9111-055B767BEE7A}"/>
            </c:ext>
          </c:extLst>
        </c:ser>
        <c:ser>
          <c:idx val="15"/>
          <c:order val="14"/>
          <c:tx>
            <c:strRef>
              <c:f>Figures!$A$283</c:f>
              <c:strCache>
                <c:ptCount val="1"/>
                <c:pt idx="0">
                  <c:v>High Pressure High Stage Separator</c:v>
                </c:pt>
              </c:strCache>
            </c:strRef>
          </c:tx>
          <c:spPr>
            <a:solidFill>
              <a:schemeClr val="accent4">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Figures!$B$283:$C$283</c:f>
              <c:numCache>
                <c:formatCode>General</c:formatCode>
                <c:ptCount val="2"/>
                <c:pt idx="0" formatCode="_(&quot;$&quot;* #,##0.00_);_(&quot;$&quot;* \(#,##0.00\);_(&quot;$&quot;* &quot;-&quot;??_);_(@_)">
                  <c:v>2577.5392122817284</c:v>
                </c:pt>
              </c:numCache>
            </c:numRef>
          </c:val>
          <c:extLst>
            <c:ext xmlns:c16="http://schemas.microsoft.com/office/drawing/2014/chart" uri="{C3380CC4-5D6E-409C-BE32-E72D297353CC}">
              <c16:uniqueId val="{0000000E-9C39-455D-9111-055B767BEE7A}"/>
            </c:ext>
          </c:extLst>
        </c:ser>
        <c:ser>
          <c:idx val="16"/>
          <c:order val="15"/>
          <c:tx>
            <c:strRef>
              <c:f>Figures!$A$284</c:f>
              <c:strCache>
                <c:ptCount val="1"/>
                <c:pt idx="0">
                  <c:v>Catalyst Regeneration Air Blower</c:v>
                </c:pt>
              </c:strCache>
            </c:strRef>
          </c:tx>
          <c:spPr>
            <a:solidFill>
              <a:schemeClr val="accent5">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Figures!$B$284:$C$284</c:f>
              <c:numCache>
                <c:formatCode>General</c:formatCode>
                <c:ptCount val="2"/>
                <c:pt idx="0" formatCode="_(&quot;$&quot;* #,##0.00_);_(&quot;$&quot;* \(#,##0.00\);_(&quot;$&quot;* &quot;-&quot;??_);_(@_)">
                  <c:v>948622.83801964088</c:v>
                </c:pt>
              </c:numCache>
            </c:numRef>
          </c:val>
          <c:extLst>
            <c:ext xmlns:c16="http://schemas.microsoft.com/office/drawing/2014/chart" uri="{C3380CC4-5D6E-409C-BE32-E72D297353CC}">
              <c16:uniqueId val="{0000000F-9C39-455D-9111-055B767BEE7A}"/>
            </c:ext>
          </c:extLst>
        </c:ser>
        <c:ser>
          <c:idx val="17"/>
          <c:order val="16"/>
          <c:tx>
            <c:strRef>
              <c:f>Figures!$A$285</c:f>
              <c:strCache>
                <c:ptCount val="1"/>
                <c:pt idx="0">
                  <c:v>Storage Tank</c:v>
                </c:pt>
              </c:strCache>
            </c:strRef>
          </c:tx>
          <c:spPr>
            <a:solidFill>
              <a:schemeClr val="accent6">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Figures!$B$285:$C$285</c:f>
              <c:numCache>
                <c:formatCode>General</c:formatCode>
                <c:ptCount val="2"/>
                <c:pt idx="0" formatCode="_(&quot;$&quot;* #,##0.00_);_(&quot;$&quot;* \(#,##0.00\);_(&quot;$&quot;* &quot;-&quot;??_);_(@_)">
                  <c:v>53085.724950923446</c:v>
                </c:pt>
              </c:numCache>
            </c:numRef>
          </c:val>
          <c:extLst>
            <c:ext xmlns:c16="http://schemas.microsoft.com/office/drawing/2014/chart" uri="{C3380CC4-5D6E-409C-BE32-E72D297353CC}">
              <c16:uniqueId val="{00000010-9C39-455D-9111-055B767BEE7A}"/>
            </c:ext>
          </c:extLst>
        </c:ser>
        <c:ser>
          <c:idx val="18"/>
          <c:order val="17"/>
          <c:tx>
            <c:strRef>
              <c:f>Figures!$A$286</c:f>
              <c:strCache>
                <c:ptCount val="1"/>
                <c:pt idx="0">
                  <c:v>Distillation Column</c:v>
                </c:pt>
              </c:strCache>
            </c:strRef>
          </c:tx>
          <c:spPr>
            <a:solidFill>
              <a:schemeClr val="accent1">
                <a:lumMod val="80000"/>
              </a:schemeClr>
            </a:solidFill>
            <a:ln>
              <a:noFill/>
            </a:ln>
            <a:effectLst/>
          </c:spPr>
          <c:invertIfNegative val="0"/>
          <c:cat>
            <c:strRef>
              <c:f>Figures!$B$34:$C$34</c:f>
              <c:strCache>
                <c:ptCount val="2"/>
                <c:pt idx="0">
                  <c:v>Capital Costs</c:v>
                </c:pt>
                <c:pt idx="1">
                  <c:v>Operational Costs</c:v>
                </c:pt>
              </c:strCache>
            </c:strRef>
          </c:cat>
          <c:val>
            <c:numRef>
              <c:f>Figures!$B$286:$C$286</c:f>
              <c:numCache>
                <c:formatCode>General</c:formatCode>
                <c:ptCount val="2"/>
                <c:pt idx="0" formatCode="_(&quot;$&quot;* #,##0.00_);_(&quot;$&quot;* \(#,##0.00\);_(&quot;$&quot;* &quot;-&quot;??_);_(@_)">
                  <c:v>16104.93241769869</c:v>
                </c:pt>
              </c:numCache>
            </c:numRef>
          </c:val>
          <c:extLst>
            <c:ext xmlns:c16="http://schemas.microsoft.com/office/drawing/2014/chart" uri="{C3380CC4-5D6E-409C-BE32-E72D297353CC}">
              <c16:uniqueId val="{00000011-9C39-455D-9111-055B767BEE7A}"/>
            </c:ext>
          </c:extLst>
        </c:ser>
        <c:dLbls>
          <c:showLegendKey val="0"/>
          <c:showVal val="0"/>
          <c:showCatName val="0"/>
          <c:showSerName val="0"/>
          <c:showPercent val="0"/>
          <c:showBubbleSize val="0"/>
        </c:dLbls>
        <c:gapWidth val="50"/>
        <c:overlap val="100"/>
        <c:axId val="1295435552"/>
        <c:axId val="1295428352"/>
      </c:barChart>
      <c:barChart>
        <c:barDir val="col"/>
        <c:grouping val="stacked"/>
        <c:varyColors val="0"/>
        <c:ser>
          <c:idx val="19"/>
          <c:order val="18"/>
          <c:tx>
            <c:strRef>
              <c:f>Figures!$A$287</c:f>
              <c:strCache>
                <c:ptCount val="1"/>
                <c:pt idx="0">
                  <c:v>Feed Pump</c:v>
                </c:pt>
              </c:strCache>
            </c:strRef>
          </c:tx>
          <c:spPr>
            <a:solidFill>
              <a:schemeClr val="accent2">
                <a:lumMod val="80000"/>
              </a:schemeClr>
            </a:solidFill>
            <a:ln>
              <a:noFill/>
            </a:ln>
            <a:effectLst/>
          </c:spPr>
          <c:invertIfNegative val="0"/>
          <c:cat>
            <c:strRef>
              <c:f>Figures!$B$34:$C$34</c:f>
              <c:strCache>
                <c:ptCount val="2"/>
                <c:pt idx="0">
                  <c:v>Capital Costs</c:v>
                </c:pt>
                <c:pt idx="1">
                  <c:v>Operational Costs</c:v>
                </c:pt>
              </c:strCache>
            </c:strRef>
          </c:cat>
          <c:val>
            <c:numRef>
              <c:f>Figures!$B$287:$C$287</c:f>
              <c:numCache>
                <c:formatCode>General</c:formatCode>
                <c:ptCount val="2"/>
                <c:pt idx="0" formatCode="_(&quot;$&quot;* #,##0.00_);_(&quot;$&quot;* \(#,##0.00\);_(&quot;$&quot;* &quot;-&quot;??_);_(@_)">
                  <c:v>903.28622315409893</c:v>
                </c:pt>
              </c:numCache>
            </c:numRef>
          </c:val>
          <c:extLst>
            <c:ext xmlns:c16="http://schemas.microsoft.com/office/drawing/2014/chart" uri="{C3380CC4-5D6E-409C-BE32-E72D297353CC}">
              <c16:uniqueId val="{00000012-9C39-455D-9111-055B767BEE7A}"/>
            </c:ext>
          </c:extLst>
        </c:ser>
        <c:ser>
          <c:idx val="20"/>
          <c:order val="19"/>
          <c:tx>
            <c:strRef>
              <c:f>Figures!$A$288</c:f>
              <c:strCache>
                <c:ptCount val="1"/>
                <c:pt idx="0">
                  <c:v>Condensor</c:v>
                </c:pt>
              </c:strCache>
            </c:strRef>
          </c:tx>
          <c:spPr>
            <a:solidFill>
              <a:schemeClr val="accent3">
                <a:lumMod val="80000"/>
              </a:schemeClr>
            </a:solidFill>
            <a:ln>
              <a:noFill/>
            </a:ln>
            <a:effectLst/>
          </c:spPr>
          <c:invertIfNegative val="0"/>
          <c:cat>
            <c:strRef>
              <c:f>Figures!$B$34:$C$34</c:f>
              <c:strCache>
                <c:ptCount val="2"/>
                <c:pt idx="0">
                  <c:v>Capital Costs</c:v>
                </c:pt>
                <c:pt idx="1">
                  <c:v>Operational Costs</c:v>
                </c:pt>
              </c:strCache>
            </c:strRef>
          </c:cat>
          <c:val>
            <c:numRef>
              <c:f>Figures!$B$288:$C$288</c:f>
              <c:numCache>
                <c:formatCode>General</c:formatCode>
                <c:ptCount val="2"/>
                <c:pt idx="0" formatCode="_(&quot;$&quot;* #,##0.00_);_(&quot;$&quot;* \(#,##0.00\);_(&quot;$&quot;* &quot;-&quot;??_);_(@_)">
                  <c:v>25229.601129113802</c:v>
                </c:pt>
              </c:numCache>
            </c:numRef>
          </c:val>
          <c:extLst>
            <c:ext xmlns:c16="http://schemas.microsoft.com/office/drawing/2014/chart" uri="{C3380CC4-5D6E-409C-BE32-E72D297353CC}">
              <c16:uniqueId val="{00000013-9C39-455D-9111-055B767BEE7A}"/>
            </c:ext>
          </c:extLst>
        </c:ser>
        <c:ser>
          <c:idx val="0"/>
          <c:order val="20"/>
          <c:tx>
            <c:strRef>
              <c:f>Figures!$A$289</c:f>
              <c:strCache>
                <c:ptCount val="1"/>
                <c:pt idx="0">
                  <c:v>Reboiler</c:v>
                </c:pt>
              </c:strCache>
            </c:strRef>
          </c:tx>
          <c:spPr>
            <a:solidFill>
              <a:schemeClr val="accent1"/>
            </a:solidFill>
            <a:ln>
              <a:noFill/>
            </a:ln>
            <a:effectLst/>
          </c:spPr>
          <c:invertIfNegative val="0"/>
          <c:cat>
            <c:strRef>
              <c:f>Figures!$B$34:$C$34</c:f>
              <c:strCache>
                <c:ptCount val="2"/>
                <c:pt idx="0">
                  <c:v>Capital Costs</c:v>
                </c:pt>
                <c:pt idx="1">
                  <c:v>Operational Costs</c:v>
                </c:pt>
              </c:strCache>
            </c:strRef>
          </c:cat>
          <c:val>
            <c:numRef>
              <c:f>Figures!$B$289:$C$289</c:f>
              <c:numCache>
                <c:formatCode>General</c:formatCode>
                <c:ptCount val="2"/>
                <c:pt idx="0" formatCode="_(&quot;$&quot;* #,##0.00_);_(&quot;$&quot;* \(#,##0.00\);_(&quot;$&quot;* &quot;-&quot;??_);_(@_)">
                  <c:v>20898.311538461541</c:v>
                </c:pt>
              </c:numCache>
            </c:numRef>
          </c:val>
          <c:extLst>
            <c:ext xmlns:c16="http://schemas.microsoft.com/office/drawing/2014/chart" uri="{C3380CC4-5D6E-409C-BE32-E72D297353CC}">
              <c16:uniqueId val="{00000014-9C39-455D-9111-055B767BEE7A}"/>
            </c:ext>
          </c:extLst>
        </c:ser>
        <c:ser>
          <c:idx val="21"/>
          <c:order val="21"/>
          <c:tx>
            <c:strRef>
              <c:f>Figures!$A$290</c:f>
              <c:strCache>
                <c:ptCount val="1"/>
                <c:pt idx="0">
                  <c:v>Zirconium Dioxide</c:v>
                </c:pt>
              </c:strCache>
            </c:strRef>
          </c:tx>
          <c:spPr>
            <a:solidFill>
              <a:schemeClr val="accent4">
                <a:lumMod val="80000"/>
              </a:schemeClr>
            </a:solidFill>
            <a:ln>
              <a:noFill/>
            </a:ln>
            <a:effectLst/>
          </c:spPr>
          <c:invertIfNegative val="0"/>
          <c:cat>
            <c:strRef>
              <c:f>Figures!$B$34:$C$34</c:f>
              <c:strCache>
                <c:ptCount val="2"/>
                <c:pt idx="0">
                  <c:v>Capital Costs</c:v>
                </c:pt>
                <c:pt idx="1">
                  <c:v>Operational Costs</c:v>
                </c:pt>
              </c:strCache>
            </c:strRef>
          </c:cat>
          <c:val>
            <c:numRef>
              <c:f>Figures!$B$290:$C$290</c:f>
              <c:numCache>
                <c:formatCode>_("$"* #,##0.00_);_("$"* \(#,##0.00\);_("$"* "-"??_);_(@_)</c:formatCode>
                <c:ptCount val="2"/>
                <c:pt idx="1">
                  <c:v>1.2401614680994452E-2</c:v>
                </c:pt>
              </c:numCache>
            </c:numRef>
          </c:val>
          <c:extLst>
            <c:ext xmlns:c16="http://schemas.microsoft.com/office/drawing/2014/chart" uri="{C3380CC4-5D6E-409C-BE32-E72D297353CC}">
              <c16:uniqueId val="{00000015-9C39-455D-9111-055B767BEE7A}"/>
            </c:ext>
          </c:extLst>
        </c:ser>
        <c:ser>
          <c:idx val="22"/>
          <c:order val="22"/>
          <c:tx>
            <c:strRef>
              <c:f>Figures!$A$291</c:f>
              <c:strCache>
                <c:ptCount val="1"/>
                <c:pt idx="0">
                  <c:v>Power - Feed Pump</c:v>
                </c:pt>
              </c:strCache>
            </c:strRef>
          </c:tx>
          <c:spPr>
            <a:solidFill>
              <a:schemeClr val="accent5">
                <a:lumMod val="80000"/>
              </a:schemeClr>
            </a:solidFill>
            <a:ln>
              <a:noFill/>
            </a:ln>
            <a:effectLst/>
          </c:spPr>
          <c:invertIfNegative val="0"/>
          <c:cat>
            <c:strRef>
              <c:f>Figures!$B$34:$C$34</c:f>
              <c:strCache>
                <c:ptCount val="2"/>
                <c:pt idx="0">
                  <c:v>Capital Costs</c:v>
                </c:pt>
                <c:pt idx="1">
                  <c:v>Operational Costs</c:v>
                </c:pt>
              </c:strCache>
            </c:strRef>
          </c:cat>
          <c:val>
            <c:numRef>
              <c:f>Figures!$B$291:$C$291</c:f>
              <c:numCache>
                <c:formatCode>_("$"* #,##0.00_);_("$"* \(#,##0.00\);_("$"* "-"??_);_(@_)</c:formatCode>
                <c:ptCount val="2"/>
                <c:pt idx="1">
                  <c:v>10.891454384295553</c:v>
                </c:pt>
              </c:numCache>
            </c:numRef>
          </c:val>
          <c:extLst>
            <c:ext xmlns:c16="http://schemas.microsoft.com/office/drawing/2014/chart" uri="{C3380CC4-5D6E-409C-BE32-E72D297353CC}">
              <c16:uniqueId val="{00000016-9C39-455D-9111-055B767BEE7A}"/>
            </c:ext>
          </c:extLst>
        </c:ser>
        <c:ser>
          <c:idx val="23"/>
          <c:order val="23"/>
          <c:tx>
            <c:strRef>
              <c:f>Figures!$A$292</c:f>
              <c:strCache>
                <c:ptCount val="1"/>
                <c:pt idx="0">
                  <c:v>Power - KO Drum Pump</c:v>
                </c:pt>
              </c:strCache>
            </c:strRef>
          </c:tx>
          <c:spPr>
            <a:solidFill>
              <a:schemeClr val="accent6">
                <a:lumMod val="80000"/>
              </a:schemeClr>
            </a:solidFill>
            <a:ln>
              <a:noFill/>
            </a:ln>
            <a:effectLst/>
          </c:spPr>
          <c:invertIfNegative val="0"/>
          <c:cat>
            <c:strRef>
              <c:f>Figures!$B$34:$C$34</c:f>
              <c:strCache>
                <c:ptCount val="2"/>
                <c:pt idx="0">
                  <c:v>Capital Costs</c:v>
                </c:pt>
                <c:pt idx="1">
                  <c:v>Operational Costs</c:v>
                </c:pt>
              </c:strCache>
            </c:strRef>
          </c:cat>
          <c:val>
            <c:numRef>
              <c:f>Figures!$B$292:$C$292</c:f>
              <c:numCache>
                <c:formatCode>_("$"* #,##0.00_);_("$"* \(#,##0.00\);_("$"* "-"??_);_(@_)</c:formatCode>
                <c:ptCount val="2"/>
                <c:pt idx="1">
                  <c:v>1.0933171379999991</c:v>
                </c:pt>
              </c:numCache>
            </c:numRef>
          </c:val>
          <c:extLst>
            <c:ext xmlns:c16="http://schemas.microsoft.com/office/drawing/2014/chart" uri="{C3380CC4-5D6E-409C-BE32-E72D297353CC}">
              <c16:uniqueId val="{00000017-9C39-455D-9111-055B767BEE7A}"/>
            </c:ext>
          </c:extLst>
        </c:ser>
        <c:ser>
          <c:idx val="24"/>
          <c:order val="24"/>
          <c:tx>
            <c:strRef>
              <c:f>Figures!$A$293</c:f>
              <c:strCache>
                <c:ptCount val="1"/>
                <c:pt idx="0">
                  <c:v>Heat - FBR</c:v>
                </c:pt>
              </c:strCache>
            </c:strRef>
          </c:tx>
          <c:spPr>
            <a:solidFill>
              <a:schemeClr val="accent1">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Figures!$B$293:$C$293</c:f>
              <c:numCache>
                <c:formatCode>_("$"* #,##0.00_);_("$"* \(#,##0.00\);_("$"* "-"??_);_(@_)</c:formatCode>
                <c:ptCount val="2"/>
                <c:pt idx="1">
                  <c:v>422.91928163019037</c:v>
                </c:pt>
              </c:numCache>
            </c:numRef>
          </c:val>
          <c:extLst>
            <c:ext xmlns:c16="http://schemas.microsoft.com/office/drawing/2014/chart" uri="{C3380CC4-5D6E-409C-BE32-E72D297353CC}">
              <c16:uniqueId val="{00000018-9C39-455D-9111-055B767BEE7A}"/>
            </c:ext>
          </c:extLst>
        </c:ser>
        <c:ser>
          <c:idx val="25"/>
          <c:order val="25"/>
          <c:tx>
            <c:strRef>
              <c:f>Figures!$A$294</c:f>
              <c:strCache>
                <c:ptCount val="1"/>
                <c:pt idx="0">
                  <c:v>Power - OR Air Pump</c:v>
                </c:pt>
              </c:strCache>
            </c:strRef>
          </c:tx>
          <c:spPr>
            <a:solidFill>
              <a:schemeClr val="accent2">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Figures!$B$294:$C$294</c:f>
              <c:numCache>
                <c:formatCode>_("$"* #,##0.00_);_("$"* \(#,##0.00\);_("$"* "-"??_);_(@_)</c:formatCode>
                <c:ptCount val="2"/>
                <c:pt idx="1">
                  <c:v>830.49149369327836</c:v>
                </c:pt>
              </c:numCache>
            </c:numRef>
          </c:val>
          <c:extLst>
            <c:ext xmlns:c16="http://schemas.microsoft.com/office/drawing/2014/chart" uri="{C3380CC4-5D6E-409C-BE32-E72D297353CC}">
              <c16:uniqueId val="{00000019-9C39-455D-9111-055B767BEE7A}"/>
            </c:ext>
          </c:extLst>
        </c:ser>
        <c:ser>
          <c:idx val="26"/>
          <c:order val="26"/>
          <c:tx>
            <c:strRef>
              <c:f>Figures!$A$295</c:f>
              <c:strCache>
                <c:ptCount val="1"/>
                <c:pt idx="0">
                  <c:v>Heat - OR</c:v>
                </c:pt>
              </c:strCache>
            </c:strRef>
          </c:tx>
          <c:spPr>
            <a:solidFill>
              <a:schemeClr val="accent3">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Figures!$B$295:$C$295</c:f>
              <c:numCache>
                <c:formatCode>_("$"* #,##0.00_);_("$"* \(#,##0.00\);_("$"* "-"??_);_(@_)</c:formatCode>
                <c:ptCount val="2"/>
                <c:pt idx="1">
                  <c:v>341.5886505474615</c:v>
                </c:pt>
              </c:numCache>
            </c:numRef>
          </c:val>
          <c:extLst>
            <c:ext xmlns:c16="http://schemas.microsoft.com/office/drawing/2014/chart" uri="{C3380CC4-5D6E-409C-BE32-E72D297353CC}">
              <c16:uniqueId val="{0000001A-9C39-455D-9111-055B767BEE7A}"/>
            </c:ext>
          </c:extLst>
        </c:ser>
        <c:ser>
          <c:idx val="27"/>
          <c:order val="27"/>
          <c:tx>
            <c:strRef>
              <c:f>Figures!$A$296</c:f>
              <c:strCache>
                <c:ptCount val="1"/>
                <c:pt idx="0">
                  <c:v>Wastewater Treatment</c:v>
                </c:pt>
              </c:strCache>
            </c:strRef>
          </c:tx>
          <c:spPr>
            <a:solidFill>
              <a:schemeClr val="accent4">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Figures!$B$296:$C$296</c:f>
              <c:numCache>
                <c:formatCode>_("$"* #,##0.00_);_("$"* \(#,##0.00\);_("$"* "-"??_);_(@_)</c:formatCode>
                <c:ptCount val="2"/>
                <c:pt idx="1">
                  <c:v>1416.1448978937951</c:v>
                </c:pt>
              </c:numCache>
            </c:numRef>
          </c:val>
          <c:extLst>
            <c:ext xmlns:c16="http://schemas.microsoft.com/office/drawing/2014/chart" uri="{C3380CC4-5D6E-409C-BE32-E72D297353CC}">
              <c16:uniqueId val="{0000001B-9C39-455D-9111-055B767BEE7A}"/>
            </c:ext>
          </c:extLst>
        </c:ser>
        <c:ser>
          <c:idx val="28"/>
          <c:order val="28"/>
          <c:tx>
            <c:strRef>
              <c:f>Figures!$A$297</c:f>
              <c:strCache>
                <c:ptCount val="1"/>
                <c:pt idx="0">
                  <c:v>Platinum on Aluminum Oxide</c:v>
                </c:pt>
              </c:strCache>
            </c:strRef>
          </c:tx>
          <c:spPr>
            <a:solidFill>
              <a:schemeClr val="accent5">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Figures!$B$297:$C$297</c:f>
              <c:numCache>
                <c:formatCode>_("$"* #,##0.00_);_("$"* \(#,##0.00\);_("$"* "-"??_);_(@_)</c:formatCode>
                <c:ptCount val="2"/>
                <c:pt idx="1">
                  <c:v>0.49157961892865787</c:v>
                </c:pt>
              </c:numCache>
            </c:numRef>
          </c:val>
          <c:extLst>
            <c:ext xmlns:c16="http://schemas.microsoft.com/office/drawing/2014/chart" uri="{C3380CC4-5D6E-409C-BE32-E72D297353CC}">
              <c16:uniqueId val="{0000001C-9C39-455D-9111-055B767BEE7A}"/>
            </c:ext>
          </c:extLst>
        </c:ser>
        <c:ser>
          <c:idx val="29"/>
          <c:order val="29"/>
          <c:tx>
            <c:strRef>
              <c:f>Figures!$A$298</c:f>
              <c:strCache>
                <c:ptCount val="1"/>
                <c:pt idx="0">
                  <c:v>Power - Hydrogen Pump</c:v>
                </c:pt>
              </c:strCache>
            </c:strRef>
          </c:tx>
          <c:spPr>
            <a:solidFill>
              <a:schemeClr val="accent6">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Figures!$B$298:$C$298</c:f>
              <c:numCache>
                <c:formatCode>_("$"* #,##0.00_);_("$"* \(#,##0.00\);_("$"* "-"??_);_(@_)</c:formatCode>
                <c:ptCount val="2"/>
                <c:pt idx="1">
                  <c:v>3.0586881015137107E-5</c:v>
                </c:pt>
              </c:numCache>
            </c:numRef>
          </c:val>
          <c:extLst>
            <c:ext xmlns:c16="http://schemas.microsoft.com/office/drawing/2014/chart" uri="{C3380CC4-5D6E-409C-BE32-E72D297353CC}">
              <c16:uniqueId val="{0000001D-9C39-455D-9111-055B767BEE7A}"/>
            </c:ext>
          </c:extLst>
        </c:ser>
        <c:ser>
          <c:idx val="30"/>
          <c:order val="30"/>
          <c:tx>
            <c:strRef>
              <c:f>Figures!$A$299</c:f>
              <c:strCache>
                <c:ptCount val="1"/>
                <c:pt idx="0">
                  <c:v>Power - Feed Pump</c:v>
                </c:pt>
              </c:strCache>
            </c:strRef>
          </c:tx>
          <c:spPr>
            <a:solidFill>
              <a:schemeClr val="accent1">
                <a:lumMod val="50000"/>
              </a:schemeClr>
            </a:solidFill>
            <a:ln>
              <a:noFill/>
            </a:ln>
            <a:effectLst/>
          </c:spPr>
          <c:invertIfNegative val="0"/>
          <c:cat>
            <c:strRef>
              <c:f>Figures!$B$34:$C$34</c:f>
              <c:strCache>
                <c:ptCount val="2"/>
                <c:pt idx="0">
                  <c:v>Capital Costs</c:v>
                </c:pt>
                <c:pt idx="1">
                  <c:v>Operational Costs</c:v>
                </c:pt>
              </c:strCache>
            </c:strRef>
          </c:cat>
          <c:val>
            <c:numRef>
              <c:f>Figures!$B$299:$C$299</c:f>
              <c:numCache>
                <c:formatCode>_("$"* #,##0.00_);_("$"* \(#,##0.00\);_("$"* "-"??_);_(@_)</c:formatCode>
                <c:ptCount val="2"/>
                <c:pt idx="1">
                  <c:v>10.891454384295553</c:v>
                </c:pt>
              </c:numCache>
            </c:numRef>
          </c:val>
          <c:extLst>
            <c:ext xmlns:c16="http://schemas.microsoft.com/office/drawing/2014/chart" uri="{C3380CC4-5D6E-409C-BE32-E72D297353CC}">
              <c16:uniqueId val="{0000001E-9C39-455D-9111-055B767BEE7A}"/>
            </c:ext>
          </c:extLst>
        </c:ser>
        <c:ser>
          <c:idx val="31"/>
          <c:order val="31"/>
          <c:tx>
            <c:strRef>
              <c:f>Figures!$A$300</c:f>
              <c:strCache>
                <c:ptCount val="1"/>
                <c:pt idx="0">
                  <c:v>Power - KO Pump</c:v>
                </c:pt>
              </c:strCache>
            </c:strRef>
          </c:tx>
          <c:spPr>
            <a:solidFill>
              <a:schemeClr val="accent2">
                <a:lumMod val="50000"/>
              </a:schemeClr>
            </a:solidFill>
            <a:ln>
              <a:noFill/>
            </a:ln>
            <a:effectLst/>
          </c:spPr>
          <c:invertIfNegative val="0"/>
          <c:cat>
            <c:strRef>
              <c:f>Figures!$B$34:$C$34</c:f>
              <c:strCache>
                <c:ptCount val="2"/>
                <c:pt idx="0">
                  <c:v>Capital Costs</c:v>
                </c:pt>
                <c:pt idx="1">
                  <c:v>Operational Costs</c:v>
                </c:pt>
              </c:strCache>
            </c:strRef>
          </c:cat>
          <c:val>
            <c:numRef>
              <c:f>Figures!$B$300:$C$300</c:f>
              <c:numCache>
                <c:formatCode>_("$"* #,##0.00_);_("$"* \(#,##0.00\);_("$"* "-"??_);_(@_)</c:formatCode>
                <c:ptCount val="2"/>
                <c:pt idx="1">
                  <c:v>1.0933171379999991</c:v>
                </c:pt>
              </c:numCache>
            </c:numRef>
          </c:val>
          <c:extLst>
            <c:ext xmlns:c16="http://schemas.microsoft.com/office/drawing/2014/chart" uri="{C3380CC4-5D6E-409C-BE32-E72D297353CC}">
              <c16:uniqueId val="{0000001F-9C39-455D-9111-055B767BEE7A}"/>
            </c:ext>
          </c:extLst>
        </c:ser>
        <c:ser>
          <c:idx val="32"/>
          <c:order val="32"/>
          <c:tx>
            <c:strRef>
              <c:f>Figures!$A$301</c:f>
              <c:strCache>
                <c:ptCount val="1"/>
                <c:pt idx="0">
                  <c:v>Power - OR Air Pump</c:v>
                </c:pt>
              </c:strCache>
            </c:strRef>
          </c:tx>
          <c:spPr>
            <a:solidFill>
              <a:schemeClr val="accent3">
                <a:lumMod val="50000"/>
              </a:schemeClr>
            </a:solidFill>
            <a:ln>
              <a:noFill/>
            </a:ln>
            <a:effectLst/>
          </c:spPr>
          <c:invertIfNegative val="0"/>
          <c:cat>
            <c:strRef>
              <c:f>Figures!$B$34:$C$34</c:f>
              <c:strCache>
                <c:ptCount val="2"/>
                <c:pt idx="0">
                  <c:v>Capital Costs</c:v>
                </c:pt>
                <c:pt idx="1">
                  <c:v>Operational Costs</c:v>
                </c:pt>
              </c:strCache>
            </c:strRef>
          </c:cat>
          <c:val>
            <c:numRef>
              <c:f>Figures!$B$301:$C$301</c:f>
              <c:numCache>
                <c:formatCode>_("$"* #,##0.00_);_("$"* \(#,##0.00\);_("$"* "-"??_);_(@_)</c:formatCode>
                <c:ptCount val="2"/>
                <c:pt idx="1">
                  <c:v>830.49149369327836</c:v>
                </c:pt>
              </c:numCache>
            </c:numRef>
          </c:val>
          <c:extLst>
            <c:ext xmlns:c16="http://schemas.microsoft.com/office/drawing/2014/chart" uri="{C3380CC4-5D6E-409C-BE32-E72D297353CC}">
              <c16:uniqueId val="{00000020-9C39-455D-9111-055B767BEE7A}"/>
            </c:ext>
          </c:extLst>
        </c:ser>
        <c:ser>
          <c:idx val="33"/>
          <c:order val="33"/>
          <c:tx>
            <c:strRef>
              <c:f>Figures!$A$302</c:f>
              <c:strCache>
                <c:ptCount val="1"/>
                <c:pt idx="0">
                  <c:v>Heat - OR</c:v>
                </c:pt>
              </c:strCache>
            </c:strRef>
          </c:tx>
          <c:spPr>
            <a:solidFill>
              <a:schemeClr val="accent4">
                <a:lumMod val="50000"/>
              </a:schemeClr>
            </a:solidFill>
            <a:ln>
              <a:noFill/>
            </a:ln>
            <a:effectLst/>
          </c:spPr>
          <c:invertIfNegative val="0"/>
          <c:cat>
            <c:strRef>
              <c:f>Figures!$B$34:$C$34</c:f>
              <c:strCache>
                <c:ptCount val="2"/>
                <c:pt idx="0">
                  <c:v>Capital Costs</c:v>
                </c:pt>
                <c:pt idx="1">
                  <c:v>Operational Costs</c:v>
                </c:pt>
              </c:strCache>
            </c:strRef>
          </c:cat>
          <c:val>
            <c:numRef>
              <c:f>Figures!$B$302:$C$302</c:f>
              <c:numCache>
                <c:formatCode>_("$"* #,##0.00_);_("$"* \(#,##0.00\);_("$"* "-"??_);_(@_)</c:formatCode>
                <c:ptCount val="2"/>
                <c:pt idx="1">
                  <c:v>341.5886505474615</c:v>
                </c:pt>
              </c:numCache>
            </c:numRef>
          </c:val>
          <c:extLst>
            <c:ext xmlns:c16="http://schemas.microsoft.com/office/drawing/2014/chart" uri="{C3380CC4-5D6E-409C-BE32-E72D297353CC}">
              <c16:uniqueId val="{00000021-9C39-455D-9111-055B767BEE7A}"/>
            </c:ext>
          </c:extLst>
        </c:ser>
        <c:ser>
          <c:idx val="34"/>
          <c:order val="34"/>
          <c:tx>
            <c:strRef>
              <c:f>Figures!$A$303</c:f>
              <c:strCache>
                <c:ptCount val="1"/>
                <c:pt idx="0">
                  <c:v>Wastewater Treatment</c:v>
                </c:pt>
              </c:strCache>
            </c:strRef>
          </c:tx>
          <c:spPr>
            <a:solidFill>
              <a:schemeClr val="accent5">
                <a:lumMod val="50000"/>
              </a:schemeClr>
            </a:solidFill>
            <a:ln>
              <a:noFill/>
            </a:ln>
            <a:effectLst/>
          </c:spPr>
          <c:invertIfNegative val="0"/>
          <c:cat>
            <c:strRef>
              <c:f>Figures!$B$34:$C$34</c:f>
              <c:strCache>
                <c:ptCount val="2"/>
                <c:pt idx="0">
                  <c:v>Capital Costs</c:v>
                </c:pt>
                <c:pt idx="1">
                  <c:v>Operational Costs</c:v>
                </c:pt>
              </c:strCache>
            </c:strRef>
          </c:cat>
          <c:val>
            <c:numRef>
              <c:f>Figures!$B$303:$C$303</c:f>
              <c:numCache>
                <c:formatCode>_("$"* #,##0.00_);_("$"* \(#,##0.00\);_("$"* "-"??_);_(@_)</c:formatCode>
                <c:ptCount val="2"/>
                <c:pt idx="1">
                  <c:v>13321.492506077399</c:v>
                </c:pt>
              </c:numCache>
            </c:numRef>
          </c:val>
          <c:extLst>
            <c:ext xmlns:c16="http://schemas.microsoft.com/office/drawing/2014/chart" uri="{C3380CC4-5D6E-409C-BE32-E72D297353CC}">
              <c16:uniqueId val="{00000022-9C39-455D-9111-055B767BEE7A}"/>
            </c:ext>
          </c:extLst>
        </c:ser>
        <c:ser>
          <c:idx val="35"/>
          <c:order val="35"/>
          <c:tx>
            <c:strRef>
              <c:f>Figures!$A$304</c:f>
              <c:strCache>
                <c:ptCount val="1"/>
                <c:pt idx="0">
                  <c:v>Power - Feed Pump</c:v>
                </c:pt>
              </c:strCache>
            </c:strRef>
          </c:tx>
          <c:spPr>
            <a:solidFill>
              <a:schemeClr val="accent6">
                <a:lumMod val="50000"/>
              </a:schemeClr>
            </a:solidFill>
            <a:ln>
              <a:noFill/>
            </a:ln>
            <a:effectLst/>
          </c:spPr>
          <c:invertIfNegative val="0"/>
          <c:cat>
            <c:strRef>
              <c:f>Figures!$B$34:$C$34</c:f>
              <c:strCache>
                <c:ptCount val="2"/>
                <c:pt idx="0">
                  <c:v>Capital Costs</c:v>
                </c:pt>
                <c:pt idx="1">
                  <c:v>Operational Costs</c:v>
                </c:pt>
              </c:strCache>
            </c:strRef>
          </c:cat>
          <c:val>
            <c:numRef>
              <c:f>Figures!$B$304:$C$304</c:f>
              <c:numCache>
                <c:formatCode>_("$"* #,##0.00_);_("$"* \(#,##0.00\);_("$"* "-"??_);_(@_)</c:formatCode>
                <c:ptCount val="2"/>
                <c:pt idx="1">
                  <c:v>10.891454384295553</c:v>
                </c:pt>
              </c:numCache>
            </c:numRef>
          </c:val>
          <c:extLst>
            <c:ext xmlns:c16="http://schemas.microsoft.com/office/drawing/2014/chart" uri="{C3380CC4-5D6E-409C-BE32-E72D297353CC}">
              <c16:uniqueId val="{00000023-9C39-455D-9111-055B767BEE7A}"/>
            </c:ext>
          </c:extLst>
        </c:ser>
        <c:ser>
          <c:idx val="36"/>
          <c:order val="36"/>
          <c:tx>
            <c:strRef>
              <c:f>Figures!$A$305</c:f>
              <c:strCache>
                <c:ptCount val="1"/>
                <c:pt idx="0">
                  <c:v>Heat - Distillation</c:v>
                </c:pt>
              </c:strCache>
            </c:strRef>
          </c:tx>
          <c:spPr>
            <a:solidFill>
              <a:schemeClr val="accent1">
                <a:lumMod val="70000"/>
                <a:lumOff val="30000"/>
              </a:schemeClr>
            </a:solidFill>
            <a:ln>
              <a:noFill/>
            </a:ln>
            <a:effectLst/>
          </c:spPr>
          <c:invertIfNegative val="0"/>
          <c:cat>
            <c:strRef>
              <c:f>Figures!$B$34:$C$34</c:f>
              <c:strCache>
                <c:ptCount val="2"/>
                <c:pt idx="0">
                  <c:v>Capital Costs</c:v>
                </c:pt>
                <c:pt idx="1">
                  <c:v>Operational Costs</c:v>
                </c:pt>
              </c:strCache>
            </c:strRef>
          </c:cat>
          <c:val>
            <c:numRef>
              <c:f>Figures!$B$305:$C$305</c:f>
              <c:numCache>
                <c:formatCode>_("$"* #,##0.00_);_("$"* \(#,##0.00\);_("$"* "-"??_);_(@_)</c:formatCode>
                <c:ptCount val="2"/>
                <c:pt idx="1">
                  <c:v>120.71404321916224</c:v>
                </c:pt>
              </c:numCache>
            </c:numRef>
          </c:val>
          <c:extLst>
            <c:ext xmlns:c16="http://schemas.microsoft.com/office/drawing/2014/chart" uri="{C3380CC4-5D6E-409C-BE32-E72D297353CC}">
              <c16:uniqueId val="{00000024-9C39-455D-9111-055B767BEE7A}"/>
            </c:ext>
          </c:extLst>
        </c:ser>
        <c:ser>
          <c:idx val="37"/>
          <c:order val="37"/>
          <c:tx>
            <c:strRef>
              <c:f>Figures!$A$306</c:f>
              <c:strCache>
                <c:ptCount val="1"/>
                <c:pt idx="0">
                  <c:v>Power - Jet Fuel Pump</c:v>
                </c:pt>
              </c:strCache>
            </c:strRef>
          </c:tx>
          <c:spPr>
            <a:solidFill>
              <a:schemeClr val="accent2">
                <a:lumMod val="70000"/>
                <a:lumOff val="30000"/>
              </a:schemeClr>
            </a:solidFill>
            <a:ln>
              <a:noFill/>
            </a:ln>
            <a:effectLst/>
          </c:spPr>
          <c:invertIfNegative val="0"/>
          <c:cat>
            <c:strRef>
              <c:f>Figures!$B$34:$C$34</c:f>
              <c:strCache>
                <c:ptCount val="2"/>
                <c:pt idx="0">
                  <c:v>Capital Costs</c:v>
                </c:pt>
                <c:pt idx="1">
                  <c:v>Operational Costs</c:v>
                </c:pt>
              </c:strCache>
            </c:strRef>
          </c:cat>
          <c:val>
            <c:numRef>
              <c:f>Figures!$B$306:$C$306</c:f>
              <c:numCache>
                <c:formatCode>_("$"* #,##0.00_);_("$"* \(#,##0.00\);_("$"* "-"??_);_(@_)</c:formatCode>
                <c:ptCount val="2"/>
                <c:pt idx="1">
                  <c:v>9.8023089458659989</c:v>
                </c:pt>
              </c:numCache>
            </c:numRef>
          </c:val>
          <c:extLst>
            <c:ext xmlns:c16="http://schemas.microsoft.com/office/drawing/2014/chart" uri="{C3380CC4-5D6E-409C-BE32-E72D297353CC}">
              <c16:uniqueId val="{00000025-9C39-455D-9111-055B767BEE7A}"/>
            </c:ext>
          </c:extLst>
        </c:ser>
        <c:ser>
          <c:idx val="38"/>
          <c:order val="38"/>
          <c:tx>
            <c:strRef>
              <c:f>Figures!$A$307</c:f>
              <c:strCache>
                <c:ptCount val="1"/>
                <c:pt idx="0">
                  <c:v>Power - Naphtha Pump</c:v>
                </c:pt>
              </c:strCache>
            </c:strRef>
          </c:tx>
          <c:spPr>
            <a:solidFill>
              <a:schemeClr val="accent3">
                <a:lumMod val="70000"/>
                <a:lumOff val="30000"/>
              </a:schemeClr>
            </a:solidFill>
            <a:ln>
              <a:noFill/>
            </a:ln>
            <a:effectLst/>
          </c:spPr>
          <c:invertIfNegative val="0"/>
          <c:cat>
            <c:strRef>
              <c:f>Figures!$B$34:$C$34</c:f>
              <c:strCache>
                <c:ptCount val="2"/>
                <c:pt idx="0">
                  <c:v>Capital Costs</c:v>
                </c:pt>
                <c:pt idx="1">
                  <c:v>Operational Costs</c:v>
                </c:pt>
              </c:strCache>
            </c:strRef>
          </c:cat>
          <c:val>
            <c:numRef>
              <c:f>Figures!$B$307:$C$307</c:f>
              <c:numCache>
                <c:formatCode>_("$"* #,##0.00_);_("$"* \(#,##0.00\);_("$"* "-"??_);_(@_)</c:formatCode>
                <c:ptCount val="2"/>
                <c:pt idx="1">
                  <c:v>1.0891454384295556</c:v>
                </c:pt>
              </c:numCache>
            </c:numRef>
          </c:val>
          <c:extLst>
            <c:ext xmlns:c16="http://schemas.microsoft.com/office/drawing/2014/chart" uri="{C3380CC4-5D6E-409C-BE32-E72D297353CC}">
              <c16:uniqueId val="{00000026-9C39-455D-9111-055B767BEE7A}"/>
            </c:ext>
          </c:extLst>
        </c:ser>
        <c:ser>
          <c:idx val="39"/>
          <c:order val="39"/>
          <c:tx>
            <c:strRef>
              <c:f>Figures!$A$308</c:f>
              <c:strCache>
                <c:ptCount val="1"/>
                <c:pt idx="0">
                  <c:v>Labor</c:v>
                </c:pt>
              </c:strCache>
            </c:strRef>
          </c:tx>
          <c:spPr>
            <a:solidFill>
              <a:schemeClr val="accent4">
                <a:lumMod val="70000"/>
                <a:lumOff val="3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Figures!$B$34:$C$34</c:f>
              <c:strCache>
                <c:ptCount val="2"/>
                <c:pt idx="0">
                  <c:v>Capital Costs</c:v>
                </c:pt>
                <c:pt idx="1">
                  <c:v>Operational Costs</c:v>
                </c:pt>
              </c:strCache>
            </c:strRef>
          </c:cat>
          <c:val>
            <c:numRef>
              <c:f>Figures!$B$308:$C$308</c:f>
              <c:numCache>
                <c:formatCode>_("$"* #,##0.00_);_("$"* \(#,##0.00\);_("$"* "-"??_);_(@_)</c:formatCode>
                <c:ptCount val="2"/>
                <c:pt idx="1">
                  <c:v>1125000</c:v>
                </c:pt>
              </c:numCache>
            </c:numRef>
          </c:val>
          <c:extLst>
            <c:ext xmlns:c16="http://schemas.microsoft.com/office/drawing/2014/chart" uri="{C3380CC4-5D6E-409C-BE32-E72D297353CC}">
              <c16:uniqueId val="{00000027-9C39-455D-9111-055B767BEE7A}"/>
            </c:ext>
          </c:extLst>
        </c:ser>
        <c:dLbls>
          <c:showLegendKey val="0"/>
          <c:showVal val="0"/>
          <c:showCatName val="0"/>
          <c:showSerName val="0"/>
          <c:showPercent val="0"/>
          <c:showBubbleSize val="0"/>
        </c:dLbls>
        <c:gapWidth val="50"/>
        <c:overlap val="100"/>
        <c:axId val="1295501792"/>
        <c:axId val="1295485472"/>
      </c:barChart>
      <c:catAx>
        <c:axId val="129543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Arial Nova Cond" panose="020B0506020202020204" pitchFamily="34" charset="0"/>
                <a:ea typeface="+mn-ea"/>
                <a:cs typeface="+mn-cs"/>
              </a:defRPr>
            </a:pPr>
            <a:endParaRPr lang="en-US"/>
          </a:p>
        </c:txPr>
        <c:crossAx val="1295428352"/>
        <c:crosses val="autoZero"/>
        <c:auto val="1"/>
        <c:lblAlgn val="ctr"/>
        <c:lblOffset val="100"/>
        <c:noMultiLvlLbl val="0"/>
      </c:catAx>
      <c:valAx>
        <c:axId val="1295428352"/>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r>
                  <a:rPr lang="en-US" sz="1600" b="1" i="0" u="none" strike="noStrike" kern="1200" baseline="0">
                    <a:solidFill>
                      <a:sysClr val="windowText" lastClr="000000"/>
                    </a:solidFill>
                    <a:latin typeface="Arial Nova Cond" panose="020B0506020202020204" pitchFamily="34" charset="0"/>
                  </a:rPr>
                  <a:t>CAPEX </a:t>
                </a:r>
                <a:r>
                  <a:rPr lang="en-US" sz="1600" b="0" i="0" u="none" strike="noStrike" kern="1200" baseline="0">
                    <a:solidFill>
                      <a:sysClr val="windowText" lastClr="000000"/>
                    </a:solidFill>
                    <a:latin typeface="Arial Nova Cond" panose="020B0506020202020204" pitchFamily="34" charset="0"/>
                  </a:rPr>
                  <a:t>[1E6 USD (2026)]</a:t>
                </a:r>
              </a:p>
            </c:rich>
          </c:tx>
          <c:layout>
            <c:manualLayout>
              <c:xMode val="edge"/>
              <c:yMode val="edge"/>
              <c:x val="1.287710134151342E-2"/>
              <c:y val="0.17642737789301338"/>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Nova Cond" panose="020B0506020202020204" pitchFamily="34" charset="0"/>
                <a:ea typeface="+mn-ea"/>
                <a:cs typeface="+mn-cs"/>
              </a:defRPr>
            </a:pPr>
            <a:endParaRPr lang="en-US"/>
          </a:p>
        </c:txPr>
        <c:crossAx val="1295435552"/>
        <c:crosses val="autoZero"/>
        <c:crossBetween val="between"/>
        <c:dispUnits>
          <c:builtInUnit val="millions"/>
        </c:dispUnits>
      </c:valAx>
      <c:valAx>
        <c:axId val="1295485472"/>
        <c:scaling>
          <c:orientation val="minMax"/>
        </c:scaling>
        <c:delete val="0"/>
        <c:axPos val="r"/>
        <c:title>
          <c:tx>
            <c:rich>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r>
                  <a:rPr lang="en-US" sz="1600" b="1" i="0" u="none" strike="noStrike" kern="1200" baseline="0">
                    <a:solidFill>
                      <a:sysClr val="windowText" lastClr="000000"/>
                    </a:solidFill>
                    <a:latin typeface="Arial Nova Cond" panose="020B0506020202020204" pitchFamily="34" charset="0"/>
                  </a:rPr>
                  <a:t>OPEX </a:t>
                </a:r>
                <a:r>
                  <a:rPr lang="en-US" sz="1600" b="0" i="0" u="none" strike="noStrike" kern="1200" baseline="0">
                    <a:solidFill>
                      <a:sysClr val="windowText" lastClr="000000"/>
                    </a:solidFill>
                    <a:latin typeface="Arial Nova Cond" panose="020B0506020202020204" pitchFamily="34" charset="0"/>
                  </a:rPr>
                  <a:t>[1E6 USD (2026) / yr ]</a:t>
                </a:r>
              </a:p>
            </c:rich>
          </c:tx>
          <c:layout>
            <c:manualLayout>
              <c:xMode val="edge"/>
              <c:yMode val="edge"/>
              <c:x val="0.94243793667694342"/>
              <c:y val="0.12845216237412457"/>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0_);_(&quot;$&quot;* \(#,##0.0\);_(&quot;$&quot;* &quot;-&quot;?_);_(@_)" sourceLinked="0"/>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Nova Cond" panose="020B0506020202020204" pitchFamily="34" charset="0"/>
                <a:ea typeface="+mn-ea"/>
                <a:cs typeface="+mn-cs"/>
              </a:defRPr>
            </a:pPr>
            <a:endParaRPr lang="en-US"/>
          </a:p>
        </c:txPr>
        <c:crossAx val="1295501792"/>
        <c:crosses val="max"/>
        <c:crossBetween val="between"/>
        <c:dispUnits>
          <c:builtInUnit val="millions"/>
        </c:dispUnits>
      </c:valAx>
      <c:catAx>
        <c:axId val="1295501792"/>
        <c:scaling>
          <c:orientation val="minMax"/>
        </c:scaling>
        <c:delete val="1"/>
        <c:axPos val="b"/>
        <c:numFmt formatCode="General" sourceLinked="1"/>
        <c:majorTickMark val="out"/>
        <c:minorTickMark val="none"/>
        <c:tickLblPos val="nextTo"/>
        <c:crossAx val="1295485472"/>
        <c:crosses val="autoZero"/>
        <c:auto val="1"/>
        <c:lblAlgn val="ctr"/>
        <c:lblOffset val="100"/>
        <c:noMultiLvlLbl val="0"/>
      </c:catAx>
      <c:spPr>
        <a:noFill/>
        <a:ln w="19050">
          <a:solidFill>
            <a:schemeClr val="tx1"/>
          </a:solidFill>
        </a:ln>
        <a:effectLst/>
      </c:spPr>
    </c:plotArea>
    <c:legend>
      <c:legendPos val="b"/>
      <c:layout>
        <c:manualLayout>
          <c:xMode val="edge"/>
          <c:yMode val="edge"/>
          <c:x val="1.5579161416881019E-3"/>
          <c:y val="0.66176548151024506"/>
          <c:w val="0.9984420838583119"/>
          <c:h val="0.337445289007046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22225" cap="flat" cmpd="sng" algn="ctr">
      <a:noFill/>
      <a:round/>
    </a:ln>
    <a:effectLst/>
  </c:spPr>
  <c:txPr>
    <a:bodyPr/>
    <a:lstStyle/>
    <a:p>
      <a:pPr>
        <a:defRPr>
          <a:solidFill>
            <a:schemeClr val="tx1"/>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r>
              <a:rPr lang="en-US" sz="2000" b="1" cap="all" baseline="0"/>
              <a:t>Alcohol Conversion Costs</a:t>
            </a:r>
          </a:p>
        </c:rich>
      </c:tx>
      <c:layout>
        <c:manualLayout>
          <c:xMode val="edge"/>
          <c:yMode val="edge"/>
          <c:x val="9.8692678578508483E-2"/>
          <c:y val="2.4922151042704215E-2"/>
        </c:manualLayout>
      </c:layout>
      <c:overlay val="0"/>
      <c:spPr>
        <a:noFill/>
        <a:ln>
          <a:noFill/>
        </a:ln>
        <a:effectLst/>
      </c:spPr>
      <c:txPr>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2782077674044101"/>
          <c:y val="0.13465920093321668"/>
          <c:w val="0.73327763029918835"/>
          <c:h val="0.46122209757069316"/>
        </c:manualLayout>
      </c:layout>
      <c:barChart>
        <c:barDir val="col"/>
        <c:grouping val="stacked"/>
        <c:varyColors val="0"/>
        <c:ser>
          <c:idx val="1"/>
          <c:order val="0"/>
          <c:tx>
            <c:strRef>
              <c:f>Figures!$A$315</c:f>
              <c:strCache>
                <c:ptCount val="1"/>
                <c:pt idx="0">
                  <c:v>Tangential Flow Microfilter</c:v>
                </c:pt>
              </c:strCache>
            </c:strRef>
          </c:tx>
          <c:spPr>
            <a:solidFill>
              <a:schemeClr val="accent2"/>
            </a:solidFill>
            <a:ln>
              <a:noFill/>
            </a:ln>
            <a:effectLst/>
          </c:spPr>
          <c:invertIfNegative val="0"/>
          <c:cat>
            <c:strRef>
              <c:f>Figures!$B$34:$C$34</c:f>
              <c:strCache>
                <c:ptCount val="2"/>
                <c:pt idx="0">
                  <c:v>Capital Costs</c:v>
                </c:pt>
                <c:pt idx="1">
                  <c:v>Operational Costs</c:v>
                </c:pt>
              </c:strCache>
            </c:strRef>
          </c:cat>
          <c:val>
            <c:numRef>
              <c:f>Figures!$B$315:$C$315</c:f>
              <c:numCache>
                <c:formatCode>General</c:formatCode>
                <c:ptCount val="2"/>
                <c:pt idx="0" formatCode="_(&quot;$&quot;* #,##0.00_);_(&quot;$&quot;* \(#,##0.00\);_(&quot;$&quot;* &quot;-&quot;??_);_(@_)">
                  <c:v>44075.813180509009</c:v>
                </c:pt>
              </c:numCache>
            </c:numRef>
          </c:val>
          <c:extLst>
            <c:ext xmlns:c16="http://schemas.microsoft.com/office/drawing/2014/chart" uri="{C3380CC4-5D6E-409C-BE32-E72D297353CC}">
              <c16:uniqueId val="{00000000-FA6E-4590-8326-1E898513832C}"/>
            </c:ext>
          </c:extLst>
        </c:ser>
        <c:ser>
          <c:idx val="2"/>
          <c:order val="1"/>
          <c:tx>
            <c:strRef>
              <c:f>Figures!$A$316</c:f>
              <c:strCache>
                <c:ptCount val="1"/>
                <c:pt idx="0">
                  <c:v>Feed Pump - Suspension</c:v>
                </c:pt>
              </c:strCache>
            </c:strRef>
          </c:tx>
          <c:spPr>
            <a:solidFill>
              <a:schemeClr val="accent3"/>
            </a:solidFill>
            <a:ln>
              <a:noFill/>
            </a:ln>
            <a:effectLst/>
          </c:spPr>
          <c:invertIfNegative val="0"/>
          <c:cat>
            <c:strRef>
              <c:f>Figures!$B$34:$C$34</c:f>
              <c:strCache>
                <c:ptCount val="2"/>
                <c:pt idx="0">
                  <c:v>Capital Costs</c:v>
                </c:pt>
                <c:pt idx="1">
                  <c:v>Operational Costs</c:v>
                </c:pt>
              </c:strCache>
            </c:strRef>
          </c:cat>
          <c:val>
            <c:numRef>
              <c:f>Figures!$B$316:$C$316</c:f>
              <c:numCache>
                <c:formatCode>General</c:formatCode>
                <c:ptCount val="2"/>
                <c:pt idx="0" formatCode="_(&quot;$&quot;* #,##0.00_);_(&quot;$&quot;* \(#,##0.00\);_(&quot;$&quot;* &quot;-&quot;??_);_(@_)">
                  <c:v>11025.208824934285</c:v>
                </c:pt>
              </c:numCache>
            </c:numRef>
          </c:val>
          <c:extLst>
            <c:ext xmlns:c16="http://schemas.microsoft.com/office/drawing/2014/chart" uri="{C3380CC4-5D6E-409C-BE32-E72D297353CC}">
              <c16:uniqueId val="{00000001-FA6E-4590-8326-1E898513832C}"/>
            </c:ext>
          </c:extLst>
        </c:ser>
        <c:ser>
          <c:idx val="3"/>
          <c:order val="2"/>
          <c:tx>
            <c:strRef>
              <c:f>Figures!$A$317</c:f>
              <c:strCache>
                <c:ptCount val="1"/>
                <c:pt idx="0">
                  <c:v>Feed Pump - Suspension</c:v>
                </c:pt>
              </c:strCache>
            </c:strRef>
          </c:tx>
          <c:spPr>
            <a:solidFill>
              <a:schemeClr val="accent4"/>
            </a:solidFill>
            <a:ln>
              <a:noFill/>
            </a:ln>
            <a:effectLst/>
          </c:spPr>
          <c:invertIfNegative val="0"/>
          <c:cat>
            <c:strRef>
              <c:f>Figures!$B$34:$C$34</c:f>
              <c:strCache>
                <c:ptCount val="2"/>
                <c:pt idx="0">
                  <c:v>Capital Costs</c:v>
                </c:pt>
                <c:pt idx="1">
                  <c:v>Operational Costs</c:v>
                </c:pt>
              </c:strCache>
            </c:strRef>
          </c:cat>
          <c:val>
            <c:numRef>
              <c:f>Figures!$B$317:$C$317</c:f>
              <c:numCache>
                <c:formatCode>General</c:formatCode>
                <c:ptCount val="2"/>
                <c:pt idx="0" formatCode="_(&quot;$&quot;* #,##0.00_);_(&quot;$&quot;* \(#,##0.00\);_(&quot;$&quot;* &quot;-&quot;??_);_(@_)">
                  <c:v>6332.3196203504021</c:v>
                </c:pt>
              </c:numCache>
            </c:numRef>
          </c:val>
          <c:extLst>
            <c:ext xmlns:c16="http://schemas.microsoft.com/office/drawing/2014/chart" uri="{C3380CC4-5D6E-409C-BE32-E72D297353CC}">
              <c16:uniqueId val="{00000002-FA6E-4590-8326-1E898513832C}"/>
            </c:ext>
          </c:extLst>
        </c:ser>
        <c:ser>
          <c:idx val="4"/>
          <c:order val="3"/>
          <c:tx>
            <c:strRef>
              <c:f>Figures!$A$318</c:f>
              <c:strCache>
                <c:ptCount val="1"/>
                <c:pt idx="0">
                  <c:v>Feed Pump - Suspension</c:v>
                </c:pt>
              </c:strCache>
            </c:strRef>
          </c:tx>
          <c:spPr>
            <a:solidFill>
              <a:schemeClr val="accent5"/>
            </a:solidFill>
            <a:ln>
              <a:noFill/>
            </a:ln>
            <a:effectLst/>
          </c:spPr>
          <c:invertIfNegative val="0"/>
          <c:cat>
            <c:strRef>
              <c:f>Figures!$B$34:$C$34</c:f>
              <c:strCache>
                <c:ptCount val="2"/>
                <c:pt idx="0">
                  <c:v>Capital Costs</c:v>
                </c:pt>
                <c:pt idx="1">
                  <c:v>Operational Costs</c:v>
                </c:pt>
              </c:strCache>
            </c:strRef>
          </c:cat>
          <c:val>
            <c:numRef>
              <c:f>Figures!$B$318:$C$318</c:f>
              <c:numCache>
                <c:formatCode>General</c:formatCode>
                <c:ptCount val="2"/>
                <c:pt idx="0" formatCode="_(&quot;$&quot;* #,##0.00_);_(&quot;$&quot;* \(#,##0.00\);_(&quot;$&quot;* &quot;-&quot;??_);_(@_)">
                  <c:v>3636.9625656059784</c:v>
                </c:pt>
              </c:numCache>
            </c:numRef>
          </c:val>
          <c:extLst>
            <c:ext xmlns:c16="http://schemas.microsoft.com/office/drawing/2014/chart" uri="{C3380CC4-5D6E-409C-BE32-E72D297353CC}">
              <c16:uniqueId val="{00000003-FA6E-4590-8326-1E898513832C}"/>
            </c:ext>
          </c:extLst>
        </c:ser>
        <c:ser>
          <c:idx val="5"/>
          <c:order val="4"/>
          <c:tx>
            <c:strRef>
              <c:f>Figures!$A$319</c:f>
              <c:strCache>
                <c:ptCount val="1"/>
                <c:pt idx="0">
                  <c:v>Tank Wall - Suspension</c:v>
                </c:pt>
              </c:strCache>
            </c:strRef>
          </c:tx>
          <c:spPr>
            <a:solidFill>
              <a:schemeClr val="accent6"/>
            </a:solidFill>
            <a:ln>
              <a:noFill/>
            </a:ln>
            <a:effectLst/>
          </c:spPr>
          <c:invertIfNegative val="0"/>
          <c:cat>
            <c:strRef>
              <c:f>Figures!$B$34:$C$34</c:f>
              <c:strCache>
                <c:ptCount val="2"/>
                <c:pt idx="0">
                  <c:v>Capital Costs</c:v>
                </c:pt>
                <c:pt idx="1">
                  <c:v>Operational Costs</c:v>
                </c:pt>
              </c:strCache>
            </c:strRef>
          </c:cat>
          <c:val>
            <c:numRef>
              <c:f>Figures!$B$319:$C$319</c:f>
              <c:numCache>
                <c:formatCode>General</c:formatCode>
                <c:ptCount val="2"/>
                <c:pt idx="0" formatCode="_(&quot;$&quot;* #,##0.00_);_(&quot;$&quot;* \(#,##0.00\);_(&quot;$&quot;* &quot;-&quot;??_);_(@_)">
                  <c:v>74757.963410028475</c:v>
                </c:pt>
              </c:numCache>
            </c:numRef>
          </c:val>
          <c:extLst>
            <c:ext xmlns:c16="http://schemas.microsoft.com/office/drawing/2014/chart" uri="{C3380CC4-5D6E-409C-BE32-E72D297353CC}">
              <c16:uniqueId val="{00000004-FA6E-4590-8326-1E898513832C}"/>
            </c:ext>
          </c:extLst>
        </c:ser>
        <c:ser>
          <c:idx val="6"/>
          <c:order val="5"/>
          <c:tx>
            <c:strRef>
              <c:f>Figures!$A$320</c:f>
              <c:strCache>
                <c:ptCount val="1"/>
                <c:pt idx="0">
                  <c:v>Insulation - Suspension</c:v>
                </c:pt>
              </c:strCache>
            </c:strRef>
          </c:tx>
          <c:spPr>
            <a:solidFill>
              <a:schemeClr val="accent1">
                <a:lumMod val="60000"/>
              </a:schemeClr>
            </a:solidFill>
            <a:ln>
              <a:noFill/>
            </a:ln>
            <a:effectLst/>
          </c:spPr>
          <c:invertIfNegative val="0"/>
          <c:cat>
            <c:strRef>
              <c:f>Figures!$B$34:$C$34</c:f>
              <c:strCache>
                <c:ptCount val="2"/>
                <c:pt idx="0">
                  <c:v>Capital Costs</c:v>
                </c:pt>
                <c:pt idx="1">
                  <c:v>Operational Costs</c:v>
                </c:pt>
              </c:strCache>
            </c:strRef>
          </c:cat>
          <c:val>
            <c:numRef>
              <c:f>Figures!$B$320:$C$320</c:f>
              <c:numCache>
                <c:formatCode>General</c:formatCode>
                <c:ptCount val="2"/>
                <c:pt idx="0" formatCode="_(&quot;$&quot;* #,##0.00_);_(&quot;$&quot;* \(#,##0.00\);_(&quot;$&quot;* &quot;-&quot;??_);_(@_)">
                  <c:v>18557.122581101907</c:v>
                </c:pt>
              </c:numCache>
            </c:numRef>
          </c:val>
          <c:extLst>
            <c:ext xmlns:c16="http://schemas.microsoft.com/office/drawing/2014/chart" uri="{C3380CC4-5D6E-409C-BE32-E72D297353CC}">
              <c16:uniqueId val="{00000005-FA6E-4590-8326-1E898513832C}"/>
            </c:ext>
          </c:extLst>
        </c:ser>
        <c:ser>
          <c:idx val="7"/>
          <c:order val="6"/>
          <c:tx>
            <c:strRef>
              <c:f>Figures!$A$321</c:f>
              <c:strCache>
                <c:ptCount val="1"/>
                <c:pt idx="0">
                  <c:v>Feed Pump - Formation</c:v>
                </c:pt>
              </c:strCache>
            </c:strRef>
          </c:tx>
          <c:spPr>
            <a:solidFill>
              <a:schemeClr val="accent2">
                <a:lumMod val="60000"/>
              </a:schemeClr>
            </a:solidFill>
            <a:ln>
              <a:noFill/>
            </a:ln>
            <a:effectLst/>
          </c:spPr>
          <c:invertIfNegative val="0"/>
          <c:cat>
            <c:strRef>
              <c:f>Figures!$B$34:$C$34</c:f>
              <c:strCache>
                <c:ptCount val="2"/>
                <c:pt idx="0">
                  <c:v>Capital Costs</c:v>
                </c:pt>
                <c:pt idx="1">
                  <c:v>Operational Costs</c:v>
                </c:pt>
              </c:strCache>
            </c:strRef>
          </c:cat>
          <c:val>
            <c:numRef>
              <c:f>Figures!$B$321:$C$321</c:f>
              <c:numCache>
                <c:formatCode>General</c:formatCode>
                <c:ptCount val="2"/>
                <c:pt idx="0" formatCode="_(&quot;$&quot;* #,##0.00_);_(&quot;$&quot;* \(#,##0.00\);_(&quot;$&quot;* &quot;-&quot;??_);_(@_)">
                  <c:v>11201.262151249228</c:v>
                </c:pt>
              </c:numCache>
            </c:numRef>
          </c:val>
          <c:extLst>
            <c:ext xmlns:c16="http://schemas.microsoft.com/office/drawing/2014/chart" uri="{C3380CC4-5D6E-409C-BE32-E72D297353CC}">
              <c16:uniqueId val="{00000006-FA6E-4590-8326-1E898513832C}"/>
            </c:ext>
          </c:extLst>
        </c:ser>
        <c:ser>
          <c:idx val="8"/>
          <c:order val="7"/>
          <c:tx>
            <c:strRef>
              <c:f>Figures!$A$322</c:f>
              <c:strCache>
                <c:ptCount val="1"/>
                <c:pt idx="0">
                  <c:v>Feed Pump - Formation</c:v>
                </c:pt>
              </c:strCache>
            </c:strRef>
          </c:tx>
          <c:spPr>
            <a:solidFill>
              <a:schemeClr val="accent3">
                <a:lumMod val="60000"/>
              </a:schemeClr>
            </a:solidFill>
            <a:ln>
              <a:noFill/>
            </a:ln>
            <a:effectLst/>
          </c:spPr>
          <c:invertIfNegative val="0"/>
          <c:cat>
            <c:strRef>
              <c:f>Figures!$B$34:$C$34</c:f>
              <c:strCache>
                <c:ptCount val="2"/>
                <c:pt idx="0">
                  <c:v>Capital Costs</c:v>
                </c:pt>
                <c:pt idx="1">
                  <c:v>Operational Costs</c:v>
                </c:pt>
              </c:strCache>
            </c:strRef>
          </c:cat>
          <c:val>
            <c:numRef>
              <c:f>Figures!$B$322:$C$322</c:f>
              <c:numCache>
                <c:formatCode>General</c:formatCode>
                <c:ptCount val="2"/>
                <c:pt idx="0" formatCode="_(&quot;$&quot;* #,##0.00_);_(&quot;$&quot;* \(#,##0.00\);_(&quot;$&quot;* &quot;-&quot;??_);_(@_)">
                  <c:v>7081.4321735089934</c:v>
                </c:pt>
              </c:numCache>
            </c:numRef>
          </c:val>
          <c:extLst>
            <c:ext xmlns:c16="http://schemas.microsoft.com/office/drawing/2014/chart" uri="{C3380CC4-5D6E-409C-BE32-E72D297353CC}">
              <c16:uniqueId val="{00000007-FA6E-4590-8326-1E898513832C}"/>
            </c:ext>
          </c:extLst>
        </c:ser>
        <c:ser>
          <c:idx val="9"/>
          <c:order val="8"/>
          <c:tx>
            <c:strRef>
              <c:f>Figures!$A$323</c:f>
              <c:strCache>
                <c:ptCount val="1"/>
                <c:pt idx="0">
                  <c:v>Tank Wall - Formation</c:v>
                </c:pt>
              </c:strCache>
            </c:strRef>
          </c:tx>
          <c:spPr>
            <a:solidFill>
              <a:schemeClr val="accent4">
                <a:lumMod val="60000"/>
              </a:schemeClr>
            </a:solidFill>
            <a:ln>
              <a:noFill/>
            </a:ln>
            <a:effectLst/>
          </c:spPr>
          <c:invertIfNegative val="0"/>
          <c:cat>
            <c:strRef>
              <c:f>Figures!$B$34:$C$34</c:f>
              <c:strCache>
                <c:ptCount val="2"/>
                <c:pt idx="0">
                  <c:v>Capital Costs</c:v>
                </c:pt>
                <c:pt idx="1">
                  <c:v>Operational Costs</c:v>
                </c:pt>
              </c:strCache>
            </c:strRef>
          </c:cat>
          <c:val>
            <c:numRef>
              <c:f>Figures!$B$323:$C$323</c:f>
              <c:numCache>
                <c:formatCode>General</c:formatCode>
                <c:ptCount val="2"/>
                <c:pt idx="0" formatCode="_(&quot;$&quot;* #,##0.00_);_(&quot;$&quot;* \(#,##0.00\);_(&quot;$&quot;* &quot;-&quot;??_);_(@_)">
                  <c:v>75801.461966339964</c:v>
                </c:pt>
              </c:numCache>
            </c:numRef>
          </c:val>
          <c:extLst>
            <c:ext xmlns:c16="http://schemas.microsoft.com/office/drawing/2014/chart" uri="{C3380CC4-5D6E-409C-BE32-E72D297353CC}">
              <c16:uniqueId val="{00000008-FA6E-4590-8326-1E898513832C}"/>
            </c:ext>
          </c:extLst>
        </c:ser>
        <c:ser>
          <c:idx val="10"/>
          <c:order val="9"/>
          <c:tx>
            <c:strRef>
              <c:f>Figures!$A$324</c:f>
              <c:strCache>
                <c:ptCount val="1"/>
                <c:pt idx="0">
                  <c:v>Insulation - Formation</c:v>
                </c:pt>
              </c:strCache>
            </c:strRef>
          </c:tx>
          <c:spPr>
            <a:solidFill>
              <a:schemeClr val="accent5">
                <a:lumMod val="60000"/>
              </a:schemeClr>
            </a:solidFill>
            <a:ln>
              <a:noFill/>
            </a:ln>
            <a:effectLst/>
          </c:spPr>
          <c:invertIfNegative val="0"/>
          <c:cat>
            <c:strRef>
              <c:f>Figures!$B$34:$C$34</c:f>
              <c:strCache>
                <c:ptCount val="2"/>
                <c:pt idx="0">
                  <c:v>Capital Costs</c:v>
                </c:pt>
                <c:pt idx="1">
                  <c:v>Operational Costs</c:v>
                </c:pt>
              </c:strCache>
            </c:strRef>
          </c:cat>
          <c:val>
            <c:numRef>
              <c:f>Figures!$B$324:$C$324</c:f>
              <c:numCache>
                <c:formatCode>General</c:formatCode>
                <c:ptCount val="2"/>
                <c:pt idx="0" formatCode="_(&quot;$&quot;* #,##0.00_);_(&quot;$&quot;* \(#,##0.00\);_(&quot;$&quot;* &quot;-&quot;??_);_(@_)">
                  <c:v>18816.14957621232</c:v>
                </c:pt>
              </c:numCache>
            </c:numRef>
          </c:val>
          <c:extLst>
            <c:ext xmlns:c16="http://schemas.microsoft.com/office/drawing/2014/chart" uri="{C3380CC4-5D6E-409C-BE32-E72D297353CC}">
              <c16:uniqueId val="{00000009-FA6E-4590-8326-1E898513832C}"/>
            </c:ext>
          </c:extLst>
        </c:ser>
        <c:ser>
          <c:idx val="11"/>
          <c:order val="10"/>
          <c:tx>
            <c:strRef>
              <c:f>Figures!$A$325</c:f>
              <c:strCache>
                <c:ptCount val="1"/>
                <c:pt idx="0">
                  <c:v>Feed Pump - Recovery</c:v>
                </c:pt>
              </c:strCache>
            </c:strRef>
          </c:tx>
          <c:spPr>
            <a:solidFill>
              <a:schemeClr val="accent6">
                <a:lumMod val="60000"/>
              </a:schemeClr>
            </a:solidFill>
            <a:ln>
              <a:noFill/>
            </a:ln>
            <a:effectLst/>
          </c:spPr>
          <c:invertIfNegative val="0"/>
          <c:cat>
            <c:strRef>
              <c:f>Figures!$B$34:$C$34</c:f>
              <c:strCache>
                <c:ptCount val="2"/>
                <c:pt idx="0">
                  <c:v>Capital Costs</c:v>
                </c:pt>
                <c:pt idx="1">
                  <c:v>Operational Costs</c:v>
                </c:pt>
              </c:strCache>
            </c:strRef>
          </c:cat>
          <c:val>
            <c:numRef>
              <c:f>Figures!$B$325:$C$325</c:f>
              <c:numCache>
                <c:formatCode>General</c:formatCode>
                <c:ptCount val="2"/>
                <c:pt idx="0" formatCode="_(&quot;$&quot;* #,##0.00_);_(&quot;$&quot;* \(#,##0.00\);_(&quot;$&quot;* &quot;-&quot;??_);_(@_)">
                  <c:v>11464.055061728001</c:v>
                </c:pt>
              </c:numCache>
            </c:numRef>
          </c:val>
          <c:extLst>
            <c:ext xmlns:c16="http://schemas.microsoft.com/office/drawing/2014/chart" uri="{C3380CC4-5D6E-409C-BE32-E72D297353CC}">
              <c16:uniqueId val="{0000000A-FA6E-4590-8326-1E898513832C}"/>
            </c:ext>
          </c:extLst>
        </c:ser>
        <c:ser>
          <c:idx val="12"/>
          <c:order val="11"/>
          <c:tx>
            <c:strRef>
              <c:f>Figures!$A$326</c:f>
              <c:strCache>
                <c:ptCount val="1"/>
                <c:pt idx="0">
                  <c:v>Feed Pump - Recovery</c:v>
                </c:pt>
              </c:strCache>
            </c:strRef>
          </c:tx>
          <c:spPr>
            <a:solidFill>
              <a:schemeClr val="accent1">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Figures!$B$326:$C$326</c:f>
              <c:numCache>
                <c:formatCode>General</c:formatCode>
                <c:ptCount val="2"/>
                <c:pt idx="0" formatCode="_(&quot;$&quot;* #,##0.00_);_(&quot;$&quot;* \(#,##0.00\);_(&quot;$&quot;* &quot;-&quot;??_);_(@_)">
                  <c:v>6584.3705955011928</c:v>
                </c:pt>
              </c:numCache>
            </c:numRef>
          </c:val>
          <c:extLst>
            <c:ext xmlns:c16="http://schemas.microsoft.com/office/drawing/2014/chart" uri="{C3380CC4-5D6E-409C-BE32-E72D297353CC}">
              <c16:uniqueId val="{0000000B-FA6E-4590-8326-1E898513832C}"/>
            </c:ext>
          </c:extLst>
        </c:ser>
        <c:ser>
          <c:idx val="13"/>
          <c:order val="12"/>
          <c:tx>
            <c:strRef>
              <c:f>Figures!$A$327</c:f>
              <c:strCache>
                <c:ptCount val="1"/>
                <c:pt idx="0">
                  <c:v>Tank Wall - Recovery</c:v>
                </c:pt>
              </c:strCache>
            </c:strRef>
          </c:tx>
          <c:spPr>
            <a:solidFill>
              <a:schemeClr val="accent2">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Figures!$B$327:$C$327</c:f>
              <c:numCache>
                <c:formatCode>General</c:formatCode>
                <c:ptCount val="2"/>
                <c:pt idx="0" formatCode="_(&quot;$&quot;* #,##0.00_);_(&quot;$&quot;* \(#,##0.00\);_(&quot;$&quot;* &quot;-&quot;??_);_(@_)">
                  <c:v>77870.24969894778</c:v>
                </c:pt>
              </c:numCache>
            </c:numRef>
          </c:val>
          <c:extLst>
            <c:ext xmlns:c16="http://schemas.microsoft.com/office/drawing/2014/chart" uri="{C3380CC4-5D6E-409C-BE32-E72D297353CC}">
              <c16:uniqueId val="{0000000C-FA6E-4590-8326-1E898513832C}"/>
            </c:ext>
          </c:extLst>
        </c:ser>
        <c:ser>
          <c:idx val="14"/>
          <c:order val="13"/>
          <c:tx>
            <c:strRef>
              <c:f>Figures!$A$328</c:f>
              <c:strCache>
                <c:ptCount val="1"/>
                <c:pt idx="0">
                  <c:v>Insulation - Recovery</c:v>
                </c:pt>
              </c:strCache>
            </c:strRef>
          </c:tx>
          <c:spPr>
            <a:solidFill>
              <a:schemeClr val="accent3">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Figures!$B$328:$C$328</c:f>
              <c:numCache>
                <c:formatCode>General</c:formatCode>
                <c:ptCount val="2"/>
                <c:pt idx="0" formatCode="_(&quot;$&quot;* #,##0.00_);_(&quot;$&quot;* \(#,##0.00\);_(&quot;$&quot;* &quot;-&quot;??_);_(@_)">
                  <c:v>19329.683463401263</c:v>
                </c:pt>
              </c:numCache>
            </c:numRef>
          </c:val>
          <c:extLst>
            <c:ext xmlns:c16="http://schemas.microsoft.com/office/drawing/2014/chart" uri="{C3380CC4-5D6E-409C-BE32-E72D297353CC}">
              <c16:uniqueId val="{0000000D-FA6E-4590-8326-1E898513832C}"/>
            </c:ext>
          </c:extLst>
        </c:ser>
        <c:ser>
          <c:idx val="15"/>
          <c:order val="14"/>
          <c:tx>
            <c:strRef>
              <c:f>Figures!$A$329</c:f>
              <c:strCache>
                <c:ptCount val="1"/>
                <c:pt idx="0">
                  <c:v>Feed Pump - Conversion</c:v>
                </c:pt>
              </c:strCache>
            </c:strRef>
          </c:tx>
          <c:spPr>
            <a:solidFill>
              <a:schemeClr val="accent4">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Figures!$B$329:$C$329</c:f>
              <c:numCache>
                <c:formatCode>General</c:formatCode>
                <c:ptCount val="2"/>
                <c:pt idx="0" formatCode="_(&quot;$&quot;* #,##0.00_);_(&quot;$&quot;* \(#,##0.00\);_(&quot;$&quot;* &quot;-&quot;??_);_(@_)">
                  <c:v>69564.364825201264</c:v>
                </c:pt>
              </c:numCache>
            </c:numRef>
          </c:val>
          <c:extLst>
            <c:ext xmlns:c16="http://schemas.microsoft.com/office/drawing/2014/chart" uri="{C3380CC4-5D6E-409C-BE32-E72D297353CC}">
              <c16:uniqueId val="{0000000E-FA6E-4590-8326-1E898513832C}"/>
            </c:ext>
          </c:extLst>
        </c:ser>
        <c:ser>
          <c:idx val="16"/>
          <c:order val="15"/>
          <c:tx>
            <c:strRef>
              <c:f>Figures!$A$330</c:f>
              <c:strCache>
                <c:ptCount val="1"/>
                <c:pt idx="0">
                  <c:v>Feed Pump - Conversion</c:v>
                </c:pt>
              </c:strCache>
            </c:strRef>
          </c:tx>
          <c:spPr>
            <a:solidFill>
              <a:schemeClr val="accent5">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Figures!$B$330:$C$330</c:f>
              <c:numCache>
                <c:formatCode>General</c:formatCode>
                <c:ptCount val="2"/>
                <c:pt idx="0" formatCode="_(&quot;$&quot;* #,##0.00_);_(&quot;$&quot;* \(#,##0.00\);_(&quot;$&quot;* &quot;-&quot;??_);_(@_)">
                  <c:v>69564.364825201264</c:v>
                </c:pt>
              </c:numCache>
            </c:numRef>
          </c:val>
          <c:extLst>
            <c:ext xmlns:c16="http://schemas.microsoft.com/office/drawing/2014/chart" uri="{C3380CC4-5D6E-409C-BE32-E72D297353CC}">
              <c16:uniqueId val="{0000000F-FA6E-4590-8326-1E898513832C}"/>
            </c:ext>
          </c:extLst>
        </c:ser>
        <c:ser>
          <c:idx val="17"/>
          <c:order val="16"/>
          <c:tx>
            <c:strRef>
              <c:f>Figures!$A$331</c:f>
              <c:strCache>
                <c:ptCount val="1"/>
                <c:pt idx="0">
                  <c:v>Conversion Tank</c:v>
                </c:pt>
              </c:strCache>
            </c:strRef>
          </c:tx>
          <c:spPr>
            <a:solidFill>
              <a:schemeClr val="accent6">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Nova Cond" panose="020B0506020202020204" pitchFamily="34" charset="0"/>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Figures!$B$331:$C$331</c:f>
              <c:numCache>
                <c:formatCode>General</c:formatCode>
                <c:ptCount val="2"/>
                <c:pt idx="0" formatCode="_(&quot;$&quot;* #,##0.00_);_(&quot;$&quot;* \(#,##0.00\);_(&quot;$&quot;* &quot;-&quot;??_);_(@_)">
                  <c:v>374677.36873081001</c:v>
                </c:pt>
              </c:numCache>
            </c:numRef>
          </c:val>
          <c:extLst>
            <c:ext xmlns:c16="http://schemas.microsoft.com/office/drawing/2014/chart" uri="{C3380CC4-5D6E-409C-BE32-E72D297353CC}">
              <c16:uniqueId val="{00000010-FA6E-4590-8326-1E898513832C}"/>
            </c:ext>
          </c:extLst>
        </c:ser>
        <c:ser>
          <c:idx val="18"/>
          <c:order val="17"/>
          <c:tx>
            <c:strRef>
              <c:f>Figures!$A$332</c:f>
              <c:strCache>
                <c:ptCount val="1"/>
                <c:pt idx="0">
                  <c:v>Insulation - Conversion</c:v>
                </c:pt>
              </c:strCache>
            </c:strRef>
          </c:tx>
          <c:spPr>
            <a:solidFill>
              <a:schemeClr val="accent1">
                <a:lumMod val="80000"/>
              </a:schemeClr>
            </a:solidFill>
            <a:ln>
              <a:noFill/>
            </a:ln>
            <a:effectLst/>
          </c:spPr>
          <c:invertIfNegative val="0"/>
          <c:cat>
            <c:strRef>
              <c:f>Figures!$B$34:$C$34</c:f>
              <c:strCache>
                <c:ptCount val="2"/>
                <c:pt idx="0">
                  <c:v>Capital Costs</c:v>
                </c:pt>
                <c:pt idx="1">
                  <c:v>Operational Costs</c:v>
                </c:pt>
              </c:strCache>
            </c:strRef>
          </c:cat>
          <c:val>
            <c:numRef>
              <c:f>Figures!$B$332:$C$332</c:f>
              <c:numCache>
                <c:formatCode>General</c:formatCode>
                <c:ptCount val="2"/>
                <c:pt idx="0" formatCode="_(&quot;$&quot;* #,##0.00_);_(&quot;$&quot;* \(#,##0.00\);_(&quot;$&quot;* &quot;-&quot;??_);_(@_)">
                  <c:v>93005.929305046389</c:v>
                </c:pt>
              </c:numCache>
            </c:numRef>
          </c:val>
          <c:extLst>
            <c:ext xmlns:c16="http://schemas.microsoft.com/office/drawing/2014/chart" uri="{C3380CC4-5D6E-409C-BE32-E72D297353CC}">
              <c16:uniqueId val="{00000011-FA6E-4590-8326-1E898513832C}"/>
            </c:ext>
          </c:extLst>
        </c:ser>
        <c:ser>
          <c:idx val="19"/>
          <c:order val="18"/>
          <c:tx>
            <c:strRef>
              <c:f>Figures!$A$333</c:f>
              <c:strCache>
                <c:ptCount val="1"/>
                <c:pt idx="0">
                  <c:v>Agitators</c:v>
                </c:pt>
              </c:strCache>
            </c:strRef>
          </c:tx>
          <c:spPr>
            <a:solidFill>
              <a:schemeClr val="accent2">
                <a:lumMod val="80000"/>
              </a:schemeClr>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6="http://schemas.microsoft.com/office/drawing/2014/chart" uri="{C3380CC4-5D6E-409C-BE32-E72D297353CC}">
                  <c16:uniqueId val="{00000001-5760-4218-9791-2D139B5F614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Figures!$B$333:$C$333</c:f>
              <c:numCache>
                <c:formatCode>General</c:formatCode>
                <c:ptCount val="2"/>
                <c:pt idx="0" formatCode="_(&quot;$&quot;* #,##0.00_);_(&quot;$&quot;* \(#,##0.00\);_(&quot;$&quot;* &quot;-&quot;??_);_(@_)">
                  <c:v>601459.00185604196</c:v>
                </c:pt>
              </c:numCache>
            </c:numRef>
          </c:val>
          <c:extLst>
            <c:ext xmlns:c16="http://schemas.microsoft.com/office/drawing/2014/chart" uri="{C3380CC4-5D6E-409C-BE32-E72D297353CC}">
              <c16:uniqueId val="{00000012-FA6E-4590-8326-1E898513832C}"/>
            </c:ext>
          </c:extLst>
        </c:ser>
        <c:ser>
          <c:idx val="20"/>
          <c:order val="19"/>
          <c:tx>
            <c:strRef>
              <c:f>Figures!$A$334</c:f>
              <c:strCache>
                <c:ptCount val="1"/>
                <c:pt idx="0">
                  <c:v>Microfilter</c:v>
                </c:pt>
              </c:strCache>
            </c:strRef>
          </c:tx>
          <c:spPr>
            <a:solidFill>
              <a:schemeClr val="accent3">
                <a:lumMod val="80000"/>
              </a:schemeClr>
            </a:solidFill>
            <a:ln>
              <a:noFill/>
            </a:ln>
            <a:effectLst/>
          </c:spPr>
          <c:invertIfNegative val="0"/>
          <c:cat>
            <c:strRef>
              <c:f>Figures!$B$34:$C$34</c:f>
              <c:strCache>
                <c:ptCount val="2"/>
                <c:pt idx="0">
                  <c:v>Capital Costs</c:v>
                </c:pt>
                <c:pt idx="1">
                  <c:v>Operational Costs</c:v>
                </c:pt>
              </c:strCache>
            </c:strRef>
          </c:cat>
          <c:val>
            <c:numRef>
              <c:f>Figures!$B$334:$C$334</c:f>
              <c:numCache>
                <c:formatCode>General</c:formatCode>
                <c:ptCount val="2"/>
                <c:pt idx="0" formatCode="_(&quot;$&quot;* #,##0.00_);_(&quot;$&quot;* \(#,##0.00\);_(&quot;$&quot;* &quot;-&quot;??_);_(@_)">
                  <c:v>5909.7724987971669</c:v>
                </c:pt>
              </c:numCache>
            </c:numRef>
          </c:val>
          <c:extLst>
            <c:ext xmlns:c16="http://schemas.microsoft.com/office/drawing/2014/chart" uri="{C3380CC4-5D6E-409C-BE32-E72D297353CC}">
              <c16:uniqueId val="{00000013-FA6E-4590-8326-1E898513832C}"/>
            </c:ext>
          </c:extLst>
        </c:ser>
        <c:ser>
          <c:idx val="0"/>
          <c:order val="20"/>
          <c:tx>
            <c:strRef>
              <c:f>Figures!$A$335</c:f>
              <c:strCache>
                <c:ptCount val="1"/>
                <c:pt idx="0">
                  <c:v>Storage Tank</c:v>
                </c:pt>
              </c:strCache>
            </c:strRef>
          </c:tx>
          <c:spPr>
            <a:solidFill>
              <a:schemeClr val="accent1"/>
            </a:solidFill>
            <a:ln>
              <a:noFill/>
            </a:ln>
            <a:effectLst/>
          </c:spPr>
          <c:invertIfNegative val="0"/>
          <c:cat>
            <c:strRef>
              <c:f>Figures!$B$34:$C$34</c:f>
              <c:strCache>
                <c:ptCount val="2"/>
                <c:pt idx="0">
                  <c:v>Capital Costs</c:v>
                </c:pt>
                <c:pt idx="1">
                  <c:v>Operational Costs</c:v>
                </c:pt>
              </c:strCache>
            </c:strRef>
          </c:cat>
          <c:val>
            <c:numRef>
              <c:f>Figures!$B$335:$C$335</c:f>
              <c:numCache>
                <c:formatCode>General</c:formatCode>
                <c:ptCount val="2"/>
                <c:pt idx="0" formatCode="_(&quot;$&quot;* #,##0.00_);_(&quot;$&quot;* \(#,##0.00\);_(&quot;$&quot;* &quot;-&quot;??_);_(@_)">
                  <c:v>82752.750074175536</c:v>
                </c:pt>
              </c:numCache>
            </c:numRef>
          </c:val>
          <c:extLst>
            <c:ext xmlns:c16="http://schemas.microsoft.com/office/drawing/2014/chart" uri="{C3380CC4-5D6E-409C-BE32-E72D297353CC}">
              <c16:uniqueId val="{00000014-FA6E-4590-8326-1E898513832C}"/>
            </c:ext>
          </c:extLst>
        </c:ser>
        <c:dLbls>
          <c:showLegendKey val="0"/>
          <c:showVal val="0"/>
          <c:showCatName val="0"/>
          <c:showSerName val="0"/>
          <c:showPercent val="0"/>
          <c:showBubbleSize val="0"/>
        </c:dLbls>
        <c:gapWidth val="50"/>
        <c:overlap val="100"/>
        <c:axId val="1295435552"/>
        <c:axId val="1295428352"/>
      </c:barChart>
      <c:barChart>
        <c:barDir val="col"/>
        <c:grouping val="stacked"/>
        <c:varyColors val="0"/>
        <c:ser>
          <c:idx val="21"/>
          <c:order val="21"/>
          <c:tx>
            <c:strRef>
              <c:f>Figures!$A$336</c:f>
              <c:strCache>
                <c:ptCount val="1"/>
                <c:pt idx="0">
                  <c:v>Glucose</c:v>
                </c:pt>
              </c:strCache>
            </c:strRef>
          </c:tx>
          <c:spPr>
            <a:solidFill>
              <a:schemeClr val="accent4">
                <a:lumMod val="80000"/>
              </a:schemeClr>
            </a:solidFill>
            <a:ln>
              <a:noFill/>
            </a:ln>
            <a:effectLst/>
          </c:spPr>
          <c:invertIfNegative val="0"/>
          <c:dLbls>
            <c:dLbl>
              <c:idx val="1"/>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6="http://schemas.microsoft.com/office/drawing/2014/chart" uri="{C3380CC4-5D6E-409C-BE32-E72D297353CC}">
                  <c16:uniqueId val="{00000000-5760-4218-9791-2D139B5F614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Figures!$B$336:$C$336</c:f>
              <c:numCache>
                <c:formatCode>_("$"* #,##0.00_);_("$"* \(#,##0.00\);_("$"* "-"??_);_(@_)</c:formatCode>
                <c:ptCount val="2"/>
                <c:pt idx="1">
                  <c:v>4213858.6866509058</c:v>
                </c:pt>
              </c:numCache>
            </c:numRef>
          </c:val>
          <c:extLst>
            <c:ext xmlns:c16="http://schemas.microsoft.com/office/drawing/2014/chart" uri="{C3380CC4-5D6E-409C-BE32-E72D297353CC}">
              <c16:uniqueId val="{00000015-FA6E-4590-8326-1E898513832C}"/>
            </c:ext>
          </c:extLst>
        </c:ser>
        <c:ser>
          <c:idx val="22"/>
          <c:order val="22"/>
          <c:tx>
            <c:strRef>
              <c:f>Figures!$A$337</c:f>
              <c:strCache>
                <c:ptCount val="1"/>
                <c:pt idx="0">
                  <c:v>M9 Minimal Salts</c:v>
                </c:pt>
              </c:strCache>
            </c:strRef>
          </c:tx>
          <c:spPr>
            <a:solidFill>
              <a:schemeClr val="accent5">
                <a:lumMod val="80000"/>
              </a:schemeClr>
            </a:solidFill>
            <a:ln>
              <a:noFill/>
            </a:ln>
            <a:effectLst/>
          </c:spPr>
          <c:invertIfNegative val="0"/>
          <c:cat>
            <c:strRef>
              <c:f>Figures!$B$34:$C$34</c:f>
              <c:strCache>
                <c:ptCount val="2"/>
                <c:pt idx="0">
                  <c:v>Capital Costs</c:v>
                </c:pt>
                <c:pt idx="1">
                  <c:v>Operational Costs</c:v>
                </c:pt>
              </c:strCache>
            </c:strRef>
          </c:cat>
          <c:val>
            <c:numRef>
              <c:f>Figures!$B$337:$C$337</c:f>
              <c:numCache>
                <c:formatCode>_("$"* #,##0.00_);_("$"* \(#,##0.00\);_("$"* "-"??_);_(@_)</c:formatCode>
                <c:ptCount val="2"/>
                <c:pt idx="1">
                  <c:v>77767.557129819194</c:v>
                </c:pt>
              </c:numCache>
            </c:numRef>
          </c:val>
          <c:extLst>
            <c:ext xmlns:c16="http://schemas.microsoft.com/office/drawing/2014/chart" uri="{C3380CC4-5D6E-409C-BE32-E72D297353CC}">
              <c16:uniqueId val="{00000016-FA6E-4590-8326-1E898513832C}"/>
            </c:ext>
          </c:extLst>
        </c:ser>
        <c:ser>
          <c:idx val="23"/>
          <c:order val="23"/>
          <c:tx>
            <c:strRef>
              <c:f>Figures!$A$338</c:f>
              <c:strCache>
                <c:ptCount val="1"/>
                <c:pt idx="0">
                  <c:v>Power - Mixing Inoculum</c:v>
                </c:pt>
              </c:strCache>
            </c:strRef>
          </c:tx>
          <c:spPr>
            <a:solidFill>
              <a:schemeClr val="accent6">
                <a:lumMod val="80000"/>
              </a:schemeClr>
            </a:solidFill>
            <a:ln>
              <a:noFill/>
            </a:ln>
            <a:effectLst/>
          </c:spPr>
          <c:invertIfNegative val="0"/>
          <c:cat>
            <c:strRef>
              <c:f>Figures!$B$34:$C$34</c:f>
              <c:strCache>
                <c:ptCount val="2"/>
                <c:pt idx="0">
                  <c:v>Capital Costs</c:v>
                </c:pt>
                <c:pt idx="1">
                  <c:v>Operational Costs</c:v>
                </c:pt>
              </c:strCache>
            </c:strRef>
          </c:cat>
          <c:val>
            <c:numRef>
              <c:f>Figures!$B$338:$C$338</c:f>
              <c:numCache>
                <c:formatCode>_("$"* #,##0.00_);_("$"* \(#,##0.00\);_("$"* "-"??_);_(@_)</c:formatCode>
                <c:ptCount val="2"/>
                <c:pt idx="1">
                  <c:v>68330.037081986375</c:v>
                </c:pt>
              </c:numCache>
            </c:numRef>
          </c:val>
          <c:extLst>
            <c:ext xmlns:c16="http://schemas.microsoft.com/office/drawing/2014/chart" uri="{C3380CC4-5D6E-409C-BE32-E72D297353CC}">
              <c16:uniqueId val="{00000017-FA6E-4590-8326-1E898513832C}"/>
            </c:ext>
          </c:extLst>
        </c:ser>
        <c:ser>
          <c:idx val="24"/>
          <c:order val="24"/>
          <c:tx>
            <c:strRef>
              <c:f>Figures!$A$339</c:f>
              <c:strCache>
                <c:ptCount val="1"/>
                <c:pt idx="0">
                  <c:v>Power - Feed Pump</c:v>
                </c:pt>
              </c:strCache>
            </c:strRef>
          </c:tx>
          <c:spPr>
            <a:solidFill>
              <a:schemeClr val="accent1">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Figures!$B$339:$C$339</c:f>
              <c:numCache>
                <c:formatCode>_("$"* #,##0.00_);_("$"* \(#,##0.00\);_("$"* "-"??_);_(@_)</c:formatCode>
                <c:ptCount val="2"/>
                <c:pt idx="1">
                  <c:v>34165.018540993187</c:v>
                </c:pt>
              </c:numCache>
            </c:numRef>
          </c:val>
          <c:extLst>
            <c:ext xmlns:c16="http://schemas.microsoft.com/office/drawing/2014/chart" uri="{C3380CC4-5D6E-409C-BE32-E72D297353CC}">
              <c16:uniqueId val="{00000018-FA6E-4590-8326-1E898513832C}"/>
            </c:ext>
          </c:extLst>
        </c:ser>
        <c:ser>
          <c:idx val="25"/>
          <c:order val="25"/>
          <c:tx>
            <c:strRef>
              <c:f>Figures!$A$340</c:f>
              <c:strCache>
                <c:ptCount val="1"/>
                <c:pt idx="0">
                  <c:v>Power - Tangential Microfiltration</c:v>
                </c:pt>
              </c:strCache>
            </c:strRef>
          </c:tx>
          <c:spPr>
            <a:solidFill>
              <a:schemeClr val="accent5">
                <a:lumMod val="40000"/>
                <a:lumOff val="60000"/>
              </a:schemeClr>
            </a:solidFill>
            <a:ln>
              <a:noFill/>
            </a:ln>
            <a:effectLst/>
          </c:spPr>
          <c:invertIfNegative val="0"/>
          <c:cat>
            <c:strRef>
              <c:f>Figures!$B$34:$C$34</c:f>
              <c:strCache>
                <c:ptCount val="2"/>
                <c:pt idx="0">
                  <c:v>Capital Costs</c:v>
                </c:pt>
                <c:pt idx="1">
                  <c:v>Operational Costs</c:v>
                </c:pt>
              </c:strCache>
            </c:strRef>
          </c:cat>
          <c:val>
            <c:numRef>
              <c:f>Figures!$B$340:$C$340</c:f>
              <c:numCache>
                <c:formatCode>_("$"* #,##0.00_);_("$"* \(#,##0.00\);_("$"* "-"??_);_(@_)</c:formatCode>
                <c:ptCount val="2"/>
                <c:pt idx="1">
                  <c:v>102495.05562297958</c:v>
                </c:pt>
              </c:numCache>
            </c:numRef>
          </c:val>
          <c:extLst>
            <c:ext xmlns:c16="http://schemas.microsoft.com/office/drawing/2014/chart" uri="{C3380CC4-5D6E-409C-BE32-E72D297353CC}">
              <c16:uniqueId val="{00000019-FA6E-4590-8326-1E898513832C}"/>
            </c:ext>
          </c:extLst>
        </c:ser>
        <c:ser>
          <c:idx val="26"/>
          <c:order val="26"/>
          <c:tx>
            <c:strRef>
              <c:f>Figures!$A$341</c:f>
              <c:strCache>
                <c:ptCount val="1"/>
                <c:pt idx="0">
                  <c:v>Heat - Inoculum </c:v>
                </c:pt>
              </c:strCache>
            </c:strRef>
          </c:tx>
          <c:spPr>
            <a:solidFill>
              <a:schemeClr val="accent3">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Figures!$B$341:$C$341</c:f>
              <c:numCache>
                <c:formatCode>_("$"* #,##0.00_);_("$"* \(#,##0.00\);_("$"* "-"??_);_(@_)</c:formatCode>
                <c:ptCount val="2"/>
                <c:pt idx="1">
                  <c:v>42.727612736108355</c:v>
                </c:pt>
              </c:numCache>
            </c:numRef>
          </c:val>
          <c:extLst>
            <c:ext xmlns:c16="http://schemas.microsoft.com/office/drawing/2014/chart" uri="{C3380CC4-5D6E-409C-BE32-E72D297353CC}">
              <c16:uniqueId val="{0000001A-FA6E-4590-8326-1E898513832C}"/>
            </c:ext>
          </c:extLst>
        </c:ser>
        <c:ser>
          <c:idx val="27"/>
          <c:order val="27"/>
          <c:tx>
            <c:strRef>
              <c:f>Figures!$A$342</c:f>
              <c:strCache>
                <c:ptCount val="1"/>
                <c:pt idx="0">
                  <c:v>Power - Suspension Pump</c:v>
                </c:pt>
              </c:strCache>
            </c:strRef>
          </c:tx>
          <c:spPr>
            <a:solidFill>
              <a:srgbClr val="0070C0"/>
            </a:solidFill>
            <a:ln>
              <a:noFill/>
            </a:ln>
            <a:effectLst/>
          </c:spPr>
          <c:invertIfNegative val="0"/>
          <c:cat>
            <c:strRef>
              <c:f>Figures!$B$34:$C$34</c:f>
              <c:strCache>
                <c:ptCount val="2"/>
                <c:pt idx="0">
                  <c:v>Capital Costs</c:v>
                </c:pt>
                <c:pt idx="1">
                  <c:v>Operational Costs</c:v>
                </c:pt>
              </c:strCache>
            </c:strRef>
          </c:cat>
          <c:val>
            <c:numRef>
              <c:f>Figures!$B$342:$C$342</c:f>
              <c:numCache>
                <c:formatCode>_("$"* #,##0.00_);_("$"* \(#,##0.00\);_("$"* "-"??_);_(@_)</c:formatCode>
                <c:ptCount val="2"/>
                <c:pt idx="1">
                  <c:v>34165.018540993187</c:v>
                </c:pt>
              </c:numCache>
            </c:numRef>
          </c:val>
          <c:extLst>
            <c:ext xmlns:c16="http://schemas.microsoft.com/office/drawing/2014/chart" uri="{C3380CC4-5D6E-409C-BE32-E72D297353CC}">
              <c16:uniqueId val="{0000001B-FA6E-4590-8326-1E898513832C}"/>
            </c:ext>
          </c:extLst>
        </c:ser>
        <c:ser>
          <c:idx val="28"/>
          <c:order val="28"/>
          <c:tx>
            <c:strRef>
              <c:f>Figures!$A$343</c:f>
              <c:strCache>
                <c:ptCount val="1"/>
                <c:pt idx="0">
                  <c:v>Alginate Solution</c:v>
                </c:pt>
              </c:strCache>
            </c:strRef>
          </c:tx>
          <c:spPr>
            <a:solidFill>
              <a:schemeClr val="accent5">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Figures!$B$343:$C$343</c:f>
              <c:numCache>
                <c:formatCode>_("$"* #,##0.00_);_("$"* \(#,##0.00\);_("$"* "-"??_);_(@_)</c:formatCode>
                <c:ptCount val="2"/>
                <c:pt idx="1">
                  <c:v>4644.7853674367152</c:v>
                </c:pt>
              </c:numCache>
            </c:numRef>
          </c:val>
          <c:extLst>
            <c:ext xmlns:c16="http://schemas.microsoft.com/office/drawing/2014/chart" uri="{C3380CC4-5D6E-409C-BE32-E72D297353CC}">
              <c16:uniqueId val="{0000001C-FA6E-4590-8326-1E898513832C}"/>
            </c:ext>
          </c:extLst>
        </c:ser>
        <c:ser>
          <c:idx val="29"/>
          <c:order val="29"/>
          <c:tx>
            <c:strRef>
              <c:f>Figures!$A$344</c:f>
              <c:strCache>
                <c:ptCount val="1"/>
                <c:pt idx="0">
                  <c:v>Glucose</c:v>
                </c:pt>
              </c:strCache>
            </c:strRef>
          </c:tx>
          <c:spPr>
            <a:solidFill>
              <a:schemeClr val="accent6">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Figures!$B$344:$C$344</c:f>
              <c:numCache>
                <c:formatCode>_("$"* #,##0.00_);_("$"* \(#,##0.00\);_("$"* "-"??_);_(@_)</c:formatCode>
                <c:ptCount val="2"/>
                <c:pt idx="1">
                  <c:v>84277.173733018135</c:v>
                </c:pt>
              </c:numCache>
            </c:numRef>
          </c:val>
          <c:extLst>
            <c:ext xmlns:c16="http://schemas.microsoft.com/office/drawing/2014/chart" uri="{C3380CC4-5D6E-409C-BE32-E72D297353CC}">
              <c16:uniqueId val="{0000001D-FA6E-4590-8326-1E898513832C}"/>
            </c:ext>
          </c:extLst>
        </c:ser>
        <c:ser>
          <c:idx val="30"/>
          <c:order val="30"/>
          <c:tx>
            <c:strRef>
              <c:f>Figures!$A$345</c:f>
              <c:strCache>
                <c:ptCount val="1"/>
                <c:pt idx="0">
                  <c:v>M9 Minimal Salts</c:v>
                </c:pt>
              </c:strCache>
            </c:strRef>
          </c:tx>
          <c:spPr>
            <a:solidFill>
              <a:schemeClr val="accent1">
                <a:lumMod val="50000"/>
              </a:schemeClr>
            </a:solidFill>
            <a:ln>
              <a:noFill/>
            </a:ln>
            <a:effectLst/>
          </c:spPr>
          <c:invertIfNegative val="0"/>
          <c:cat>
            <c:strRef>
              <c:f>Figures!$B$34:$C$34</c:f>
              <c:strCache>
                <c:ptCount val="2"/>
                <c:pt idx="0">
                  <c:v>Capital Costs</c:v>
                </c:pt>
                <c:pt idx="1">
                  <c:v>Operational Costs</c:v>
                </c:pt>
              </c:strCache>
            </c:strRef>
          </c:cat>
          <c:val>
            <c:numRef>
              <c:f>Figures!$B$345:$C$345</c:f>
              <c:numCache>
                <c:formatCode>_("$"* #,##0.00_);_("$"* \(#,##0.00\);_("$"* "-"??_);_(@_)</c:formatCode>
                <c:ptCount val="2"/>
                <c:pt idx="1">
                  <c:v>1555.3511425963836</c:v>
                </c:pt>
              </c:numCache>
            </c:numRef>
          </c:val>
          <c:extLst>
            <c:ext xmlns:c16="http://schemas.microsoft.com/office/drawing/2014/chart" uri="{C3380CC4-5D6E-409C-BE32-E72D297353CC}">
              <c16:uniqueId val="{0000001E-FA6E-4590-8326-1E898513832C}"/>
            </c:ext>
          </c:extLst>
        </c:ser>
        <c:ser>
          <c:idx val="31"/>
          <c:order val="31"/>
          <c:tx>
            <c:strRef>
              <c:f>Figures!$A$346</c:f>
              <c:strCache>
                <c:ptCount val="1"/>
                <c:pt idx="0">
                  <c:v>Power - Suspension Mixing</c:v>
                </c:pt>
              </c:strCache>
            </c:strRef>
          </c:tx>
          <c:spPr>
            <a:solidFill>
              <a:schemeClr val="accent2">
                <a:lumMod val="50000"/>
              </a:schemeClr>
            </a:solidFill>
            <a:ln>
              <a:noFill/>
            </a:ln>
            <a:effectLst/>
          </c:spPr>
          <c:invertIfNegative val="0"/>
          <c:cat>
            <c:strRef>
              <c:f>Figures!$B$34:$C$34</c:f>
              <c:strCache>
                <c:ptCount val="2"/>
                <c:pt idx="0">
                  <c:v>Capital Costs</c:v>
                </c:pt>
                <c:pt idx="1">
                  <c:v>Operational Costs</c:v>
                </c:pt>
              </c:strCache>
            </c:strRef>
          </c:cat>
          <c:val>
            <c:numRef>
              <c:f>Figures!$B$346:$C$346</c:f>
              <c:numCache>
                <c:formatCode>_("$"* #,##0.00_);_("$"* \(#,##0.00\);_("$"* "-"??_);_(@_)</c:formatCode>
                <c:ptCount val="2"/>
                <c:pt idx="1">
                  <c:v>85412.546352482968</c:v>
                </c:pt>
              </c:numCache>
            </c:numRef>
          </c:val>
          <c:extLst>
            <c:ext xmlns:c16="http://schemas.microsoft.com/office/drawing/2014/chart" uri="{C3380CC4-5D6E-409C-BE32-E72D297353CC}">
              <c16:uniqueId val="{0000001F-FA6E-4590-8326-1E898513832C}"/>
            </c:ext>
          </c:extLst>
        </c:ser>
        <c:ser>
          <c:idx val="32"/>
          <c:order val="32"/>
          <c:tx>
            <c:strRef>
              <c:f>Figures!$A$347</c:f>
              <c:strCache>
                <c:ptCount val="1"/>
                <c:pt idx="0">
                  <c:v>Power - Formation Pump</c:v>
                </c:pt>
              </c:strCache>
            </c:strRef>
          </c:tx>
          <c:spPr>
            <a:solidFill>
              <a:schemeClr val="accent3">
                <a:lumMod val="50000"/>
              </a:schemeClr>
            </a:solidFill>
            <a:ln>
              <a:noFill/>
            </a:ln>
            <a:effectLst/>
          </c:spPr>
          <c:invertIfNegative val="0"/>
          <c:cat>
            <c:strRef>
              <c:f>Figures!$B$34:$C$34</c:f>
              <c:strCache>
                <c:ptCount val="2"/>
                <c:pt idx="0">
                  <c:v>Capital Costs</c:v>
                </c:pt>
                <c:pt idx="1">
                  <c:v>Operational Costs</c:v>
                </c:pt>
              </c:strCache>
            </c:strRef>
          </c:cat>
          <c:val>
            <c:numRef>
              <c:f>Figures!$B$347:$C$347</c:f>
              <c:numCache>
                <c:formatCode>_("$"* #,##0.00_);_("$"* \(#,##0.00\);_("$"* "-"??_);_(@_)</c:formatCode>
                <c:ptCount val="2"/>
                <c:pt idx="1">
                  <c:v>34165.018540993187</c:v>
                </c:pt>
              </c:numCache>
            </c:numRef>
          </c:val>
          <c:extLst>
            <c:ext xmlns:c16="http://schemas.microsoft.com/office/drawing/2014/chart" uri="{C3380CC4-5D6E-409C-BE32-E72D297353CC}">
              <c16:uniqueId val="{00000020-FA6E-4590-8326-1E898513832C}"/>
            </c:ext>
          </c:extLst>
        </c:ser>
        <c:ser>
          <c:idx val="33"/>
          <c:order val="33"/>
          <c:tx>
            <c:strRef>
              <c:f>Figures!$A$348</c:f>
              <c:strCache>
                <c:ptCount val="1"/>
                <c:pt idx="0">
                  <c:v>Calcium Chloride</c:v>
                </c:pt>
              </c:strCache>
            </c:strRef>
          </c:tx>
          <c:spPr>
            <a:solidFill>
              <a:schemeClr val="accent4">
                <a:lumMod val="50000"/>
              </a:schemeClr>
            </a:solidFill>
            <a:ln>
              <a:noFill/>
            </a:ln>
            <a:effectLst/>
          </c:spPr>
          <c:invertIfNegative val="0"/>
          <c:cat>
            <c:strRef>
              <c:f>Figures!$B$34:$C$34</c:f>
              <c:strCache>
                <c:ptCount val="2"/>
                <c:pt idx="0">
                  <c:v>Capital Costs</c:v>
                </c:pt>
                <c:pt idx="1">
                  <c:v>Operational Costs</c:v>
                </c:pt>
              </c:strCache>
            </c:strRef>
          </c:cat>
          <c:val>
            <c:numRef>
              <c:f>Figures!$B$348:$C$348</c:f>
              <c:numCache>
                <c:formatCode>_("$"* #,##0.00_);_("$"* \(#,##0.00\);_("$"* "-"??_);_(@_)</c:formatCode>
                <c:ptCount val="2"/>
                <c:pt idx="1">
                  <c:v>9829.0241535324185</c:v>
                </c:pt>
              </c:numCache>
            </c:numRef>
          </c:val>
          <c:extLst>
            <c:ext xmlns:c16="http://schemas.microsoft.com/office/drawing/2014/chart" uri="{C3380CC4-5D6E-409C-BE32-E72D297353CC}">
              <c16:uniqueId val="{00000021-FA6E-4590-8326-1E898513832C}"/>
            </c:ext>
          </c:extLst>
        </c:ser>
        <c:ser>
          <c:idx val="34"/>
          <c:order val="34"/>
          <c:tx>
            <c:strRef>
              <c:f>Figures!$A$349</c:f>
              <c:strCache>
                <c:ptCount val="1"/>
                <c:pt idx="0">
                  <c:v>Power - Mixing Formation</c:v>
                </c:pt>
              </c:strCache>
            </c:strRef>
          </c:tx>
          <c:spPr>
            <a:solidFill>
              <a:schemeClr val="accent5">
                <a:lumMod val="50000"/>
              </a:schemeClr>
            </a:solidFill>
            <a:ln>
              <a:noFill/>
            </a:ln>
            <a:effectLst/>
          </c:spPr>
          <c:invertIfNegative val="0"/>
          <c:cat>
            <c:strRef>
              <c:f>Figures!$B$34:$C$34</c:f>
              <c:strCache>
                <c:ptCount val="2"/>
                <c:pt idx="0">
                  <c:v>Capital Costs</c:v>
                </c:pt>
                <c:pt idx="1">
                  <c:v>Operational Costs</c:v>
                </c:pt>
              </c:strCache>
            </c:strRef>
          </c:cat>
          <c:val>
            <c:numRef>
              <c:f>Figures!$B$349:$C$349</c:f>
              <c:numCache>
                <c:formatCode>_("$"* #,##0.00_);_("$"* \(#,##0.00\);_("$"* "-"??_);_(@_)</c:formatCode>
                <c:ptCount val="2"/>
                <c:pt idx="1">
                  <c:v>34165.018540993187</c:v>
                </c:pt>
              </c:numCache>
            </c:numRef>
          </c:val>
          <c:extLst>
            <c:ext xmlns:c16="http://schemas.microsoft.com/office/drawing/2014/chart" uri="{C3380CC4-5D6E-409C-BE32-E72D297353CC}">
              <c16:uniqueId val="{00000022-FA6E-4590-8326-1E898513832C}"/>
            </c:ext>
          </c:extLst>
        </c:ser>
        <c:ser>
          <c:idx val="35"/>
          <c:order val="35"/>
          <c:tx>
            <c:strRef>
              <c:f>Figures!$A$350</c:f>
              <c:strCache>
                <c:ptCount val="1"/>
                <c:pt idx="0">
                  <c:v>Heat - Formation</c:v>
                </c:pt>
              </c:strCache>
            </c:strRef>
          </c:tx>
          <c:spPr>
            <a:solidFill>
              <a:schemeClr val="accent6">
                <a:lumMod val="50000"/>
              </a:schemeClr>
            </a:solidFill>
            <a:ln>
              <a:noFill/>
            </a:ln>
            <a:effectLst/>
          </c:spPr>
          <c:invertIfNegative val="0"/>
          <c:cat>
            <c:strRef>
              <c:f>Figures!$B$34:$C$34</c:f>
              <c:strCache>
                <c:ptCount val="2"/>
                <c:pt idx="0">
                  <c:v>Capital Costs</c:v>
                </c:pt>
                <c:pt idx="1">
                  <c:v>Operational Costs</c:v>
                </c:pt>
              </c:strCache>
            </c:strRef>
          </c:cat>
          <c:val>
            <c:numRef>
              <c:f>Figures!$B$350:$C$350</c:f>
              <c:numCache>
                <c:formatCode>_("$"* #,##0.00_);_("$"* \(#,##0.00\);_("$"* "-"??_);_(@_)</c:formatCode>
                <c:ptCount val="2"/>
                <c:pt idx="1">
                  <c:v>42.727612736108355</c:v>
                </c:pt>
              </c:numCache>
            </c:numRef>
          </c:val>
          <c:extLst>
            <c:ext xmlns:c16="http://schemas.microsoft.com/office/drawing/2014/chart" uri="{C3380CC4-5D6E-409C-BE32-E72D297353CC}">
              <c16:uniqueId val="{00000023-FA6E-4590-8326-1E898513832C}"/>
            </c:ext>
          </c:extLst>
        </c:ser>
        <c:ser>
          <c:idx val="36"/>
          <c:order val="36"/>
          <c:tx>
            <c:strRef>
              <c:f>Figures!$A$351</c:f>
              <c:strCache>
                <c:ptCount val="1"/>
                <c:pt idx="0">
                  <c:v>Power - CaCl2 Pump</c:v>
                </c:pt>
              </c:strCache>
            </c:strRef>
          </c:tx>
          <c:spPr>
            <a:solidFill>
              <a:schemeClr val="accent1">
                <a:lumMod val="70000"/>
                <a:lumOff val="30000"/>
              </a:schemeClr>
            </a:solidFill>
            <a:ln>
              <a:noFill/>
            </a:ln>
            <a:effectLst/>
          </c:spPr>
          <c:invertIfNegative val="0"/>
          <c:cat>
            <c:strRef>
              <c:f>Figures!$B$34:$C$34</c:f>
              <c:strCache>
                <c:ptCount val="2"/>
                <c:pt idx="0">
                  <c:v>Capital Costs</c:v>
                </c:pt>
                <c:pt idx="1">
                  <c:v>Operational Costs</c:v>
                </c:pt>
              </c:strCache>
            </c:strRef>
          </c:cat>
          <c:val>
            <c:numRef>
              <c:f>Figures!$B$351:$C$351</c:f>
              <c:numCache>
                <c:formatCode>_("$"* #,##0.00_);_("$"* \(#,##0.00\);_("$"* "-"??_);_(@_)</c:formatCode>
                <c:ptCount val="2"/>
                <c:pt idx="1">
                  <c:v>683.30037081986382</c:v>
                </c:pt>
              </c:numCache>
            </c:numRef>
          </c:val>
          <c:extLst>
            <c:ext xmlns:c16="http://schemas.microsoft.com/office/drawing/2014/chart" uri="{C3380CC4-5D6E-409C-BE32-E72D297353CC}">
              <c16:uniqueId val="{00000024-FA6E-4590-8326-1E898513832C}"/>
            </c:ext>
          </c:extLst>
        </c:ser>
        <c:ser>
          <c:idx val="37"/>
          <c:order val="37"/>
          <c:tx>
            <c:strRef>
              <c:f>Figures!$A$352</c:f>
              <c:strCache>
                <c:ptCount val="1"/>
                <c:pt idx="0">
                  <c:v>Power - Recovery Pump</c:v>
                </c:pt>
              </c:strCache>
            </c:strRef>
          </c:tx>
          <c:spPr>
            <a:solidFill>
              <a:srgbClr val="7030A0"/>
            </a:solidFill>
            <a:ln>
              <a:noFill/>
            </a:ln>
            <a:effectLst/>
          </c:spPr>
          <c:invertIfNegative val="0"/>
          <c:cat>
            <c:strRef>
              <c:f>Figures!$B$34:$C$34</c:f>
              <c:strCache>
                <c:ptCount val="2"/>
                <c:pt idx="0">
                  <c:v>Capital Costs</c:v>
                </c:pt>
                <c:pt idx="1">
                  <c:v>Operational Costs</c:v>
                </c:pt>
              </c:strCache>
            </c:strRef>
          </c:cat>
          <c:val>
            <c:numRef>
              <c:f>Figures!$B$352:$C$352</c:f>
              <c:numCache>
                <c:formatCode>_("$"* #,##0.00_);_("$"* \(#,##0.00\);_("$"* "-"??_);_(@_)</c:formatCode>
                <c:ptCount val="2"/>
                <c:pt idx="1">
                  <c:v>34165.018540993187</c:v>
                </c:pt>
              </c:numCache>
            </c:numRef>
          </c:val>
          <c:extLst>
            <c:ext xmlns:c16="http://schemas.microsoft.com/office/drawing/2014/chart" uri="{C3380CC4-5D6E-409C-BE32-E72D297353CC}">
              <c16:uniqueId val="{00000025-FA6E-4590-8326-1E898513832C}"/>
            </c:ext>
          </c:extLst>
        </c:ser>
        <c:ser>
          <c:idx val="38"/>
          <c:order val="38"/>
          <c:tx>
            <c:strRef>
              <c:f>Figures!$A$353</c:f>
              <c:strCache>
                <c:ptCount val="1"/>
                <c:pt idx="0">
                  <c:v>Buffered Saline Solution</c:v>
                </c:pt>
              </c:strCache>
            </c:strRef>
          </c:tx>
          <c:spPr>
            <a:solidFill>
              <a:schemeClr val="accent3">
                <a:lumMod val="70000"/>
                <a:lumOff val="30000"/>
              </a:schemeClr>
            </a:solidFill>
            <a:ln>
              <a:noFill/>
            </a:ln>
            <a:effectLst/>
          </c:spPr>
          <c:invertIfNegative val="0"/>
          <c:cat>
            <c:strRef>
              <c:f>Figures!$B$34:$C$34</c:f>
              <c:strCache>
                <c:ptCount val="2"/>
                <c:pt idx="0">
                  <c:v>Capital Costs</c:v>
                </c:pt>
                <c:pt idx="1">
                  <c:v>Operational Costs</c:v>
                </c:pt>
              </c:strCache>
            </c:strRef>
          </c:cat>
          <c:val>
            <c:numRef>
              <c:f>Figures!$B$353:$C$353</c:f>
              <c:numCache>
                <c:formatCode>_("$"* #,##0.00_);_("$"* \(#,##0.00\);_("$"* "-"??_);_(@_)</c:formatCode>
                <c:ptCount val="2"/>
                <c:pt idx="1">
                  <c:v>84873.474490563065</c:v>
                </c:pt>
              </c:numCache>
            </c:numRef>
          </c:val>
          <c:extLst>
            <c:ext xmlns:c16="http://schemas.microsoft.com/office/drawing/2014/chart" uri="{C3380CC4-5D6E-409C-BE32-E72D297353CC}">
              <c16:uniqueId val="{00000026-FA6E-4590-8326-1E898513832C}"/>
            </c:ext>
          </c:extLst>
        </c:ser>
        <c:ser>
          <c:idx val="39"/>
          <c:order val="39"/>
          <c:tx>
            <c:strRef>
              <c:f>Figures!$A$354</c:f>
              <c:strCache>
                <c:ptCount val="1"/>
                <c:pt idx="0">
                  <c:v>Power - Saline Pump</c:v>
                </c:pt>
              </c:strCache>
            </c:strRef>
          </c:tx>
          <c:spPr>
            <a:solidFill>
              <a:schemeClr val="accent4">
                <a:lumMod val="70000"/>
                <a:lumOff val="30000"/>
              </a:schemeClr>
            </a:solidFill>
            <a:ln>
              <a:noFill/>
            </a:ln>
            <a:effectLst/>
          </c:spPr>
          <c:invertIfNegative val="0"/>
          <c:cat>
            <c:strRef>
              <c:f>Figures!$B$34:$C$34</c:f>
              <c:strCache>
                <c:ptCount val="2"/>
                <c:pt idx="0">
                  <c:v>Capital Costs</c:v>
                </c:pt>
                <c:pt idx="1">
                  <c:v>Operational Costs</c:v>
                </c:pt>
              </c:strCache>
            </c:strRef>
          </c:cat>
          <c:val>
            <c:numRef>
              <c:f>Figures!$B$354:$C$354</c:f>
              <c:numCache>
                <c:formatCode>_("$"* #,##0.00_);_("$"* \(#,##0.00\);_("$"* "-"??_);_(@_)</c:formatCode>
                <c:ptCount val="2"/>
                <c:pt idx="1">
                  <c:v>1793.6634734021425</c:v>
                </c:pt>
              </c:numCache>
            </c:numRef>
          </c:val>
          <c:extLst>
            <c:ext xmlns:c16="http://schemas.microsoft.com/office/drawing/2014/chart" uri="{C3380CC4-5D6E-409C-BE32-E72D297353CC}">
              <c16:uniqueId val="{00000027-FA6E-4590-8326-1E898513832C}"/>
            </c:ext>
          </c:extLst>
        </c:ser>
        <c:ser>
          <c:idx val="40"/>
          <c:order val="40"/>
          <c:tx>
            <c:strRef>
              <c:f>Figures!$A$355</c:f>
              <c:strCache>
                <c:ptCount val="1"/>
                <c:pt idx="0">
                  <c:v>Power - Immobilized Cell Pump</c:v>
                </c:pt>
              </c:strCache>
            </c:strRef>
          </c:tx>
          <c:spPr>
            <a:solidFill>
              <a:schemeClr val="accent5">
                <a:lumMod val="70000"/>
                <a:lumOff val="30000"/>
              </a:schemeClr>
            </a:solidFill>
            <a:ln>
              <a:noFill/>
            </a:ln>
            <a:effectLst/>
          </c:spPr>
          <c:invertIfNegative val="0"/>
          <c:cat>
            <c:strRef>
              <c:f>Figures!$B$34:$C$34</c:f>
              <c:strCache>
                <c:ptCount val="2"/>
                <c:pt idx="0">
                  <c:v>Capital Costs</c:v>
                </c:pt>
                <c:pt idx="1">
                  <c:v>Operational Costs</c:v>
                </c:pt>
              </c:strCache>
            </c:strRef>
          </c:cat>
          <c:val>
            <c:numRef>
              <c:f>Figures!$B$355:$C$355</c:f>
              <c:numCache>
                <c:formatCode>_("$"* #,##0.00_);_("$"* \(#,##0.00\);_("$"* "-"??_);_(@_)</c:formatCode>
                <c:ptCount val="2"/>
                <c:pt idx="1">
                  <c:v>10249.505562297958</c:v>
                </c:pt>
              </c:numCache>
            </c:numRef>
          </c:val>
          <c:extLst>
            <c:ext xmlns:c16="http://schemas.microsoft.com/office/drawing/2014/chart" uri="{C3380CC4-5D6E-409C-BE32-E72D297353CC}">
              <c16:uniqueId val="{00000028-FA6E-4590-8326-1E898513832C}"/>
            </c:ext>
          </c:extLst>
        </c:ser>
        <c:ser>
          <c:idx val="41"/>
          <c:order val="41"/>
          <c:tx>
            <c:strRef>
              <c:f>Figures!$A$356</c:f>
              <c:strCache>
                <c:ptCount val="1"/>
                <c:pt idx="0">
                  <c:v>Wastewater Treatment</c:v>
                </c:pt>
              </c:strCache>
            </c:strRef>
          </c:tx>
          <c:spPr>
            <a:solidFill>
              <a:schemeClr val="accent6">
                <a:lumMod val="70000"/>
                <a:lumOff val="30000"/>
              </a:schemeClr>
            </a:solidFill>
            <a:ln>
              <a:noFill/>
            </a:ln>
            <a:effectLst/>
          </c:spPr>
          <c:invertIfNegative val="0"/>
          <c:cat>
            <c:strRef>
              <c:f>Figures!$B$34:$C$34</c:f>
              <c:strCache>
                <c:ptCount val="2"/>
                <c:pt idx="0">
                  <c:v>Capital Costs</c:v>
                </c:pt>
                <c:pt idx="1">
                  <c:v>Operational Costs</c:v>
                </c:pt>
              </c:strCache>
            </c:strRef>
          </c:cat>
          <c:val>
            <c:numRef>
              <c:f>Figures!$B$356:$C$356</c:f>
              <c:numCache>
                <c:formatCode>_("$"* #,##0.00_);_("$"* \(#,##0.00\);_("$"* "-"??_);_(@_)</c:formatCode>
                <c:ptCount val="2"/>
                <c:pt idx="1">
                  <c:v>71347.627398839584</c:v>
                </c:pt>
              </c:numCache>
            </c:numRef>
          </c:val>
          <c:extLst>
            <c:ext xmlns:c16="http://schemas.microsoft.com/office/drawing/2014/chart" uri="{C3380CC4-5D6E-409C-BE32-E72D297353CC}">
              <c16:uniqueId val="{00000029-FA6E-4590-8326-1E898513832C}"/>
            </c:ext>
          </c:extLst>
        </c:ser>
        <c:ser>
          <c:idx val="42"/>
          <c:order val="42"/>
          <c:tx>
            <c:strRef>
              <c:f>Figures!$A$357</c:f>
              <c:strCache>
                <c:ptCount val="1"/>
                <c:pt idx="0">
                  <c:v>Heat - CSTR</c:v>
                </c:pt>
              </c:strCache>
            </c:strRef>
          </c:tx>
          <c:spPr>
            <a:solidFill>
              <a:schemeClr val="accent1">
                <a:lumMod val="70000"/>
              </a:schemeClr>
            </a:solidFill>
            <a:ln>
              <a:noFill/>
            </a:ln>
            <a:effectLst/>
          </c:spPr>
          <c:invertIfNegative val="0"/>
          <c:cat>
            <c:strRef>
              <c:f>Figures!$B$34:$C$34</c:f>
              <c:strCache>
                <c:ptCount val="2"/>
                <c:pt idx="0">
                  <c:v>Capital Costs</c:v>
                </c:pt>
                <c:pt idx="1">
                  <c:v>Operational Costs</c:v>
                </c:pt>
              </c:strCache>
            </c:strRef>
          </c:cat>
          <c:val>
            <c:numRef>
              <c:f>Figures!$B$357:$C$357</c:f>
              <c:numCache>
                <c:formatCode>_("$"* #,##0.00_);_("$"* \(#,##0.00\);_("$"* "-"??_);_(@_)</c:formatCode>
                <c:ptCount val="2"/>
                <c:pt idx="1">
                  <c:v>534.09515920135436</c:v>
                </c:pt>
              </c:numCache>
            </c:numRef>
          </c:val>
          <c:extLst>
            <c:ext xmlns:c16="http://schemas.microsoft.com/office/drawing/2014/chart" uri="{C3380CC4-5D6E-409C-BE32-E72D297353CC}">
              <c16:uniqueId val="{0000002A-FA6E-4590-8326-1E898513832C}"/>
            </c:ext>
          </c:extLst>
        </c:ser>
        <c:ser>
          <c:idx val="43"/>
          <c:order val="43"/>
          <c:tx>
            <c:strRef>
              <c:f>Figures!$A$358</c:f>
              <c:strCache>
                <c:ptCount val="1"/>
                <c:pt idx="0">
                  <c:v>Power - Mixing</c:v>
                </c:pt>
              </c:strCache>
            </c:strRef>
          </c:tx>
          <c:spPr>
            <a:solidFill>
              <a:schemeClr val="accent2">
                <a:lumMod val="70000"/>
              </a:schemeClr>
            </a:solidFill>
            <a:ln>
              <a:noFill/>
            </a:ln>
            <a:effectLst/>
          </c:spPr>
          <c:invertIfNegative val="0"/>
          <c:cat>
            <c:strRef>
              <c:f>Figures!$B$34:$C$34</c:f>
              <c:strCache>
                <c:ptCount val="2"/>
                <c:pt idx="0">
                  <c:v>Capital Costs</c:v>
                </c:pt>
                <c:pt idx="1">
                  <c:v>Operational Costs</c:v>
                </c:pt>
              </c:strCache>
            </c:strRef>
          </c:cat>
          <c:val>
            <c:numRef>
              <c:f>Figures!$B$358:$C$358</c:f>
              <c:numCache>
                <c:formatCode>_("$"* #,##0.00_);_("$"* \(#,##0.00\);_("$"* "-"??_);_(@_)</c:formatCode>
                <c:ptCount val="2"/>
                <c:pt idx="1">
                  <c:v>85412.546352482968</c:v>
                </c:pt>
              </c:numCache>
            </c:numRef>
          </c:val>
          <c:extLst>
            <c:ext xmlns:c16="http://schemas.microsoft.com/office/drawing/2014/chart" uri="{C3380CC4-5D6E-409C-BE32-E72D297353CC}">
              <c16:uniqueId val="{0000002B-FA6E-4590-8326-1E898513832C}"/>
            </c:ext>
          </c:extLst>
        </c:ser>
        <c:ser>
          <c:idx val="44"/>
          <c:order val="44"/>
          <c:tx>
            <c:strRef>
              <c:f>Figures!$A$359</c:f>
              <c:strCache>
                <c:ptCount val="1"/>
                <c:pt idx="0">
                  <c:v>Power - Feed Pump</c:v>
                </c:pt>
              </c:strCache>
            </c:strRef>
          </c:tx>
          <c:spPr>
            <a:solidFill>
              <a:schemeClr val="accent3">
                <a:lumMod val="70000"/>
              </a:schemeClr>
            </a:solidFill>
            <a:ln>
              <a:noFill/>
            </a:ln>
            <a:effectLst/>
          </c:spPr>
          <c:invertIfNegative val="0"/>
          <c:cat>
            <c:strRef>
              <c:f>Figures!$B$34:$C$34</c:f>
              <c:strCache>
                <c:ptCount val="2"/>
                <c:pt idx="0">
                  <c:v>Capital Costs</c:v>
                </c:pt>
                <c:pt idx="1">
                  <c:v>Operational Costs</c:v>
                </c:pt>
              </c:strCache>
            </c:strRef>
          </c:cat>
          <c:val>
            <c:numRef>
              <c:f>Figures!$B$359:$C$359</c:f>
              <c:numCache>
                <c:formatCode>_("$"* #,##0.00_);_("$"* \(#,##0.00\);_("$"* "-"??_);_(@_)</c:formatCode>
                <c:ptCount val="2"/>
                <c:pt idx="1">
                  <c:v>306.88246382014256</c:v>
                </c:pt>
              </c:numCache>
            </c:numRef>
          </c:val>
          <c:extLst>
            <c:ext xmlns:c16="http://schemas.microsoft.com/office/drawing/2014/chart" uri="{C3380CC4-5D6E-409C-BE32-E72D297353CC}">
              <c16:uniqueId val="{0000002C-FA6E-4590-8326-1E898513832C}"/>
            </c:ext>
          </c:extLst>
        </c:ser>
        <c:ser>
          <c:idx val="45"/>
          <c:order val="45"/>
          <c:tx>
            <c:strRef>
              <c:f>Figures!$A$360</c:f>
              <c:strCache>
                <c:ptCount val="1"/>
                <c:pt idx="0">
                  <c:v>Power - Microfiltration</c:v>
                </c:pt>
              </c:strCache>
            </c:strRef>
          </c:tx>
          <c:spPr>
            <a:solidFill>
              <a:schemeClr val="accent4">
                <a:lumMod val="70000"/>
              </a:schemeClr>
            </a:solidFill>
            <a:ln>
              <a:noFill/>
            </a:ln>
            <a:effectLst/>
          </c:spPr>
          <c:invertIfNegative val="0"/>
          <c:cat>
            <c:strRef>
              <c:f>Figures!$B$34:$C$34</c:f>
              <c:strCache>
                <c:ptCount val="2"/>
                <c:pt idx="0">
                  <c:v>Capital Costs</c:v>
                </c:pt>
                <c:pt idx="1">
                  <c:v>Operational Costs</c:v>
                </c:pt>
              </c:strCache>
            </c:strRef>
          </c:cat>
          <c:val>
            <c:numRef>
              <c:f>Figures!$B$360:$C$360</c:f>
              <c:numCache>
                <c:formatCode>_("$"* #,##0.00_);_("$"* \(#,##0.00\);_("$"* "-"??_);_(@_)</c:formatCode>
                <c:ptCount val="2"/>
                <c:pt idx="1">
                  <c:v>6131.5421257544731</c:v>
                </c:pt>
              </c:numCache>
            </c:numRef>
          </c:val>
          <c:extLst>
            <c:ext xmlns:c16="http://schemas.microsoft.com/office/drawing/2014/chart" uri="{C3380CC4-5D6E-409C-BE32-E72D297353CC}">
              <c16:uniqueId val="{0000002D-FA6E-4590-8326-1E898513832C}"/>
            </c:ext>
          </c:extLst>
        </c:ser>
        <c:ser>
          <c:idx val="46"/>
          <c:order val="46"/>
          <c:tx>
            <c:strRef>
              <c:f>Figures!$A$361</c:f>
              <c:strCache>
                <c:ptCount val="1"/>
                <c:pt idx="0">
                  <c:v>Waste - Biosolids</c:v>
                </c:pt>
              </c:strCache>
            </c:strRef>
          </c:tx>
          <c:spPr>
            <a:solidFill>
              <a:schemeClr val="accent5">
                <a:lumMod val="70000"/>
              </a:schemeClr>
            </a:solidFill>
            <a:ln>
              <a:noFill/>
            </a:ln>
            <a:effectLst/>
          </c:spPr>
          <c:invertIfNegative val="0"/>
          <c:cat>
            <c:strRef>
              <c:f>Figures!$B$34:$C$34</c:f>
              <c:strCache>
                <c:ptCount val="2"/>
                <c:pt idx="0">
                  <c:v>Capital Costs</c:v>
                </c:pt>
                <c:pt idx="1">
                  <c:v>Operational Costs</c:v>
                </c:pt>
              </c:strCache>
            </c:strRef>
          </c:cat>
          <c:val>
            <c:numRef>
              <c:f>Figures!$B$361:$C$361</c:f>
              <c:numCache>
                <c:formatCode>_("$"* #,##0.00_);_("$"* \(#,##0.00\);_("$"* "-"??_);_(@_)</c:formatCode>
                <c:ptCount val="2"/>
                <c:pt idx="1">
                  <c:v>32749.872776722805</c:v>
                </c:pt>
              </c:numCache>
            </c:numRef>
          </c:val>
          <c:extLst>
            <c:ext xmlns:c16="http://schemas.microsoft.com/office/drawing/2014/chart" uri="{C3380CC4-5D6E-409C-BE32-E72D297353CC}">
              <c16:uniqueId val="{0000002E-FA6E-4590-8326-1E898513832C}"/>
            </c:ext>
          </c:extLst>
        </c:ser>
        <c:ser>
          <c:idx val="47"/>
          <c:order val="47"/>
          <c:tx>
            <c:strRef>
              <c:f>Figures!$A$362</c:f>
              <c:strCache>
                <c:ptCount val="1"/>
                <c:pt idx="0">
                  <c:v>Labor</c:v>
                </c:pt>
              </c:strCache>
            </c:strRef>
          </c:tx>
          <c:spPr>
            <a:solidFill>
              <a:schemeClr val="accent6">
                <a:lumMod val="70000"/>
              </a:schemeClr>
            </a:solidFill>
            <a:ln>
              <a:noFill/>
            </a:ln>
            <a:effectLst/>
          </c:spPr>
          <c:invertIfNegative val="0"/>
          <c:cat>
            <c:strRef>
              <c:f>Figures!$B$34:$C$34</c:f>
              <c:strCache>
                <c:ptCount val="2"/>
                <c:pt idx="0">
                  <c:v>Capital Costs</c:v>
                </c:pt>
                <c:pt idx="1">
                  <c:v>Operational Costs</c:v>
                </c:pt>
              </c:strCache>
            </c:strRef>
          </c:cat>
          <c:val>
            <c:numRef>
              <c:f>Figures!$B$362:$C$362</c:f>
              <c:numCache>
                <c:formatCode>_("$"* #,##0.00_);_("$"* \(#,##0.00\);_("$"* "-"??_);_(@_)</c:formatCode>
                <c:ptCount val="2"/>
                <c:pt idx="1">
                  <c:v>1190000</c:v>
                </c:pt>
              </c:numCache>
            </c:numRef>
          </c:val>
          <c:extLst>
            <c:ext xmlns:c16="http://schemas.microsoft.com/office/drawing/2014/chart" uri="{C3380CC4-5D6E-409C-BE32-E72D297353CC}">
              <c16:uniqueId val="{0000002F-FA6E-4590-8326-1E898513832C}"/>
            </c:ext>
          </c:extLst>
        </c:ser>
        <c:dLbls>
          <c:showLegendKey val="0"/>
          <c:showVal val="0"/>
          <c:showCatName val="0"/>
          <c:showSerName val="0"/>
          <c:showPercent val="0"/>
          <c:showBubbleSize val="0"/>
        </c:dLbls>
        <c:gapWidth val="50"/>
        <c:overlap val="100"/>
        <c:axId val="1295501792"/>
        <c:axId val="1295485472"/>
      </c:barChart>
      <c:catAx>
        <c:axId val="129543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Arial Nova Cond" panose="020B0506020202020204" pitchFamily="34" charset="0"/>
                <a:ea typeface="+mn-ea"/>
                <a:cs typeface="+mn-cs"/>
              </a:defRPr>
            </a:pPr>
            <a:endParaRPr lang="en-US"/>
          </a:p>
        </c:txPr>
        <c:crossAx val="1295428352"/>
        <c:crosses val="autoZero"/>
        <c:auto val="1"/>
        <c:lblAlgn val="ctr"/>
        <c:lblOffset val="100"/>
        <c:noMultiLvlLbl val="0"/>
      </c:catAx>
      <c:valAx>
        <c:axId val="1295428352"/>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r>
                  <a:rPr lang="en-US" sz="1600" b="1" i="0" u="none" strike="noStrike" kern="1200" baseline="0">
                    <a:solidFill>
                      <a:sysClr val="windowText" lastClr="000000"/>
                    </a:solidFill>
                    <a:latin typeface="Arial Nova Cond" panose="020B0506020202020204" pitchFamily="34" charset="0"/>
                  </a:rPr>
                  <a:t>CAPEX </a:t>
                </a:r>
                <a:r>
                  <a:rPr lang="en-US" sz="1600" b="0" i="0" u="none" strike="noStrike" kern="1200" baseline="0">
                    <a:solidFill>
                      <a:sysClr val="windowText" lastClr="000000"/>
                    </a:solidFill>
                    <a:latin typeface="Arial Nova Cond" panose="020B0506020202020204" pitchFamily="34" charset="0"/>
                  </a:rPr>
                  <a:t>[1E6 USD (2026)]</a:t>
                </a:r>
              </a:p>
            </c:rich>
          </c:tx>
          <c:layout>
            <c:manualLayout>
              <c:xMode val="edge"/>
              <c:yMode val="edge"/>
              <c:x val="1.6770749982055449E-2"/>
              <c:y val="0.14510227832705999"/>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Arial Nova Cond" panose="020B0506020202020204" pitchFamily="34" charset="0"/>
                <a:ea typeface="+mn-ea"/>
                <a:cs typeface="+mn-cs"/>
              </a:defRPr>
            </a:pPr>
            <a:endParaRPr lang="en-US"/>
          </a:p>
        </c:txPr>
        <c:crossAx val="1295435552"/>
        <c:crosses val="autoZero"/>
        <c:crossBetween val="between"/>
        <c:dispUnits>
          <c:builtInUnit val="millions"/>
        </c:dispUnits>
      </c:valAx>
      <c:valAx>
        <c:axId val="1295485472"/>
        <c:scaling>
          <c:orientation val="minMax"/>
        </c:scaling>
        <c:delete val="0"/>
        <c:axPos val="r"/>
        <c:title>
          <c:tx>
            <c:rich>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r>
                  <a:rPr lang="en-US" sz="1600" b="1" i="0" u="none" strike="noStrike" kern="1200" baseline="0">
                    <a:solidFill>
                      <a:sysClr val="windowText" lastClr="000000"/>
                    </a:solidFill>
                    <a:latin typeface="Arial Nova Cond" panose="020B0506020202020204" pitchFamily="34" charset="0"/>
                  </a:rPr>
                  <a:t>OPEX </a:t>
                </a:r>
                <a:r>
                  <a:rPr lang="en-US" sz="1600" b="0" i="0" u="none" strike="noStrike" kern="1200" baseline="0">
                    <a:solidFill>
                      <a:sysClr val="windowText" lastClr="000000"/>
                    </a:solidFill>
                    <a:latin typeface="Arial Nova Cond" panose="020B0506020202020204" pitchFamily="34" charset="0"/>
                  </a:rPr>
                  <a:t>[1E6 USD (2026) / yr]</a:t>
                </a:r>
              </a:p>
            </c:rich>
          </c:tx>
          <c:layout>
            <c:manualLayout>
              <c:xMode val="edge"/>
              <c:yMode val="edge"/>
              <c:x val="0.94037279567573873"/>
              <c:y val="0.11146356039716074"/>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_);_(&quot;$&quot;* \(#,##0\);_(&quot;$&quot;* &quot;-&quot;_);_(@_)" sourceLinked="0"/>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Arial Nova Cond" panose="020B0506020202020204" pitchFamily="34" charset="0"/>
                <a:ea typeface="+mn-ea"/>
                <a:cs typeface="+mn-cs"/>
              </a:defRPr>
            </a:pPr>
            <a:endParaRPr lang="en-US"/>
          </a:p>
        </c:txPr>
        <c:crossAx val="1295501792"/>
        <c:crosses val="max"/>
        <c:crossBetween val="between"/>
        <c:dispUnits>
          <c:builtInUnit val="millions"/>
        </c:dispUnits>
      </c:valAx>
      <c:catAx>
        <c:axId val="1295501792"/>
        <c:scaling>
          <c:orientation val="minMax"/>
        </c:scaling>
        <c:delete val="1"/>
        <c:axPos val="b"/>
        <c:numFmt formatCode="General" sourceLinked="1"/>
        <c:majorTickMark val="out"/>
        <c:minorTickMark val="none"/>
        <c:tickLblPos val="nextTo"/>
        <c:crossAx val="1295485472"/>
        <c:crosses val="autoZero"/>
        <c:auto val="1"/>
        <c:lblAlgn val="ctr"/>
        <c:lblOffset val="100"/>
        <c:noMultiLvlLbl val="0"/>
      </c:catAx>
      <c:spPr>
        <a:noFill/>
        <a:ln w="19050">
          <a:solidFill>
            <a:schemeClr val="tx1"/>
          </a:solidFill>
        </a:ln>
        <a:effectLst/>
      </c:spPr>
    </c:plotArea>
    <c:legend>
      <c:legendPos val="b"/>
      <c:layout>
        <c:manualLayout>
          <c:xMode val="edge"/>
          <c:yMode val="edge"/>
          <c:x val="0"/>
          <c:y val="0.69354708158151335"/>
          <c:w val="0.9948030059960058"/>
          <c:h val="0.3019906266710003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22225" cap="flat" cmpd="sng" algn="ctr">
      <a:noFill/>
      <a:round/>
    </a:ln>
    <a:effectLst/>
  </c:spPr>
  <c:txPr>
    <a:bodyPr/>
    <a:lstStyle/>
    <a:p>
      <a:pPr>
        <a:defRPr>
          <a:solidFill>
            <a:schemeClr val="tx1"/>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r>
              <a:rPr lang="en-US" sz="2000" b="1" cap="all" baseline="0"/>
              <a:t>Path B Separations Costs</a:t>
            </a:r>
          </a:p>
        </c:rich>
      </c:tx>
      <c:layout>
        <c:manualLayout>
          <c:xMode val="edge"/>
          <c:yMode val="edge"/>
          <c:x val="0.11721926798313111"/>
          <c:y val="2.6318047176032092E-2"/>
        </c:manualLayout>
      </c:layout>
      <c:overlay val="0"/>
      <c:spPr>
        <a:noFill/>
        <a:ln>
          <a:noFill/>
        </a:ln>
        <a:effectLst/>
      </c:spPr>
      <c:txPr>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5399638141835445"/>
          <c:y val="0.13436062177371952"/>
          <c:w val="0.70710199390445194"/>
          <c:h val="0.4702537681433922"/>
        </c:manualLayout>
      </c:layout>
      <c:barChart>
        <c:barDir val="col"/>
        <c:grouping val="stacked"/>
        <c:varyColors val="0"/>
        <c:ser>
          <c:idx val="1"/>
          <c:order val="0"/>
          <c:tx>
            <c:strRef>
              <c:f>Figures!$A$368</c:f>
              <c:strCache>
                <c:ptCount val="1"/>
                <c:pt idx="0">
                  <c:v>Anion-Exchange Membrane</c:v>
                </c:pt>
              </c:strCache>
            </c:strRef>
          </c:tx>
          <c:spPr>
            <a:solidFill>
              <a:schemeClr val="accent2"/>
            </a:solidFill>
            <a:ln>
              <a:noFill/>
            </a:ln>
            <a:effectLst/>
          </c:spPr>
          <c:invertIfNegative val="0"/>
          <c:dLbls>
            <c:dLbl>
              <c:idx val="0"/>
              <c:showLegendKey val="0"/>
              <c:showVal val="0"/>
              <c:showCatName val="0"/>
              <c:showSerName val="1"/>
              <c:showPercent val="0"/>
              <c:showBubbleSize val="0"/>
              <c:extLst>
                <c:ext xmlns:c15="http://schemas.microsoft.com/office/drawing/2012/chart" uri="{CE6537A1-D6FC-4f65-9D91-7224C49458BB}">
                  <c15:layout>
                    <c:manualLayout>
                      <c:w val="0.24594068414310666"/>
                      <c:h val="7.3229859571322983E-2"/>
                    </c:manualLayout>
                  </c15:layout>
                </c:ext>
                <c:ext xmlns:c16="http://schemas.microsoft.com/office/drawing/2014/chart" uri="{C3380CC4-5D6E-409C-BE32-E72D297353CC}">
                  <c16:uniqueId val="{00000001-E188-4BDC-AAE0-54CECEEDF2A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Figures!$B$368:$C$368</c:f>
              <c:numCache>
                <c:formatCode>General</c:formatCode>
                <c:ptCount val="2"/>
                <c:pt idx="0" formatCode="_(&quot;$&quot;* #,##0.00_);_(&quot;$&quot;* \(#,##0.00\);_(&quot;$&quot;* &quot;-&quot;??_);_(@_)">
                  <c:v>3657776.3686772222</c:v>
                </c:pt>
              </c:numCache>
            </c:numRef>
          </c:val>
          <c:extLst>
            <c:ext xmlns:c16="http://schemas.microsoft.com/office/drawing/2014/chart" uri="{C3380CC4-5D6E-409C-BE32-E72D297353CC}">
              <c16:uniqueId val="{00000000-229A-4AAB-B6A9-690556B9B17F}"/>
            </c:ext>
          </c:extLst>
        </c:ser>
        <c:ser>
          <c:idx val="2"/>
          <c:order val="1"/>
          <c:tx>
            <c:strRef>
              <c:f>Figures!$A$369</c:f>
              <c:strCache>
                <c:ptCount val="1"/>
                <c:pt idx="0">
                  <c:v>Cation-Exchange Membrane</c:v>
                </c:pt>
              </c:strCache>
            </c:strRef>
          </c:tx>
          <c:spPr>
            <a:solidFill>
              <a:schemeClr val="accent3"/>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22035507146683894"/>
                      <c:h val="7.3229859571322983E-2"/>
                    </c:manualLayout>
                  </c15:layout>
                </c:ext>
                <c:ext xmlns:c16="http://schemas.microsoft.com/office/drawing/2014/chart" uri="{C3380CC4-5D6E-409C-BE32-E72D297353CC}">
                  <c16:uniqueId val="{00000000-E188-4BDC-AAE0-54CECEEDF2A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Figures!$B$369:$C$369</c:f>
              <c:numCache>
                <c:formatCode>General</c:formatCode>
                <c:ptCount val="2"/>
                <c:pt idx="0" formatCode="_(&quot;$&quot;* #,##0.00_);_(&quot;$&quot;* \(#,##0.00\);_(&quot;$&quot;* &quot;-&quot;??_);_(@_)">
                  <c:v>4000692.9032407119</c:v>
                </c:pt>
              </c:numCache>
            </c:numRef>
          </c:val>
          <c:extLst>
            <c:ext xmlns:c16="http://schemas.microsoft.com/office/drawing/2014/chart" uri="{C3380CC4-5D6E-409C-BE32-E72D297353CC}">
              <c16:uniqueId val="{00000001-229A-4AAB-B6A9-690556B9B17F}"/>
            </c:ext>
          </c:extLst>
        </c:ser>
        <c:ser>
          <c:idx val="3"/>
          <c:order val="2"/>
          <c:tx>
            <c:strRef>
              <c:f>Figures!$A$370</c:f>
              <c:strCache>
                <c:ptCount val="1"/>
                <c:pt idx="0">
                  <c:v>Bipolar-Exchange Membrane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Figures!$B$370:$C$370</c:f>
              <c:numCache>
                <c:formatCode>General</c:formatCode>
                <c:ptCount val="2"/>
                <c:pt idx="0" formatCode="_(&quot;$&quot;* #,##0.00_);_(&quot;$&quot;* \(#,##0.00\);_(&quot;$&quot;* &quot;-&quot;??_);_(@_)">
                  <c:v>12002078.709722135</c:v>
                </c:pt>
              </c:numCache>
            </c:numRef>
          </c:val>
          <c:extLst>
            <c:ext xmlns:c16="http://schemas.microsoft.com/office/drawing/2014/chart" uri="{C3380CC4-5D6E-409C-BE32-E72D297353CC}">
              <c16:uniqueId val="{00000002-229A-4AAB-B6A9-690556B9B17F}"/>
            </c:ext>
          </c:extLst>
        </c:ser>
        <c:ser>
          <c:idx val="4"/>
          <c:order val="3"/>
          <c:tx>
            <c:strRef>
              <c:f>Figures!$A$371</c:f>
              <c:strCache>
                <c:ptCount val="1"/>
                <c:pt idx="0">
                  <c:v>Electrodes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Figures!$B$371:$C$371</c:f>
              <c:numCache>
                <c:formatCode>General</c:formatCode>
                <c:ptCount val="2"/>
                <c:pt idx="0" formatCode="_(&quot;$&quot;* #,##0.00_);_(&quot;$&quot;* \(#,##0.00\);_(&quot;$&quot;* &quot;-&quot;??_);_(@_)">
                  <c:v>6453123.8183125043</c:v>
                </c:pt>
              </c:numCache>
            </c:numRef>
          </c:val>
          <c:extLst>
            <c:ext xmlns:c16="http://schemas.microsoft.com/office/drawing/2014/chart" uri="{C3380CC4-5D6E-409C-BE32-E72D297353CC}">
              <c16:uniqueId val="{00000003-229A-4AAB-B6A9-690556B9B17F}"/>
            </c:ext>
          </c:extLst>
        </c:ser>
        <c:ser>
          <c:idx val="5"/>
          <c:order val="4"/>
          <c:tx>
            <c:strRef>
              <c:f>Figures!$A$372</c:f>
              <c:strCache>
                <c:ptCount val="1"/>
                <c:pt idx="0">
                  <c:v>Diluate Tank Wall</c:v>
                </c:pt>
              </c:strCache>
            </c:strRef>
          </c:tx>
          <c:spPr>
            <a:solidFill>
              <a:schemeClr val="accent6"/>
            </a:solidFill>
            <a:ln>
              <a:noFill/>
            </a:ln>
            <a:effectLst/>
          </c:spPr>
          <c:invertIfNegative val="0"/>
          <c:cat>
            <c:strRef>
              <c:f>Figures!$B$34:$C$34</c:f>
              <c:strCache>
                <c:ptCount val="2"/>
                <c:pt idx="0">
                  <c:v>Capital Costs</c:v>
                </c:pt>
                <c:pt idx="1">
                  <c:v>Operational Costs</c:v>
                </c:pt>
              </c:strCache>
            </c:strRef>
          </c:cat>
          <c:val>
            <c:numRef>
              <c:f>Figures!$B$372:$C$372</c:f>
              <c:numCache>
                <c:formatCode>General</c:formatCode>
                <c:ptCount val="2"/>
                <c:pt idx="0" formatCode="_(&quot;$&quot;* #,##0.00_);_(&quot;$&quot;* \(#,##0.00\);_(&quot;$&quot;* &quot;-&quot;??_);_(@_)">
                  <c:v>27341.450935610712</c:v>
                </c:pt>
              </c:numCache>
            </c:numRef>
          </c:val>
          <c:extLst>
            <c:ext xmlns:c16="http://schemas.microsoft.com/office/drawing/2014/chart" uri="{C3380CC4-5D6E-409C-BE32-E72D297353CC}">
              <c16:uniqueId val="{00000004-229A-4AAB-B6A9-690556B9B17F}"/>
            </c:ext>
          </c:extLst>
        </c:ser>
        <c:ser>
          <c:idx val="6"/>
          <c:order val="5"/>
          <c:tx>
            <c:strRef>
              <c:f>Figures!$A$373</c:f>
              <c:strCache>
                <c:ptCount val="1"/>
                <c:pt idx="0">
                  <c:v>Electrolyte Tank Wall</c:v>
                </c:pt>
              </c:strCache>
            </c:strRef>
          </c:tx>
          <c:spPr>
            <a:solidFill>
              <a:schemeClr val="accent1">
                <a:lumMod val="60000"/>
              </a:schemeClr>
            </a:solidFill>
            <a:ln>
              <a:noFill/>
            </a:ln>
            <a:effectLst/>
          </c:spPr>
          <c:invertIfNegative val="0"/>
          <c:cat>
            <c:strRef>
              <c:f>Figures!$B$34:$C$34</c:f>
              <c:strCache>
                <c:ptCount val="2"/>
                <c:pt idx="0">
                  <c:v>Capital Costs</c:v>
                </c:pt>
                <c:pt idx="1">
                  <c:v>Operational Costs</c:v>
                </c:pt>
              </c:strCache>
            </c:strRef>
          </c:cat>
          <c:val>
            <c:numRef>
              <c:f>Figures!$B$373:$C$373</c:f>
              <c:numCache>
                <c:formatCode>General</c:formatCode>
                <c:ptCount val="2"/>
                <c:pt idx="0" formatCode="_(&quot;$&quot;* #,##0.00_);_(&quot;$&quot;* \(#,##0.00\);_(&quot;$&quot;* &quot;-&quot;??_);_(@_)">
                  <c:v>912.14140656716438</c:v>
                </c:pt>
              </c:numCache>
            </c:numRef>
          </c:val>
          <c:extLst>
            <c:ext xmlns:c16="http://schemas.microsoft.com/office/drawing/2014/chart" uri="{C3380CC4-5D6E-409C-BE32-E72D297353CC}">
              <c16:uniqueId val="{00000005-229A-4AAB-B6A9-690556B9B17F}"/>
            </c:ext>
          </c:extLst>
        </c:ser>
        <c:ser>
          <c:idx val="7"/>
          <c:order val="6"/>
          <c:tx>
            <c:strRef>
              <c:f>Figures!$A$374</c:f>
              <c:strCache>
                <c:ptCount val="1"/>
                <c:pt idx="0">
                  <c:v>Concentrate Tank 1 Wall</c:v>
                </c:pt>
              </c:strCache>
            </c:strRef>
          </c:tx>
          <c:spPr>
            <a:solidFill>
              <a:schemeClr val="accent2">
                <a:lumMod val="60000"/>
              </a:schemeClr>
            </a:solidFill>
            <a:ln>
              <a:noFill/>
            </a:ln>
            <a:effectLst/>
          </c:spPr>
          <c:invertIfNegative val="0"/>
          <c:cat>
            <c:strRef>
              <c:f>Figures!$B$34:$C$34</c:f>
              <c:strCache>
                <c:ptCount val="2"/>
                <c:pt idx="0">
                  <c:v>Capital Costs</c:v>
                </c:pt>
                <c:pt idx="1">
                  <c:v>Operational Costs</c:v>
                </c:pt>
              </c:strCache>
            </c:strRef>
          </c:cat>
          <c:val>
            <c:numRef>
              <c:f>Figures!$B$374:$C$374</c:f>
              <c:numCache>
                <c:formatCode>General</c:formatCode>
                <c:ptCount val="2"/>
                <c:pt idx="0" formatCode="_(&quot;$&quot;* #,##0.00_);_(&quot;$&quot;* \(#,##0.00\);_(&quot;$&quot;* &quot;-&quot;??_);_(@_)">
                  <c:v>912.14140656716438</c:v>
                </c:pt>
              </c:numCache>
            </c:numRef>
          </c:val>
          <c:extLst>
            <c:ext xmlns:c16="http://schemas.microsoft.com/office/drawing/2014/chart" uri="{C3380CC4-5D6E-409C-BE32-E72D297353CC}">
              <c16:uniqueId val="{00000006-229A-4AAB-B6A9-690556B9B17F}"/>
            </c:ext>
          </c:extLst>
        </c:ser>
        <c:ser>
          <c:idx val="8"/>
          <c:order val="7"/>
          <c:tx>
            <c:strRef>
              <c:f>Figures!$A$375</c:f>
              <c:strCache>
                <c:ptCount val="1"/>
                <c:pt idx="0">
                  <c:v>Concentrate Tank 2 Wall</c:v>
                </c:pt>
              </c:strCache>
            </c:strRef>
          </c:tx>
          <c:spPr>
            <a:solidFill>
              <a:schemeClr val="accent3">
                <a:lumMod val="60000"/>
              </a:schemeClr>
            </a:solidFill>
            <a:ln>
              <a:noFill/>
            </a:ln>
            <a:effectLst/>
          </c:spPr>
          <c:invertIfNegative val="0"/>
          <c:cat>
            <c:strRef>
              <c:f>Figures!$B$34:$C$34</c:f>
              <c:strCache>
                <c:ptCount val="2"/>
                <c:pt idx="0">
                  <c:v>Capital Costs</c:v>
                </c:pt>
                <c:pt idx="1">
                  <c:v>Operational Costs</c:v>
                </c:pt>
              </c:strCache>
            </c:strRef>
          </c:cat>
          <c:val>
            <c:numRef>
              <c:f>Figures!$B$375:$C$375</c:f>
              <c:numCache>
                <c:formatCode>General</c:formatCode>
                <c:ptCount val="2"/>
                <c:pt idx="0" formatCode="_(&quot;$&quot;* #,##0.00_);_(&quot;$&quot;* \(#,##0.00\);_(&quot;$&quot;* &quot;-&quot;??_);_(@_)">
                  <c:v>912.14140656716438</c:v>
                </c:pt>
              </c:numCache>
            </c:numRef>
          </c:val>
          <c:extLst>
            <c:ext xmlns:c16="http://schemas.microsoft.com/office/drawing/2014/chart" uri="{C3380CC4-5D6E-409C-BE32-E72D297353CC}">
              <c16:uniqueId val="{00000007-229A-4AAB-B6A9-690556B9B17F}"/>
            </c:ext>
          </c:extLst>
        </c:ser>
        <c:ser>
          <c:idx val="9"/>
          <c:order val="8"/>
          <c:tx>
            <c:strRef>
              <c:f>Figures!$A$376</c:f>
              <c:strCache>
                <c:ptCount val="1"/>
                <c:pt idx="0">
                  <c:v>Peristaltic Pump</c:v>
                </c:pt>
              </c:strCache>
            </c:strRef>
          </c:tx>
          <c:spPr>
            <a:solidFill>
              <a:schemeClr val="accent4">
                <a:lumMod val="60000"/>
              </a:schemeClr>
            </a:solidFill>
            <a:ln>
              <a:noFill/>
            </a:ln>
            <a:effectLst/>
          </c:spPr>
          <c:invertIfNegative val="0"/>
          <c:cat>
            <c:strRef>
              <c:f>Figures!$B$34:$C$34</c:f>
              <c:strCache>
                <c:ptCount val="2"/>
                <c:pt idx="0">
                  <c:v>Capital Costs</c:v>
                </c:pt>
                <c:pt idx="1">
                  <c:v>Operational Costs</c:v>
                </c:pt>
              </c:strCache>
            </c:strRef>
          </c:cat>
          <c:val>
            <c:numRef>
              <c:f>Figures!$B$376:$C$376</c:f>
              <c:numCache>
                <c:formatCode>General</c:formatCode>
                <c:ptCount val="2"/>
                <c:pt idx="0" formatCode="_(&quot;$&quot;* #,##0.00_);_(&quot;$&quot;* \(#,##0.00\);_(&quot;$&quot;* &quot;-&quot;??_);_(@_)">
                  <c:v>889439.80976708652</c:v>
                </c:pt>
              </c:numCache>
            </c:numRef>
          </c:val>
          <c:extLst>
            <c:ext xmlns:c16="http://schemas.microsoft.com/office/drawing/2014/chart" uri="{C3380CC4-5D6E-409C-BE32-E72D297353CC}">
              <c16:uniqueId val="{00000008-229A-4AAB-B6A9-690556B9B17F}"/>
            </c:ext>
          </c:extLst>
        </c:ser>
        <c:ser>
          <c:idx val="10"/>
          <c:order val="9"/>
          <c:tx>
            <c:strRef>
              <c:f>Figures!$A$377</c:f>
              <c:strCache>
                <c:ptCount val="1"/>
                <c:pt idx="0">
                  <c:v>Packed Bed Column -CO2</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Figures!$B$377:$C$377</c:f>
              <c:numCache>
                <c:formatCode>General</c:formatCode>
                <c:ptCount val="2"/>
                <c:pt idx="0" formatCode="_(&quot;$&quot;* #,##0.00_);_(&quot;$&quot;* \(#,##0.00\);_(&quot;$&quot;* &quot;-&quot;??_);_(@_)">
                  <c:v>7881276.5092851697</c:v>
                </c:pt>
              </c:numCache>
            </c:numRef>
          </c:val>
          <c:extLst>
            <c:ext xmlns:c16="http://schemas.microsoft.com/office/drawing/2014/chart" uri="{C3380CC4-5D6E-409C-BE32-E72D297353CC}">
              <c16:uniqueId val="{00000009-229A-4AAB-B6A9-690556B9B17F}"/>
            </c:ext>
          </c:extLst>
        </c:ser>
        <c:ser>
          <c:idx val="11"/>
          <c:order val="10"/>
          <c:tx>
            <c:strRef>
              <c:f>Figures!$A$378</c:f>
              <c:strCache>
                <c:ptCount val="1"/>
                <c:pt idx="0">
                  <c:v>Feed Pump </c:v>
                </c:pt>
              </c:strCache>
            </c:strRef>
          </c:tx>
          <c:spPr>
            <a:solidFill>
              <a:schemeClr val="accent6">
                <a:lumMod val="60000"/>
              </a:schemeClr>
            </a:solidFill>
            <a:ln>
              <a:noFill/>
            </a:ln>
            <a:effectLst/>
          </c:spPr>
          <c:invertIfNegative val="0"/>
          <c:cat>
            <c:strRef>
              <c:f>Figures!$B$34:$C$34</c:f>
              <c:strCache>
                <c:ptCount val="2"/>
                <c:pt idx="0">
                  <c:v>Capital Costs</c:v>
                </c:pt>
                <c:pt idx="1">
                  <c:v>Operational Costs</c:v>
                </c:pt>
              </c:strCache>
            </c:strRef>
          </c:cat>
          <c:val>
            <c:numRef>
              <c:f>Figures!$B$378:$C$378</c:f>
              <c:numCache>
                <c:formatCode>General</c:formatCode>
                <c:ptCount val="2"/>
                <c:pt idx="0" formatCode="_(&quot;$&quot;* #,##0.00_);_(&quot;$&quot;* \(#,##0.00\);_(&quot;$&quot;* &quot;-&quot;??_);_(@_)">
                  <c:v>436341.12080345402</c:v>
                </c:pt>
              </c:numCache>
            </c:numRef>
          </c:val>
          <c:extLst>
            <c:ext xmlns:c16="http://schemas.microsoft.com/office/drawing/2014/chart" uri="{C3380CC4-5D6E-409C-BE32-E72D297353CC}">
              <c16:uniqueId val="{0000000A-229A-4AAB-B6A9-690556B9B17F}"/>
            </c:ext>
          </c:extLst>
        </c:ser>
        <c:ser>
          <c:idx val="12"/>
          <c:order val="11"/>
          <c:tx>
            <c:strRef>
              <c:f>Figures!$A$379</c:f>
              <c:strCache>
                <c:ptCount val="1"/>
                <c:pt idx="0">
                  <c:v>CO2 Storage Tank</c:v>
                </c:pt>
              </c:strCache>
            </c:strRef>
          </c:tx>
          <c:spPr>
            <a:solidFill>
              <a:schemeClr val="accent1">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Figures!$B$379:$C$379</c:f>
              <c:numCache>
                <c:formatCode>General</c:formatCode>
                <c:ptCount val="2"/>
                <c:pt idx="0" formatCode="_(&quot;$&quot;* #,##0.00_);_(&quot;$&quot;* \(#,##0.00\);_(&quot;$&quot;* &quot;-&quot;??_);_(@_)">
                  <c:v>2553062.4514486049</c:v>
                </c:pt>
              </c:numCache>
            </c:numRef>
          </c:val>
          <c:extLst>
            <c:ext xmlns:c16="http://schemas.microsoft.com/office/drawing/2014/chart" uri="{C3380CC4-5D6E-409C-BE32-E72D297353CC}">
              <c16:uniqueId val="{0000000B-229A-4AAB-B6A9-690556B9B17F}"/>
            </c:ext>
          </c:extLst>
        </c:ser>
        <c:ser>
          <c:idx val="13"/>
          <c:order val="12"/>
          <c:tx>
            <c:strRef>
              <c:f>Figures!$A$380</c:f>
              <c:strCache>
                <c:ptCount val="1"/>
                <c:pt idx="0">
                  <c:v>Compressor Pump</c:v>
                </c:pt>
              </c:strCache>
            </c:strRef>
          </c:tx>
          <c:spPr>
            <a:solidFill>
              <a:schemeClr val="accent2">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Figures!$B$380:$C$380</c:f>
              <c:numCache>
                <c:formatCode>General</c:formatCode>
                <c:ptCount val="2"/>
                <c:pt idx="0" formatCode="_(&quot;$&quot;* #,##0.00_);_(&quot;$&quot;* \(#,##0.00\);_(&quot;$&quot;* &quot;-&quot;??_);_(@_)">
                  <c:v>720962.31979979121</c:v>
                </c:pt>
              </c:numCache>
            </c:numRef>
          </c:val>
          <c:extLst>
            <c:ext xmlns:c16="http://schemas.microsoft.com/office/drawing/2014/chart" uri="{C3380CC4-5D6E-409C-BE32-E72D297353CC}">
              <c16:uniqueId val="{0000000C-229A-4AAB-B6A9-690556B9B17F}"/>
            </c:ext>
          </c:extLst>
        </c:ser>
        <c:ser>
          <c:idx val="14"/>
          <c:order val="13"/>
          <c:tx>
            <c:strRef>
              <c:f>Figures!$A$381</c:f>
              <c:strCache>
                <c:ptCount val="1"/>
                <c:pt idx="0">
                  <c:v>Recirculating Pump</c:v>
                </c:pt>
              </c:strCache>
            </c:strRef>
          </c:tx>
          <c:spPr>
            <a:solidFill>
              <a:schemeClr val="accent3">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Figures!$B$381:$C$381</c:f>
              <c:numCache>
                <c:formatCode>General</c:formatCode>
                <c:ptCount val="2"/>
                <c:pt idx="0" formatCode="_(&quot;$&quot;* #,##0.00_);_(&quot;$&quot;* \(#,##0.00\);_(&quot;$&quot;* &quot;-&quot;??_);_(@_)">
                  <c:v>606347.47494739096</c:v>
                </c:pt>
              </c:numCache>
            </c:numRef>
          </c:val>
          <c:extLst>
            <c:ext xmlns:c16="http://schemas.microsoft.com/office/drawing/2014/chart" uri="{C3380CC4-5D6E-409C-BE32-E72D297353CC}">
              <c16:uniqueId val="{0000000D-229A-4AAB-B6A9-690556B9B17F}"/>
            </c:ext>
          </c:extLst>
        </c:ser>
        <c:ser>
          <c:idx val="15"/>
          <c:order val="14"/>
          <c:tx>
            <c:strRef>
              <c:f>Figures!$A$382</c:f>
              <c:strCache>
                <c:ptCount val="1"/>
                <c:pt idx="0">
                  <c:v>Heat Exchanger</c:v>
                </c:pt>
              </c:strCache>
            </c:strRef>
          </c:tx>
          <c:spPr>
            <a:solidFill>
              <a:schemeClr val="accent4">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Figures!$B$382:$C$382</c:f>
              <c:numCache>
                <c:formatCode>General</c:formatCode>
                <c:ptCount val="2"/>
                <c:pt idx="0" formatCode="_(&quot;$&quot;* #,##0.00_);_(&quot;$&quot;* \(#,##0.00\);_(&quot;$&quot;* &quot;-&quot;??_);_(@_)">
                  <c:v>1305740.7096721593</c:v>
                </c:pt>
              </c:numCache>
            </c:numRef>
          </c:val>
          <c:extLst>
            <c:ext xmlns:c16="http://schemas.microsoft.com/office/drawing/2014/chart" uri="{C3380CC4-5D6E-409C-BE32-E72D297353CC}">
              <c16:uniqueId val="{0000000E-229A-4AAB-B6A9-690556B9B17F}"/>
            </c:ext>
          </c:extLst>
        </c:ser>
        <c:ser>
          <c:idx val="16"/>
          <c:order val="15"/>
          <c:tx>
            <c:strRef>
              <c:f>Figures!$A$383</c:f>
              <c:strCache>
                <c:ptCount val="1"/>
                <c:pt idx="0">
                  <c:v>Exraction Vessle</c:v>
                </c:pt>
              </c:strCache>
            </c:strRef>
          </c:tx>
          <c:spPr>
            <a:solidFill>
              <a:schemeClr val="accent5">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Figures!$B$383:$C$383</c:f>
              <c:numCache>
                <c:formatCode>General</c:formatCode>
                <c:ptCount val="2"/>
                <c:pt idx="0" formatCode="_(&quot;$&quot;* #,##0.00_);_(&quot;$&quot;* \(#,##0.00\);_(&quot;$&quot;* &quot;-&quot;??_);_(@_)">
                  <c:v>1791645.5114755807</c:v>
                </c:pt>
              </c:numCache>
            </c:numRef>
          </c:val>
          <c:extLst>
            <c:ext xmlns:c16="http://schemas.microsoft.com/office/drawing/2014/chart" uri="{C3380CC4-5D6E-409C-BE32-E72D297353CC}">
              <c16:uniqueId val="{0000000F-229A-4AAB-B6A9-690556B9B17F}"/>
            </c:ext>
          </c:extLst>
        </c:ser>
        <c:ser>
          <c:idx val="17"/>
          <c:order val="16"/>
          <c:tx>
            <c:strRef>
              <c:f>Figures!$A$384</c:f>
              <c:strCache>
                <c:ptCount val="1"/>
                <c:pt idx="0">
                  <c:v>Separator Vessle</c:v>
                </c:pt>
              </c:strCache>
            </c:strRef>
          </c:tx>
          <c:spPr>
            <a:solidFill>
              <a:schemeClr val="accent6">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Figures!$B$384:$C$384</c:f>
              <c:numCache>
                <c:formatCode>General</c:formatCode>
                <c:ptCount val="2"/>
                <c:pt idx="0" formatCode="_(&quot;$&quot;* #,##0.00_);_(&quot;$&quot;* \(#,##0.00\);_(&quot;$&quot;* &quot;-&quot;??_);_(@_)">
                  <c:v>1528168.2303762306</c:v>
                </c:pt>
              </c:numCache>
            </c:numRef>
          </c:val>
          <c:extLst>
            <c:ext xmlns:c16="http://schemas.microsoft.com/office/drawing/2014/chart" uri="{C3380CC4-5D6E-409C-BE32-E72D297353CC}">
              <c16:uniqueId val="{00000010-229A-4AAB-B6A9-690556B9B17F}"/>
            </c:ext>
          </c:extLst>
        </c:ser>
        <c:ser>
          <c:idx val="18"/>
          <c:order val="17"/>
          <c:tx>
            <c:strRef>
              <c:f>Figures!$A$385</c:f>
              <c:strCache>
                <c:ptCount val="1"/>
                <c:pt idx="0">
                  <c:v>Storage Tank</c:v>
                </c:pt>
              </c:strCache>
            </c:strRef>
          </c:tx>
          <c:spPr>
            <a:solidFill>
              <a:schemeClr val="accent1">
                <a:lumMod val="80000"/>
              </a:schemeClr>
            </a:solidFill>
            <a:ln>
              <a:noFill/>
            </a:ln>
            <a:effectLst/>
          </c:spPr>
          <c:invertIfNegative val="0"/>
          <c:cat>
            <c:strRef>
              <c:f>Figures!$B$34:$C$34</c:f>
              <c:strCache>
                <c:ptCount val="2"/>
                <c:pt idx="0">
                  <c:v>Capital Costs</c:v>
                </c:pt>
                <c:pt idx="1">
                  <c:v>Operational Costs</c:v>
                </c:pt>
              </c:strCache>
            </c:strRef>
          </c:cat>
          <c:val>
            <c:numRef>
              <c:f>Figures!$B$385:$C$385</c:f>
              <c:numCache>
                <c:formatCode>General</c:formatCode>
                <c:ptCount val="2"/>
                <c:pt idx="0" formatCode="_(&quot;$&quot;* #,##0.00_);_(&quot;$&quot;* \(#,##0.00\);_(&quot;$&quot;* &quot;-&quot;??_);_(@_)">
                  <c:v>1344322.3910563544</c:v>
                </c:pt>
              </c:numCache>
            </c:numRef>
          </c:val>
          <c:extLst>
            <c:ext xmlns:c16="http://schemas.microsoft.com/office/drawing/2014/chart" uri="{C3380CC4-5D6E-409C-BE32-E72D297353CC}">
              <c16:uniqueId val="{00000011-229A-4AAB-B6A9-690556B9B17F}"/>
            </c:ext>
          </c:extLst>
        </c:ser>
        <c:ser>
          <c:idx val="19"/>
          <c:order val="18"/>
          <c:tx>
            <c:strRef>
              <c:f>Figures!$A$386</c:f>
              <c:strCache>
                <c:ptCount val="1"/>
                <c:pt idx="0">
                  <c:v>Feed Pump - Solvent</c:v>
                </c:pt>
              </c:strCache>
            </c:strRef>
          </c:tx>
          <c:spPr>
            <a:solidFill>
              <a:schemeClr val="accent2">
                <a:lumMod val="80000"/>
              </a:schemeClr>
            </a:solidFill>
            <a:ln>
              <a:noFill/>
            </a:ln>
            <a:effectLst/>
          </c:spPr>
          <c:invertIfNegative val="0"/>
          <c:cat>
            <c:strRef>
              <c:f>Figures!$B$34:$C$34</c:f>
              <c:strCache>
                <c:ptCount val="2"/>
                <c:pt idx="0">
                  <c:v>Capital Costs</c:v>
                </c:pt>
                <c:pt idx="1">
                  <c:v>Operational Costs</c:v>
                </c:pt>
              </c:strCache>
            </c:strRef>
          </c:cat>
          <c:val>
            <c:numRef>
              <c:f>Figures!$B$386:$C$386</c:f>
              <c:numCache>
                <c:formatCode>General</c:formatCode>
                <c:ptCount val="2"/>
                <c:pt idx="0" formatCode="_(&quot;$&quot;* #,##0.00_);_(&quot;$&quot;* \(#,##0.00\);_(&quot;$&quot;* &quot;-&quot;??_);_(@_)">
                  <c:v>20927.670388427814</c:v>
                </c:pt>
              </c:numCache>
            </c:numRef>
          </c:val>
          <c:extLst>
            <c:ext xmlns:c16="http://schemas.microsoft.com/office/drawing/2014/chart" uri="{C3380CC4-5D6E-409C-BE32-E72D297353CC}">
              <c16:uniqueId val="{00000012-229A-4AAB-B6A9-690556B9B17F}"/>
            </c:ext>
          </c:extLst>
        </c:ser>
        <c:ser>
          <c:idx val="20"/>
          <c:order val="19"/>
          <c:tx>
            <c:strRef>
              <c:f>Figures!$A$387</c:f>
              <c:strCache>
                <c:ptCount val="1"/>
                <c:pt idx="0">
                  <c:v>Feed Pump - Feed</c:v>
                </c:pt>
              </c:strCache>
            </c:strRef>
          </c:tx>
          <c:spPr>
            <a:solidFill>
              <a:schemeClr val="accent3">
                <a:lumMod val="80000"/>
              </a:schemeClr>
            </a:solidFill>
            <a:ln>
              <a:noFill/>
            </a:ln>
            <a:effectLst/>
          </c:spPr>
          <c:invertIfNegative val="0"/>
          <c:cat>
            <c:strRef>
              <c:f>Figures!$B$34:$C$34</c:f>
              <c:strCache>
                <c:ptCount val="2"/>
                <c:pt idx="0">
                  <c:v>Capital Costs</c:v>
                </c:pt>
                <c:pt idx="1">
                  <c:v>Operational Costs</c:v>
                </c:pt>
              </c:strCache>
            </c:strRef>
          </c:cat>
          <c:val>
            <c:numRef>
              <c:f>Figures!$B$387:$C$387</c:f>
              <c:numCache>
                <c:formatCode>General</c:formatCode>
                <c:ptCount val="2"/>
                <c:pt idx="0" formatCode="_(&quot;$&quot;* #,##0.00_);_(&quot;$&quot;* \(#,##0.00\);_(&quot;$&quot;* &quot;-&quot;??_);_(@_)">
                  <c:v>2868.5521178948256</c:v>
                </c:pt>
              </c:numCache>
            </c:numRef>
          </c:val>
          <c:extLst>
            <c:ext xmlns:c16="http://schemas.microsoft.com/office/drawing/2014/chart" uri="{C3380CC4-5D6E-409C-BE32-E72D297353CC}">
              <c16:uniqueId val="{00000013-229A-4AAB-B6A9-690556B9B17F}"/>
            </c:ext>
          </c:extLst>
        </c:ser>
        <c:ser>
          <c:idx val="0"/>
          <c:order val="20"/>
          <c:tx>
            <c:strRef>
              <c:f>Figures!$A$388</c:f>
              <c:strCache>
                <c:ptCount val="1"/>
                <c:pt idx="0">
                  <c:v>Mixing Tank Wall</c:v>
                </c:pt>
              </c:strCache>
            </c:strRef>
          </c:tx>
          <c:spPr>
            <a:solidFill>
              <a:schemeClr val="accent1"/>
            </a:solidFill>
            <a:ln>
              <a:noFill/>
            </a:ln>
            <a:effectLst/>
          </c:spPr>
          <c:invertIfNegative val="0"/>
          <c:cat>
            <c:strRef>
              <c:f>Figures!$B$34:$C$34</c:f>
              <c:strCache>
                <c:ptCount val="2"/>
                <c:pt idx="0">
                  <c:v>Capital Costs</c:v>
                </c:pt>
                <c:pt idx="1">
                  <c:v>Operational Costs</c:v>
                </c:pt>
              </c:strCache>
            </c:strRef>
          </c:cat>
          <c:val>
            <c:numRef>
              <c:f>Figures!$B$388:$C$388</c:f>
              <c:numCache>
                <c:formatCode>General</c:formatCode>
                <c:ptCount val="2"/>
                <c:pt idx="0" formatCode="_(&quot;$&quot;* #,##0.00_);_(&quot;$&quot;* \(#,##0.00\);_(&quot;$&quot;* &quot;-&quot;??_);_(@_)">
                  <c:v>750935.73793454107</c:v>
                </c:pt>
              </c:numCache>
            </c:numRef>
          </c:val>
          <c:extLst>
            <c:ext xmlns:c16="http://schemas.microsoft.com/office/drawing/2014/chart" uri="{C3380CC4-5D6E-409C-BE32-E72D297353CC}">
              <c16:uniqueId val="{00000014-229A-4AAB-B6A9-690556B9B17F}"/>
            </c:ext>
          </c:extLst>
        </c:ser>
        <c:ser>
          <c:idx val="21"/>
          <c:order val="21"/>
          <c:tx>
            <c:strRef>
              <c:f>Figures!$A$389</c:f>
              <c:strCache>
                <c:ptCount val="1"/>
                <c:pt idx="0">
                  <c:v>Agitator</c:v>
                </c:pt>
              </c:strCache>
            </c:strRef>
          </c:tx>
          <c:spPr>
            <a:solidFill>
              <a:schemeClr val="accent4">
                <a:lumMod val="80000"/>
              </a:schemeClr>
            </a:solidFill>
            <a:ln>
              <a:noFill/>
            </a:ln>
            <a:effectLst/>
          </c:spPr>
          <c:invertIfNegative val="0"/>
          <c:cat>
            <c:strRef>
              <c:f>Figures!$B$34:$C$34</c:f>
              <c:strCache>
                <c:ptCount val="2"/>
                <c:pt idx="0">
                  <c:v>Capital Costs</c:v>
                </c:pt>
                <c:pt idx="1">
                  <c:v>Operational Costs</c:v>
                </c:pt>
              </c:strCache>
            </c:strRef>
          </c:cat>
          <c:val>
            <c:numRef>
              <c:f>Figures!$B$389:$C$389</c:f>
              <c:numCache>
                <c:formatCode>General</c:formatCode>
                <c:ptCount val="2"/>
                <c:pt idx="0" formatCode="_(&quot;$&quot;* #,##0.00_);_(&quot;$&quot;* \(#,##0.00\);_(&quot;$&quot;* &quot;-&quot;??_);_(@_)">
                  <c:v>110747.69985074081</c:v>
                </c:pt>
              </c:numCache>
            </c:numRef>
          </c:val>
          <c:extLst>
            <c:ext xmlns:c16="http://schemas.microsoft.com/office/drawing/2014/chart" uri="{C3380CC4-5D6E-409C-BE32-E72D297353CC}">
              <c16:uniqueId val="{00000015-229A-4AAB-B6A9-690556B9B17F}"/>
            </c:ext>
          </c:extLst>
        </c:ser>
        <c:ser>
          <c:idx val="22"/>
          <c:order val="22"/>
          <c:tx>
            <c:strRef>
              <c:f>Figures!$A$390</c:f>
              <c:strCache>
                <c:ptCount val="1"/>
                <c:pt idx="0">
                  <c:v>Decanter - Settler</c:v>
                </c:pt>
              </c:strCache>
            </c:strRef>
          </c:tx>
          <c:spPr>
            <a:solidFill>
              <a:schemeClr val="accent5">
                <a:lumMod val="80000"/>
              </a:schemeClr>
            </a:solidFill>
            <a:ln>
              <a:noFill/>
            </a:ln>
            <a:effectLst/>
          </c:spPr>
          <c:invertIfNegative val="0"/>
          <c:cat>
            <c:strRef>
              <c:f>Figures!$B$34:$C$34</c:f>
              <c:strCache>
                <c:ptCount val="2"/>
                <c:pt idx="0">
                  <c:v>Capital Costs</c:v>
                </c:pt>
                <c:pt idx="1">
                  <c:v>Operational Costs</c:v>
                </c:pt>
              </c:strCache>
            </c:strRef>
          </c:cat>
          <c:val>
            <c:numRef>
              <c:f>Figures!$B$390:$C$390</c:f>
              <c:numCache>
                <c:formatCode>General</c:formatCode>
                <c:ptCount val="2"/>
                <c:pt idx="0" formatCode="_(&quot;$&quot;* #,##0.00_);_(&quot;$&quot;* \(#,##0.00\);_(&quot;$&quot;* &quot;-&quot;??_);_(@_)">
                  <c:v>3569.6795486558308</c:v>
                </c:pt>
              </c:numCache>
            </c:numRef>
          </c:val>
          <c:extLst>
            <c:ext xmlns:c16="http://schemas.microsoft.com/office/drawing/2014/chart" uri="{C3380CC4-5D6E-409C-BE32-E72D297353CC}">
              <c16:uniqueId val="{00000016-229A-4AAB-B6A9-690556B9B17F}"/>
            </c:ext>
          </c:extLst>
        </c:ser>
        <c:ser>
          <c:idx val="23"/>
          <c:order val="23"/>
          <c:tx>
            <c:strRef>
              <c:f>Figures!$A$391</c:f>
              <c:strCache>
                <c:ptCount val="1"/>
                <c:pt idx="0">
                  <c:v>Distillation Column</c:v>
                </c:pt>
              </c:strCache>
            </c:strRef>
          </c:tx>
          <c:spPr>
            <a:solidFill>
              <a:schemeClr val="accent6">
                <a:lumMod val="80000"/>
              </a:schemeClr>
            </a:solidFill>
            <a:ln>
              <a:noFill/>
            </a:ln>
            <a:effectLst/>
          </c:spPr>
          <c:invertIfNegative val="0"/>
          <c:cat>
            <c:strRef>
              <c:f>Figures!$B$34:$C$34</c:f>
              <c:strCache>
                <c:ptCount val="2"/>
                <c:pt idx="0">
                  <c:v>Capital Costs</c:v>
                </c:pt>
                <c:pt idx="1">
                  <c:v>Operational Costs</c:v>
                </c:pt>
              </c:strCache>
            </c:strRef>
          </c:cat>
          <c:val>
            <c:numRef>
              <c:f>Figures!$B$391:$C$391</c:f>
              <c:numCache>
                <c:formatCode>General</c:formatCode>
                <c:ptCount val="2"/>
                <c:pt idx="0" formatCode="_(&quot;$&quot;* #,##0.00_);_(&quot;$&quot;* \(#,##0.00\);_(&quot;$&quot;* &quot;-&quot;??_);_(@_)">
                  <c:v>92823.658928129167</c:v>
                </c:pt>
              </c:numCache>
            </c:numRef>
          </c:val>
          <c:extLst>
            <c:ext xmlns:c16="http://schemas.microsoft.com/office/drawing/2014/chart" uri="{C3380CC4-5D6E-409C-BE32-E72D297353CC}">
              <c16:uniqueId val="{00000017-229A-4AAB-B6A9-690556B9B17F}"/>
            </c:ext>
          </c:extLst>
        </c:ser>
        <c:ser>
          <c:idx val="24"/>
          <c:order val="24"/>
          <c:tx>
            <c:strRef>
              <c:f>Figures!$A$392</c:f>
              <c:strCache>
                <c:ptCount val="1"/>
                <c:pt idx="0">
                  <c:v>Feed Pump</c:v>
                </c:pt>
              </c:strCache>
            </c:strRef>
          </c:tx>
          <c:spPr>
            <a:solidFill>
              <a:schemeClr val="accent1">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Figures!$B$392:$C$392</c:f>
              <c:numCache>
                <c:formatCode>General</c:formatCode>
                <c:ptCount val="2"/>
                <c:pt idx="0" formatCode="_(&quot;$&quot;* #,##0.00_);_(&quot;$&quot;* \(#,##0.00\);_(&quot;$&quot;* &quot;-&quot;??_);_(@_)">
                  <c:v>905.09620449667841</c:v>
                </c:pt>
              </c:numCache>
            </c:numRef>
          </c:val>
          <c:extLst>
            <c:ext xmlns:c16="http://schemas.microsoft.com/office/drawing/2014/chart" uri="{C3380CC4-5D6E-409C-BE32-E72D297353CC}">
              <c16:uniqueId val="{00000018-229A-4AAB-B6A9-690556B9B17F}"/>
            </c:ext>
          </c:extLst>
        </c:ser>
        <c:ser>
          <c:idx val="25"/>
          <c:order val="25"/>
          <c:tx>
            <c:strRef>
              <c:f>Figures!$A$393</c:f>
              <c:strCache>
                <c:ptCount val="1"/>
                <c:pt idx="0">
                  <c:v>Condensor</c:v>
                </c:pt>
              </c:strCache>
            </c:strRef>
          </c:tx>
          <c:spPr>
            <a:solidFill>
              <a:schemeClr val="accent2">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Figures!$B$393:$C$393</c:f>
              <c:numCache>
                <c:formatCode>General</c:formatCode>
                <c:ptCount val="2"/>
                <c:pt idx="0" formatCode="_(&quot;$&quot;* #,##0.00_);_(&quot;$&quot;* \(#,##0.00\);_(&quot;$&quot;* &quot;-&quot;??_);_(@_)">
                  <c:v>1101762.3692571695</c:v>
                </c:pt>
              </c:numCache>
            </c:numRef>
          </c:val>
          <c:extLst>
            <c:ext xmlns:c16="http://schemas.microsoft.com/office/drawing/2014/chart" uri="{C3380CC4-5D6E-409C-BE32-E72D297353CC}">
              <c16:uniqueId val="{00000019-229A-4AAB-B6A9-690556B9B17F}"/>
            </c:ext>
          </c:extLst>
        </c:ser>
        <c:ser>
          <c:idx val="26"/>
          <c:order val="26"/>
          <c:tx>
            <c:strRef>
              <c:f>Figures!$A$394</c:f>
              <c:strCache>
                <c:ptCount val="1"/>
                <c:pt idx="0">
                  <c:v>Reboiler</c:v>
                </c:pt>
              </c:strCache>
            </c:strRef>
          </c:tx>
          <c:spPr>
            <a:solidFill>
              <a:schemeClr val="accent3">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Figures!$B$394:$C$394</c:f>
              <c:numCache>
                <c:formatCode>General</c:formatCode>
                <c:ptCount val="2"/>
                <c:pt idx="0" formatCode="_(&quot;$&quot;* #,##0.00_);_(&quot;$&quot;* \(#,##0.00\);_(&quot;$&quot;* &quot;-&quot;??_);_(@_)">
                  <c:v>1290635.9182726841</c:v>
                </c:pt>
              </c:numCache>
            </c:numRef>
          </c:val>
          <c:extLst>
            <c:ext xmlns:c16="http://schemas.microsoft.com/office/drawing/2014/chart" uri="{C3380CC4-5D6E-409C-BE32-E72D297353CC}">
              <c16:uniqueId val="{0000001A-229A-4AAB-B6A9-690556B9B17F}"/>
            </c:ext>
          </c:extLst>
        </c:ser>
        <c:ser>
          <c:idx val="27"/>
          <c:order val="27"/>
          <c:tx>
            <c:strRef>
              <c:f>Figures!$A$395</c:f>
              <c:strCache>
                <c:ptCount val="1"/>
                <c:pt idx="0">
                  <c:v>Storage Tank</c:v>
                </c:pt>
              </c:strCache>
            </c:strRef>
          </c:tx>
          <c:spPr>
            <a:solidFill>
              <a:schemeClr val="accent4">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Figures!$B$395:$C$395</c:f>
              <c:numCache>
                <c:formatCode>General</c:formatCode>
                <c:ptCount val="2"/>
                <c:pt idx="0" formatCode="_(&quot;$&quot;* #,##0.00_);_(&quot;$&quot;* \(#,##0.00\);_(&quot;$&quot;* &quot;-&quot;??_);_(@_)">
                  <c:v>50833.36576631941</c:v>
                </c:pt>
              </c:numCache>
            </c:numRef>
          </c:val>
          <c:extLst>
            <c:ext xmlns:c16="http://schemas.microsoft.com/office/drawing/2014/chart" uri="{C3380CC4-5D6E-409C-BE32-E72D297353CC}">
              <c16:uniqueId val="{0000001B-229A-4AAB-B6A9-690556B9B17F}"/>
            </c:ext>
          </c:extLst>
        </c:ser>
        <c:dLbls>
          <c:showLegendKey val="0"/>
          <c:showVal val="0"/>
          <c:showCatName val="0"/>
          <c:showSerName val="0"/>
          <c:showPercent val="0"/>
          <c:showBubbleSize val="0"/>
        </c:dLbls>
        <c:gapWidth val="50"/>
        <c:overlap val="100"/>
        <c:axId val="1295435552"/>
        <c:axId val="1295428352"/>
      </c:barChart>
      <c:barChart>
        <c:barDir val="col"/>
        <c:grouping val="stacked"/>
        <c:varyColors val="0"/>
        <c:ser>
          <c:idx val="28"/>
          <c:order val="28"/>
          <c:tx>
            <c:strRef>
              <c:f>Figures!$A$396</c:f>
              <c:strCache>
                <c:ptCount val="1"/>
                <c:pt idx="0">
                  <c:v>Power - Applied Voltage</c:v>
                </c:pt>
              </c:strCache>
            </c:strRef>
          </c:tx>
          <c:spPr>
            <a:solidFill>
              <a:schemeClr val="accent5">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Figures!$B$396:$C$396</c:f>
              <c:numCache>
                <c:formatCode>_("$"* #,##0.00_);_("$"* \(#,##0.00\);_("$"* "-"??_);_(@_)</c:formatCode>
                <c:ptCount val="2"/>
                <c:pt idx="1">
                  <c:v>212310.06313843877</c:v>
                </c:pt>
              </c:numCache>
            </c:numRef>
          </c:val>
          <c:extLst>
            <c:ext xmlns:c16="http://schemas.microsoft.com/office/drawing/2014/chart" uri="{C3380CC4-5D6E-409C-BE32-E72D297353CC}">
              <c16:uniqueId val="{0000001C-229A-4AAB-B6A9-690556B9B17F}"/>
            </c:ext>
          </c:extLst>
        </c:ser>
        <c:ser>
          <c:idx val="29"/>
          <c:order val="29"/>
          <c:tx>
            <c:strRef>
              <c:f>Figures!$A$397</c:f>
              <c:strCache>
                <c:ptCount val="1"/>
                <c:pt idx="0">
                  <c:v>Power - Electrolyte Pump</c:v>
                </c:pt>
              </c:strCache>
            </c:strRef>
          </c:tx>
          <c:spPr>
            <a:solidFill>
              <a:schemeClr val="accent6">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Figures!$B$397:$C$397</c:f>
              <c:numCache>
                <c:formatCode>_("$"* #,##0.00_);_("$"* \(#,##0.00\);_("$"* "-"??_);_(@_)</c:formatCode>
                <c:ptCount val="2"/>
                <c:pt idx="1">
                  <c:v>781.73895815605283</c:v>
                </c:pt>
              </c:numCache>
            </c:numRef>
          </c:val>
          <c:extLst>
            <c:ext xmlns:c16="http://schemas.microsoft.com/office/drawing/2014/chart" uri="{C3380CC4-5D6E-409C-BE32-E72D297353CC}">
              <c16:uniqueId val="{0000001D-229A-4AAB-B6A9-690556B9B17F}"/>
            </c:ext>
          </c:extLst>
        </c:ser>
        <c:ser>
          <c:idx val="30"/>
          <c:order val="30"/>
          <c:tx>
            <c:strRef>
              <c:f>Figures!$A$398</c:f>
              <c:strCache>
                <c:ptCount val="1"/>
                <c:pt idx="0">
                  <c:v>Power - Acid 1 Pump</c:v>
                </c:pt>
              </c:strCache>
            </c:strRef>
          </c:tx>
          <c:spPr>
            <a:solidFill>
              <a:schemeClr val="accent1">
                <a:lumMod val="50000"/>
              </a:schemeClr>
            </a:solidFill>
            <a:ln>
              <a:noFill/>
            </a:ln>
            <a:effectLst/>
          </c:spPr>
          <c:invertIfNegative val="0"/>
          <c:cat>
            <c:strRef>
              <c:f>Figures!$B$34:$C$34</c:f>
              <c:strCache>
                <c:ptCount val="2"/>
                <c:pt idx="0">
                  <c:v>Capital Costs</c:v>
                </c:pt>
                <c:pt idx="1">
                  <c:v>Operational Costs</c:v>
                </c:pt>
              </c:strCache>
            </c:strRef>
          </c:cat>
          <c:val>
            <c:numRef>
              <c:f>Figures!$B$398:$C$398</c:f>
              <c:numCache>
                <c:formatCode>_("$"* #,##0.00_);_("$"* \(#,##0.00\);_("$"* "-"??_);_(@_)</c:formatCode>
                <c:ptCount val="2"/>
                <c:pt idx="1">
                  <c:v>781.73895815605283</c:v>
                </c:pt>
              </c:numCache>
            </c:numRef>
          </c:val>
          <c:extLst>
            <c:ext xmlns:c16="http://schemas.microsoft.com/office/drawing/2014/chart" uri="{C3380CC4-5D6E-409C-BE32-E72D297353CC}">
              <c16:uniqueId val="{0000001E-229A-4AAB-B6A9-690556B9B17F}"/>
            </c:ext>
          </c:extLst>
        </c:ser>
        <c:ser>
          <c:idx val="31"/>
          <c:order val="31"/>
          <c:tx>
            <c:strRef>
              <c:f>Figures!$A$399</c:f>
              <c:strCache>
                <c:ptCount val="1"/>
                <c:pt idx="0">
                  <c:v>Power - Acid 2 Pump</c:v>
                </c:pt>
              </c:strCache>
            </c:strRef>
          </c:tx>
          <c:spPr>
            <a:solidFill>
              <a:schemeClr val="accent2">
                <a:lumMod val="50000"/>
              </a:schemeClr>
            </a:solidFill>
            <a:ln>
              <a:noFill/>
            </a:ln>
            <a:effectLst/>
          </c:spPr>
          <c:invertIfNegative val="0"/>
          <c:cat>
            <c:strRef>
              <c:f>Figures!$B$34:$C$34</c:f>
              <c:strCache>
                <c:ptCount val="2"/>
                <c:pt idx="0">
                  <c:v>Capital Costs</c:v>
                </c:pt>
                <c:pt idx="1">
                  <c:v>Operational Costs</c:v>
                </c:pt>
              </c:strCache>
            </c:strRef>
          </c:cat>
          <c:val>
            <c:numRef>
              <c:f>Figures!$B$399:$C$399</c:f>
              <c:numCache>
                <c:formatCode>_("$"* #,##0.00_);_("$"* \(#,##0.00\);_("$"* "-"??_);_(@_)</c:formatCode>
                <c:ptCount val="2"/>
                <c:pt idx="1">
                  <c:v>781.73895815605283</c:v>
                </c:pt>
              </c:numCache>
            </c:numRef>
          </c:val>
          <c:extLst>
            <c:ext xmlns:c16="http://schemas.microsoft.com/office/drawing/2014/chart" uri="{C3380CC4-5D6E-409C-BE32-E72D297353CC}">
              <c16:uniqueId val="{0000001F-229A-4AAB-B6A9-690556B9B17F}"/>
            </c:ext>
          </c:extLst>
        </c:ser>
        <c:ser>
          <c:idx val="32"/>
          <c:order val="32"/>
          <c:tx>
            <c:strRef>
              <c:f>Figures!$A$400</c:f>
              <c:strCache>
                <c:ptCount val="1"/>
                <c:pt idx="0">
                  <c:v>Power - Base 1 Pump</c:v>
                </c:pt>
              </c:strCache>
            </c:strRef>
          </c:tx>
          <c:spPr>
            <a:solidFill>
              <a:schemeClr val="accent3">
                <a:lumMod val="50000"/>
              </a:schemeClr>
            </a:solidFill>
            <a:ln>
              <a:noFill/>
            </a:ln>
            <a:effectLst/>
          </c:spPr>
          <c:invertIfNegative val="0"/>
          <c:cat>
            <c:strRef>
              <c:f>Figures!$B$34:$C$34</c:f>
              <c:strCache>
                <c:ptCount val="2"/>
                <c:pt idx="0">
                  <c:v>Capital Costs</c:v>
                </c:pt>
                <c:pt idx="1">
                  <c:v>Operational Costs</c:v>
                </c:pt>
              </c:strCache>
            </c:strRef>
          </c:cat>
          <c:val>
            <c:numRef>
              <c:f>Figures!$B$400:$C$400</c:f>
              <c:numCache>
                <c:formatCode>_("$"* #,##0.00_);_("$"* \(#,##0.00\);_("$"* "-"??_);_(@_)</c:formatCode>
                <c:ptCount val="2"/>
                <c:pt idx="1">
                  <c:v>781.73895815605283</c:v>
                </c:pt>
              </c:numCache>
            </c:numRef>
          </c:val>
          <c:extLst>
            <c:ext xmlns:c16="http://schemas.microsoft.com/office/drawing/2014/chart" uri="{C3380CC4-5D6E-409C-BE32-E72D297353CC}">
              <c16:uniqueId val="{00000020-229A-4AAB-B6A9-690556B9B17F}"/>
            </c:ext>
          </c:extLst>
        </c:ser>
        <c:ser>
          <c:idx val="33"/>
          <c:order val="33"/>
          <c:tx>
            <c:strRef>
              <c:f>Figures!$A$401</c:f>
              <c:strCache>
                <c:ptCount val="1"/>
                <c:pt idx="0">
                  <c:v>Power - Base 2 Pump</c:v>
                </c:pt>
              </c:strCache>
            </c:strRef>
          </c:tx>
          <c:spPr>
            <a:solidFill>
              <a:schemeClr val="accent4">
                <a:lumMod val="50000"/>
              </a:schemeClr>
            </a:solidFill>
            <a:ln>
              <a:noFill/>
            </a:ln>
            <a:effectLst/>
          </c:spPr>
          <c:invertIfNegative val="0"/>
          <c:cat>
            <c:strRef>
              <c:f>Figures!$B$34:$C$34</c:f>
              <c:strCache>
                <c:ptCount val="2"/>
                <c:pt idx="0">
                  <c:v>Capital Costs</c:v>
                </c:pt>
                <c:pt idx="1">
                  <c:v>Operational Costs</c:v>
                </c:pt>
              </c:strCache>
            </c:strRef>
          </c:cat>
          <c:val>
            <c:numRef>
              <c:f>Figures!$B$401:$C$401</c:f>
              <c:numCache>
                <c:formatCode>_("$"* #,##0.00_);_("$"* \(#,##0.00\);_("$"* "-"??_);_(@_)</c:formatCode>
                <c:ptCount val="2"/>
                <c:pt idx="1">
                  <c:v>781.73895815605283</c:v>
                </c:pt>
              </c:numCache>
            </c:numRef>
          </c:val>
          <c:extLst>
            <c:ext xmlns:c16="http://schemas.microsoft.com/office/drawing/2014/chart" uri="{C3380CC4-5D6E-409C-BE32-E72D297353CC}">
              <c16:uniqueId val="{00000021-229A-4AAB-B6A9-690556B9B17F}"/>
            </c:ext>
          </c:extLst>
        </c:ser>
        <c:ser>
          <c:idx val="34"/>
          <c:order val="34"/>
          <c:tx>
            <c:strRef>
              <c:f>Figures!$A$402</c:f>
              <c:strCache>
                <c:ptCount val="1"/>
                <c:pt idx="0">
                  <c:v>Power - Feed Pump</c:v>
                </c:pt>
              </c:strCache>
            </c:strRef>
          </c:tx>
          <c:spPr>
            <a:solidFill>
              <a:schemeClr val="accent5">
                <a:lumMod val="50000"/>
              </a:schemeClr>
            </a:solidFill>
            <a:ln>
              <a:noFill/>
            </a:ln>
            <a:effectLst/>
          </c:spPr>
          <c:invertIfNegative val="0"/>
          <c:cat>
            <c:strRef>
              <c:f>Figures!$B$34:$C$34</c:f>
              <c:strCache>
                <c:ptCount val="2"/>
                <c:pt idx="0">
                  <c:v>Capital Costs</c:v>
                </c:pt>
                <c:pt idx="1">
                  <c:v>Operational Costs</c:v>
                </c:pt>
              </c:strCache>
            </c:strRef>
          </c:cat>
          <c:val>
            <c:numRef>
              <c:f>Figures!$B$402:$C$402</c:f>
              <c:numCache>
                <c:formatCode>_("$"* #,##0.00_);_("$"* \(#,##0.00\);_("$"* "-"??_);_(@_)</c:formatCode>
                <c:ptCount val="2"/>
                <c:pt idx="1">
                  <c:v>6683.7740751347537</c:v>
                </c:pt>
              </c:numCache>
            </c:numRef>
          </c:val>
          <c:extLst>
            <c:ext xmlns:c16="http://schemas.microsoft.com/office/drawing/2014/chart" uri="{C3380CC4-5D6E-409C-BE32-E72D297353CC}">
              <c16:uniqueId val="{00000022-229A-4AAB-B6A9-690556B9B17F}"/>
            </c:ext>
          </c:extLst>
        </c:ser>
        <c:ser>
          <c:idx val="35"/>
          <c:order val="35"/>
          <c:tx>
            <c:strRef>
              <c:f>Figures!$A$403</c:f>
              <c:strCache>
                <c:ptCount val="1"/>
                <c:pt idx="0">
                  <c:v>Wastewater Treatment</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Figures!$B$403:$C$403</c:f>
              <c:numCache>
                <c:formatCode>_("$"* #,##0.00_);_("$"* \(#,##0.00\);_("$"* "-"??_);_(@_)</c:formatCode>
                <c:ptCount val="2"/>
                <c:pt idx="1">
                  <c:v>1070398.1796056328</c:v>
                </c:pt>
              </c:numCache>
            </c:numRef>
          </c:val>
          <c:extLst>
            <c:ext xmlns:c16="http://schemas.microsoft.com/office/drawing/2014/chart" uri="{C3380CC4-5D6E-409C-BE32-E72D297353CC}">
              <c16:uniqueId val="{00000023-229A-4AAB-B6A9-690556B9B17F}"/>
            </c:ext>
          </c:extLst>
        </c:ser>
        <c:ser>
          <c:idx val="36"/>
          <c:order val="36"/>
          <c:tx>
            <c:strRef>
              <c:f>Figures!$A$404</c:f>
              <c:strCache>
                <c:ptCount val="1"/>
                <c:pt idx="0">
                  <c:v>Compressed Carbon Dioxide</c:v>
                </c:pt>
              </c:strCache>
            </c:strRef>
          </c:tx>
          <c:spPr>
            <a:solidFill>
              <a:schemeClr val="accent1">
                <a:lumMod val="70000"/>
                <a:lumOff val="30000"/>
              </a:schemeClr>
            </a:solidFill>
            <a:ln>
              <a:noFill/>
            </a:ln>
            <a:effectLst/>
          </c:spPr>
          <c:invertIfNegative val="0"/>
          <c:cat>
            <c:strRef>
              <c:f>Figures!$B$34:$C$34</c:f>
              <c:strCache>
                <c:ptCount val="2"/>
                <c:pt idx="0">
                  <c:v>Capital Costs</c:v>
                </c:pt>
                <c:pt idx="1">
                  <c:v>Operational Costs</c:v>
                </c:pt>
              </c:strCache>
            </c:strRef>
          </c:cat>
          <c:val>
            <c:numRef>
              <c:f>Figures!$B$404:$C$404</c:f>
              <c:numCache>
                <c:formatCode>_("$"* #,##0.00_);_("$"* \(#,##0.00\);_("$"* "-"??_);_(@_)</c:formatCode>
                <c:ptCount val="2"/>
                <c:pt idx="1">
                  <c:v>26634.767170340627</c:v>
                </c:pt>
              </c:numCache>
            </c:numRef>
          </c:val>
          <c:extLst>
            <c:ext xmlns:c16="http://schemas.microsoft.com/office/drawing/2014/chart" uri="{C3380CC4-5D6E-409C-BE32-E72D297353CC}">
              <c16:uniqueId val="{00000024-229A-4AAB-B6A9-690556B9B17F}"/>
            </c:ext>
          </c:extLst>
        </c:ser>
        <c:ser>
          <c:idx val="37"/>
          <c:order val="37"/>
          <c:tx>
            <c:strRef>
              <c:f>Figures!$A$405</c:f>
              <c:strCache>
                <c:ptCount val="1"/>
                <c:pt idx="0">
                  <c:v>Heat - Extraction</c:v>
                </c:pt>
              </c:strCache>
            </c:strRef>
          </c:tx>
          <c:spPr>
            <a:solidFill>
              <a:schemeClr val="accent2">
                <a:lumMod val="70000"/>
                <a:lumOff val="30000"/>
              </a:schemeClr>
            </a:solidFill>
            <a:ln>
              <a:noFill/>
            </a:ln>
            <a:effectLst/>
          </c:spPr>
          <c:invertIfNegative val="0"/>
          <c:cat>
            <c:strRef>
              <c:f>Figures!$B$34:$C$34</c:f>
              <c:strCache>
                <c:ptCount val="2"/>
                <c:pt idx="0">
                  <c:v>Capital Costs</c:v>
                </c:pt>
                <c:pt idx="1">
                  <c:v>Operational Costs</c:v>
                </c:pt>
              </c:strCache>
            </c:strRef>
          </c:cat>
          <c:val>
            <c:numRef>
              <c:f>Figures!$B$405:$C$405</c:f>
              <c:numCache>
                <c:formatCode>_("$"* #,##0.00_);_("$"* \(#,##0.00\);_("$"* "-"??_);_(@_)</c:formatCode>
                <c:ptCount val="2"/>
                <c:pt idx="1">
                  <c:v>120.71404321916224</c:v>
                </c:pt>
              </c:numCache>
            </c:numRef>
          </c:val>
          <c:extLst>
            <c:ext xmlns:c16="http://schemas.microsoft.com/office/drawing/2014/chart" uri="{C3380CC4-5D6E-409C-BE32-E72D297353CC}">
              <c16:uniqueId val="{00000025-229A-4AAB-B6A9-690556B9B17F}"/>
            </c:ext>
          </c:extLst>
        </c:ser>
        <c:ser>
          <c:idx val="38"/>
          <c:order val="38"/>
          <c:tx>
            <c:strRef>
              <c:f>Figures!$A$406</c:f>
              <c:strCache>
                <c:ptCount val="1"/>
                <c:pt idx="0">
                  <c:v>Power - Feed Pump</c:v>
                </c:pt>
              </c:strCache>
            </c:strRef>
          </c:tx>
          <c:spPr>
            <a:solidFill>
              <a:schemeClr val="accent3">
                <a:lumMod val="70000"/>
                <a:lumOff val="30000"/>
              </a:schemeClr>
            </a:solidFill>
            <a:ln>
              <a:noFill/>
            </a:ln>
            <a:effectLst/>
          </c:spPr>
          <c:invertIfNegative val="0"/>
          <c:cat>
            <c:strRef>
              <c:f>Figures!$B$34:$C$34</c:f>
              <c:strCache>
                <c:ptCount val="2"/>
                <c:pt idx="0">
                  <c:v>Capital Costs</c:v>
                </c:pt>
                <c:pt idx="1">
                  <c:v>Operational Costs</c:v>
                </c:pt>
              </c:strCache>
            </c:strRef>
          </c:cat>
          <c:val>
            <c:numRef>
              <c:f>Figures!$B$406:$C$406</c:f>
              <c:numCache>
                <c:formatCode>_("$"* #,##0.00_);_("$"* \(#,##0.00\);_("$"* "-"??_);_(@_)</c:formatCode>
                <c:ptCount val="2"/>
                <c:pt idx="1">
                  <c:v>332.13630912041549</c:v>
                </c:pt>
              </c:numCache>
            </c:numRef>
          </c:val>
          <c:extLst>
            <c:ext xmlns:c16="http://schemas.microsoft.com/office/drawing/2014/chart" uri="{C3380CC4-5D6E-409C-BE32-E72D297353CC}">
              <c16:uniqueId val="{00000026-229A-4AAB-B6A9-690556B9B17F}"/>
            </c:ext>
          </c:extLst>
        </c:ser>
        <c:ser>
          <c:idx val="39"/>
          <c:order val="39"/>
          <c:tx>
            <c:strRef>
              <c:f>Figures!$A$407</c:f>
              <c:strCache>
                <c:ptCount val="1"/>
                <c:pt idx="0">
                  <c:v>Power - CO2 Input Pump</c:v>
                </c:pt>
              </c:strCache>
            </c:strRef>
          </c:tx>
          <c:spPr>
            <a:solidFill>
              <a:schemeClr val="accent4">
                <a:lumMod val="70000"/>
                <a:lumOff val="30000"/>
              </a:schemeClr>
            </a:solidFill>
            <a:ln>
              <a:noFill/>
            </a:ln>
            <a:effectLst/>
          </c:spPr>
          <c:invertIfNegative val="0"/>
          <c:cat>
            <c:strRef>
              <c:f>Figures!$B$34:$C$34</c:f>
              <c:strCache>
                <c:ptCount val="2"/>
                <c:pt idx="0">
                  <c:v>Capital Costs</c:v>
                </c:pt>
                <c:pt idx="1">
                  <c:v>Operational Costs</c:v>
                </c:pt>
              </c:strCache>
            </c:strRef>
          </c:cat>
          <c:val>
            <c:numRef>
              <c:f>Figures!$B$407:$C$407</c:f>
              <c:numCache>
                <c:formatCode>_("$"* #,##0.00_);_("$"* \(#,##0.00\);_("$"* "-"??_);_(@_)</c:formatCode>
                <c:ptCount val="2"/>
                <c:pt idx="1">
                  <c:v>29.555208422837786</c:v>
                </c:pt>
              </c:numCache>
            </c:numRef>
          </c:val>
          <c:extLst>
            <c:ext xmlns:c16="http://schemas.microsoft.com/office/drawing/2014/chart" uri="{C3380CC4-5D6E-409C-BE32-E72D297353CC}">
              <c16:uniqueId val="{00000027-229A-4AAB-B6A9-690556B9B17F}"/>
            </c:ext>
          </c:extLst>
        </c:ser>
        <c:ser>
          <c:idx val="40"/>
          <c:order val="40"/>
          <c:tx>
            <c:strRef>
              <c:f>Figures!$A$408</c:f>
              <c:strCache>
                <c:ptCount val="1"/>
                <c:pt idx="0">
                  <c:v>Power - CO2 Recycle Pump</c:v>
                </c:pt>
              </c:strCache>
            </c:strRef>
          </c:tx>
          <c:spPr>
            <a:solidFill>
              <a:schemeClr val="accent5">
                <a:lumMod val="70000"/>
                <a:lumOff val="30000"/>
              </a:schemeClr>
            </a:solidFill>
            <a:ln>
              <a:noFill/>
            </a:ln>
            <a:effectLst/>
          </c:spPr>
          <c:invertIfNegative val="0"/>
          <c:cat>
            <c:strRef>
              <c:f>Figures!$B$34:$C$34</c:f>
              <c:strCache>
                <c:ptCount val="2"/>
                <c:pt idx="0">
                  <c:v>Capital Costs</c:v>
                </c:pt>
                <c:pt idx="1">
                  <c:v>Operational Costs</c:v>
                </c:pt>
              </c:strCache>
            </c:strRef>
          </c:cat>
          <c:val>
            <c:numRef>
              <c:f>Figures!$B$408:$C$408</c:f>
              <c:numCache>
                <c:formatCode>_("$"* #,##0.00_);_("$"* \(#,##0.00\);_("$"* "-"??_);_(@_)</c:formatCode>
                <c:ptCount val="2"/>
                <c:pt idx="1">
                  <c:v>29.555208422837786</c:v>
                </c:pt>
              </c:numCache>
            </c:numRef>
          </c:val>
          <c:extLst>
            <c:ext xmlns:c16="http://schemas.microsoft.com/office/drawing/2014/chart" uri="{C3380CC4-5D6E-409C-BE32-E72D297353CC}">
              <c16:uniqueId val="{00000028-229A-4AAB-B6A9-690556B9B17F}"/>
            </c:ext>
          </c:extLst>
        </c:ser>
        <c:ser>
          <c:idx val="41"/>
          <c:order val="41"/>
          <c:tx>
            <c:strRef>
              <c:f>Figures!$A$409</c:f>
              <c:strCache>
                <c:ptCount val="1"/>
                <c:pt idx="0">
                  <c:v>Pump - Recovery</c:v>
                </c:pt>
              </c:strCache>
            </c:strRef>
          </c:tx>
          <c:spPr>
            <a:solidFill>
              <a:schemeClr val="accent6">
                <a:lumMod val="70000"/>
                <a:lumOff val="30000"/>
              </a:schemeClr>
            </a:solidFill>
            <a:ln>
              <a:noFill/>
            </a:ln>
            <a:effectLst/>
          </c:spPr>
          <c:invertIfNegative val="0"/>
          <c:cat>
            <c:strRef>
              <c:f>Figures!$B$34:$C$34</c:f>
              <c:strCache>
                <c:ptCount val="2"/>
                <c:pt idx="0">
                  <c:v>Capital Costs</c:v>
                </c:pt>
                <c:pt idx="1">
                  <c:v>Operational Costs</c:v>
                </c:pt>
              </c:strCache>
            </c:strRef>
          </c:cat>
          <c:val>
            <c:numRef>
              <c:f>Figures!$B$409:$C$409</c:f>
              <c:numCache>
                <c:formatCode>_("$"* #,##0.00_);_("$"* \(#,##0.00\);_("$"* "-"??_);_(@_)</c:formatCode>
                <c:ptCount val="2"/>
                <c:pt idx="1">
                  <c:v>57.256095579941878</c:v>
                </c:pt>
              </c:numCache>
            </c:numRef>
          </c:val>
          <c:extLst>
            <c:ext xmlns:c16="http://schemas.microsoft.com/office/drawing/2014/chart" uri="{C3380CC4-5D6E-409C-BE32-E72D297353CC}">
              <c16:uniqueId val="{00000029-229A-4AAB-B6A9-690556B9B17F}"/>
            </c:ext>
          </c:extLst>
        </c:ser>
        <c:ser>
          <c:idx val="42"/>
          <c:order val="42"/>
          <c:tx>
            <c:strRef>
              <c:f>Figures!$A$410</c:f>
              <c:strCache>
                <c:ptCount val="1"/>
                <c:pt idx="0">
                  <c:v>Wastewater Treatment</c:v>
                </c:pt>
              </c:strCache>
            </c:strRef>
          </c:tx>
          <c:spPr>
            <a:solidFill>
              <a:schemeClr val="accent1">
                <a:lumMod val="70000"/>
              </a:schemeClr>
            </a:solidFill>
            <a:ln>
              <a:noFill/>
            </a:ln>
            <a:effectLst/>
          </c:spPr>
          <c:invertIfNegative val="0"/>
          <c:cat>
            <c:strRef>
              <c:f>Figures!$B$34:$C$34</c:f>
              <c:strCache>
                <c:ptCount val="2"/>
                <c:pt idx="0">
                  <c:v>Capital Costs</c:v>
                </c:pt>
                <c:pt idx="1">
                  <c:v>Operational Costs</c:v>
                </c:pt>
              </c:strCache>
            </c:strRef>
          </c:cat>
          <c:val>
            <c:numRef>
              <c:f>Figures!$B$410:$C$410</c:f>
              <c:numCache>
                <c:formatCode>_("$"* #,##0.00_);_("$"* \(#,##0.00\);_("$"* "-"??_);_(@_)</c:formatCode>
                <c:ptCount val="2"/>
                <c:pt idx="1">
                  <c:v>71347.627398839584</c:v>
                </c:pt>
              </c:numCache>
            </c:numRef>
          </c:val>
          <c:extLst>
            <c:ext xmlns:c16="http://schemas.microsoft.com/office/drawing/2014/chart" uri="{C3380CC4-5D6E-409C-BE32-E72D297353CC}">
              <c16:uniqueId val="{0000002A-229A-4AAB-B6A9-690556B9B17F}"/>
            </c:ext>
          </c:extLst>
        </c:ser>
        <c:ser>
          <c:idx val="43"/>
          <c:order val="43"/>
          <c:tx>
            <c:strRef>
              <c:f>Figures!$A$411</c:f>
              <c:strCache>
                <c:ptCount val="1"/>
                <c:pt idx="0">
                  <c:v>Nonyl Acetate</c:v>
                </c:pt>
              </c:strCache>
            </c:strRef>
          </c:tx>
          <c:spPr>
            <a:solidFill>
              <a:schemeClr val="accent2">
                <a:lumMod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Figures!$B$411:$C$411</c:f>
              <c:numCache>
                <c:formatCode>_("$"* #,##0.00_);_("$"* \(#,##0.00\);_("$"* "-"??_);_(@_)</c:formatCode>
                <c:ptCount val="2"/>
                <c:pt idx="1">
                  <c:v>170311.74340436867</c:v>
                </c:pt>
              </c:numCache>
            </c:numRef>
          </c:val>
          <c:extLst>
            <c:ext xmlns:c16="http://schemas.microsoft.com/office/drawing/2014/chart" uri="{C3380CC4-5D6E-409C-BE32-E72D297353CC}">
              <c16:uniqueId val="{0000002B-229A-4AAB-B6A9-690556B9B17F}"/>
            </c:ext>
          </c:extLst>
        </c:ser>
        <c:ser>
          <c:idx val="44"/>
          <c:order val="44"/>
          <c:tx>
            <c:strRef>
              <c:f>Figures!$A$412</c:f>
              <c:strCache>
                <c:ptCount val="1"/>
                <c:pt idx="0">
                  <c:v>Heat - Distillation</c:v>
                </c:pt>
              </c:strCache>
            </c:strRef>
          </c:tx>
          <c:spPr>
            <a:solidFill>
              <a:schemeClr val="accent3">
                <a:lumMod val="70000"/>
              </a:schemeClr>
            </a:solidFill>
            <a:ln>
              <a:noFill/>
            </a:ln>
            <a:effectLst/>
          </c:spPr>
          <c:invertIfNegative val="0"/>
          <c:cat>
            <c:strRef>
              <c:f>Figures!$B$34:$C$34</c:f>
              <c:strCache>
                <c:ptCount val="2"/>
                <c:pt idx="0">
                  <c:v>Capital Costs</c:v>
                </c:pt>
                <c:pt idx="1">
                  <c:v>Operational Costs</c:v>
                </c:pt>
              </c:strCache>
            </c:strRef>
          </c:cat>
          <c:val>
            <c:numRef>
              <c:f>Figures!$B$412:$C$412</c:f>
              <c:numCache>
                <c:formatCode>_("$"* #,##0.00_);_("$"* \(#,##0.00\);_("$"* "-"??_);_(@_)</c:formatCode>
                <c:ptCount val="2"/>
                <c:pt idx="1">
                  <c:v>60.357021609581118</c:v>
                </c:pt>
              </c:numCache>
            </c:numRef>
          </c:val>
          <c:extLst>
            <c:ext xmlns:c16="http://schemas.microsoft.com/office/drawing/2014/chart" uri="{C3380CC4-5D6E-409C-BE32-E72D297353CC}">
              <c16:uniqueId val="{0000002C-229A-4AAB-B6A9-690556B9B17F}"/>
            </c:ext>
          </c:extLst>
        </c:ser>
        <c:ser>
          <c:idx val="45"/>
          <c:order val="45"/>
          <c:tx>
            <c:strRef>
              <c:f>Figures!$A$413</c:f>
              <c:strCache>
                <c:ptCount val="1"/>
                <c:pt idx="0">
                  <c:v>Power - Feed Pump</c:v>
                </c:pt>
              </c:strCache>
            </c:strRef>
          </c:tx>
          <c:spPr>
            <a:solidFill>
              <a:schemeClr val="accent4">
                <a:lumMod val="70000"/>
              </a:schemeClr>
            </a:solidFill>
            <a:ln>
              <a:noFill/>
            </a:ln>
            <a:effectLst/>
          </c:spPr>
          <c:invertIfNegative val="0"/>
          <c:cat>
            <c:strRef>
              <c:f>Figures!$B$34:$C$34</c:f>
              <c:strCache>
                <c:ptCount val="2"/>
                <c:pt idx="0">
                  <c:v>Capital Costs</c:v>
                </c:pt>
                <c:pt idx="1">
                  <c:v>Operational Costs</c:v>
                </c:pt>
              </c:strCache>
            </c:strRef>
          </c:cat>
          <c:val>
            <c:numRef>
              <c:f>Figures!$B$413:$C$413</c:f>
              <c:numCache>
                <c:formatCode>_("$"* #,##0.00_);_("$"* \(#,##0.00\);_("$"* "-"??_);_(@_)</c:formatCode>
                <c:ptCount val="2"/>
                <c:pt idx="1">
                  <c:v>166.06815456020774</c:v>
                </c:pt>
              </c:numCache>
            </c:numRef>
          </c:val>
          <c:extLst>
            <c:ext xmlns:c16="http://schemas.microsoft.com/office/drawing/2014/chart" uri="{C3380CC4-5D6E-409C-BE32-E72D297353CC}">
              <c16:uniqueId val="{0000002D-229A-4AAB-B6A9-690556B9B17F}"/>
            </c:ext>
          </c:extLst>
        </c:ser>
        <c:ser>
          <c:idx val="46"/>
          <c:order val="46"/>
          <c:tx>
            <c:strRef>
              <c:f>Figures!$A$414</c:f>
              <c:strCache>
                <c:ptCount val="1"/>
                <c:pt idx="0">
                  <c:v>Power - Recovery Pump</c:v>
                </c:pt>
              </c:strCache>
            </c:strRef>
          </c:tx>
          <c:spPr>
            <a:solidFill>
              <a:schemeClr val="accent5">
                <a:lumMod val="70000"/>
              </a:schemeClr>
            </a:solidFill>
            <a:ln>
              <a:noFill/>
            </a:ln>
            <a:effectLst/>
          </c:spPr>
          <c:invertIfNegative val="0"/>
          <c:cat>
            <c:strRef>
              <c:f>Figures!$B$34:$C$34</c:f>
              <c:strCache>
                <c:ptCount val="2"/>
                <c:pt idx="0">
                  <c:v>Capital Costs</c:v>
                </c:pt>
                <c:pt idx="1">
                  <c:v>Operational Costs</c:v>
                </c:pt>
              </c:strCache>
            </c:strRef>
          </c:cat>
          <c:val>
            <c:numRef>
              <c:f>Figures!$B$414:$C$414</c:f>
              <c:numCache>
                <c:formatCode>_("$"* #,##0.00_);_("$"* \(#,##0.00\);_("$"* "-"??_);_(@_)</c:formatCode>
                <c:ptCount val="2"/>
                <c:pt idx="1">
                  <c:v>28.628047789970939</c:v>
                </c:pt>
              </c:numCache>
            </c:numRef>
          </c:val>
          <c:extLst>
            <c:ext xmlns:c16="http://schemas.microsoft.com/office/drawing/2014/chart" uri="{C3380CC4-5D6E-409C-BE32-E72D297353CC}">
              <c16:uniqueId val="{0000002E-229A-4AAB-B6A9-690556B9B17F}"/>
            </c:ext>
          </c:extLst>
        </c:ser>
        <c:ser>
          <c:idx val="47"/>
          <c:order val="47"/>
          <c:tx>
            <c:strRef>
              <c:f>Figures!$A$415</c:f>
              <c:strCache>
                <c:ptCount val="1"/>
                <c:pt idx="0">
                  <c:v>Power - Distillation Pump</c:v>
                </c:pt>
              </c:strCache>
            </c:strRef>
          </c:tx>
          <c:spPr>
            <a:solidFill>
              <a:schemeClr val="accent6">
                <a:lumMod val="70000"/>
              </a:schemeClr>
            </a:solidFill>
            <a:ln>
              <a:noFill/>
            </a:ln>
            <a:effectLst/>
          </c:spPr>
          <c:invertIfNegative val="0"/>
          <c:cat>
            <c:strRef>
              <c:f>Figures!$B$34:$C$34</c:f>
              <c:strCache>
                <c:ptCount val="2"/>
                <c:pt idx="0">
                  <c:v>Capital Costs</c:v>
                </c:pt>
                <c:pt idx="1">
                  <c:v>Operational Costs</c:v>
                </c:pt>
              </c:strCache>
            </c:strRef>
          </c:cat>
          <c:val>
            <c:numRef>
              <c:f>Figures!$B$415:$C$415</c:f>
              <c:numCache>
                <c:formatCode>_("$"* #,##0.00_);_("$"* \(#,##0.00\);_("$"* "-"??_);_(@_)</c:formatCode>
                <c:ptCount val="2"/>
                <c:pt idx="1">
                  <c:v>14.777604211418893</c:v>
                </c:pt>
              </c:numCache>
            </c:numRef>
          </c:val>
          <c:extLst>
            <c:ext xmlns:c16="http://schemas.microsoft.com/office/drawing/2014/chart" uri="{C3380CC4-5D6E-409C-BE32-E72D297353CC}">
              <c16:uniqueId val="{0000002F-229A-4AAB-B6A9-690556B9B17F}"/>
            </c:ext>
          </c:extLst>
        </c:ser>
        <c:ser>
          <c:idx val="48"/>
          <c:order val="48"/>
          <c:tx>
            <c:strRef>
              <c:f>Figures!$A$416</c:f>
              <c:strCache>
                <c:ptCount val="1"/>
                <c:pt idx="0">
                  <c:v>Wastewater Treatment</c:v>
                </c:pt>
              </c:strCache>
            </c:strRef>
          </c:tx>
          <c:spPr>
            <a:solidFill>
              <a:schemeClr val="accent1">
                <a:lumMod val="50000"/>
                <a:lumOff val="50000"/>
              </a:schemeClr>
            </a:solidFill>
            <a:ln>
              <a:noFill/>
            </a:ln>
            <a:effectLst/>
          </c:spPr>
          <c:invertIfNegative val="0"/>
          <c:cat>
            <c:strRef>
              <c:f>Figures!$B$34:$C$34</c:f>
              <c:strCache>
                <c:ptCount val="2"/>
                <c:pt idx="0">
                  <c:v>Capital Costs</c:v>
                </c:pt>
                <c:pt idx="1">
                  <c:v>Operational Costs</c:v>
                </c:pt>
              </c:strCache>
            </c:strRef>
          </c:cat>
          <c:val>
            <c:numRef>
              <c:f>Figures!$B$416:$C$416</c:f>
              <c:numCache>
                <c:formatCode>_("$"* #,##0.00_);_("$"* \(#,##0.00\);_("$"* "-"??_);_(@_)</c:formatCode>
                <c:ptCount val="2"/>
                <c:pt idx="1">
                  <c:v>35673.813699419792</c:v>
                </c:pt>
              </c:numCache>
            </c:numRef>
          </c:val>
          <c:extLst>
            <c:ext xmlns:c16="http://schemas.microsoft.com/office/drawing/2014/chart" uri="{C3380CC4-5D6E-409C-BE32-E72D297353CC}">
              <c16:uniqueId val="{00000030-229A-4AAB-B6A9-690556B9B17F}"/>
            </c:ext>
          </c:extLst>
        </c:ser>
        <c:ser>
          <c:idx val="49"/>
          <c:order val="49"/>
          <c:tx>
            <c:strRef>
              <c:f>Figures!$A$417</c:f>
              <c:strCache>
                <c:ptCount val="1"/>
                <c:pt idx="0">
                  <c:v>Labor</c:v>
                </c:pt>
              </c:strCache>
            </c:strRef>
          </c:tx>
          <c:spPr>
            <a:solidFill>
              <a:schemeClr val="accent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Figures!$B$417:$C$417</c:f>
              <c:numCache>
                <c:formatCode>_("$"* #,##0.00_);_("$"* \(#,##0.00\);_("$"* "-"??_);_(@_)</c:formatCode>
                <c:ptCount val="2"/>
                <c:pt idx="1">
                  <c:v>2280000</c:v>
                </c:pt>
              </c:numCache>
            </c:numRef>
          </c:val>
          <c:extLst>
            <c:ext xmlns:c16="http://schemas.microsoft.com/office/drawing/2014/chart" uri="{C3380CC4-5D6E-409C-BE32-E72D297353CC}">
              <c16:uniqueId val="{00000031-229A-4AAB-B6A9-690556B9B17F}"/>
            </c:ext>
          </c:extLst>
        </c:ser>
        <c:dLbls>
          <c:showLegendKey val="0"/>
          <c:showVal val="0"/>
          <c:showCatName val="0"/>
          <c:showSerName val="0"/>
          <c:showPercent val="0"/>
          <c:showBubbleSize val="0"/>
        </c:dLbls>
        <c:gapWidth val="50"/>
        <c:overlap val="100"/>
        <c:axId val="1295501792"/>
        <c:axId val="1295485472"/>
      </c:barChart>
      <c:catAx>
        <c:axId val="129543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Arial Nova Cond" panose="020B0506020202020204" pitchFamily="34" charset="0"/>
                <a:ea typeface="+mn-ea"/>
                <a:cs typeface="+mn-cs"/>
              </a:defRPr>
            </a:pPr>
            <a:endParaRPr lang="en-US"/>
          </a:p>
        </c:txPr>
        <c:crossAx val="1295428352"/>
        <c:crosses val="autoZero"/>
        <c:auto val="1"/>
        <c:lblAlgn val="ctr"/>
        <c:lblOffset val="100"/>
        <c:noMultiLvlLbl val="0"/>
      </c:catAx>
      <c:valAx>
        <c:axId val="1295428352"/>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r>
                  <a:rPr lang="en-US" sz="1600" b="1" i="0" u="none" strike="noStrike" kern="1200" baseline="0">
                    <a:solidFill>
                      <a:sysClr val="windowText" lastClr="000000"/>
                    </a:solidFill>
                    <a:latin typeface="Arial Nova Cond" panose="020B0506020202020204" pitchFamily="34" charset="0"/>
                  </a:rPr>
                  <a:t>CAPEX </a:t>
                </a:r>
                <a:r>
                  <a:rPr lang="en-US" sz="1600" b="0" i="0" u="none" strike="noStrike" kern="1200" baseline="0">
                    <a:solidFill>
                      <a:sysClr val="windowText" lastClr="000000"/>
                    </a:solidFill>
                    <a:latin typeface="Arial Nova Cond" panose="020B0506020202020204" pitchFamily="34" charset="0"/>
                  </a:rPr>
                  <a:t>[1E6 USD (2026)]</a:t>
                </a:r>
              </a:p>
            </c:rich>
          </c:tx>
          <c:layout>
            <c:manualLayout>
              <c:xMode val="edge"/>
              <c:yMode val="edge"/>
              <c:x val="1.8582597041706086E-2"/>
              <c:y val="0.15003483514748261"/>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Nova Cond" panose="020B0506020202020204" pitchFamily="34" charset="0"/>
                <a:ea typeface="+mn-ea"/>
                <a:cs typeface="+mn-cs"/>
              </a:defRPr>
            </a:pPr>
            <a:endParaRPr lang="en-US"/>
          </a:p>
        </c:txPr>
        <c:crossAx val="1295435552"/>
        <c:crosses val="autoZero"/>
        <c:crossBetween val="between"/>
        <c:dispUnits>
          <c:builtInUnit val="millions"/>
        </c:dispUnits>
      </c:valAx>
      <c:valAx>
        <c:axId val="1295485472"/>
        <c:scaling>
          <c:orientation val="minMax"/>
        </c:scaling>
        <c:delete val="0"/>
        <c:axPos val="r"/>
        <c:title>
          <c:tx>
            <c:rich>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r>
                  <a:rPr lang="en-US" sz="1600" b="1" i="0" u="none" strike="noStrike" kern="1200" baseline="0">
                    <a:solidFill>
                      <a:sysClr val="windowText" lastClr="000000"/>
                    </a:solidFill>
                    <a:latin typeface="Arial Nova Cond" panose="020B0506020202020204" pitchFamily="34" charset="0"/>
                  </a:rPr>
                  <a:t>OPEX </a:t>
                </a:r>
                <a:r>
                  <a:rPr lang="en-US" sz="1600" b="0" i="0" u="none" strike="noStrike" kern="1200" baseline="0">
                    <a:solidFill>
                      <a:sysClr val="windowText" lastClr="000000"/>
                    </a:solidFill>
                    <a:latin typeface="Arial Nova Cond" panose="020B0506020202020204" pitchFamily="34" charset="0"/>
                  </a:rPr>
                  <a:t>[1E6 USD (2026) / yr]</a:t>
                </a:r>
              </a:p>
            </c:rich>
          </c:tx>
          <c:layout>
            <c:manualLayout>
              <c:xMode val="edge"/>
              <c:yMode val="edge"/>
              <c:x val="0.94041774917392418"/>
              <c:y val="0.11579464131402901"/>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_);_(&quot;$&quot;* \(#,##0\);_(&quot;$&quot;* &quot;-&quot;_);_(@_)" sourceLinked="0"/>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Nova Cond" panose="020B0506020202020204" pitchFamily="34" charset="0"/>
                <a:ea typeface="+mn-ea"/>
                <a:cs typeface="+mn-cs"/>
              </a:defRPr>
            </a:pPr>
            <a:endParaRPr lang="en-US"/>
          </a:p>
        </c:txPr>
        <c:crossAx val="1295501792"/>
        <c:crosses val="max"/>
        <c:crossBetween val="between"/>
        <c:dispUnits>
          <c:builtInUnit val="millions"/>
        </c:dispUnits>
      </c:valAx>
      <c:catAx>
        <c:axId val="1295501792"/>
        <c:scaling>
          <c:orientation val="minMax"/>
        </c:scaling>
        <c:delete val="1"/>
        <c:axPos val="b"/>
        <c:numFmt formatCode="General" sourceLinked="1"/>
        <c:majorTickMark val="out"/>
        <c:minorTickMark val="none"/>
        <c:tickLblPos val="nextTo"/>
        <c:crossAx val="1295485472"/>
        <c:crosses val="autoZero"/>
        <c:auto val="1"/>
        <c:lblAlgn val="ctr"/>
        <c:lblOffset val="100"/>
        <c:noMultiLvlLbl val="0"/>
      </c:catAx>
      <c:spPr>
        <a:noFill/>
        <a:ln w="19050">
          <a:solidFill>
            <a:schemeClr val="tx1"/>
          </a:solidFill>
        </a:ln>
        <a:effectLst/>
      </c:spPr>
    </c:plotArea>
    <c:legend>
      <c:legendPos val="b"/>
      <c:layout>
        <c:manualLayout>
          <c:xMode val="edge"/>
          <c:yMode val="edge"/>
          <c:x val="0"/>
          <c:y val="0.68743733921641847"/>
          <c:w val="1"/>
          <c:h val="0.3106151252925551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22225" cap="flat" cmpd="sng" algn="ctr">
      <a:noFill/>
      <a:round/>
    </a:ln>
    <a:effectLst/>
  </c:spPr>
  <c:txPr>
    <a:bodyPr/>
    <a:lstStyle/>
    <a:p>
      <a:pPr>
        <a:defRPr>
          <a:solidFill>
            <a:schemeClr val="tx1"/>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r>
              <a:rPr lang="en-US" sz="2000" b="1" cap="all" baseline="0"/>
              <a:t>Esterification and Purification Costs</a:t>
            </a:r>
          </a:p>
        </c:rich>
      </c:tx>
      <c:layout>
        <c:manualLayout>
          <c:xMode val="edge"/>
          <c:yMode val="edge"/>
          <c:x val="2.0883499929872002E-2"/>
          <c:y val="2.187784216473557E-2"/>
        </c:manualLayout>
      </c:layout>
      <c:overlay val="0"/>
      <c:spPr>
        <a:noFill/>
        <a:ln>
          <a:noFill/>
        </a:ln>
        <a:effectLst/>
      </c:spPr>
      <c:txPr>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4488844124459424"/>
          <c:y val="0.13465920093321668"/>
          <c:w val="0.73773485490490265"/>
          <c:h val="0.53404901869716959"/>
        </c:manualLayout>
      </c:layout>
      <c:barChart>
        <c:barDir val="col"/>
        <c:grouping val="stacked"/>
        <c:varyColors val="0"/>
        <c:ser>
          <c:idx val="1"/>
          <c:order val="0"/>
          <c:tx>
            <c:strRef>
              <c:f>Figures!$A$424</c:f>
              <c:strCache>
                <c:ptCount val="1"/>
                <c:pt idx="0">
                  <c:v>Feed Storage Tank</c:v>
                </c:pt>
              </c:strCache>
            </c:strRef>
          </c:tx>
          <c:spPr>
            <a:solidFill>
              <a:schemeClr val="accent2"/>
            </a:solidFill>
            <a:ln>
              <a:noFill/>
            </a:ln>
            <a:effectLst/>
          </c:spPr>
          <c:invertIfNegative val="0"/>
          <c:cat>
            <c:strRef>
              <c:f>Figures!$B$34:$C$34</c:f>
              <c:strCache>
                <c:ptCount val="2"/>
                <c:pt idx="0">
                  <c:v>Capital Costs</c:v>
                </c:pt>
                <c:pt idx="1">
                  <c:v>Operational Costs</c:v>
                </c:pt>
              </c:strCache>
            </c:strRef>
          </c:cat>
          <c:val>
            <c:numRef>
              <c:f>Figures!$B$424:$C$424</c:f>
              <c:numCache>
                <c:formatCode>General</c:formatCode>
                <c:ptCount val="2"/>
                <c:pt idx="0" formatCode="_(&quot;$&quot;* #,##0.00_);_(&quot;$&quot;* \(#,##0.00\);_(&quot;$&quot;* &quot;-&quot;??_);_(@_)">
                  <c:v>79628.587426385187</c:v>
                </c:pt>
              </c:numCache>
            </c:numRef>
          </c:val>
          <c:extLst>
            <c:ext xmlns:c16="http://schemas.microsoft.com/office/drawing/2014/chart" uri="{C3380CC4-5D6E-409C-BE32-E72D297353CC}">
              <c16:uniqueId val="{00000000-1E86-436E-B912-F497F0CF7892}"/>
            </c:ext>
          </c:extLst>
        </c:ser>
        <c:ser>
          <c:idx val="2"/>
          <c:order val="1"/>
          <c:tx>
            <c:strRef>
              <c:f>Figures!$A$425</c:f>
              <c:strCache>
                <c:ptCount val="1"/>
                <c:pt idx="0">
                  <c:v>Feed Pump</c:v>
                </c:pt>
              </c:strCache>
            </c:strRef>
          </c:tx>
          <c:spPr>
            <a:solidFill>
              <a:schemeClr val="accent3"/>
            </a:solidFill>
            <a:ln>
              <a:noFill/>
            </a:ln>
            <a:effectLst/>
          </c:spPr>
          <c:invertIfNegative val="0"/>
          <c:cat>
            <c:strRef>
              <c:f>Figures!$B$34:$C$34</c:f>
              <c:strCache>
                <c:ptCount val="2"/>
                <c:pt idx="0">
                  <c:v>Capital Costs</c:v>
                </c:pt>
                <c:pt idx="1">
                  <c:v>Operational Costs</c:v>
                </c:pt>
              </c:strCache>
            </c:strRef>
          </c:cat>
          <c:val>
            <c:numRef>
              <c:f>Figures!$B$425:$C$425</c:f>
              <c:numCache>
                <c:formatCode>General</c:formatCode>
                <c:ptCount val="2"/>
                <c:pt idx="0" formatCode="_(&quot;$&quot;* #,##0.00_);_(&quot;$&quot;* \(#,##0.00\);_(&quot;$&quot;* &quot;-&quot;??_);_(@_)">
                  <c:v>60477.548283387863</c:v>
                </c:pt>
              </c:numCache>
            </c:numRef>
          </c:val>
          <c:extLst>
            <c:ext xmlns:c16="http://schemas.microsoft.com/office/drawing/2014/chart" uri="{C3380CC4-5D6E-409C-BE32-E72D297353CC}">
              <c16:uniqueId val="{00000001-1E86-436E-B912-F497F0CF7892}"/>
            </c:ext>
          </c:extLst>
        </c:ser>
        <c:ser>
          <c:idx val="3"/>
          <c:order val="2"/>
          <c:tx>
            <c:strRef>
              <c:f>Figures!$A$426</c:f>
              <c:strCache>
                <c:ptCount val="1"/>
                <c:pt idx="0">
                  <c:v>Sulfuric Acid Tank</c:v>
                </c:pt>
              </c:strCache>
            </c:strRef>
          </c:tx>
          <c:spPr>
            <a:solidFill>
              <a:schemeClr val="accent4"/>
            </a:solidFill>
            <a:ln>
              <a:noFill/>
            </a:ln>
            <a:effectLst/>
          </c:spPr>
          <c:invertIfNegative val="0"/>
          <c:cat>
            <c:strRef>
              <c:f>Figures!$B$34:$C$34</c:f>
              <c:strCache>
                <c:ptCount val="2"/>
                <c:pt idx="0">
                  <c:v>Capital Costs</c:v>
                </c:pt>
                <c:pt idx="1">
                  <c:v>Operational Costs</c:v>
                </c:pt>
              </c:strCache>
            </c:strRef>
          </c:cat>
          <c:val>
            <c:numRef>
              <c:f>Figures!$B$426:$C$426</c:f>
              <c:numCache>
                <c:formatCode>General</c:formatCode>
                <c:ptCount val="2"/>
                <c:pt idx="0" formatCode="_(&quot;$&quot;* #,##0.00_);_(&quot;$&quot;* \(#,##0.00\);_(&quot;$&quot;* &quot;-&quot;??_);_(@_)">
                  <c:v>233732.09503278485</c:v>
                </c:pt>
              </c:numCache>
            </c:numRef>
          </c:val>
          <c:extLst>
            <c:ext xmlns:c16="http://schemas.microsoft.com/office/drawing/2014/chart" uri="{C3380CC4-5D6E-409C-BE32-E72D297353CC}">
              <c16:uniqueId val="{00000002-1E86-436E-B912-F497F0CF7892}"/>
            </c:ext>
          </c:extLst>
        </c:ser>
        <c:ser>
          <c:idx val="4"/>
          <c:order val="3"/>
          <c:tx>
            <c:strRef>
              <c:f>Figures!$A$427</c:f>
              <c:strCache>
                <c:ptCount val="1"/>
                <c:pt idx="0">
                  <c:v>Sulfuric Acid Pump</c:v>
                </c:pt>
              </c:strCache>
            </c:strRef>
          </c:tx>
          <c:spPr>
            <a:solidFill>
              <a:schemeClr val="accent5"/>
            </a:solidFill>
            <a:ln>
              <a:noFill/>
            </a:ln>
            <a:effectLst/>
          </c:spPr>
          <c:invertIfNegative val="0"/>
          <c:cat>
            <c:strRef>
              <c:f>Figures!$B$34:$C$34</c:f>
              <c:strCache>
                <c:ptCount val="2"/>
                <c:pt idx="0">
                  <c:v>Capital Costs</c:v>
                </c:pt>
                <c:pt idx="1">
                  <c:v>Operational Costs</c:v>
                </c:pt>
              </c:strCache>
            </c:strRef>
          </c:cat>
          <c:val>
            <c:numRef>
              <c:f>Figures!$B$427:$C$427</c:f>
              <c:numCache>
                <c:formatCode>General</c:formatCode>
                <c:ptCount val="2"/>
                <c:pt idx="0" formatCode="_(&quot;$&quot;* #,##0.00_);_(&quot;$&quot;* \(#,##0.00\);_(&quot;$&quot;* &quot;-&quot;??_);_(@_)">
                  <c:v>6071138.5337613588</c:v>
                </c:pt>
              </c:numCache>
            </c:numRef>
          </c:val>
          <c:extLst>
            <c:ext xmlns:c16="http://schemas.microsoft.com/office/drawing/2014/chart" uri="{C3380CC4-5D6E-409C-BE32-E72D297353CC}">
              <c16:uniqueId val="{00000003-1E86-436E-B912-F497F0CF7892}"/>
            </c:ext>
          </c:extLst>
        </c:ser>
        <c:ser>
          <c:idx val="5"/>
          <c:order val="4"/>
          <c:tx>
            <c:strRef>
              <c:f>Figures!$A$428</c:f>
              <c:strCache>
                <c:ptCount val="1"/>
                <c:pt idx="0">
                  <c:v>Reactor</c:v>
                </c:pt>
              </c:strCache>
            </c:strRef>
          </c:tx>
          <c:spPr>
            <a:solidFill>
              <a:schemeClr val="accent6"/>
            </a:solidFill>
            <a:ln>
              <a:noFill/>
            </a:ln>
            <a:effectLst/>
          </c:spPr>
          <c:invertIfNegative val="0"/>
          <c:cat>
            <c:strRef>
              <c:f>Figures!$B$34:$C$34</c:f>
              <c:strCache>
                <c:ptCount val="2"/>
                <c:pt idx="0">
                  <c:v>Capital Costs</c:v>
                </c:pt>
                <c:pt idx="1">
                  <c:v>Operational Costs</c:v>
                </c:pt>
              </c:strCache>
            </c:strRef>
          </c:cat>
          <c:val>
            <c:numRef>
              <c:f>Figures!$B$428:$C$428</c:f>
              <c:numCache>
                <c:formatCode>General</c:formatCode>
                <c:ptCount val="2"/>
                <c:pt idx="0" formatCode="_(&quot;$&quot;* #,##0.00_);_(&quot;$&quot;* \(#,##0.00\);_(&quot;$&quot;* &quot;-&quot;??_);_(@_)">
                  <c:v>16167488.237170383</c:v>
                </c:pt>
              </c:numCache>
            </c:numRef>
          </c:val>
          <c:extLst>
            <c:ext xmlns:c16="http://schemas.microsoft.com/office/drawing/2014/chart" uri="{C3380CC4-5D6E-409C-BE32-E72D297353CC}">
              <c16:uniqueId val="{00000004-1E86-436E-B912-F497F0CF7892}"/>
            </c:ext>
          </c:extLst>
        </c:ser>
        <c:ser>
          <c:idx val="6"/>
          <c:order val="5"/>
          <c:tx>
            <c:strRef>
              <c:f>Figures!$A$429</c:f>
              <c:strCache>
                <c:ptCount val="1"/>
                <c:pt idx="0">
                  <c:v>Heat Exchanger</c:v>
                </c:pt>
              </c:strCache>
            </c:strRef>
          </c:tx>
          <c:spPr>
            <a:solidFill>
              <a:schemeClr val="accent1">
                <a:lumMod val="60000"/>
              </a:schemeClr>
            </a:solidFill>
            <a:ln>
              <a:noFill/>
            </a:ln>
            <a:effectLst/>
          </c:spPr>
          <c:invertIfNegative val="0"/>
          <c:cat>
            <c:strRef>
              <c:f>Figures!$B$34:$C$34</c:f>
              <c:strCache>
                <c:ptCount val="2"/>
                <c:pt idx="0">
                  <c:v>Capital Costs</c:v>
                </c:pt>
                <c:pt idx="1">
                  <c:v>Operational Costs</c:v>
                </c:pt>
              </c:strCache>
            </c:strRef>
          </c:cat>
          <c:val>
            <c:numRef>
              <c:f>Figures!$B$429:$C$429</c:f>
              <c:numCache>
                <c:formatCode>General</c:formatCode>
                <c:ptCount val="2"/>
                <c:pt idx="0" formatCode="_(&quot;$&quot;* #,##0.00_);_(&quot;$&quot;* \(#,##0.00\);_(&quot;$&quot;* &quot;-&quot;??_);_(@_)">
                  <c:v>0</c:v>
                </c:pt>
              </c:numCache>
            </c:numRef>
          </c:val>
          <c:extLst>
            <c:ext xmlns:c16="http://schemas.microsoft.com/office/drawing/2014/chart" uri="{C3380CC4-5D6E-409C-BE32-E72D297353CC}">
              <c16:uniqueId val="{00000005-1E86-436E-B912-F497F0CF7892}"/>
            </c:ext>
          </c:extLst>
        </c:ser>
        <c:ser>
          <c:idx val="7"/>
          <c:order val="6"/>
          <c:tx>
            <c:strRef>
              <c:f>Figures!$A$430</c:f>
              <c:strCache>
                <c:ptCount val="1"/>
                <c:pt idx="0">
                  <c:v>Knockout Drum</c:v>
                </c:pt>
              </c:strCache>
            </c:strRef>
          </c:tx>
          <c:spPr>
            <a:solidFill>
              <a:schemeClr val="accent2">
                <a:lumMod val="60000"/>
              </a:schemeClr>
            </a:solidFill>
            <a:ln>
              <a:noFill/>
            </a:ln>
            <a:effectLst/>
          </c:spPr>
          <c:invertIfNegative val="0"/>
          <c:cat>
            <c:strRef>
              <c:f>Figures!$B$34:$C$34</c:f>
              <c:strCache>
                <c:ptCount val="2"/>
                <c:pt idx="0">
                  <c:v>Capital Costs</c:v>
                </c:pt>
                <c:pt idx="1">
                  <c:v>Operational Costs</c:v>
                </c:pt>
              </c:strCache>
            </c:strRef>
          </c:cat>
          <c:val>
            <c:numRef>
              <c:f>Figures!$B$430:$C$430</c:f>
              <c:numCache>
                <c:formatCode>General</c:formatCode>
                <c:ptCount val="2"/>
                <c:pt idx="0" formatCode="_(&quot;$&quot;* #,##0.00_);_(&quot;$&quot;* \(#,##0.00\);_(&quot;$&quot;* &quot;-&quot;??_);_(@_)">
                  <c:v>1827.6662969296542</c:v>
                </c:pt>
              </c:numCache>
            </c:numRef>
          </c:val>
          <c:extLst>
            <c:ext xmlns:c16="http://schemas.microsoft.com/office/drawing/2014/chart" uri="{C3380CC4-5D6E-409C-BE32-E72D297353CC}">
              <c16:uniqueId val="{00000006-1E86-436E-B912-F497F0CF7892}"/>
            </c:ext>
          </c:extLst>
        </c:ser>
        <c:ser>
          <c:idx val="8"/>
          <c:order val="7"/>
          <c:tx>
            <c:strRef>
              <c:f>Figures!$A$431</c:f>
              <c:strCache>
                <c:ptCount val="1"/>
                <c:pt idx="0">
                  <c:v>Catalyst Regeneration Air Blower</c:v>
                </c:pt>
              </c:strCache>
            </c:strRef>
          </c:tx>
          <c:spPr>
            <a:solidFill>
              <a:schemeClr val="accent3">
                <a:lumMod val="60000"/>
              </a:schemeClr>
            </a:solidFill>
            <a:ln>
              <a:noFill/>
            </a:ln>
            <a:effectLst/>
          </c:spPr>
          <c:invertIfNegative val="0"/>
          <c:cat>
            <c:strRef>
              <c:f>Figures!$B$34:$C$34</c:f>
              <c:strCache>
                <c:ptCount val="2"/>
                <c:pt idx="0">
                  <c:v>Capital Costs</c:v>
                </c:pt>
                <c:pt idx="1">
                  <c:v>Operational Costs</c:v>
                </c:pt>
              </c:strCache>
            </c:strRef>
          </c:cat>
          <c:val>
            <c:numRef>
              <c:f>Figures!$B$431:$C$431</c:f>
              <c:numCache>
                <c:formatCode>General</c:formatCode>
                <c:ptCount val="2"/>
                <c:pt idx="0" formatCode="_(&quot;$&quot;* #,##0.00_);_(&quot;$&quot;* \(#,##0.00\);_(&quot;$&quot;* &quot;-&quot;??_);_(@_)">
                  <c:v>948622.83801964088</c:v>
                </c:pt>
              </c:numCache>
            </c:numRef>
          </c:val>
          <c:extLst>
            <c:ext xmlns:c16="http://schemas.microsoft.com/office/drawing/2014/chart" uri="{C3380CC4-5D6E-409C-BE32-E72D297353CC}">
              <c16:uniqueId val="{00000007-1E86-436E-B912-F497F0CF7892}"/>
            </c:ext>
          </c:extLst>
        </c:ser>
        <c:ser>
          <c:idx val="9"/>
          <c:order val="8"/>
          <c:tx>
            <c:strRef>
              <c:f>Figures!$A$432</c:f>
              <c:strCache>
                <c:ptCount val="1"/>
                <c:pt idx="0">
                  <c:v>Distillation Column</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Figures!$B$432:$C$432</c:f>
              <c:numCache>
                <c:formatCode>General</c:formatCode>
                <c:ptCount val="2"/>
                <c:pt idx="0" formatCode="_(&quot;$&quot;* #,##0.00_);_(&quot;$&quot;* \(#,##0.00\);_(&quot;$&quot;* &quot;-&quot;??_);_(@_)">
                  <c:v>842504184.03599858</c:v>
                </c:pt>
              </c:numCache>
            </c:numRef>
          </c:val>
          <c:extLst>
            <c:ext xmlns:c16="http://schemas.microsoft.com/office/drawing/2014/chart" uri="{C3380CC4-5D6E-409C-BE32-E72D297353CC}">
              <c16:uniqueId val="{00000008-1E86-436E-B912-F497F0CF7892}"/>
            </c:ext>
          </c:extLst>
        </c:ser>
        <c:ser>
          <c:idx val="10"/>
          <c:order val="9"/>
          <c:tx>
            <c:strRef>
              <c:f>Figures!$A$433</c:f>
              <c:strCache>
                <c:ptCount val="1"/>
                <c:pt idx="0">
                  <c:v>Feed Pump</c:v>
                </c:pt>
              </c:strCache>
            </c:strRef>
          </c:tx>
          <c:spPr>
            <a:solidFill>
              <a:schemeClr val="accent5">
                <a:lumMod val="60000"/>
              </a:schemeClr>
            </a:solidFill>
            <a:ln>
              <a:noFill/>
            </a:ln>
            <a:effectLst/>
          </c:spPr>
          <c:invertIfNegative val="0"/>
          <c:cat>
            <c:strRef>
              <c:f>Figures!$B$34:$C$34</c:f>
              <c:strCache>
                <c:ptCount val="2"/>
                <c:pt idx="0">
                  <c:v>Capital Costs</c:v>
                </c:pt>
                <c:pt idx="1">
                  <c:v>Operational Costs</c:v>
                </c:pt>
              </c:strCache>
            </c:strRef>
          </c:cat>
          <c:val>
            <c:numRef>
              <c:f>Figures!$B$433:$C$433</c:f>
              <c:numCache>
                <c:formatCode>General</c:formatCode>
                <c:ptCount val="2"/>
                <c:pt idx="0" formatCode="_(&quot;$&quot;* #,##0.00_);_(&quot;$&quot;* \(#,##0.00\);_(&quot;$&quot;* &quot;-&quot;??_);_(@_)">
                  <c:v>33987.799777345295</c:v>
                </c:pt>
              </c:numCache>
            </c:numRef>
          </c:val>
          <c:extLst>
            <c:ext xmlns:c16="http://schemas.microsoft.com/office/drawing/2014/chart" uri="{C3380CC4-5D6E-409C-BE32-E72D297353CC}">
              <c16:uniqueId val="{00000009-1E86-436E-B912-F497F0CF7892}"/>
            </c:ext>
          </c:extLst>
        </c:ser>
        <c:ser>
          <c:idx val="11"/>
          <c:order val="10"/>
          <c:tx>
            <c:strRef>
              <c:f>Figures!$A$434</c:f>
              <c:strCache>
                <c:ptCount val="1"/>
                <c:pt idx="0">
                  <c:v>Condensor</c:v>
                </c:pt>
              </c:strCache>
            </c:strRef>
          </c:tx>
          <c:spPr>
            <a:solidFill>
              <a:schemeClr val="accent6">
                <a:lumMod val="60000"/>
              </a:schemeClr>
            </a:solidFill>
            <a:ln>
              <a:noFill/>
            </a:ln>
            <a:effectLst/>
          </c:spPr>
          <c:invertIfNegative val="0"/>
          <c:cat>
            <c:strRef>
              <c:f>Figures!$B$34:$C$34</c:f>
              <c:strCache>
                <c:ptCount val="2"/>
                <c:pt idx="0">
                  <c:v>Capital Costs</c:v>
                </c:pt>
                <c:pt idx="1">
                  <c:v>Operational Costs</c:v>
                </c:pt>
              </c:strCache>
            </c:strRef>
          </c:cat>
          <c:val>
            <c:numRef>
              <c:f>Figures!$B$434:$C$434</c:f>
              <c:numCache>
                <c:formatCode>General</c:formatCode>
                <c:ptCount val="2"/>
                <c:pt idx="0" formatCode="_(&quot;$&quot;* #,##0.00_);_(&quot;$&quot;* \(#,##0.00\);_(&quot;$&quot;* &quot;-&quot;??_);_(@_)">
                  <c:v>3295033.3427056931</c:v>
                </c:pt>
              </c:numCache>
            </c:numRef>
          </c:val>
          <c:extLst>
            <c:ext xmlns:c16="http://schemas.microsoft.com/office/drawing/2014/chart" uri="{C3380CC4-5D6E-409C-BE32-E72D297353CC}">
              <c16:uniqueId val="{0000000A-1E86-436E-B912-F497F0CF7892}"/>
            </c:ext>
          </c:extLst>
        </c:ser>
        <c:ser>
          <c:idx val="12"/>
          <c:order val="11"/>
          <c:tx>
            <c:strRef>
              <c:f>Figures!$A$435</c:f>
              <c:strCache>
                <c:ptCount val="1"/>
                <c:pt idx="0">
                  <c:v>Reboiler</c:v>
                </c:pt>
              </c:strCache>
            </c:strRef>
          </c:tx>
          <c:spPr>
            <a:solidFill>
              <a:schemeClr val="accent1">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Figures!$B$435:$C$435</c:f>
              <c:numCache>
                <c:formatCode>General</c:formatCode>
                <c:ptCount val="2"/>
                <c:pt idx="0" formatCode="_(&quot;$&quot;* #,##0.00_);_(&quot;$&quot;* \(#,##0.00\);_(&quot;$&quot;* &quot;-&quot;??_);_(@_)">
                  <c:v>2375322.4178738385</c:v>
                </c:pt>
              </c:numCache>
            </c:numRef>
          </c:val>
          <c:extLst>
            <c:ext xmlns:c16="http://schemas.microsoft.com/office/drawing/2014/chart" uri="{C3380CC4-5D6E-409C-BE32-E72D297353CC}">
              <c16:uniqueId val="{0000000B-1E86-436E-B912-F497F0CF7892}"/>
            </c:ext>
          </c:extLst>
        </c:ser>
        <c:ser>
          <c:idx val="13"/>
          <c:order val="12"/>
          <c:tx>
            <c:strRef>
              <c:f>Figures!$A$436</c:f>
              <c:strCache>
                <c:ptCount val="1"/>
                <c:pt idx="0">
                  <c:v>Reflux Pump</c:v>
                </c:pt>
              </c:strCache>
            </c:strRef>
          </c:tx>
          <c:spPr>
            <a:solidFill>
              <a:schemeClr val="accent2">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Figures!$B$436:$C$436</c:f>
              <c:numCache>
                <c:formatCode>General</c:formatCode>
                <c:ptCount val="2"/>
                <c:pt idx="0" formatCode="_(&quot;$&quot;* #,##0.00_);_(&quot;$&quot;* \(#,##0.00\);_(&quot;$&quot;* &quot;-&quot;??_);_(@_)">
                  <c:v>1291644.4107677091</c:v>
                </c:pt>
              </c:numCache>
            </c:numRef>
          </c:val>
          <c:extLst>
            <c:ext xmlns:c16="http://schemas.microsoft.com/office/drawing/2014/chart" uri="{C3380CC4-5D6E-409C-BE32-E72D297353CC}">
              <c16:uniqueId val="{0000000C-1E86-436E-B912-F497F0CF7892}"/>
            </c:ext>
          </c:extLst>
        </c:ser>
        <c:ser>
          <c:idx val="14"/>
          <c:order val="13"/>
          <c:tx>
            <c:strRef>
              <c:f>Figures!$A$437</c:f>
              <c:strCache>
                <c:ptCount val="1"/>
                <c:pt idx="0">
                  <c:v>Bottoms Pump</c:v>
                </c:pt>
              </c:strCache>
            </c:strRef>
          </c:tx>
          <c:spPr>
            <a:solidFill>
              <a:schemeClr val="accent3">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Figures!$B$437:$C$437</c:f>
              <c:numCache>
                <c:formatCode>General</c:formatCode>
                <c:ptCount val="2"/>
                <c:pt idx="0" formatCode="_(&quot;$&quot;* #,##0.00_);_(&quot;$&quot;* \(#,##0.00\);_(&quot;$&quot;* &quot;-&quot;??_);_(@_)">
                  <c:v>3358696.9578849636</c:v>
                </c:pt>
              </c:numCache>
            </c:numRef>
          </c:val>
          <c:extLst>
            <c:ext xmlns:c16="http://schemas.microsoft.com/office/drawing/2014/chart" uri="{C3380CC4-5D6E-409C-BE32-E72D297353CC}">
              <c16:uniqueId val="{0000000D-1E86-436E-B912-F497F0CF7892}"/>
            </c:ext>
          </c:extLst>
        </c:ser>
        <c:ser>
          <c:idx val="15"/>
          <c:order val="14"/>
          <c:tx>
            <c:strRef>
              <c:f>Figures!$A$438</c:f>
              <c:strCache>
                <c:ptCount val="1"/>
                <c:pt idx="0">
                  <c:v>Overhead Accumulator</c:v>
                </c:pt>
              </c:strCache>
            </c:strRef>
          </c:tx>
          <c:spPr>
            <a:solidFill>
              <a:schemeClr val="accent4">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Figures!$B$438:$C$438</c:f>
              <c:numCache>
                <c:formatCode>General</c:formatCode>
                <c:ptCount val="2"/>
                <c:pt idx="0" formatCode="_(&quot;$&quot;* #,##0.00_);_(&quot;$&quot;* \(#,##0.00\);_(&quot;$&quot;* &quot;-&quot;??_);_(@_)">
                  <c:v>14520308.077846445</c:v>
                </c:pt>
              </c:numCache>
            </c:numRef>
          </c:val>
          <c:extLst>
            <c:ext xmlns:c16="http://schemas.microsoft.com/office/drawing/2014/chart" uri="{C3380CC4-5D6E-409C-BE32-E72D297353CC}">
              <c16:uniqueId val="{0000000E-1E86-436E-B912-F497F0CF7892}"/>
            </c:ext>
          </c:extLst>
        </c:ser>
        <c:ser>
          <c:idx val="16"/>
          <c:order val="15"/>
          <c:tx>
            <c:strRef>
              <c:f>Figures!$A$439</c:f>
              <c:strCache>
                <c:ptCount val="1"/>
                <c:pt idx="0">
                  <c:v>Knockout Drum</c:v>
                </c:pt>
              </c:strCache>
            </c:strRef>
          </c:tx>
          <c:spPr>
            <a:solidFill>
              <a:schemeClr val="accent5">
                <a:lumMod val="80000"/>
                <a:lumOff val="20000"/>
              </a:schemeClr>
            </a:solidFill>
            <a:ln>
              <a:noFill/>
            </a:ln>
            <a:effectLst/>
          </c:spPr>
          <c:invertIfNegative val="0"/>
          <c:cat>
            <c:strRef>
              <c:f>Figures!$B$34:$C$34</c:f>
              <c:strCache>
                <c:ptCount val="2"/>
                <c:pt idx="0">
                  <c:v>Capital Costs</c:v>
                </c:pt>
                <c:pt idx="1">
                  <c:v>Operational Costs</c:v>
                </c:pt>
              </c:strCache>
            </c:strRef>
          </c:cat>
          <c:val>
            <c:numRef>
              <c:f>Figures!$B$439:$C$439</c:f>
              <c:numCache>
                <c:formatCode>General</c:formatCode>
                <c:ptCount val="2"/>
                <c:pt idx="0" formatCode="_(&quot;$&quot;* #,##0.00_);_(&quot;$&quot;* \(#,##0.00\);_(&quot;$&quot;* &quot;-&quot;??_);_(@_)">
                  <c:v>5172240.3321738336</c:v>
                </c:pt>
              </c:numCache>
            </c:numRef>
          </c:val>
          <c:extLst>
            <c:ext xmlns:c16="http://schemas.microsoft.com/office/drawing/2014/chart" uri="{C3380CC4-5D6E-409C-BE32-E72D297353CC}">
              <c16:uniqueId val="{0000000F-1E86-436E-B912-F497F0CF7892}"/>
            </c:ext>
          </c:extLst>
        </c:ser>
        <c:ser>
          <c:idx val="17"/>
          <c:order val="16"/>
          <c:tx>
            <c:strRef>
              <c:f>Figures!$A$440</c:f>
              <c:strCache>
                <c:ptCount val="1"/>
                <c:pt idx="0">
                  <c:v>Molecular Sieve Heat Exchanger</c:v>
                </c:pt>
              </c:strCache>
            </c:strRef>
          </c:tx>
          <c:spPr>
            <a:solidFill>
              <a:schemeClr val="accent6">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Figures!$B$440:$C$440</c:f>
              <c:numCache>
                <c:formatCode>General</c:formatCode>
                <c:ptCount val="2"/>
                <c:pt idx="0" formatCode="_(&quot;$&quot;* #,##0.00_);_(&quot;$&quot;* \(#,##0.00\);_(&quot;$&quot;* &quot;-&quot;??_);_(@_)">
                  <c:v>404189719.15093589</c:v>
                </c:pt>
              </c:numCache>
            </c:numRef>
          </c:val>
          <c:extLst>
            <c:ext xmlns:c16="http://schemas.microsoft.com/office/drawing/2014/chart" uri="{C3380CC4-5D6E-409C-BE32-E72D297353CC}">
              <c16:uniqueId val="{00000010-1E86-436E-B912-F497F0CF7892}"/>
            </c:ext>
          </c:extLst>
        </c:ser>
        <c:ser>
          <c:idx val="18"/>
          <c:order val="17"/>
          <c:tx>
            <c:strRef>
              <c:f>Figures!$A$441</c:f>
              <c:strCache>
                <c:ptCount val="1"/>
                <c:pt idx="0">
                  <c:v>Molecular Sieve Separator System</c:v>
                </c:pt>
              </c:strCache>
            </c:strRef>
          </c:tx>
          <c:spPr>
            <a:solidFill>
              <a:schemeClr val="accent1">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Figures!$B$441:$C$441</c:f>
              <c:numCache>
                <c:formatCode>General</c:formatCode>
                <c:ptCount val="2"/>
                <c:pt idx="0" formatCode="_(&quot;$&quot;* #,##0.00_);_(&quot;$&quot;* \(#,##0.00\);_(&quot;$&quot;* &quot;-&quot;??_);_(@_)">
                  <c:v>367568202.04753065</c:v>
                </c:pt>
              </c:numCache>
            </c:numRef>
          </c:val>
          <c:extLst>
            <c:ext xmlns:c16="http://schemas.microsoft.com/office/drawing/2014/chart" uri="{C3380CC4-5D6E-409C-BE32-E72D297353CC}">
              <c16:uniqueId val="{00000011-1E86-436E-B912-F497F0CF7892}"/>
            </c:ext>
          </c:extLst>
        </c:ser>
        <c:ser>
          <c:idx val="19"/>
          <c:order val="18"/>
          <c:tx>
            <c:strRef>
              <c:f>Figures!$A$442</c:f>
              <c:strCache>
                <c:ptCount val="1"/>
                <c:pt idx="0">
                  <c:v>Feed Storage Tank</c:v>
                </c:pt>
              </c:strCache>
            </c:strRef>
          </c:tx>
          <c:spPr>
            <a:solidFill>
              <a:schemeClr val="accent2">
                <a:lumMod val="80000"/>
              </a:schemeClr>
            </a:solidFill>
            <a:ln>
              <a:noFill/>
            </a:ln>
            <a:effectLst/>
          </c:spPr>
          <c:invertIfNegative val="0"/>
          <c:cat>
            <c:strRef>
              <c:f>Figures!$B$34:$C$34</c:f>
              <c:strCache>
                <c:ptCount val="2"/>
                <c:pt idx="0">
                  <c:v>Capital Costs</c:v>
                </c:pt>
                <c:pt idx="1">
                  <c:v>Operational Costs</c:v>
                </c:pt>
              </c:strCache>
            </c:strRef>
          </c:cat>
          <c:val>
            <c:numRef>
              <c:f>Figures!$B$442:$C$442</c:f>
              <c:numCache>
                <c:formatCode>General</c:formatCode>
                <c:ptCount val="2"/>
                <c:pt idx="0" formatCode="_(&quot;$&quot;* #,##0.00_);_(&quot;$&quot;* \(#,##0.00\);_(&quot;$&quot;* &quot;-&quot;??_);_(@_)">
                  <c:v>265428.62475461722</c:v>
                </c:pt>
              </c:numCache>
            </c:numRef>
          </c:val>
          <c:extLst>
            <c:ext xmlns:c16="http://schemas.microsoft.com/office/drawing/2014/chart" uri="{C3380CC4-5D6E-409C-BE32-E72D297353CC}">
              <c16:uniqueId val="{00000012-1E86-436E-B912-F497F0CF7892}"/>
            </c:ext>
          </c:extLst>
        </c:ser>
        <c:ser>
          <c:idx val="20"/>
          <c:order val="19"/>
          <c:tx>
            <c:strRef>
              <c:f>Figures!$A$443</c:f>
              <c:strCache>
                <c:ptCount val="1"/>
                <c:pt idx="0">
                  <c:v>Ester Storage Tank</c:v>
                </c:pt>
              </c:strCache>
            </c:strRef>
          </c:tx>
          <c:spPr>
            <a:solidFill>
              <a:schemeClr val="accent3">
                <a:lumMod val="80000"/>
              </a:schemeClr>
            </a:solidFill>
            <a:ln>
              <a:noFill/>
            </a:ln>
            <a:effectLst/>
          </c:spPr>
          <c:invertIfNegative val="0"/>
          <c:cat>
            <c:strRef>
              <c:f>Figures!$B$34:$C$34</c:f>
              <c:strCache>
                <c:ptCount val="2"/>
                <c:pt idx="0">
                  <c:v>Capital Costs</c:v>
                </c:pt>
                <c:pt idx="1">
                  <c:v>Operational Costs</c:v>
                </c:pt>
              </c:strCache>
            </c:strRef>
          </c:cat>
          <c:val>
            <c:numRef>
              <c:f>Figures!$B$443:$C$443</c:f>
              <c:numCache>
                <c:formatCode>General</c:formatCode>
                <c:ptCount val="2"/>
                <c:pt idx="0" formatCode="_(&quot;$&quot;* #,##0.00_);_(&quot;$&quot;* \(#,##0.00\);_(&quot;$&quot;* &quot;-&quot;??_);_(@_)">
                  <c:v>265428.62475461722</c:v>
                </c:pt>
              </c:numCache>
            </c:numRef>
          </c:val>
          <c:extLst>
            <c:ext xmlns:c16="http://schemas.microsoft.com/office/drawing/2014/chart" uri="{C3380CC4-5D6E-409C-BE32-E72D297353CC}">
              <c16:uniqueId val="{00000013-1E86-436E-B912-F497F0CF7892}"/>
            </c:ext>
          </c:extLst>
        </c:ser>
        <c:ser>
          <c:idx val="0"/>
          <c:order val="20"/>
          <c:tx>
            <c:strRef>
              <c:f>Figures!$A$444</c:f>
              <c:strCache>
                <c:ptCount val="1"/>
                <c:pt idx="0">
                  <c:v>Sulfuric Acid Tank</c:v>
                </c:pt>
              </c:strCache>
            </c:strRef>
          </c:tx>
          <c:spPr>
            <a:solidFill>
              <a:schemeClr val="accent1"/>
            </a:solidFill>
            <a:ln>
              <a:noFill/>
            </a:ln>
            <a:effectLst/>
          </c:spPr>
          <c:invertIfNegative val="0"/>
          <c:cat>
            <c:strRef>
              <c:f>Figures!$B$34:$C$34</c:f>
              <c:strCache>
                <c:ptCount val="2"/>
                <c:pt idx="0">
                  <c:v>Capital Costs</c:v>
                </c:pt>
                <c:pt idx="1">
                  <c:v>Operational Costs</c:v>
                </c:pt>
              </c:strCache>
            </c:strRef>
          </c:cat>
          <c:val>
            <c:numRef>
              <c:f>Figures!$B$444:$C$444</c:f>
              <c:numCache>
                <c:formatCode>General</c:formatCode>
                <c:ptCount val="2"/>
                <c:pt idx="0" formatCode="_(&quot;$&quot;* #,##0.00_);_(&quot;$&quot;* \(#,##0.00\);_(&quot;$&quot;* &quot;-&quot;??_);_(@_)">
                  <c:v>779106.98344261607</c:v>
                </c:pt>
              </c:numCache>
            </c:numRef>
          </c:val>
          <c:extLst>
            <c:ext xmlns:c16="http://schemas.microsoft.com/office/drawing/2014/chart" uri="{C3380CC4-5D6E-409C-BE32-E72D297353CC}">
              <c16:uniqueId val="{00000014-1E86-436E-B912-F497F0CF7892}"/>
            </c:ext>
          </c:extLst>
        </c:ser>
        <c:ser>
          <c:idx val="21"/>
          <c:order val="21"/>
          <c:tx>
            <c:strRef>
              <c:f>Figures!$A$445</c:f>
              <c:strCache>
                <c:ptCount val="1"/>
                <c:pt idx="0">
                  <c:v>Sulfuric Acid</c:v>
                </c:pt>
              </c:strCache>
            </c:strRef>
          </c:tx>
          <c:spPr>
            <a:solidFill>
              <a:schemeClr val="accent4">
                <a:lumMod val="80000"/>
              </a:schemeClr>
            </a:solidFill>
            <a:ln>
              <a:noFill/>
            </a:ln>
            <a:effectLst/>
          </c:spPr>
          <c:invertIfNegative val="0"/>
          <c:cat>
            <c:strRef>
              <c:f>Figures!$B$34:$C$34</c:f>
              <c:strCache>
                <c:ptCount val="2"/>
                <c:pt idx="0">
                  <c:v>Capital Costs</c:v>
                </c:pt>
                <c:pt idx="1">
                  <c:v>Operational Costs</c:v>
                </c:pt>
              </c:strCache>
            </c:strRef>
          </c:cat>
          <c:val>
            <c:numRef>
              <c:f>Figures!$B$445:$C$445</c:f>
              <c:numCache>
                <c:formatCode>_("$"* #,##0.00_);_("$"* \(#,##0.00\);_("$"* "-"??_);_(@_)</c:formatCode>
                <c:ptCount val="2"/>
                <c:pt idx="1">
                  <c:v>5.0428597680095733</c:v>
                </c:pt>
              </c:numCache>
            </c:numRef>
          </c:val>
          <c:extLst>
            <c:ext xmlns:c16="http://schemas.microsoft.com/office/drawing/2014/chart" uri="{C3380CC4-5D6E-409C-BE32-E72D297353CC}">
              <c16:uniqueId val="{00000015-1E86-436E-B912-F497F0CF7892}"/>
            </c:ext>
          </c:extLst>
        </c:ser>
        <c:dLbls>
          <c:showLegendKey val="0"/>
          <c:showVal val="0"/>
          <c:showCatName val="0"/>
          <c:showSerName val="0"/>
          <c:showPercent val="0"/>
          <c:showBubbleSize val="0"/>
        </c:dLbls>
        <c:gapWidth val="50"/>
        <c:overlap val="100"/>
        <c:axId val="1295435552"/>
        <c:axId val="1295428352"/>
      </c:barChart>
      <c:barChart>
        <c:barDir val="col"/>
        <c:grouping val="stacked"/>
        <c:varyColors val="0"/>
        <c:ser>
          <c:idx val="22"/>
          <c:order val="22"/>
          <c:tx>
            <c:strRef>
              <c:f>Figures!$A$446</c:f>
              <c:strCache>
                <c:ptCount val="1"/>
                <c:pt idx="0">
                  <c:v>Power - Hydrogen Pump</c:v>
                </c:pt>
              </c:strCache>
            </c:strRef>
          </c:tx>
          <c:spPr>
            <a:solidFill>
              <a:schemeClr val="accent5">
                <a:lumMod val="80000"/>
              </a:schemeClr>
            </a:solidFill>
            <a:ln>
              <a:noFill/>
            </a:ln>
            <a:effectLst/>
          </c:spPr>
          <c:invertIfNegative val="0"/>
          <c:cat>
            <c:strRef>
              <c:f>Figures!$B$34:$C$34</c:f>
              <c:strCache>
                <c:ptCount val="2"/>
                <c:pt idx="0">
                  <c:v>Capital Costs</c:v>
                </c:pt>
                <c:pt idx="1">
                  <c:v>Operational Costs</c:v>
                </c:pt>
              </c:strCache>
            </c:strRef>
          </c:cat>
          <c:val>
            <c:numRef>
              <c:f>Figures!$B$446:$C$446</c:f>
              <c:numCache>
                <c:formatCode>_("$"* #,##0.00_);_("$"* \(#,##0.00\);_("$"* "-"??_);_(@_)</c:formatCode>
                <c:ptCount val="2"/>
                <c:pt idx="1">
                  <c:v>9.8023089458659989</c:v>
                </c:pt>
              </c:numCache>
            </c:numRef>
          </c:val>
          <c:extLst>
            <c:ext xmlns:c16="http://schemas.microsoft.com/office/drawing/2014/chart" uri="{C3380CC4-5D6E-409C-BE32-E72D297353CC}">
              <c16:uniqueId val="{00000016-1E86-436E-B912-F497F0CF7892}"/>
            </c:ext>
          </c:extLst>
        </c:ser>
        <c:ser>
          <c:idx val="23"/>
          <c:order val="23"/>
          <c:tx>
            <c:strRef>
              <c:f>Figures!$A$447</c:f>
              <c:strCache>
                <c:ptCount val="1"/>
                <c:pt idx="0">
                  <c:v>Power - Feed Pump</c:v>
                </c:pt>
              </c:strCache>
            </c:strRef>
          </c:tx>
          <c:spPr>
            <a:solidFill>
              <a:schemeClr val="accent6">
                <a:lumMod val="80000"/>
              </a:schemeClr>
            </a:solidFill>
            <a:ln>
              <a:noFill/>
            </a:ln>
            <a:effectLst/>
          </c:spPr>
          <c:invertIfNegative val="0"/>
          <c:cat>
            <c:strRef>
              <c:f>Figures!$B$34:$C$34</c:f>
              <c:strCache>
                <c:ptCount val="2"/>
                <c:pt idx="0">
                  <c:v>Capital Costs</c:v>
                </c:pt>
                <c:pt idx="1">
                  <c:v>Operational Costs</c:v>
                </c:pt>
              </c:strCache>
            </c:strRef>
          </c:cat>
          <c:val>
            <c:numRef>
              <c:f>Figures!$B$447:$C$447</c:f>
              <c:numCache>
                <c:formatCode>_("$"* #,##0.00_);_("$"* \(#,##0.00\);_("$"* "-"??_);_(@_)</c:formatCode>
                <c:ptCount val="2"/>
                <c:pt idx="1">
                  <c:v>0.98398542419999913</c:v>
                </c:pt>
              </c:numCache>
            </c:numRef>
          </c:val>
          <c:extLst>
            <c:ext xmlns:c16="http://schemas.microsoft.com/office/drawing/2014/chart" uri="{C3380CC4-5D6E-409C-BE32-E72D297353CC}">
              <c16:uniqueId val="{00000017-1E86-436E-B912-F497F0CF7892}"/>
            </c:ext>
          </c:extLst>
        </c:ser>
        <c:ser>
          <c:idx val="24"/>
          <c:order val="24"/>
          <c:tx>
            <c:strRef>
              <c:f>Figures!$A$448</c:f>
              <c:strCache>
                <c:ptCount val="1"/>
                <c:pt idx="0">
                  <c:v>Power - KO Pump</c:v>
                </c:pt>
              </c:strCache>
            </c:strRef>
          </c:tx>
          <c:spPr>
            <a:solidFill>
              <a:schemeClr val="accent1">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Figures!$B$448:$C$448</c:f>
              <c:numCache>
                <c:formatCode>_("$"* #,##0.00_);_("$"* \(#,##0.00\);_("$"* "-"??_);_(@_)</c:formatCode>
                <c:ptCount val="2"/>
                <c:pt idx="1">
                  <c:v>380.6273534671713</c:v>
                </c:pt>
              </c:numCache>
            </c:numRef>
          </c:val>
          <c:extLst>
            <c:ext xmlns:c16="http://schemas.microsoft.com/office/drawing/2014/chart" uri="{C3380CC4-5D6E-409C-BE32-E72D297353CC}">
              <c16:uniqueId val="{00000018-1E86-436E-B912-F497F0CF7892}"/>
            </c:ext>
          </c:extLst>
        </c:ser>
        <c:ser>
          <c:idx val="25"/>
          <c:order val="25"/>
          <c:tx>
            <c:strRef>
              <c:f>Figures!$A$449</c:f>
              <c:strCache>
                <c:ptCount val="1"/>
                <c:pt idx="0">
                  <c:v>Power - OR Air Pump</c:v>
                </c:pt>
              </c:strCache>
            </c:strRef>
          </c:tx>
          <c:spPr>
            <a:solidFill>
              <a:schemeClr val="accent2">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Figures!$B$449:$C$449</c:f>
              <c:numCache>
                <c:formatCode>_("$"* #,##0.00_);_("$"* \(#,##0.00\);_("$"* "-"??_);_(@_)</c:formatCode>
                <c:ptCount val="2"/>
                <c:pt idx="1">
                  <c:v>747.44234432395046</c:v>
                </c:pt>
              </c:numCache>
            </c:numRef>
          </c:val>
          <c:extLst>
            <c:ext xmlns:c16="http://schemas.microsoft.com/office/drawing/2014/chart" uri="{C3380CC4-5D6E-409C-BE32-E72D297353CC}">
              <c16:uniqueId val="{00000019-1E86-436E-B912-F497F0CF7892}"/>
            </c:ext>
          </c:extLst>
        </c:ser>
        <c:ser>
          <c:idx val="26"/>
          <c:order val="26"/>
          <c:tx>
            <c:strRef>
              <c:f>Figures!$A$450</c:f>
              <c:strCache>
                <c:ptCount val="1"/>
                <c:pt idx="0">
                  <c:v>Heat -FBR</c:v>
                </c:pt>
              </c:strCache>
            </c:strRef>
          </c:tx>
          <c:spPr>
            <a:solidFill>
              <a:schemeClr val="accent3">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Figures!$B$450:$C$450</c:f>
              <c:numCache>
                <c:formatCode>_("$"* #,##0.00_);_("$"* \(#,##0.00\);_("$"* "-"??_);_(@_)</c:formatCode>
                <c:ptCount val="2"/>
                <c:pt idx="1">
                  <c:v>307.42978549271533</c:v>
                </c:pt>
              </c:numCache>
            </c:numRef>
          </c:val>
          <c:extLst>
            <c:ext xmlns:c16="http://schemas.microsoft.com/office/drawing/2014/chart" uri="{C3380CC4-5D6E-409C-BE32-E72D297353CC}">
              <c16:uniqueId val="{0000001A-1E86-436E-B912-F497F0CF7892}"/>
            </c:ext>
          </c:extLst>
        </c:ser>
        <c:ser>
          <c:idx val="27"/>
          <c:order val="27"/>
          <c:tx>
            <c:strRef>
              <c:f>Figures!$A$451</c:f>
              <c:strCache>
                <c:ptCount val="1"/>
                <c:pt idx="0">
                  <c:v>Wastewater Treatment</c:v>
                </c:pt>
              </c:strCache>
            </c:strRef>
          </c:tx>
          <c:spPr>
            <a:solidFill>
              <a:schemeClr val="accent4">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Figures!$B$451:$C$451</c:f>
              <c:numCache>
                <c:formatCode>_("$"* #,##0.00_);_("$"* \(#,##0.00\);_("$"* "-"??_);_(@_)</c:formatCode>
                <c:ptCount val="2"/>
                <c:pt idx="1">
                  <c:v>1274.5304081044158</c:v>
                </c:pt>
              </c:numCache>
            </c:numRef>
          </c:val>
          <c:extLst>
            <c:ext xmlns:c16="http://schemas.microsoft.com/office/drawing/2014/chart" uri="{C3380CC4-5D6E-409C-BE32-E72D297353CC}">
              <c16:uniqueId val="{0000001B-1E86-436E-B912-F497F0CF7892}"/>
            </c:ext>
          </c:extLst>
        </c:ser>
        <c:ser>
          <c:idx val="28"/>
          <c:order val="28"/>
          <c:tx>
            <c:strRef>
              <c:f>Figures!$A$452</c:f>
              <c:strCache>
                <c:ptCount val="1"/>
                <c:pt idx="0">
                  <c:v>Power - Distillation Feed Pump</c:v>
                </c:pt>
              </c:strCache>
            </c:strRef>
          </c:tx>
          <c:spPr>
            <a:solidFill>
              <a:schemeClr val="accent5">
                <a:lumMod val="60000"/>
                <a:lumOff val="40000"/>
              </a:schemeClr>
            </a:solidFill>
            <a:ln>
              <a:noFill/>
            </a:ln>
            <a:effectLst/>
          </c:spPr>
          <c:invertIfNegative val="0"/>
          <c:cat>
            <c:strRef>
              <c:f>Figures!$B$34:$C$34</c:f>
              <c:strCache>
                <c:ptCount val="2"/>
                <c:pt idx="0">
                  <c:v>Capital Costs</c:v>
                </c:pt>
                <c:pt idx="1">
                  <c:v>Operational Costs</c:v>
                </c:pt>
              </c:strCache>
            </c:strRef>
          </c:cat>
          <c:val>
            <c:numRef>
              <c:f>Figures!$B$452:$C$452</c:f>
              <c:numCache>
                <c:formatCode>_("$"* #,##0.00_);_("$"* \(#,##0.00\);_("$"* "-"??_);_(@_)</c:formatCode>
                <c:ptCount val="2"/>
                <c:pt idx="1">
                  <c:v>108.91454384295552</c:v>
                </c:pt>
              </c:numCache>
            </c:numRef>
          </c:val>
          <c:extLst>
            <c:ext xmlns:c16="http://schemas.microsoft.com/office/drawing/2014/chart" uri="{C3380CC4-5D6E-409C-BE32-E72D297353CC}">
              <c16:uniqueId val="{0000001C-1E86-436E-B912-F497F0CF7892}"/>
            </c:ext>
          </c:extLst>
        </c:ser>
        <c:ser>
          <c:idx val="29"/>
          <c:order val="29"/>
          <c:tx>
            <c:strRef>
              <c:f>Figures!$A$453</c:f>
              <c:strCache>
                <c:ptCount val="1"/>
                <c:pt idx="0">
                  <c:v>Heat - Distillation</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Figures!$B$453:$C$453</c:f>
              <c:numCache>
                <c:formatCode>_("$"* #,##0.00_);_("$"* \(#,##0.00\);_("$"* "-"??_);_(@_)</c:formatCode>
                <c:ptCount val="2"/>
                <c:pt idx="1">
                  <c:v>1207140.4321916222</c:v>
                </c:pt>
              </c:numCache>
            </c:numRef>
          </c:val>
          <c:extLst>
            <c:ext xmlns:c16="http://schemas.microsoft.com/office/drawing/2014/chart" uri="{C3380CC4-5D6E-409C-BE32-E72D297353CC}">
              <c16:uniqueId val="{0000001D-1E86-436E-B912-F497F0CF7892}"/>
            </c:ext>
          </c:extLst>
        </c:ser>
        <c:ser>
          <c:idx val="30"/>
          <c:order val="30"/>
          <c:tx>
            <c:strRef>
              <c:f>Figures!$A$454</c:f>
              <c:strCache>
                <c:ptCount val="1"/>
                <c:pt idx="0">
                  <c:v>Power - MS Feed Pumps</c:v>
                </c:pt>
              </c:strCache>
            </c:strRef>
          </c:tx>
          <c:spPr>
            <a:solidFill>
              <a:schemeClr val="accent1">
                <a:lumMod val="50000"/>
              </a:schemeClr>
            </a:solidFill>
            <a:ln>
              <a:noFill/>
            </a:ln>
            <a:effectLst/>
          </c:spPr>
          <c:invertIfNegative val="0"/>
          <c:cat>
            <c:strRef>
              <c:f>Figures!$B$34:$C$34</c:f>
              <c:strCache>
                <c:ptCount val="2"/>
                <c:pt idx="0">
                  <c:v>Capital Costs</c:v>
                </c:pt>
                <c:pt idx="1">
                  <c:v>Operational Costs</c:v>
                </c:pt>
              </c:strCache>
            </c:strRef>
          </c:cat>
          <c:val>
            <c:numRef>
              <c:f>Figures!$B$454:$C$454</c:f>
              <c:numCache>
                <c:formatCode>_("$"* #,##0.00_);_("$"* \(#,##0.00\);_("$"* "-"??_);_(@_)</c:formatCode>
                <c:ptCount val="2"/>
                <c:pt idx="1">
                  <c:v>1089.1454384295553</c:v>
                </c:pt>
              </c:numCache>
            </c:numRef>
          </c:val>
          <c:extLst>
            <c:ext xmlns:c16="http://schemas.microsoft.com/office/drawing/2014/chart" uri="{C3380CC4-5D6E-409C-BE32-E72D297353CC}">
              <c16:uniqueId val="{0000001E-1E86-436E-B912-F497F0CF7892}"/>
            </c:ext>
          </c:extLst>
        </c:ser>
        <c:ser>
          <c:idx val="31"/>
          <c:order val="31"/>
          <c:tx>
            <c:strRef>
              <c:f>Figures!$A$455</c:f>
              <c:strCache>
                <c:ptCount val="1"/>
                <c:pt idx="0">
                  <c:v>Power - MS Product Pumps</c:v>
                </c:pt>
              </c:strCache>
            </c:strRef>
          </c:tx>
          <c:spPr>
            <a:solidFill>
              <a:schemeClr val="accent2">
                <a:lumMod val="50000"/>
              </a:schemeClr>
            </a:solidFill>
            <a:ln>
              <a:noFill/>
            </a:ln>
            <a:effectLst/>
          </c:spPr>
          <c:invertIfNegative val="0"/>
          <c:cat>
            <c:strRef>
              <c:f>Figures!$B$34:$C$34</c:f>
              <c:strCache>
                <c:ptCount val="2"/>
                <c:pt idx="0">
                  <c:v>Capital Costs</c:v>
                </c:pt>
                <c:pt idx="1">
                  <c:v>Operational Costs</c:v>
                </c:pt>
              </c:strCache>
            </c:strRef>
          </c:cat>
          <c:val>
            <c:numRef>
              <c:f>Figures!$B$455:$C$455</c:f>
              <c:numCache>
                <c:formatCode>_("$"* #,##0.00_);_("$"* \(#,##0.00\);_("$"* "-"??_);_(@_)</c:formatCode>
                <c:ptCount val="2"/>
                <c:pt idx="1">
                  <c:v>1089.1454384295553</c:v>
                </c:pt>
              </c:numCache>
            </c:numRef>
          </c:val>
          <c:extLst>
            <c:ext xmlns:c16="http://schemas.microsoft.com/office/drawing/2014/chart" uri="{C3380CC4-5D6E-409C-BE32-E72D297353CC}">
              <c16:uniqueId val="{0000001F-1E86-436E-B912-F497F0CF7892}"/>
            </c:ext>
          </c:extLst>
        </c:ser>
        <c:ser>
          <c:idx val="32"/>
          <c:order val="32"/>
          <c:tx>
            <c:strRef>
              <c:f>Figures!$A$456</c:f>
              <c:strCache>
                <c:ptCount val="1"/>
                <c:pt idx="0">
                  <c:v>Heat - Seive Regeneration</c:v>
                </c:pt>
              </c:strCache>
            </c:strRef>
          </c:tx>
          <c:spPr>
            <a:solidFill>
              <a:schemeClr val="accent3">
                <a:lumMod val="50000"/>
              </a:schemeClr>
            </a:solidFill>
            <a:ln>
              <a:noFill/>
            </a:ln>
            <a:effectLst/>
          </c:spPr>
          <c:invertIfNegative val="0"/>
          <c:cat>
            <c:strRef>
              <c:f>Figures!$B$34:$C$34</c:f>
              <c:strCache>
                <c:ptCount val="2"/>
                <c:pt idx="0">
                  <c:v>Capital Costs</c:v>
                </c:pt>
                <c:pt idx="1">
                  <c:v>Operational Costs</c:v>
                </c:pt>
              </c:strCache>
            </c:strRef>
          </c:cat>
          <c:val>
            <c:numRef>
              <c:f>Figures!$B$456:$C$456</c:f>
              <c:numCache>
                <c:formatCode>_("$"* #,##0.00_);_("$"* \(#,##0.00\);_("$"* "-"??_);_(@_)</c:formatCode>
                <c:ptCount val="2"/>
                <c:pt idx="1">
                  <c:v>12071.404321916223</c:v>
                </c:pt>
              </c:numCache>
            </c:numRef>
          </c:val>
          <c:extLst>
            <c:ext xmlns:c16="http://schemas.microsoft.com/office/drawing/2014/chart" uri="{C3380CC4-5D6E-409C-BE32-E72D297353CC}">
              <c16:uniqueId val="{00000020-1E86-436E-B912-F497F0CF7892}"/>
            </c:ext>
          </c:extLst>
        </c:ser>
        <c:ser>
          <c:idx val="33"/>
          <c:order val="33"/>
          <c:tx>
            <c:strRef>
              <c:f>Figures!$A$457</c:f>
              <c:strCache>
                <c:ptCount val="1"/>
                <c:pt idx="0">
                  <c:v>Labor</c:v>
                </c:pt>
              </c:strCache>
            </c:strRef>
          </c:tx>
          <c:spPr>
            <a:solidFill>
              <a:schemeClr val="accent4">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Figures!$B$34:$C$34</c:f>
              <c:strCache>
                <c:ptCount val="2"/>
                <c:pt idx="0">
                  <c:v>Capital Costs</c:v>
                </c:pt>
                <c:pt idx="1">
                  <c:v>Operational Costs</c:v>
                </c:pt>
              </c:strCache>
            </c:strRef>
          </c:cat>
          <c:val>
            <c:numRef>
              <c:f>Figures!$B$457:$C$457</c:f>
              <c:numCache>
                <c:formatCode>_("$"* #,##0.00_);_("$"* \(#,##0.00\);_("$"* "-"??_);_(@_)</c:formatCode>
                <c:ptCount val="2"/>
                <c:pt idx="1">
                  <c:v>800000</c:v>
                </c:pt>
              </c:numCache>
            </c:numRef>
          </c:val>
          <c:extLst>
            <c:ext xmlns:c16="http://schemas.microsoft.com/office/drawing/2014/chart" uri="{C3380CC4-5D6E-409C-BE32-E72D297353CC}">
              <c16:uniqueId val="{00000021-1E86-436E-B912-F497F0CF7892}"/>
            </c:ext>
          </c:extLst>
        </c:ser>
        <c:dLbls>
          <c:showLegendKey val="0"/>
          <c:showVal val="0"/>
          <c:showCatName val="0"/>
          <c:showSerName val="0"/>
          <c:showPercent val="0"/>
          <c:showBubbleSize val="0"/>
        </c:dLbls>
        <c:gapWidth val="50"/>
        <c:overlap val="100"/>
        <c:axId val="1295501792"/>
        <c:axId val="1295485472"/>
      </c:barChart>
      <c:catAx>
        <c:axId val="129543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Arial Nova Cond" panose="020B0506020202020204" pitchFamily="34" charset="0"/>
                <a:ea typeface="+mn-ea"/>
                <a:cs typeface="+mn-cs"/>
              </a:defRPr>
            </a:pPr>
            <a:endParaRPr lang="en-US"/>
          </a:p>
        </c:txPr>
        <c:crossAx val="1295428352"/>
        <c:crosses val="autoZero"/>
        <c:auto val="1"/>
        <c:lblAlgn val="ctr"/>
        <c:lblOffset val="100"/>
        <c:noMultiLvlLbl val="0"/>
      </c:catAx>
      <c:valAx>
        <c:axId val="1295428352"/>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r>
                  <a:rPr lang="en-US" sz="1600" b="1" i="0" u="none" strike="noStrike" kern="1200" baseline="0">
                    <a:solidFill>
                      <a:sysClr val="windowText" lastClr="000000"/>
                    </a:solidFill>
                    <a:latin typeface="Arial Nova Cond" panose="020B0506020202020204" pitchFamily="34" charset="0"/>
                  </a:rPr>
                  <a:t>CAPEX </a:t>
                </a:r>
                <a:r>
                  <a:rPr lang="en-US" sz="1600" b="0" i="0" u="none" strike="noStrike" kern="1200" baseline="0">
                    <a:solidFill>
                      <a:sysClr val="windowText" lastClr="000000"/>
                    </a:solidFill>
                    <a:latin typeface="Arial Nova Cond" panose="020B0506020202020204" pitchFamily="34" charset="0"/>
                  </a:rPr>
                  <a:t>[1E6 USD (2026)]</a:t>
                </a:r>
              </a:p>
            </c:rich>
          </c:tx>
          <c:layout>
            <c:manualLayout>
              <c:xMode val="edge"/>
              <c:yMode val="edge"/>
              <c:x val="9.9534737003884721E-3"/>
              <c:y val="0.1564494874278709"/>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Nova Cond" panose="020B0506020202020204" pitchFamily="34" charset="0"/>
                <a:ea typeface="+mn-ea"/>
                <a:cs typeface="+mn-cs"/>
              </a:defRPr>
            </a:pPr>
            <a:endParaRPr lang="en-US"/>
          </a:p>
        </c:txPr>
        <c:crossAx val="1295435552"/>
        <c:crosses val="autoZero"/>
        <c:crossBetween val="between"/>
        <c:dispUnits>
          <c:builtInUnit val="millions"/>
        </c:dispUnits>
      </c:valAx>
      <c:valAx>
        <c:axId val="1295485472"/>
        <c:scaling>
          <c:orientation val="minMax"/>
        </c:scaling>
        <c:delete val="0"/>
        <c:axPos val="r"/>
        <c:title>
          <c:tx>
            <c:rich>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r>
                  <a:rPr lang="en-US" sz="1600" b="1" i="0" u="none" strike="noStrike" kern="1200" baseline="0">
                    <a:solidFill>
                      <a:sysClr val="windowText" lastClr="000000"/>
                    </a:solidFill>
                    <a:latin typeface="Arial Nova Cond" panose="020B0506020202020204" pitchFamily="34" charset="0"/>
                  </a:rPr>
                  <a:t>OPEX </a:t>
                </a:r>
                <a:r>
                  <a:rPr lang="en-US" sz="1600" b="0" i="0" u="none" strike="noStrike" kern="1200" baseline="0">
                    <a:solidFill>
                      <a:sysClr val="windowText" lastClr="000000"/>
                    </a:solidFill>
                    <a:latin typeface="Arial Nova Cond" panose="020B0506020202020204" pitchFamily="34" charset="0"/>
                  </a:rPr>
                  <a:t>[1E6 USD (2026) / yr]</a:t>
                </a:r>
              </a:p>
            </c:rich>
          </c:tx>
          <c:layout>
            <c:manualLayout>
              <c:xMode val="edge"/>
              <c:yMode val="edge"/>
              <c:x val="0.94771017307375038"/>
              <c:y val="0.14078763498209085"/>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_);_(&quot;$&quot;* \(#,##0\);_(&quot;$&quot;* &quot;-&quot;_);_(@_)" sourceLinked="0"/>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Arial Nova Cond" panose="020B0506020202020204" pitchFamily="34" charset="0"/>
                <a:ea typeface="+mn-ea"/>
                <a:cs typeface="+mn-cs"/>
              </a:defRPr>
            </a:pPr>
            <a:endParaRPr lang="en-US"/>
          </a:p>
        </c:txPr>
        <c:crossAx val="1295501792"/>
        <c:crosses val="max"/>
        <c:crossBetween val="between"/>
        <c:dispUnits>
          <c:builtInUnit val="millions"/>
        </c:dispUnits>
      </c:valAx>
      <c:catAx>
        <c:axId val="1295501792"/>
        <c:scaling>
          <c:orientation val="minMax"/>
        </c:scaling>
        <c:delete val="1"/>
        <c:axPos val="b"/>
        <c:numFmt formatCode="General" sourceLinked="1"/>
        <c:majorTickMark val="out"/>
        <c:minorTickMark val="none"/>
        <c:tickLblPos val="nextTo"/>
        <c:crossAx val="1295485472"/>
        <c:crosses val="autoZero"/>
        <c:auto val="1"/>
        <c:lblAlgn val="ctr"/>
        <c:lblOffset val="100"/>
        <c:noMultiLvlLbl val="0"/>
      </c:catAx>
      <c:spPr>
        <a:noFill/>
        <a:ln w="19050">
          <a:solidFill>
            <a:schemeClr val="tx1"/>
          </a:solidFill>
        </a:ln>
        <a:effectLst/>
      </c:spPr>
    </c:plotArea>
    <c:legend>
      <c:legendPos val="b"/>
      <c:layout>
        <c:manualLayout>
          <c:xMode val="edge"/>
          <c:yMode val="edge"/>
          <c:x val="1.3248318514136358E-3"/>
          <c:y val="0.75230113906051754"/>
          <c:w val="0.98522068887981706"/>
          <c:h val="0.247698860939482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22225" cap="flat" cmpd="sng" algn="ctr">
      <a:noFill/>
      <a:round/>
    </a:ln>
    <a:effectLst/>
  </c:spPr>
  <c:txPr>
    <a:bodyPr/>
    <a:lstStyle/>
    <a:p>
      <a:pPr>
        <a:defRPr>
          <a:solidFill>
            <a:schemeClr val="tx1"/>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ysClr val="windowText" lastClr="000000"/>
                </a:solidFill>
                <a:latin typeface="Arial Nova Cond" panose="020B0506020202020204" pitchFamily="34" charset="0"/>
                <a:ea typeface="+mn-ea"/>
                <a:cs typeface="+mn-cs"/>
              </a:defRPr>
            </a:pPr>
            <a:r>
              <a:rPr lang="en-US" sz="2400" b="1"/>
              <a:t>PATH</a:t>
            </a:r>
            <a:r>
              <a:rPr lang="en-US" sz="2400" b="1" baseline="0"/>
              <a:t> A </a:t>
            </a:r>
            <a:r>
              <a:rPr lang="en-US" sz="2400" b="1"/>
              <a:t>DISCOUNTED</a:t>
            </a:r>
            <a:r>
              <a:rPr lang="en-US" sz="2400" b="1" baseline="0"/>
              <a:t> CASH FLOW RATE OF RETURN</a:t>
            </a:r>
            <a:endParaRPr lang="en-US" sz="2400" b="1"/>
          </a:p>
        </c:rich>
      </c:tx>
      <c:layout>
        <c:manualLayout>
          <c:xMode val="edge"/>
          <c:yMode val="edge"/>
          <c:x val="0.23578573003904507"/>
          <c:y val="2.0824464863620766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0460370013497163"/>
          <c:y val="9.7924679816825996E-2"/>
          <c:w val="0.78333372268854651"/>
          <c:h val="0.66437939593470263"/>
        </c:manualLayout>
      </c:layout>
      <c:barChart>
        <c:barDir val="col"/>
        <c:grouping val="stacked"/>
        <c:varyColors val="0"/>
        <c:ser>
          <c:idx val="0"/>
          <c:order val="0"/>
          <c:tx>
            <c:strRef>
              <c:f>A_DCFROR!$B$105</c:f>
              <c:strCache>
                <c:ptCount val="1"/>
                <c:pt idx="0">
                  <c:v>Capital Investment</c:v>
                </c:pt>
              </c:strCache>
            </c:strRef>
          </c:tx>
          <c:spPr>
            <a:solidFill>
              <a:schemeClr val="accent1"/>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A_DCFROR!$C$105:$AI$105</c:f>
              <c:numCache>
                <c:formatCode>_("$"* #,##0_);_("$"* \(#,##0\);_("$"* "-"??_);_(@_)</c:formatCode>
                <c:ptCount val="33"/>
                <c:pt idx="0">
                  <c:v>73.770565998745283</c:v>
                </c:pt>
                <c:pt idx="1">
                  <c:v>77.653227367100286</c:v>
                </c:pt>
                <c:pt idx="2">
                  <c:v>81.535888735455302</c:v>
                </c:pt>
              </c:numCache>
            </c:numRef>
          </c:val>
          <c:extLst>
            <c:ext xmlns:c16="http://schemas.microsoft.com/office/drawing/2014/chart" uri="{C3380CC4-5D6E-409C-BE32-E72D297353CC}">
              <c16:uniqueId val="{00000000-EE6F-43E0-930C-CD9FC0D4DE2A}"/>
            </c:ext>
          </c:extLst>
        </c:ser>
        <c:ser>
          <c:idx val="1"/>
          <c:order val="1"/>
          <c:tx>
            <c:strRef>
              <c:f>A_DCFROR!$B$106</c:f>
              <c:strCache>
                <c:ptCount val="1"/>
                <c:pt idx="0">
                  <c:v>Tax</c:v>
                </c:pt>
              </c:strCache>
            </c:strRef>
          </c:tx>
          <c:spPr>
            <a:solidFill>
              <a:schemeClr val="accent2">
                <a:lumMod val="75000"/>
              </a:schemeClr>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A_DCFROR!$C$106:$AI$106</c:f>
              <c:numCache>
                <c:formatCode>General</c:formatCode>
                <c:ptCount val="33"/>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numCache>
            </c:numRef>
          </c:val>
          <c:extLst>
            <c:ext xmlns:c16="http://schemas.microsoft.com/office/drawing/2014/chart" uri="{C3380CC4-5D6E-409C-BE32-E72D297353CC}">
              <c16:uniqueId val="{00000001-EE6F-43E0-930C-CD9FC0D4DE2A}"/>
            </c:ext>
          </c:extLst>
        </c:ser>
        <c:ser>
          <c:idx val="2"/>
          <c:order val="2"/>
          <c:tx>
            <c:strRef>
              <c:f>A_DCFROR!$B$107</c:f>
              <c:strCache>
                <c:ptCount val="1"/>
                <c:pt idx="0">
                  <c:v>Depreciation</c:v>
                </c:pt>
              </c:strCache>
            </c:strRef>
          </c:tx>
          <c:spPr>
            <a:solidFill>
              <a:schemeClr val="accent5">
                <a:lumMod val="75000"/>
              </a:schemeClr>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A_DCFROR!$C$107:$AI$107</c:f>
              <c:numCache>
                <c:formatCode>General</c:formatCode>
                <c:ptCount val="33"/>
                <c:pt idx="2" formatCode="_(&quot;$&quot;* #,##0_);_(&quot;$&quot;* \(#,##0\);_(&quot;$&quot;* &quot;-&quot;??_);_(@_)">
                  <c:v>-55.483230953793154</c:v>
                </c:pt>
                <c:pt idx="3" formatCode="_(&quot;$&quot;* #,##0_);_(&quot;$&quot;* \(#,##0\);_(&quot;$&quot;* &quot;-&quot;??_);_(@_)">
                  <c:v>-95.086376911014298</c:v>
                </c:pt>
                <c:pt idx="4" formatCode="_(&quot;$&quot;* #,##0_);_(&quot;$&quot;* \(#,##0\);_(&quot;$&quot;* &quot;-&quot;??_);_(@_)">
                  <c:v>-67.907747332529198</c:v>
                </c:pt>
                <c:pt idx="5" formatCode="_(&quot;$&quot;* #,##0_);_(&quot;$&quot;* \(#,##0\);_(&quot;$&quot;* &quot;-&quot;??_);_(@_)">
                  <c:v>-48.49444049075413</c:v>
                </c:pt>
                <c:pt idx="6" formatCode="_(&quot;$&quot;* #,##0_);_(&quot;$&quot;* \(#,##0\);_(&quot;$&quot;* &quot;-&quot;??_);_(@_)">
                  <c:v>-34.672166019410284</c:v>
                </c:pt>
                <c:pt idx="7" formatCode="_(&quot;$&quot;* #,##0_);_(&quot;$&quot;* \(#,##0\);_(&quot;$&quot;* &quot;-&quot;??_);_(@_)">
                  <c:v>-34.63333940572673</c:v>
                </c:pt>
                <c:pt idx="8" formatCode="_(&quot;$&quot;* #,##0_);_(&quot;$&quot;* \(#,##0\);_(&quot;$&quot;* &quot;-&quot;??_);_(@_)">
                  <c:v>-34.672166019410284</c:v>
                </c:pt>
                <c:pt idx="9" formatCode="_(&quot;$&quot;* #,##0_);_(&quot;$&quot;* \(#,##0\);_(&quot;$&quot;* &quot;-&quot;??_);_(@_)">
                  <c:v>-17.316669702863365</c:v>
                </c:pt>
                <c:pt idx="10" formatCode="_(&quot;$&quot;* #,##0_);_(&quot;$&quot;* \(#,##0\);_(&quot;$&quot;* &quot;-&quot;??_);_(@_)">
                  <c:v>0</c:v>
                </c:pt>
                <c:pt idx="11" formatCode="_(&quot;$&quot;* #,##0_);_(&quot;$&quot;* \(#,##0\);_(&quot;$&quot;* &quot;-&quot;??_);_(@_)">
                  <c:v>0</c:v>
                </c:pt>
                <c:pt idx="12" formatCode="_(&quot;$&quot;* #,##0_);_(&quot;$&quot;* \(#,##0\);_(&quot;$&quot;* &quot;-&quot;??_);_(@_)">
                  <c:v>0</c:v>
                </c:pt>
                <c:pt idx="13" formatCode="_(&quot;$&quot;* #,##0_);_(&quot;$&quot;* \(#,##0\);_(&quot;$&quot;* &quot;-&quot;??_);_(@_)">
                  <c:v>0</c:v>
                </c:pt>
                <c:pt idx="14" formatCode="_(&quot;$&quot;* #,##0_);_(&quot;$&quot;* \(#,##0\);_(&quot;$&quot;* &quot;-&quot;??_);_(@_)">
                  <c:v>0</c:v>
                </c:pt>
                <c:pt idx="15" formatCode="_(&quot;$&quot;* #,##0_);_(&quot;$&quot;* \(#,##0\);_(&quot;$&quot;* &quot;-&quot;??_);_(@_)">
                  <c:v>0</c:v>
                </c:pt>
                <c:pt idx="16" formatCode="_(&quot;$&quot;* #,##0_);_(&quot;$&quot;* \(#,##0\);_(&quot;$&quot;* &quot;-&quot;??_);_(@_)">
                  <c:v>0</c:v>
                </c:pt>
                <c:pt idx="17" formatCode="_(&quot;$&quot;* #,##0_);_(&quot;$&quot;* \(#,##0\);_(&quot;$&quot;* &quot;-&quot;??_);_(@_)">
                  <c:v>0</c:v>
                </c:pt>
                <c:pt idx="18" formatCode="_(&quot;$&quot;* #,##0_);_(&quot;$&quot;* \(#,##0\);_(&quot;$&quot;* &quot;-&quot;??_);_(@_)">
                  <c:v>0</c:v>
                </c:pt>
                <c:pt idx="19" formatCode="_(&quot;$&quot;* #,##0_);_(&quot;$&quot;* \(#,##0\);_(&quot;$&quot;* &quot;-&quot;??_);_(@_)">
                  <c:v>0</c:v>
                </c:pt>
                <c:pt idx="20" formatCode="_(&quot;$&quot;* #,##0_);_(&quot;$&quot;* \(#,##0\);_(&quot;$&quot;* &quot;-&quot;??_);_(@_)">
                  <c:v>0</c:v>
                </c:pt>
                <c:pt idx="21" formatCode="_(&quot;$&quot;* #,##0_);_(&quot;$&quot;* \(#,##0\);_(&quot;$&quot;* &quot;-&quot;??_);_(@_)">
                  <c:v>0</c:v>
                </c:pt>
                <c:pt idx="22" formatCode="_(&quot;$&quot;* #,##0_);_(&quot;$&quot;* \(#,##0\);_(&quot;$&quot;* &quot;-&quot;??_);_(@_)">
                  <c:v>0</c:v>
                </c:pt>
                <c:pt idx="23" formatCode="_(&quot;$&quot;* #,##0_);_(&quot;$&quot;* \(#,##0\);_(&quot;$&quot;* &quot;-&quot;??_);_(@_)">
                  <c:v>0</c:v>
                </c:pt>
                <c:pt idx="24" formatCode="_(&quot;$&quot;* #,##0_);_(&quot;$&quot;* \(#,##0\);_(&quot;$&quot;* &quot;-&quot;??_);_(@_)">
                  <c:v>0</c:v>
                </c:pt>
                <c:pt idx="25" formatCode="_(&quot;$&quot;* #,##0_);_(&quot;$&quot;* \(#,##0\);_(&quot;$&quot;* &quot;-&quot;??_);_(@_)">
                  <c:v>0</c:v>
                </c:pt>
                <c:pt idx="26" formatCode="_(&quot;$&quot;* #,##0_);_(&quot;$&quot;* \(#,##0\);_(&quot;$&quot;* &quot;-&quot;??_);_(@_)">
                  <c:v>0</c:v>
                </c:pt>
                <c:pt idx="27" formatCode="_(&quot;$&quot;* #,##0_);_(&quot;$&quot;* \(#,##0\);_(&quot;$&quot;* &quot;-&quot;??_);_(@_)">
                  <c:v>0</c:v>
                </c:pt>
                <c:pt idx="28" formatCode="_(&quot;$&quot;* #,##0_);_(&quot;$&quot;* \(#,##0\);_(&quot;$&quot;* &quot;-&quot;??_);_(@_)">
                  <c:v>0</c:v>
                </c:pt>
                <c:pt idx="29" formatCode="_(&quot;$&quot;* #,##0_);_(&quot;$&quot;* \(#,##0\);_(&quot;$&quot;* &quot;-&quot;??_);_(@_)">
                  <c:v>0</c:v>
                </c:pt>
                <c:pt idx="30" formatCode="_(&quot;$&quot;* #,##0_);_(&quot;$&quot;* \(#,##0\);_(&quot;$&quot;* &quot;-&quot;??_);_(@_)">
                  <c:v>0</c:v>
                </c:pt>
                <c:pt idx="31" formatCode="_(&quot;$&quot;* #,##0_);_(&quot;$&quot;* \(#,##0\);_(&quot;$&quot;* &quot;-&quot;??_);_(@_)">
                  <c:v>0</c:v>
                </c:pt>
                <c:pt idx="32" formatCode="_(&quot;$&quot;* #,##0_);_(&quot;$&quot;* \(#,##0\);_(&quot;$&quot;* &quot;-&quot;??_);_(@_)">
                  <c:v>0</c:v>
                </c:pt>
              </c:numCache>
            </c:numRef>
          </c:val>
          <c:extLst>
            <c:ext xmlns:c16="http://schemas.microsoft.com/office/drawing/2014/chart" uri="{C3380CC4-5D6E-409C-BE32-E72D297353CC}">
              <c16:uniqueId val="{00000002-EE6F-43E0-930C-CD9FC0D4DE2A}"/>
            </c:ext>
          </c:extLst>
        </c:ser>
        <c:ser>
          <c:idx val="3"/>
          <c:order val="3"/>
          <c:tx>
            <c:strRef>
              <c:f>A_DCFROR!$B$108</c:f>
              <c:strCache>
                <c:ptCount val="1"/>
                <c:pt idx="0">
                  <c:v>Loan Payment</c:v>
                </c:pt>
              </c:strCache>
            </c:strRef>
          </c:tx>
          <c:spPr>
            <a:solidFill>
              <a:schemeClr val="bg2">
                <a:lumMod val="50000"/>
              </a:schemeClr>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A_DCFROR!$C$108:$AI$108</c:f>
              <c:numCache>
                <c:formatCode>_("$"* #,##0_);_("$"* \(#,##0\);_("$"* "-"??_);_(@_)</c:formatCode>
                <c:ptCount val="33"/>
                <c:pt idx="0">
                  <c:v>-1.8636774568104071</c:v>
                </c:pt>
                <c:pt idx="1">
                  <c:v>-11.182064740862442</c:v>
                </c:pt>
                <c:pt idx="2">
                  <c:v>-18.63677456810407</c:v>
                </c:pt>
                <c:pt idx="3">
                  <c:v>-18.63677456810407</c:v>
                </c:pt>
                <c:pt idx="4">
                  <c:v>-17.350287548705186</c:v>
                </c:pt>
                <c:pt idx="5">
                  <c:v>-15.960881567754395</c:v>
                </c:pt>
                <c:pt idx="6">
                  <c:v>-14.46032310832754</c:v>
                </c:pt>
                <c:pt idx="7">
                  <c:v>-12.839719972146534</c:v>
                </c:pt>
                <c:pt idx="8">
                  <c:v>-11.089468585071051</c:v>
                </c:pt>
                <c:pt idx="9">
                  <c:v>-9.1991970870295301</c:v>
                </c:pt>
                <c:pt idx="10">
                  <c:v>-7.1577038691446848</c:v>
                </c:pt>
                <c:pt idx="11">
                  <c:v>-4.9528911938290516</c:v>
                </c:pt>
                <c:pt idx="12">
                  <c:v>-2.5716935044881679</c:v>
                </c:pt>
                <c:pt idx="13">
                  <c:v>-1.3522803783416748E-14</c:v>
                </c:pt>
                <c:pt idx="14">
                  <c:v>-1.460462808609009E-14</c:v>
                </c:pt>
                <c:pt idx="15">
                  <c:v>-1.5772998332977294E-14</c:v>
                </c:pt>
                <c:pt idx="16">
                  <c:v>-1.7034838199615478E-14</c:v>
                </c:pt>
                <c:pt idx="17">
                  <c:v>-1.8397625255584718E-14</c:v>
                </c:pt>
                <c:pt idx="18">
                  <c:v>-1.9869435276031495E-14</c:v>
                </c:pt>
                <c:pt idx="19">
                  <c:v>-2.1458990098114013E-14</c:v>
                </c:pt>
                <c:pt idx="20">
                  <c:v>-2.3175709305963137E-14</c:v>
                </c:pt>
                <c:pt idx="21">
                  <c:v>-2.5029766050440189E-14</c:v>
                </c:pt>
                <c:pt idx="22">
                  <c:v>-2.7032147334475403E-14</c:v>
                </c:pt>
                <c:pt idx="23">
                  <c:v>-2.919471912123344E-14</c:v>
                </c:pt>
                <c:pt idx="24">
                  <c:v>-3.1530296650932106E-14</c:v>
                </c:pt>
                <c:pt idx="25">
                  <c:v>-3.4052720383006674E-14</c:v>
                </c:pt>
                <c:pt idx="26">
                  <c:v>-3.6776938013647216E-14</c:v>
                </c:pt>
                <c:pt idx="27">
                  <c:v>-3.9719093054738994E-14</c:v>
                </c:pt>
                <c:pt idx="28">
                  <c:v>-4.2896620499118109E-14</c:v>
                </c:pt>
                <c:pt idx="29">
                  <c:v>-4.6328350139047568E-14</c:v>
                </c:pt>
                <c:pt idx="30">
                  <c:v>-5.0034618150171371E-14</c:v>
                </c:pt>
                <c:pt idx="31">
                  <c:v>-5.4037387602185081E-14</c:v>
                </c:pt>
                <c:pt idx="32">
                  <c:v>-5.8360378610359881E-14</c:v>
                </c:pt>
              </c:numCache>
            </c:numRef>
          </c:val>
          <c:extLst>
            <c:ext xmlns:c16="http://schemas.microsoft.com/office/drawing/2014/chart" uri="{C3380CC4-5D6E-409C-BE32-E72D297353CC}">
              <c16:uniqueId val="{00000003-EE6F-43E0-930C-CD9FC0D4DE2A}"/>
            </c:ext>
          </c:extLst>
        </c:ser>
        <c:ser>
          <c:idx val="4"/>
          <c:order val="4"/>
          <c:tx>
            <c:strRef>
              <c:f>A_DCFROR!$B$109</c:f>
              <c:strCache>
                <c:ptCount val="1"/>
                <c:pt idx="0">
                  <c:v>Operational Expenses</c:v>
                </c:pt>
              </c:strCache>
            </c:strRef>
          </c:tx>
          <c:spPr>
            <a:solidFill>
              <a:srgbClr val="CCCC00"/>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A_DCFROR!$C$109:$AI$109</c:f>
              <c:numCache>
                <c:formatCode>General</c:formatCode>
                <c:ptCount val="33"/>
                <c:pt idx="3" formatCode="_(&quot;$&quot;* #,##0.00_);_(&quot;$&quot;* \(#,##0.00\);_(&quot;$&quot;* &quot;-&quot;??_);_(@_)">
                  <c:v>-52.348474271526463</c:v>
                </c:pt>
                <c:pt idx="4" formatCode="_(&quot;$&quot;* #,##0.00_);_(&quot;$&quot;* \(#,##0.00\);_(&quot;$&quot;* &quot;-&quot;??_);_(@_)">
                  <c:v>-69.797965695368617</c:v>
                </c:pt>
                <c:pt idx="5" formatCode="_(&quot;$&quot;* #,##0.00_);_(&quot;$&quot;* \(#,##0.00\);_(&quot;$&quot;* &quot;-&quot;??_);_(@_)">
                  <c:v>-69.797965695368617</c:v>
                </c:pt>
                <c:pt idx="6" formatCode="_(&quot;$&quot;* #,##0.00_);_(&quot;$&quot;* \(#,##0.00\);_(&quot;$&quot;* &quot;-&quot;??_);_(@_)">
                  <c:v>-69.797965695368617</c:v>
                </c:pt>
                <c:pt idx="7" formatCode="_(&quot;$&quot;* #,##0.00_);_(&quot;$&quot;* \(#,##0.00\);_(&quot;$&quot;* &quot;-&quot;??_);_(@_)">
                  <c:v>-69.797965695368617</c:v>
                </c:pt>
                <c:pt idx="8" formatCode="_(&quot;$&quot;* #,##0.00_);_(&quot;$&quot;* \(#,##0.00\);_(&quot;$&quot;* &quot;-&quot;??_);_(@_)">
                  <c:v>-69.797965695368617</c:v>
                </c:pt>
                <c:pt idx="9" formatCode="_(&quot;$&quot;* #,##0.00_);_(&quot;$&quot;* \(#,##0.00\);_(&quot;$&quot;* &quot;-&quot;??_);_(@_)">
                  <c:v>-69.797965695368617</c:v>
                </c:pt>
                <c:pt idx="10" formatCode="_(&quot;$&quot;* #,##0.00_);_(&quot;$&quot;* \(#,##0.00\);_(&quot;$&quot;* &quot;-&quot;??_);_(@_)">
                  <c:v>-69.797965695368617</c:v>
                </c:pt>
                <c:pt idx="11" formatCode="_(&quot;$&quot;* #,##0.00_);_(&quot;$&quot;* \(#,##0.00\);_(&quot;$&quot;* &quot;-&quot;??_);_(@_)">
                  <c:v>-69.797965695368617</c:v>
                </c:pt>
                <c:pt idx="12" formatCode="_(&quot;$&quot;* #,##0.00_);_(&quot;$&quot;* \(#,##0.00\);_(&quot;$&quot;* &quot;-&quot;??_);_(@_)">
                  <c:v>-69.797965695368617</c:v>
                </c:pt>
                <c:pt idx="13" formatCode="_(&quot;$&quot;* #,##0.00_);_(&quot;$&quot;* \(#,##0.00\);_(&quot;$&quot;* &quot;-&quot;??_);_(@_)">
                  <c:v>-69.797965695368617</c:v>
                </c:pt>
                <c:pt idx="14" formatCode="_(&quot;$&quot;* #,##0.00_);_(&quot;$&quot;* \(#,##0.00\);_(&quot;$&quot;* &quot;-&quot;??_);_(@_)">
                  <c:v>-69.797965695368617</c:v>
                </c:pt>
                <c:pt idx="15" formatCode="_(&quot;$&quot;* #,##0.00_);_(&quot;$&quot;* \(#,##0.00\);_(&quot;$&quot;* &quot;-&quot;??_);_(@_)">
                  <c:v>-69.797965695368617</c:v>
                </c:pt>
                <c:pt idx="16" formatCode="_(&quot;$&quot;* #,##0.00_);_(&quot;$&quot;* \(#,##0.00\);_(&quot;$&quot;* &quot;-&quot;??_);_(@_)">
                  <c:v>-69.797965695368617</c:v>
                </c:pt>
                <c:pt idx="17" formatCode="_(&quot;$&quot;* #,##0.00_);_(&quot;$&quot;* \(#,##0.00\);_(&quot;$&quot;* &quot;-&quot;??_);_(@_)">
                  <c:v>-69.797965695368617</c:v>
                </c:pt>
                <c:pt idx="18" formatCode="_(&quot;$&quot;* #,##0.00_);_(&quot;$&quot;* \(#,##0.00\);_(&quot;$&quot;* &quot;-&quot;??_);_(@_)">
                  <c:v>-69.797965695368617</c:v>
                </c:pt>
                <c:pt idx="19" formatCode="_(&quot;$&quot;* #,##0.00_);_(&quot;$&quot;* \(#,##0.00\);_(&quot;$&quot;* &quot;-&quot;??_);_(@_)">
                  <c:v>-69.797965695368617</c:v>
                </c:pt>
                <c:pt idx="20" formatCode="_(&quot;$&quot;* #,##0.00_);_(&quot;$&quot;* \(#,##0.00\);_(&quot;$&quot;* &quot;-&quot;??_);_(@_)">
                  <c:v>-69.797965695368617</c:v>
                </c:pt>
                <c:pt idx="21" formatCode="_(&quot;$&quot;* #,##0.00_);_(&quot;$&quot;* \(#,##0.00\);_(&quot;$&quot;* &quot;-&quot;??_);_(@_)">
                  <c:v>-69.797965695368617</c:v>
                </c:pt>
                <c:pt idx="22" formatCode="_(&quot;$&quot;* #,##0.00_);_(&quot;$&quot;* \(#,##0.00\);_(&quot;$&quot;* &quot;-&quot;??_);_(@_)">
                  <c:v>-69.797965695368617</c:v>
                </c:pt>
                <c:pt idx="23" formatCode="_(&quot;$&quot;* #,##0.00_);_(&quot;$&quot;* \(#,##0.00\);_(&quot;$&quot;* &quot;-&quot;??_);_(@_)">
                  <c:v>-69.797965695368617</c:v>
                </c:pt>
                <c:pt idx="24" formatCode="_(&quot;$&quot;* #,##0.00_);_(&quot;$&quot;* \(#,##0.00\);_(&quot;$&quot;* &quot;-&quot;??_);_(@_)">
                  <c:v>-69.797965695368617</c:v>
                </c:pt>
                <c:pt idx="25" formatCode="_(&quot;$&quot;* #,##0.00_);_(&quot;$&quot;* \(#,##0.00\);_(&quot;$&quot;* &quot;-&quot;??_);_(@_)">
                  <c:v>-69.797965695368617</c:v>
                </c:pt>
                <c:pt idx="26" formatCode="_(&quot;$&quot;* #,##0.00_);_(&quot;$&quot;* \(#,##0.00\);_(&quot;$&quot;* &quot;-&quot;??_);_(@_)">
                  <c:v>-69.797965695368617</c:v>
                </c:pt>
                <c:pt idx="27" formatCode="_(&quot;$&quot;* #,##0.00_);_(&quot;$&quot;* \(#,##0.00\);_(&quot;$&quot;* &quot;-&quot;??_);_(@_)">
                  <c:v>-69.797965695368617</c:v>
                </c:pt>
                <c:pt idx="28" formatCode="_(&quot;$&quot;* #,##0.00_);_(&quot;$&quot;* \(#,##0.00\);_(&quot;$&quot;* &quot;-&quot;??_);_(@_)">
                  <c:v>-69.797965695368617</c:v>
                </c:pt>
                <c:pt idx="29" formatCode="_(&quot;$&quot;* #,##0.00_);_(&quot;$&quot;* \(#,##0.00\);_(&quot;$&quot;* &quot;-&quot;??_);_(@_)">
                  <c:v>-69.797965695368617</c:v>
                </c:pt>
                <c:pt idx="30" formatCode="_(&quot;$&quot;* #,##0.00_);_(&quot;$&quot;* \(#,##0.00\);_(&quot;$&quot;* &quot;-&quot;??_);_(@_)">
                  <c:v>-69.797965695368617</c:v>
                </c:pt>
                <c:pt idx="31" formatCode="_(&quot;$&quot;* #,##0.00_);_(&quot;$&quot;* \(#,##0.00\);_(&quot;$&quot;* &quot;-&quot;??_);_(@_)">
                  <c:v>-69.797965695368617</c:v>
                </c:pt>
                <c:pt idx="32" formatCode="_(&quot;$&quot;* #,##0.00_);_(&quot;$&quot;* \(#,##0.00\);_(&quot;$&quot;* &quot;-&quot;??_);_(@_)">
                  <c:v>-69.797965695368617</c:v>
                </c:pt>
              </c:numCache>
            </c:numRef>
          </c:val>
          <c:extLst>
            <c:ext xmlns:c16="http://schemas.microsoft.com/office/drawing/2014/chart" uri="{C3380CC4-5D6E-409C-BE32-E72D297353CC}">
              <c16:uniqueId val="{00000004-EE6F-43E0-930C-CD9FC0D4DE2A}"/>
            </c:ext>
          </c:extLst>
        </c:ser>
        <c:ser>
          <c:idx val="5"/>
          <c:order val="5"/>
          <c:tx>
            <c:strRef>
              <c:f>A_DCFROR!$B$110</c:f>
              <c:strCache>
                <c:ptCount val="1"/>
                <c:pt idx="0">
                  <c:v>Revenue</c:v>
                </c:pt>
              </c:strCache>
            </c:strRef>
          </c:tx>
          <c:spPr>
            <a:solidFill>
              <a:schemeClr val="accent6"/>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A_DCFROR!$C$110:$AI$110</c:f>
              <c:numCache>
                <c:formatCode>General</c:formatCode>
                <c:ptCount val="33"/>
                <c:pt idx="3" formatCode="_(&quot;$&quot;* #,##0_);_(&quot;$&quot;* \(#,##0\);_(&quot;$&quot;* &quot;-&quot;??_);_(@_)">
                  <c:v>-40.126218152396028</c:v>
                </c:pt>
                <c:pt idx="4" formatCode="_(&quot;$&quot;* #,##0_);_(&quot;$&quot;* \(#,##0\);_(&quot;$&quot;* &quot;-&quot;??_);_(@_)">
                  <c:v>-39.073690787865679</c:v>
                </c:pt>
                <c:pt idx="5" formatCode="_(&quot;$&quot;* #,##0_);_(&quot;$&quot;* \(#,##0\);_(&quot;$&quot;* &quot;-&quot;??_);_(@_)">
                  <c:v>-35.521537079877881</c:v>
                </c:pt>
                <c:pt idx="6" formatCode="_(&quot;$&quot;* #,##0_);_(&quot;$&quot;* \(#,##0\);_(&quot;$&quot;* &quot;-&quot;??_);_(@_)">
                  <c:v>-32.292306436252623</c:v>
                </c:pt>
                <c:pt idx="7" formatCode="_(&quot;$&quot;* #,##0_);_(&quot;$&quot;* \(#,##0\);_(&quot;$&quot;* &quot;-&quot;??_);_(@_)">
                  <c:v>-29.356642214775107</c:v>
                </c:pt>
                <c:pt idx="8" formatCode="_(&quot;$&quot;* #,##0_);_(&quot;$&quot;* \(#,##0\);_(&quot;$&quot;* &quot;-&quot;??_);_(@_)">
                  <c:v>-26.687856558886462</c:v>
                </c:pt>
                <c:pt idx="9" formatCode="_(&quot;$&quot;* #,##0_);_(&quot;$&quot;* \(#,##0\);_(&quot;$&quot;* &quot;-&quot;??_);_(@_)">
                  <c:v>-24.261687780805868</c:v>
                </c:pt>
                <c:pt idx="10" formatCode="_(&quot;$&quot;* #,##0_);_(&quot;$&quot;* \(#,##0\);_(&quot;$&quot;* &quot;-&quot;??_);_(@_)">
                  <c:v>-22.056079800732608</c:v>
                </c:pt>
                <c:pt idx="11" formatCode="_(&quot;$&quot;* #,##0_);_(&quot;$&quot;* \(#,##0\);_(&quot;$&quot;* &quot;-&quot;??_);_(@_)">
                  <c:v>-20.050981637029643</c:v>
                </c:pt>
                <c:pt idx="12" formatCode="_(&quot;$&quot;* #,##0_);_(&quot;$&quot;* \(#,##0\);_(&quot;$&quot;* &quot;-&quot;??_);_(@_)">
                  <c:v>-18.228165124572399</c:v>
                </c:pt>
                <c:pt idx="13" formatCode="_(&quot;$&quot;* #,##0_);_(&quot;$&quot;* \(#,##0\);_(&quot;$&quot;* &quot;-&quot;??_);_(@_)">
                  <c:v>-4.4026602612599461</c:v>
                </c:pt>
                <c:pt idx="14" formatCode="_(&quot;$&quot;* #,##0_);_(&quot;$&quot;* \(#,##0\);_(&quot;$&quot;* &quot;-&quot;??_);_(@_)">
                  <c:v>-4.0024184193272241</c:v>
                </c:pt>
                <c:pt idx="15" formatCode="_(&quot;$&quot;* #,##0_);_(&quot;$&quot;* \(#,##0\);_(&quot;$&quot;* &quot;-&quot;??_);_(@_)">
                  <c:v>-3.6385621993883857</c:v>
                </c:pt>
                <c:pt idx="16" formatCode="_(&quot;$&quot;* #,##0_);_(&quot;$&quot;* \(#,##0\);_(&quot;$&quot;* &quot;-&quot;??_);_(@_)">
                  <c:v>-3.3077838176258045</c:v>
                </c:pt>
                <c:pt idx="17" formatCode="_(&quot;$&quot;* #,##0_);_(&quot;$&quot;* \(#,##0\);_(&quot;$&quot;* &quot;-&quot;??_);_(@_)">
                  <c:v>-3.00707619784164</c:v>
                </c:pt>
                <c:pt idx="18" formatCode="_(&quot;$&quot;* #,##0_);_(&quot;$&quot;* \(#,##0\);_(&quot;$&quot;* &quot;-&quot;??_);_(@_)">
                  <c:v>-2.7337056344014909</c:v>
                </c:pt>
                <c:pt idx="19" formatCode="_(&quot;$&quot;* #,##0_);_(&quot;$&quot;* \(#,##0\);_(&quot;$&quot;* &quot;-&quot;??_);_(@_)">
                  <c:v>-2.4851869403649918</c:v>
                </c:pt>
                <c:pt idx="20" formatCode="_(&quot;$&quot;* #,##0_);_(&quot;$&quot;* \(#,##0\);_(&quot;$&quot;* &quot;-&quot;??_);_(@_)">
                  <c:v>-2.2592608548772652</c:v>
                </c:pt>
                <c:pt idx="21" formatCode="_(&quot;$&quot;* #,##0_);_(&quot;$&quot;* \(#,##0\);_(&quot;$&quot;* &quot;-&quot;??_);_(@_)">
                  <c:v>-2.0538735044338767</c:v>
                </c:pt>
                <c:pt idx="22" formatCode="_(&quot;$&quot;* #,##0_);_(&quot;$&quot;* \(#,##0\);_(&quot;$&quot;* &quot;-&quot;??_);_(@_)">
                  <c:v>-1.8671577313035246</c:v>
                </c:pt>
                <c:pt idx="23" formatCode="_(&quot;$&quot;* #,##0_);_(&quot;$&quot;* \(#,##0\);_(&quot;$&quot;* &quot;-&quot;??_);_(@_)">
                  <c:v>-1.6974161193668404</c:v>
                </c:pt>
                <c:pt idx="24" formatCode="_(&quot;$&quot;* #,##0_);_(&quot;$&quot;* \(#,##0\);_(&quot;$&quot;* &quot;-&quot;??_);_(@_)">
                  <c:v>-1.5431055630607637</c:v>
                </c:pt>
                <c:pt idx="25" formatCode="_(&quot;$&quot;* #,##0_);_(&quot;$&quot;* \(#,##0\);_(&quot;$&quot;* &quot;-&quot;??_);_(@_)">
                  <c:v>-1.4028232391461488</c:v>
                </c:pt>
                <c:pt idx="26" formatCode="_(&quot;$&quot;* #,##0_);_(&quot;$&quot;* \(#,##0\);_(&quot;$&quot;* &quot;-&quot;??_);_(@_)">
                  <c:v>-1.2752938537692264</c:v>
                </c:pt>
                <c:pt idx="27" formatCode="_(&quot;$&quot;* #,##0_);_(&quot;$&quot;* \(#,##0\);_(&quot;$&quot;* &quot;-&quot;??_);_(@_)">
                  <c:v>-1.1593580488811144</c:v>
                </c:pt>
                <c:pt idx="28" formatCode="_(&quot;$&quot;* #,##0_);_(&quot;$&quot;* \(#,##0\);_(&quot;$&quot;* &quot;-&quot;??_);_(@_)">
                  <c:v>-1.0539618626191949</c:v>
                </c:pt>
                <c:pt idx="29" formatCode="_(&quot;$&quot;* #,##0_);_(&quot;$&quot;* \(#,##0\);_(&quot;$&quot;* &quot;-&quot;??_);_(@_)">
                  <c:v>-0.95814714783563171</c:v>
                </c:pt>
                <c:pt idx="30" formatCode="_(&quot;$&quot;* #,##0_);_(&quot;$&quot;* \(#,##0\);_(&quot;$&quot;* &quot;-&quot;??_);_(@_)">
                  <c:v>-0.871042861668756</c:v>
                </c:pt>
                <c:pt idx="31" formatCode="_(&quot;$&quot;* #,##0_);_(&quot;$&quot;* \(#,##0\);_(&quot;$&quot;* &quot;-&quot;??_);_(@_)">
                  <c:v>-0.79185714697159637</c:v>
                </c:pt>
                <c:pt idx="32" formatCode="_(&quot;$&quot;* #,##0_);_(&quot;$&quot;* \(#,##0\);_(&quot;$&quot;* &quot;-&quot;??_);_(@_)">
                  <c:v>-0.71987013361054208</c:v>
                </c:pt>
              </c:numCache>
            </c:numRef>
          </c:val>
          <c:extLst>
            <c:ext xmlns:c16="http://schemas.microsoft.com/office/drawing/2014/chart" uri="{C3380CC4-5D6E-409C-BE32-E72D297353CC}">
              <c16:uniqueId val="{00000005-EE6F-43E0-930C-CD9FC0D4DE2A}"/>
            </c:ext>
          </c:extLst>
        </c:ser>
        <c:dLbls>
          <c:showLegendKey val="0"/>
          <c:showVal val="0"/>
          <c:showCatName val="0"/>
          <c:showSerName val="0"/>
          <c:showPercent val="0"/>
          <c:showBubbleSize val="0"/>
        </c:dLbls>
        <c:gapWidth val="70"/>
        <c:overlap val="100"/>
        <c:axId val="409926112"/>
        <c:axId val="1100436719"/>
      </c:barChart>
      <c:lineChart>
        <c:grouping val="standard"/>
        <c:varyColors val="0"/>
        <c:ser>
          <c:idx val="6"/>
          <c:order val="6"/>
          <c:tx>
            <c:strRef>
              <c:f>A_DCFROR!$B$111</c:f>
              <c:strCache>
                <c:ptCount val="1"/>
                <c:pt idx="0">
                  <c:v>Net Present Value</c:v>
                </c:pt>
              </c:strCache>
            </c:strRef>
          </c:tx>
          <c:spPr>
            <a:ln w="41275" cap="flat">
              <a:solidFill>
                <a:srgbClr val="000000"/>
              </a:solidFill>
              <a:miter lim="800000"/>
            </a:ln>
            <a:effectLst/>
          </c:spPr>
          <c:marker>
            <c:symbol val="none"/>
          </c:marker>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A_DCFROR!$C$111:$AI$111</c:f>
              <c:numCache>
                <c:formatCode>General</c:formatCode>
                <c:ptCount val="33"/>
                <c:pt idx="3" formatCode="_(&quot;$&quot;* #,##0_);_(&quot;$&quot;* \(#,##0\);_(&quot;$&quot;* &quot;-&quot;??_);_(@_)">
                  <c:v>-329.53513735593674</c:v>
                </c:pt>
                <c:pt idx="4" formatCode="_(&quot;$&quot;* #,##0_);_(&quot;$&quot;* \(#,##0\);_(&quot;$&quot;* &quot;-&quot;??_);_(@_)">
                  <c:v>-368.60882814380244</c:v>
                </c:pt>
                <c:pt idx="5" formatCode="_(&quot;$&quot;* #,##0_);_(&quot;$&quot;* \(#,##0\);_(&quot;$&quot;* &quot;-&quot;??_);_(@_)">
                  <c:v>-404.13036522368031</c:v>
                </c:pt>
                <c:pt idx="6" formatCode="_(&quot;$&quot;* #,##0_);_(&quot;$&quot;* \(#,##0\);_(&quot;$&quot;* &quot;-&quot;??_);_(@_)">
                  <c:v>-436.42267165993297</c:v>
                </c:pt>
                <c:pt idx="7" formatCode="_(&quot;$&quot;* #,##0_);_(&quot;$&quot;* \(#,##0\);_(&quot;$&quot;* &quot;-&quot;??_);_(@_)">
                  <c:v>-465.77931387470807</c:v>
                </c:pt>
                <c:pt idx="8" formatCode="_(&quot;$&quot;* #,##0_);_(&quot;$&quot;* \(#,##0\);_(&quot;$&quot;* &quot;-&quot;??_);_(@_)">
                  <c:v>-492.46717043359456</c:v>
                </c:pt>
                <c:pt idx="9" formatCode="_(&quot;$&quot;* #,##0_);_(&quot;$&quot;* \(#,##0\);_(&quot;$&quot;* &quot;-&quot;??_);_(@_)">
                  <c:v>-516.72885821440036</c:v>
                </c:pt>
                <c:pt idx="10" formatCode="_(&quot;$&quot;* #,##0_);_(&quot;$&quot;* \(#,##0\);_(&quot;$&quot;* &quot;-&quot;??_);_(@_)">
                  <c:v>-538.78493801513298</c:v>
                </c:pt>
                <c:pt idx="11" formatCode="_(&quot;$&quot;* #,##0_);_(&quot;$&quot;* \(#,##0\);_(&quot;$&quot;* &quot;-&quot;??_);_(@_)">
                  <c:v>-558.83591965216272</c:v>
                </c:pt>
                <c:pt idx="12" formatCode="_(&quot;$&quot;* #,##0_);_(&quot;$&quot;* \(#,##0\);_(&quot;$&quot;* &quot;-&quot;??_);_(@_)">
                  <c:v>-577.06408477673506</c:v>
                </c:pt>
                <c:pt idx="13" formatCode="_(&quot;$&quot;* #,##0_);_(&quot;$&quot;* \(#,##0\);_(&quot;$&quot;* &quot;-&quot;??_);_(@_)">
                  <c:v>-581.46674503799511</c:v>
                </c:pt>
                <c:pt idx="14" formatCode="_(&quot;$&quot;* #,##0_);_(&quot;$&quot;* \(#,##0\);_(&quot;$&quot;* &quot;-&quot;??_);_(@_)">
                  <c:v>-585.46916345732222</c:v>
                </c:pt>
                <c:pt idx="15" formatCode="_(&quot;$&quot;* #,##0_);_(&quot;$&quot;* \(#,##0\);_(&quot;$&quot;* &quot;-&quot;??_);_(@_)">
                  <c:v>-589.10772565671061</c:v>
                </c:pt>
                <c:pt idx="16" formatCode="_(&quot;$&quot;* #,##0_);_(&quot;$&quot;* \(#,##0\);_(&quot;$&quot;* &quot;-&quot;??_);_(@_)">
                  <c:v>-592.41550947433643</c:v>
                </c:pt>
                <c:pt idx="17" formatCode="_(&quot;$&quot;* #,##0_);_(&quot;$&quot;* \(#,##0\);_(&quot;$&quot;* &quot;-&quot;??_);_(@_)">
                  <c:v>-595.422585672178</c:v>
                </c:pt>
                <c:pt idx="18" formatCode="_(&quot;$&quot;* #,##0_);_(&quot;$&quot;* \(#,##0\);_(&quot;$&quot;* &quot;-&quot;??_);_(@_)">
                  <c:v>-598.15629130657965</c:v>
                </c:pt>
                <c:pt idx="19" formatCode="_(&quot;$&quot;* #,##0_);_(&quot;$&quot;* \(#,##0\);_(&quot;$&quot;* &quot;-&quot;??_);_(@_)">
                  <c:v>-600.64147824694464</c:v>
                </c:pt>
                <c:pt idx="20" formatCode="_(&quot;$&quot;* #,##0_);_(&quot;$&quot;* \(#,##0\);_(&quot;$&quot;* &quot;-&quot;??_);_(@_)">
                  <c:v>-602.90073910182196</c:v>
                </c:pt>
                <c:pt idx="21" formatCode="_(&quot;$&quot;* #,##0_);_(&quot;$&quot;* \(#,##0\);_(&quot;$&quot;* &quot;-&quot;??_);_(@_)">
                  <c:v>-604.95461260625575</c:v>
                </c:pt>
                <c:pt idx="22" formatCode="_(&quot;$&quot;* #,##0_);_(&quot;$&quot;* \(#,##0\);_(&quot;$&quot;* &quot;-&quot;??_);_(@_)">
                  <c:v>-606.8217703375592</c:v>
                </c:pt>
                <c:pt idx="23" formatCode="_(&quot;$&quot;* #,##0_);_(&quot;$&quot;* \(#,##0\);_(&quot;$&quot;* &quot;-&quot;??_);_(@_)">
                  <c:v>-608.51918645692615</c:v>
                </c:pt>
                <c:pt idx="24" formatCode="_(&quot;$&quot;* #,##0_);_(&quot;$&quot;* \(#,##0\);_(&quot;$&quot;* &quot;-&quot;??_);_(@_)">
                  <c:v>-610.0622920199869</c:v>
                </c:pt>
                <c:pt idx="25" formatCode="_(&quot;$&quot;* #,##0_);_(&quot;$&quot;* \(#,##0\);_(&quot;$&quot;* &quot;-&quot;??_);_(@_)">
                  <c:v>-611.46511525913309</c:v>
                </c:pt>
                <c:pt idx="26" formatCode="_(&quot;$&quot;* #,##0_);_(&quot;$&quot;* \(#,##0\);_(&quot;$&quot;* &quot;-&quot;??_);_(@_)">
                  <c:v>-612.74040911290228</c:v>
                </c:pt>
                <c:pt idx="27" formatCode="_(&quot;$&quot;* #,##0_);_(&quot;$&quot;* \(#,##0\);_(&quot;$&quot;* &quot;-&quot;??_);_(@_)">
                  <c:v>-613.89976716178342</c:v>
                </c:pt>
                <c:pt idx="28" formatCode="_(&quot;$&quot;* #,##0_);_(&quot;$&quot;* \(#,##0\);_(&quot;$&quot;* &quot;-&quot;??_);_(@_)">
                  <c:v>-614.95372902440261</c:v>
                </c:pt>
                <c:pt idx="29" formatCode="_(&quot;$&quot;* #,##0_);_(&quot;$&quot;* \(#,##0\);_(&quot;$&quot;* &quot;-&quot;??_);_(@_)">
                  <c:v>-615.91187617223818</c:v>
                </c:pt>
                <c:pt idx="30" formatCode="_(&quot;$&quot;* #,##0_);_(&quot;$&quot;* \(#,##0\);_(&quot;$&quot;* &quot;-&quot;??_);_(@_)">
                  <c:v>-616.78291903390698</c:v>
                </c:pt>
                <c:pt idx="31" formatCode="_(&quot;$&quot;* #,##0_);_(&quot;$&quot;* \(#,##0\);_(&quot;$&quot;* &quot;-&quot;??_);_(@_)">
                  <c:v>-617.57477618087864</c:v>
                </c:pt>
                <c:pt idx="32" formatCode="_(&quot;$&quot;* #,##0_);_(&quot;$&quot;* \(#,##0\);_(&quot;$&quot;* &quot;-&quot;??_);_(@_)">
                  <c:v>-618.29464631448911</c:v>
                </c:pt>
              </c:numCache>
            </c:numRef>
          </c:val>
          <c:smooth val="0"/>
          <c:extLst>
            <c:ext xmlns:c16="http://schemas.microsoft.com/office/drawing/2014/chart" uri="{C3380CC4-5D6E-409C-BE32-E72D297353CC}">
              <c16:uniqueId val="{00000006-EE6F-43E0-930C-CD9FC0D4DE2A}"/>
            </c:ext>
          </c:extLst>
        </c:ser>
        <c:dLbls>
          <c:showLegendKey val="0"/>
          <c:showVal val="0"/>
          <c:showCatName val="0"/>
          <c:showSerName val="0"/>
          <c:showPercent val="0"/>
          <c:showBubbleSize val="0"/>
        </c:dLbls>
        <c:marker val="1"/>
        <c:smooth val="0"/>
        <c:axId val="1815470032"/>
        <c:axId val="1815446032"/>
      </c:lineChart>
      <c:catAx>
        <c:axId val="409926112"/>
        <c:scaling>
          <c:orientation val="minMax"/>
        </c:scaling>
        <c:delete val="0"/>
        <c:axPos val="b"/>
        <c:title>
          <c:tx>
            <c:rich>
              <a:bodyPr rot="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mn-cs"/>
                  </a:defRPr>
                </a:pPr>
                <a:r>
                  <a:rPr lang="en-US" sz="1800" b="1"/>
                  <a:t>YEAR</a:t>
                </a:r>
              </a:p>
            </c:rich>
          </c:tx>
          <c:layout>
            <c:manualLayout>
              <c:xMode val="edge"/>
              <c:yMode val="edge"/>
              <c:x val="0.48152955919209789"/>
              <c:y val="0.83450229530488151"/>
            </c:manualLayout>
          </c:layout>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Arial Nova Cond" panose="020B0506020202020204" pitchFamily="34" charset="0"/>
                <a:ea typeface="+mn-ea"/>
                <a:cs typeface="+mn-cs"/>
              </a:defRPr>
            </a:pPr>
            <a:endParaRPr lang="en-US"/>
          </a:p>
        </c:txPr>
        <c:crossAx val="1100436719"/>
        <c:crosses val="autoZero"/>
        <c:auto val="1"/>
        <c:lblAlgn val="ctr"/>
        <c:lblOffset val="100"/>
        <c:tickLblSkip val="2"/>
        <c:tickMarkSkip val="1"/>
        <c:noMultiLvlLbl val="0"/>
      </c:catAx>
      <c:valAx>
        <c:axId val="1100436719"/>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mn-cs"/>
                  </a:defRPr>
                </a:pPr>
                <a:r>
                  <a:rPr lang="en-US" sz="1800" b="1"/>
                  <a:t>CASH</a:t>
                </a:r>
                <a:r>
                  <a:rPr lang="en-US" sz="1800" b="1" baseline="0"/>
                  <a:t> FLOW </a:t>
                </a:r>
                <a:r>
                  <a:rPr lang="en-US" sz="1800" b="0" baseline="0"/>
                  <a:t>[ 1E6 USD (2026)]</a:t>
                </a:r>
                <a:endParaRPr lang="en-US" sz="1800" b="0"/>
              </a:p>
            </c:rich>
          </c:tx>
          <c:layout>
            <c:manualLayout>
              <c:xMode val="edge"/>
              <c:yMode val="edge"/>
              <c:x val="9.7190146361865459E-3"/>
              <c:y val="0.20244555541525461"/>
            </c:manualLayout>
          </c:layout>
          <c:overlay val="0"/>
          <c:spPr>
            <a:noFill/>
            <a:ln>
              <a:noFill/>
            </a:ln>
            <a:effectLst/>
          </c:spPr>
          <c:txPr>
            <a:bodyPr rot="-540000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Cond" panose="020B0506020202020204" pitchFamily="34" charset="0"/>
                <a:ea typeface="+mn-ea"/>
                <a:cs typeface="+mn-cs"/>
              </a:defRPr>
            </a:pPr>
            <a:endParaRPr lang="en-US"/>
          </a:p>
        </c:txPr>
        <c:crossAx val="409926112"/>
        <c:crosses val="autoZero"/>
        <c:crossBetween val="between"/>
        <c:majorUnit val="50"/>
      </c:valAx>
      <c:valAx>
        <c:axId val="1815446032"/>
        <c:scaling>
          <c:orientation val="minMax"/>
        </c:scaling>
        <c:delete val="0"/>
        <c:axPos val="r"/>
        <c:title>
          <c:tx>
            <c:rich>
              <a:bodyPr rot="-540000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mn-cs"/>
                  </a:defRPr>
                </a:pPr>
                <a:r>
                  <a:rPr lang="en-US" sz="1800" b="1"/>
                  <a:t>NET PRESENT VALUE</a:t>
                </a:r>
                <a:r>
                  <a:rPr lang="en-US" sz="1800" b="1" baseline="0"/>
                  <a:t> </a:t>
                </a:r>
                <a:r>
                  <a:rPr lang="en-US" sz="1800" b="0" baseline="0"/>
                  <a:t>[ 1E6 USD (2026)]</a:t>
                </a:r>
                <a:endParaRPr lang="en-US" sz="1800" b="0"/>
              </a:p>
            </c:rich>
          </c:tx>
          <c:layout>
            <c:manualLayout>
              <c:xMode val="edge"/>
              <c:yMode val="edge"/>
              <c:x val="0.95609630364010467"/>
              <c:y val="0.14622854068584826"/>
            </c:manualLayout>
          </c:layout>
          <c:overlay val="0"/>
          <c:spPr>
            <a:noFill/>
            <a:ln>
              <a:noFill/>
            </a:ln>
            <a:effectLst/>
          </c:spPr>
          <c:txPr>
            <a:bodyPr rot="-540000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Arial Nova Cond" panose="020B0506020202020204" pitchFamily="34" charset="0"/>
                <a:ea typeface="+mn-ea"/>
                <a:cs typeface="+mn-cs"/>
              </a:defRPr>
            </a:pPr>
            <a:endParaRPr lang="en-US"/>
          </a:p>
        </c:txPr>
        <c:crossAx val="1815470032"/>
        <c:crosses val="max"/>
        <c:crossBetween val="between"/>
      </c:valAx>
      <c:catAx>
        <c:axId val="1815470032"/>
        <c:scaling>
          <c:orientation val="minMax"/>
        </c:scaling>
        <c:delete val="1"/>
        <c:axPos val="b"/>
        <c:numFmt formatCode="General" sourceLinked="1"/>
        <c:majorTickMark val="out"/>
        <c:minorTickMark val="none"/>
        <c:tickLblPos val="nextTo"/>
        <c:crossAx val="1815446032"/>
        <c:crosses val="autoZero"/>
        <c:auto val="1"/>
        <c:lblAlgn val="ctr"/>
        <c:lblOffset val="100"/>
        <c:noMultiLvlLbl val="0"/>
      </c:catAx>
      <c:spPr>
        <a:noFill/>
        <a:ln w="22225">
          <a:solidFill>
            <a:schemeClr val="tx1"/>
          </a:solidFill>
        </a:ln>
        <a:effectLst/>
      </c:spPr>
    </c:plotArea>
    <c:legend>
      <c:legendPos val="b"/>
      <c:layout>
        <c:manualLayout>
          <c:xMode val="edge"/>
          <c:yMode val="edge"/>
          <c:x val="3.1936420897403131E-2"/>
          <c:y val="0.87247475520414364"/>
          <c:w val="0.96136308928003777"/>
          <c:h val="0.10420163677449398"/>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9050"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670915908432765"/>
          <c:y val="0.13347974391113343"/>
          <c:w val="0.85269456628362894"/>
          <c:h val="0.56811136707739207"/>
        </c:manualLayout>
      </c:layout>
      <c:barChart>
        <c:barDir val="col"/>
        <c:grouping val="stacked"/>
        <c:varyColors val="0"/>
        <c:ser>
          <c:idx val="0"/>
          <c:order val="0"/>
          <c:tx>
            <c:strRef>
              <c:f>A_DCFROR!$B$184</c:f>
              <c:strCache>
                <c:ptCount val="1"/>
                <c:pt idx="0">
                  <c:v>Transportation</c:v>
                </c:pt>
              </c:strCache>
            </c:strRef>
          </c:tx>
          <c:spPr>
            <a:solidFill>
              <a:srgbClr val="CCFF99"/>
            </a:solidFill>
          </c:spPr>
          <c:invertIfNegative val="0"/>
          <c:cat>
            <c:strRef>
              <c:f>A_DCFROR!$C$183:$G$183</c:f>
              <c:strCache>
                <c:ptCount val="4"/>
                <c:pt idx="1">
                  <c:v>Base Co-product Price</c:v>
                </c:pt>
                <c:pt idx="2">
                  <c:v>High Co-product Price</c:v>
                </c:pt>
                <c:pt idx="3">
                  <c:v>Low Co-product Price</c:v>
                </c:pt>
              </c:strCache>
            </c:strRef>
          </c:cat>
          <c:val>
            <c:numRef>
              <c:f>A_DCFROR!$C$184:$G$184</c:f>
              <c:numCache>
                <c:formatCode>_("$"* #,##0.00_);_("$"* \(#,##0.00\);_("$"* "-"??_);_(@_)</c:formatCode>
                <c:ptCount val="5"/>
                <c:pt idx="0" formatCode="General">
                  <c:v>0</c:v>
                </c:pt>
                <c:pt idx="1">
                  <c:v>4.2919692974570571</c:v>
                </c:pt>
                <c:pt idx="2">
                  <c:v>4.3110843894610671</c:v>
                </c:pt>
                <c:pt idx="3">
                  <c:v>4.1950417939040596</c:v>
                </c:pt>
              </c:numCache>
            </c:numRef>
          </c:val>
          <c:extLst>
            <c:ext xmlns:c16="http://schemas.microsoft.com/office/drawing/2014/chart" uri="{C3380CC4-5D6E-409C-BE32-E72D297353CC}">
              <c16:uniqueId val="{00000000-C50B-4EE6-B40D-EC1067E49B01}"/>
            </c:ext>
          </c:extLst>
        </c:ser>
        <c:ser>
          <c:idx val="1"/>
          <c:order val="1"/>
          <c:tx>
            <c:strRef>
              <c:f>A_DCFROR!$B$185</c:f>
              <c:strCache>
                <c:ptCount val="1"/>
                <c:pt idx="0">
                  <c:v>Ocean Water Processing</c:v>
                </c:pt>
              </c:strCache>
            </c:strRef>
          </c:tx>
          <c:spPr>
            <a:solidFill>
              <a:srgbClr val="00B0F0"/>
            </a:solidFill>
          </c:spPr>
          <c:invertIfNegative val="0"/>
          <c:cat>
            <c:strRef>
              <c:f>A_DCFROR!$C$183:$G$183</c:f>
              <c:strCache>
                <c:ptCount val="4"/>
                <c:pt idx="1">
                  <c:v>Base Co-product Price</c:v>
                </c:pt>
                <c:pt idx="2">
                  <c:v>High Co-product Price</c:v>
                </c:pt>
                <c:pt idx="3">
                  <c:v>Low Co-product Price</c:v>
                </c:pt>
              </c:strCache>
            </c:strRef>
          </c:cat>
          <c:val>
            <c:numRef>
              <c:f>A_DCFROR!$C$185:$G$185</c:f>
              <c:numCache>
                <c:formatCode>_("$"* #,##0.00_);_("$"* \(#,##0.00\);_("$"* "-"??_);_(@_)</c:formatCode>
                <c:ptCount val="5"/>
                <c:pt idx="1">
                  <c:v>0.2647331538552869</c:v>
                </c:pt>
                <c:pt idx="2">
                  <c:v>0.26591219271641153</c:v>
                </c:pt>
                <c:pt idx="3">
                  <c:v>0.25875456409088488</c:v>
                </c:pt>
              </c:numCache>
            </c:numRef>
          </c:val>
          <c:extLst>
            <c:ext xmlns:c16="http://schemas.microsoft.com/office/drawing/2014/chart" uri="{C3380CC4-5D6E-409C-BE32-E72D297353CC}">
              <c16:uniqueId val="{00000001-C50B-4EE6-B40D-EC1067E49B01}"/>
            </c:ext>
          </c:extLst>
        </c:ser>
        <c:ser>
          <c:idx val="2"/>
          <c:order val="2"/>
          <c:tx>
            <c:strRef>
              <c:f>A_DCFROR!$B$186</c:f>
              <c:strCache>
                <c:ptCount val="1"/>
                <c:pt idx="0">
                  <c:v>Cheese Whey Processing</c:v>
                </c:pt>
              </c:strCache>
            </c:strRef>
          </c:tx>
          <c:spPr>
            <a:solidFill>
              <a:srgbClr val="E97132"/>
            </a:solidFill>
          </c:spPr>
          <c:invertIfNegative val="0"/>
          <c:cat>
            <c:strRef>
              <c:f>A_DCFROR!$C$183:$G$183</c:f>
              <c:strCache>
                <c:ptCount val="4"/>
                <c:pt idx="1">
                  <c:v>Base Co-product Price</c:v>
                </c:pt>
                <c:pt idx="2">
                  <c:v>High Co-product Price</c:v>
                </c:pt>
                <c:pt idx="3">
                  <c:v>Low Co-product Price</c:v>
                </c:pt>
              </c:strCache>
            </c:strRef>
          </c:cat>
          <c:val>
            <c:numRef>
              <c:f>A_DCFROR!$C$186:$G$186</c:f>
              <c:numCache>
                <c:formatCode>_("$"* #,##0.00_);_("$"* \(#,##0.00\);_("$"* "-"??_);_(@_)</c:formatCode>
                <c:ptCount val="5"/>
                <c:pt idx="1">
                  <c:v>0.80445773416211663</c:v>
                </c:pt>
                <c:pt idx="2">
                  <c:v>0.80804053789068864</c:v>
                </c:pt>
                <c:pt idx="3">
                  <c:v>0.78629029761208491</c:v>
                </c:pt>
              </c:numCache>
            </c:numRef>
          </c:val>
          <c:extLst>
            <c:ext xmlns:c16="http://schemas.microsoft.com/office/drawing/2014/chart" uri="{C3380CC4-5D6E-409C-BE32-E72D297353CC}">
              <c16:uniqueId val="{00000002-C50B-4EE6-B40D-EC1067E49B01}"/>
            </c:ext>
          </c:extLst>
        </c:ser>
        <c:ser>
          <c:idx val="3"/>
          <c:order val="3"/>
          <c:tx>
            <c:strRef>
              <c:f>A_DCFROR!$B$187</c:f>
              <c:strCache>
                <c:ptCount val="1"/>
                <c:pt idx="0">
                  <c:v>Feedstock Preparation</c:v>
                </c:pt>
              </c:strCache>
            </c:strRef>
          </c:tx>
          <c:spPr>
            <a:solidFill>
              <a:srgbClr val="404040"/>
            </a:solidFill>
          </c:spPr>
          <c:invertIfNegative val="0"/>
          <c:cat>
            <c:strRef>
              <c:f>A_DCFROR!$C$183:$G$183</c:f>
              <c:strCache>
                <c:ptCount val="4"/>
                <c:pt idx="1">
                  <c:v>Base Co-product Price</c:v>
                </c:pt>
                <c:pt idx="2">
                  <c:v>High Co-product Price</c:v>
                </c:pt>
                <c:pt idx="3">
                  <c:v>Low Co-product Price</c:v>
                </c:pt>
              </c:strCache>
            </c:strRef>
          </c:cat>
          <c:val>
            <c:numRef>
              <c:f>A_DCFROR!$C$187:$G$187</c:f>
              <c:numCache>
                <c:formatCode>_("$"* #,##0.00_);_("$"* \(#,##0.00\);_("$"* "-"??_);_(@_)</c:formatCode>
                <c:ptCount val="5"/>
                <c:pt idx="1">
                  <c:v>1.0202443629456155</c:v>
                </c:pt>
                <c:pt idx="2">
                  <c:v>1.0247882129856967</c:v>
                </c:pt>
                <c:pt idx="3">
                  <c:v>0.99720371836949318</c:v>
                </c:pt>
              </c:numCache>
            </c:numRef>
          </c:val>
          <c:extLst>
            <c:ext xmlns:c16="http://schemas.microsoft.com/office/drawing/2014/chart" uri="{C3380CC4-5D6E-409C-BE32-E72D297353CC}">
              <c16:uniqueId val="{00000003-C50B-4EE6-B40D-EC1067E49B01}"/>
            </c:ext>
          </c:extLst>
        </c:ser>
        <c:ser>
          <c:idx val="4"/>
          <c:order val="4"/>
          <c:tx>
            <c:strRef>
              <c:f>A_DCFROR!$B$188</c:f>
              <c:strCache>
                <c:ptCount val="1"/>
                <c:pt idx="0">
                  <c:v>Food Waste Ensiling</c:v>
                </c:pt>
              </c:strCache>
            </c:strRef>
          </c:tx>
          <c:spPr>
            <a:solidFill>
              <a:srgbClr val="CC9900"/>
            </a:solidFill>
          </c:spPr>
          <c:invertIfNegative val="0"/>
          <c:cat>
            <c:strRef>
              <c:f>A_DCFROR!$C$183:$G$183</c:f>
              <c:strCache>
                <c:ptCount val="4"/>
                <c:pt idx="1">
                  <c:v>Base Co-product Price</c:v>
                </c:pt>
                <c:pt idx="2">
                  <c:v>High Co-product Price</c:v>
                </c:pt>
                <c:pt idx="3">
                  <c:v>Low Co-product Price</c:v>
                </c:pt>
              </c:strCache>
            </c:strRef>
          </c:cat>
          <c:val>
            <c:numRef>
              <c:f>A_DCFROR!$C$188:$G$188</c:f>
              <c:numCache>
                <c:formatCode>_("$"* #,##0.00_);_("$"* \(#,##0.00\);_("$"* "-"??_);_(@_)</c:formatCode>
                <c:ptCount val="5"/>
                <c:pt idx="1">
                  <c:v>0.20883513658927919</c:v>
                </c:pt>
                <c:pt idx="2">
                  <c:v>0.2097652231236678</c:v>
                </c:pt>
                <c:pt idx="3">
                  <c:v>0.20411891728739806</c:v>
                </c:pt>
              </c:numCache>
            </c:numRef>
          </c:val>
          <c:extLst>
            <c:ext xmlns:c16="http://schemas.microsoft.com/office/drawing/2014/chart" uri="{C3380CC4-5D6E-409C-BE32-E72D297353CC}">
              <c16:uniqueId val="{00000004-C50B-4EE6-B40D-EC1067E49B01}"/>
            </c:ext>
          </c:extLst>
        </c:ser>
        <c:ser>
          <c:idx val="5"/>
          <c:order val="5"/>
          <c:tx>
            <c:strRef>
              <c:f>A_DCFROR!$B$189</c:f>
              <c:strCache>
                <c:ptCount val="1"/>
                <c:pt idx="0">
                  <c:v>Food Waste Digestion</c:v>
                </c:pt>
              </c:strCache>
            </c:strRef>
          </c:tx>
          <c:spPr>
            <a:solidFill>
              <a:srgbClr val="CCCC00"/>
            </a:solidFill>
          </c:spPr>
          <c:invertIfNegative val="0"/>
          <c:cat>
            <c:strRef>
              <c:f>A_DCFROR!$C$183:$G$183</c:f>
              <c:strCache>
                <c:ptCount val="4"/>
                <c:pt idx="1">
                  <c:v>Base Co-product Price</c:v>
                </c:pt>
                <c:pt idx="2">
                  <c:v>High Co-product Price</c:v>
                </c:pt>
                <c:pt idx="3">
                  <c:v>Low Co-product Price</c:v>
                </c:pt>
              </c:strCache>
            </c:strRef>
          </c:cat>
          <c:val>
            <c:numRef>
              <c:f>A_DCFROR!$C$189:$G$189</c:f>
              <c:numCache>
                <c:formatCode>_("$"* #,##0.00_);_("$"* \(#,##0.00\);_("$"* "-"??_);_(@_)</c:formatCode>
                <c:ptCount val="5"/>
                <c:pt idx="1">
                  <c:v>0.33119898317855156</c:v>
                </c:pt>
                <c:pt idx="2">
                  <c:v>0.33267404010378249</c:v>
                </c:pt>
                <c:pt idx="3">
                  <c:v>0.32371936522373335</c:v>
                </c:pt>
              </c:numCache>
            </c:numRef>
          </c:val>
          <c:extLst>
            <c:ext xmlns:c16="http://schemas.microsoft.com/office/drawing/2014/chart" uri="{C3380CC4-5D6E-409C-BE32-E72D297353CC}">
              <c16:uniqueId val="{00000005-C50B-4EE6-B40D-EC1067E49B01}"/>
            </c:ext>
          </c:extLst>
        </c:ser>
        <c:ser>
          <c:idx val="6"/>
          <c:order val="6"/>
          <c:tx>
            <c:strRef>
              <c:f>A_DCFROR!$B$190</c:f>
              <c:strCache>
                <c:ptCount val="1"/>
                <c:pt idx="0">
                  <c:v>Manure Digestion</c:v>
                </c:pt>
              </c:strCache>
            </c:strRef>
          </c:tx>
          <c:spPr>
            <a:solidFill>
              <a:srgbClr val="996633"/>
            </a:solidFill>
            <a:ln>
              <a:noFill/>
            </a:ln>
          </c:spPr>
          <c:invertIfNegative val="0"/>
          <c:cat>
            <c:strRef>
              <c:f>A_DCFROR!$C$183:$G$183</c:f>
              <c:strCache>
                <c:ptCount val="4"/>
                <c:pt idx="1">
                  <c:v>Base Co-product Price</c:v>
                </c:pt>
                <c:pt idx="2">
                  <c:v>High Co-product Price</c:v>
                </c:pt>
                <c:pt idx="3">
                  <c:v>Low Co-product Price</c:v>
                </c:pt>
              </c:strCache>
            </c:strRef>
          </c:cat>
          <c:val>
            <c:numRef>
              <c:f>A_DCFROR!$C$190:$G$190</c:f>
              <c:numCache>
                <c:formatCode>_("$"* #,##0.00_);_("$"* \(#,##0.00\);_("$"* "-"??_);_(@_)</c:formatCode>
                <c:ptCount val="5"/>
                <c:pt idx="1">
                  <c:v>1.4400582361854339</c:v>
                </c:pt>
                <c:pt idx="2">
                  <c:v>1.4464718062200856</c:v>
                </c:pt>
                <c:pt idx="3">
                  <c:v>1.4075367431060011</c:v>
                </c:pt>
              </c:numCache>
            </c:numRef>
          </c:val>
          <c:extLst>
            <c:ext xmlns:c16="http://schemas.microsoft.com/office/drawing/2014/chart" uri="{C3380CC4-5D6E-409C-BE32-E72D297353CC}">
              <c16:uniqueId val="{00000006-C50B-4EE6-B40D-EC1067E49B01}"/>
            </c:ext>
          </c:extLst>
        </c:ser>
        <c:ser>
          <c:idx val="7"/>
          <c:order val="7"/>
          <c:tx>
            <c:strRef>
              <c:f>A_DCFROR!$B$191</c:f>
              <c:strCache>
                <c:ptCount val="1"/>
                <c:pt idx="0">
                  <c:v>Nitrogen Removal</c:v>
                </c:pt>
              </c:strCache>
            </c:strRef>
          </c:tx>
          <c:spPr>
            <a:solidFill>
              <a:srgbClr val="808000"/>
            </a:solidFill>
          </c:spPr>
          <c:invertIfNegative val="0"/>
          <c:cat>
            <c:strRef>
              <c:f>A_DCFROR!$C$183:$G$183</c:f>
              <c:strCache>
                <c:ptCount val="4"/>
                <c:pt idx="1">
                  <c:v>Base Co-product Price</c:v>
                </c:pt>
                <c:pt idx="2">
                  <c:v>High Co-product Price</c:v>
                </c:pt>
                <c:pt idx="3">
                  <c:v>Low Co-product Price</c:v>
                </c:pt>
              </c:strCache>
            </c:strRef>
          </c:cat>
          <c:val>
            <c:numRef>
              <c:f>A_DCFROR!$C$191:$G$191</c:f>
              <c:numCache>
                <c:formatCode>_("$"* #,##0.00_);_("$"* \(#,##0.00\);_("$"* "-"??_);_(@_)</c:formatCode>
                <c:ptCount val="5"/>
                <c:pt idx="1">
                  <c:v>2.2915503254767415</c:v>
                </c:pt>
                <c:pt idx="2">
                  <c:v>2.3017561755813216</c:v>
                </c:pt>
                <c:pt idx="3">
                  <c:v>2.2397991975164082</c:v>
                </c:pt>
              </c:numCache>
            </c:numRef>
          </c:val>
          <c:extLst>
            <c:ext xmlns:c16="http://schemas.microsoft.com/office/drawing/2014/chart" uri="{C3380CC4-5D6E-409C-BE32-E72D297353CC}">
              <c16:uniqueId val="{00000007-C50B-4EE6-B40D-EC1067E49B01}"/>
            </c:ext>
          </c:extLst>
        </c:ser>
        <c:ser>
          <c:idx val="8"/>
          <c:order val="8"/>
          <c:tx>
            <c:strRef>
              <c:f>A_DCFROR!$B$192</c:f>
              <c:strCache>
                <c:ptCount val="1"/>
                <c:pt idx="0">
                  <c:v>Chain-Elongation</c:v>
                </c:pt>
              </c:strCache>
            </c:strRef>
          </c:tx>
          <c:spPr>
            <a:solidFill>
              <a:srgbClr val="00CC66"/>
            </a:solidFill>
          </c:spPr>
          <c:invertIfNegative val="0"/>
          <c:cat>
            <c:strRef>
              <c:f>A_DCFROR!$C$183:$G$183</c:f>
              <c:strCache>
                <c:ptCount val="4"/>
                <c:pt idx="1">
                  <c:v>Base Co-product Price</c:v>
                </c:pt>
                <c:pt idx="2">
                  <c:v>High Co-product Price</c:v>
                </c:pt>
                <c:pt idx="3">
                  <c:v>Low Co-product Price</c:v>
                </c:pt>
              </c:strCache>
            </c:strRef>
          </c:cat>
          <c:val>
            <c:numRef>
              <c:f>A_DCFROR!$C$192:$G$192</c:f>
              <c:numCache>
                <c:formatCode>_("$"* #,##0.00_);_("$"* \(#,##0.00\);_("$"* "-"??_);_(@_)</c:formatCode>
                <c:ptCount val="5"/>
                <c:pt idx="1">
                  <c:v>3.932683858777136</c:v>
                </c:pt>
                <c:pt idx="2">
                  <c:v>3.950198805547084</c:v>
                </c:pt>
                <c:pt idx="3">
                  <c:v>3.8438702624356416</c:v>
                </c:pt>
              </c:numCache>
            </c:numRef>
          </c:val>
          <c:extLst>
            <c:ext xmlns:c16="http://schemas.microsoft.com/office/drawing/2014/chart" uri="{C3380CC4-5D6E-409C-BE32-E72D297353CC}">
              <c16:uniqueId val="{00000008-C50B-4EE6-B40D-EC1067E49B01}"/>
            </c:ext>
          </c:extLst>
        </c:ser>
        <c:ser>
          <c:idx val="9"/>
          <c:order val="9"/>
          <c:tx>
            <c:strRef>
              <c:f>A_DCFROR!$B$193</c:f>
              <c:strCache>
                <c:ptCount val="1"/>
                <c:pt idx="0">
                  <c:v>Electrodialysis</c:v>
                </c:pt>
              </c:strCache>
            </c:strRef>
          </c:tx>
          <c:spPr>
            <a:solidFill>
              <a:srgbClr val="F8E708"/>
            </a:solidFill>
            <a:ln>
              <a:noFill/>
            </a:ln>
          </c:spPr>
          <c:invertIfNegative val="0"/>
          <c:cat>
            <c:strRef>
              <c:f>A_DCFROR!$C$183:$G$183</c:f>
              <c:strCache>
                <c:ptCount val="4"/>
                <c:pt idx="1">
                  <c:v>Base Co-product Price</c:v>
                </c:pt>
                <c:pt idx="2">
                  <c:v>High Co-product Price</c:v>
                </c:pt>
                <c:pt idx="3">
                  <c:v>Low Co-product Price</c:v>
                </c:pt>
              </c:strCache>
            </c:strRef>
          </c:cat>
          <c:val>
            <c:numRef>
              <c:f>A_DCFROR!$C$193:$G$193</c:f>
              <c:numCache>
                <c:formatCode>_("$"* #,##0.00_);_("$"* \(#,##0.00\);_("$"* "-"??_);_(@_)</c:formatCode>
                <c:ptCount val="5"/>
                <c:pt idx="1">
                  <c:v>1.8577563681931413</c:v>
                </c:pt>
                <c:pt idx="2">
                  <c:v>1.8660302353711025</c:v>
                </c:pt>
                <c:pt idx="3">
                  <c:v>1.8158018073612794</c:v>
                </c:pt>
              </c:numCache>
            </c:numRef>
          </c:val>
          <c:extLst>
            <c:ext xmlns:c16="http://schemas.microsoft.com/office/drawing/2014/chart" uri="{C3380CC4-5D6E-409C-BE32-E72D297353CC}">
              <c16:uniqueId val="{00000009-C50B-4EE6-B40D-EC1067E49B01}"/>
            </c:ext>
          </c:extLst>
        </c:ser>
        <c:ser>
          <c:idx val="10"/>
          <c:order val="10"/>
          <c:tx>
            <c:strRef>
              <c:f>A_DCFROR!$B$194</c:f>
              <c:strCache>
                <c:ptCount val="1"/>
                <c:pt idx="0">
                  <c:v>Liquid-Liquid Extraction</c:v>
                </c:pt>
              </c:strCache>
            </c:strRef>
          </c:tx>
          <c:spPr>
            <a:solidFill>
              <a:srgbClr val="A02B93"/>
            </a:solidFill>
          </c:spPr>
          <c:invertIfNegative val="0"/>
          <c:cat>
            <c:strRef>
              <c:f>A_DCFROR!$C$183:$G$183</c:f>
              <c:strCache>
                <c:ptCount val="4"/>
                <c:pt idx="1">
                  <c:v>Base Co-product Price</c:v>
                </c:pt>
                <c:pt idx="2">
                  <c:v>High Co-product Price</c:v>
                </c:pt>
                <c:pt idx="3">
                  <c:v>Low Co-product Price</c:v>
                </c:pt>
              </c:strCache>
            </c:strRef>
          </c:cat>
          <c:val>
            <c:numRef>
              <c:f>A_DCFROR!$C$194:$G$194</c:f>
              <c:numCache>
                <c:formatCode>_("$"* #,##0.00_);_("$"* \(#,##0.00\);_("$"* "-"??_);_(@_)</c:formatCode>
                <c:ptCount val="5"/>
                <c:pt idx="1">
                  <c:v>0.13775347372007588</c:v>
                </c:pt>
                <c:pt idx="2">
                  <c:v>0.13836698470804853</c:v>
                </c:pt>
                <c:pt idx="3">
                  <c:v>0.13464252408645397</c:v>
                </c:pt>
              </c:numCache>
            </c:numRef>
          </c:val>
          <c:extLst>
            <c:ext xmlns:c16="http://schemas.microsoft.com/office/drawing/2014/chart" uri="{C3380CC4-5D6E-409C-BE32-E72D297353CC}">
              <c16:uniqueId val="{0000000A-C50B-4EE6-B40D-EC1067E49B01}"/>
            </c:ext>
          </c:extLst>
        </c:ser>
        <c:ser>
          <c:idx val="11"/>
          <c:order val="11"/>
          <c:tx>
            <c:strRef>
              <c:f>A_DCFROR!$B$195</c:f>
              <c:strCache>
                <c:ptCount val="1"/>
                <c:pt idx="0">
                  <c:v>Ketonization</c:v>
                </c:pt>
              </c:strCache>
            </c:strRef>
          </c:tx>
          <c:spPr>
            <a:solidFill>
              <a:srgbClr val="FF00FF"/>
            </a:solidFill>
          </c:spPr>
          <c:invertIfNegative val="0"/>
          <c:cat>
            <c:strRef>
              <c:f>A_DCFROR!$C$183:$G$183</c:f>
              <c:strCache>
                <c:ptCount val="4"/>
                <c:pt idx="1">
                  <c:v>Base Co-product Price</c:v>
                </c:pt>
                <c:pt idx="2">
                  <c:v>High Co-product Price</c:v>
                </c:pt>
                <c:pt idx="3">
                  <c:v>Low Co-product Price</c:v>
                </c:pt>
              </c:strCache>
            </c:strRef>
          </c:cat>
          <c:val>
            <c:numRef>
              <c:f>A_DCFROR!$C$195:$G$195</c:f>
              <c:numCache>
                <c:formatCode>_("$"* #,##0.00_);_("$"* \(#,##0.00\);_("$"* "-"??_);_(@_)</c:formatCode>
                <c:ptCount val="5"/>
                <c:pt idx="1">
                  <c:v>8.8937613302562113E-2</c:v>
                </c:pt>
                <c:pt idx="2">
                  <c:v>8.9333713680517457E-2</c:v>
                </c:pt>
                <c:pt idx="3">
                  <c:v>8.6929094547666341E-2</c:v>
                </c:pt>
              </c:numCache>
            </c:numRef>
          </c:val>
          <c:extLst>
            <c:ext xmlns:c16="http://schemas.microsoft.com/office/drawing/2014/chart" uri="{C3380CC4-5D6E-409C-BE32-E72D297353CC}">
              <c16:uniqueId val="{0000000B-C50B-4EE6-B40D-EC1067E49B01}"/>
            </c:ext>
          </c:extLst>
        </c:ser>
        <c:ser>
          <c:idx val="12"/>
          <c:order val="12"/>
          <c:tx>
            <c:strRef>
              <c:f>A_DCFROR!$B$196</c:f>
              <c:strCache>
                <c:ptCount val="1"/>
                <c:pt idx="0">
                  <c:v>Hydrodeoxygenation</c:v>
                </c:pt>
              </c:strCache>
            </c:strRef>
          </c:tx>
          <c:spPr>
            <a:solidFill>
              <a:srgbClr val="CC00FF"/>
            </a:solidFill>
          </c:spPr>
          <c:invertIfNegative val="0"/>
          <c:cat>
            <c:strRef>
              <c:f>A_DCFROR!$C$183:$G$183</c:f>
              <c:strCache>
                <c:ptCount val="4"/>
                <c:pt idx="1">
                  <c:v>Base Co-product Price</c:v>
                </c:pt>
                <c:pt idx="2">
                  <c:v>High Co-product Price</c:v>
                </c:pt>
                <c:pt idx="3">
                  <c:v>Low Co-product Price</c:v>
                </c:pt>
              </c:strCache>
            </c:strRef>
          </c:cat>
          <c:val>
            <c:numRef>
              <c:f>A_DCFROR!$C$196:$G$196</c:f>
              <c:numCache>
                <c:formatCode>_("$"* #,##0.00_);_("$"* \(#,##0.00\);_("$"* "-"??_);_(@_)</c:formatCode>
                <c:ptCount val="5"/>
                <c:pt idx="1">
                  <c:v>0.12247055829654219</c:v>
                </c:pt>
                <c:pt idx="2">
                  <c:v>0.12301600394803087</c:v>
                </c:pt>
                <c:pt idx="3">
                  <c:v>0.11970474972436551</c:v>
                </c:pt>
              </c:numCache>
            </c:numRef>
          </c:val>
          <c:extLst>
            <c:ext xmlns:c16="http://schemas.microsoft.com/office/drawing/2014/chart" uri="{C3380CC4-5D6E-409C-BE32-E72D297353CC}">
              <c16:uniqueId val="{0000000C-C50B-4EE6-B40D-EC1067E49B01}"/>
            </c:ext>
          </c:extLst>
        </c:ser>
        <c:ser>
          <c:idx val="13"/>
          <c:order val="13"/>
          <c:tx>
            <c:strRef>
              <c:f>A_DCFROR!$B$197</c:f>
              <c:strCache>
                <c:ptCount val="1"/>
                <c:pt idx="0">
                  <c:v>Hydrocarbon Distillation</c:v>
                </c:pt>
              </c:strCache>
            </c:strRef>
          </c:tx>
          <c:spPr>
            <a:solidFill>
              <a:srgbClr val="FF99CC"/>
            </a:solidFill>
          </c:spPr>
          <c:invertIfNegative val="0"/>
          <c:cat>
            <c:strRef>
              <c:f>A_DCFROR!$C$183:$G$183</c:f>
              <c:strCache>
                <c:ptCount val="4"/>
                <c:pt idx="1">
                  <c:v>Base Co-product Price</c:v>
                </c:pt>
                <c:pt idx="2">
                  <c:v>High Co-product Price</c:v>
                </c:pt>
                <c:pt idx="3">
                  <c:v>Low Co-product Price</c:v>
                </c:pt>
              </c:strCache>
            </c:strRef>
          </c:cat>
          <c:val>
            <c:numRef>
              <c:f>A_DCFROR!$C$197:$G$197</c:f>
              <c:numCache>
                <c:formatCode>_("$"* #,##0.00_);_("$"* \(#,##0.00\);_("$"* "-"??_);_(@_)</c:formatCode>
                <c:ptCount val="5"/>
                <c:pt idx="1">
                  <c:v>4.3854786695678362E-2</c:v>
                </c:pt>
                <c:pt idx="2">
                  <c:v>4.4050102231369813E-2</c:v>
                </c:pt>
                <c:pt idx="3">
                  <c:v>4.2864394011420372E-2</c:v>
                </c:pt>
              </c:numCache>
            </c:numRef>
          </c:val>
          <c:extLst>
            <c:ext xmlns:c16="http://schemas.microsoft.com/office/drawing/2014/chart" uri="{C3380CC4-5D6E-409C-BE32-E72D297353CC}">
              <c16:uniqueId val="{0000000D-C50B-4EE6-B40D-EC1067E49B01}"/>
            </c:ext>
          </c:extLst>
        </c:ser>
        <c:ser>
          <c:idx val="14"/>
          <c:order val="14"/>
          <c:tx>
            <c:strRef>
              <c:f>A_DCFROR!$B$198</c:f>
              <c:strCache>
                <c:ptCount val="1"/>
                <c:pt idx="0">
                  <c:v>Overhead and Benefits</c:v>
                </c:pt>
              </c:strCache>
            </c:strRef>
          </c:tx>
          <c:spPr>
            <a:solidFill>
              <a:srgbClr val="006666"/>
            </a:solidFill>
          </c:spPr>
          <c:invertIfNegative val="0"/>
          <c:cat>
            <c:strRef>
              <c:f>A_DCFROR!$C$183:$G$183</c:f>
              <c:strCache>
                <c:ptCount val="4"/>
                <c:pt idx="1">
                  <c:v>Base Co-product Price</c:v>
                </c:pt>
                <c:pt idx="2">
                  <c:v>High Co-product Price</c:v>
                </c:pt>
                <c:pt idx="3">
                  <c:v>Low Co-product Price</c:v>
                </c:pt>
              </c:strCache>
            </c:strRef>
          </c:cat>
          <c:val>
            <c:numRef>
              <c:f>A_DCFROR!$C$198:$G$198</c:f>
              <c:numCache>
                <c:formatCode>_("$"* #,##0.00_);_("$"* \(#,##0.00\);_("$"* "-"??_);_(@_)</c:formatCode>
                <c:ptCount val="5"/>
                <c:pt idx="1">
                  <c:v>2.7810499484115438</c:v>
                </c:pt>
                <c:pt idx="2">
                  <c:v>2.7934358770954075</c:v>
                </c:pt>
                <c:pt idx="3">
                  <c:v>2.7182442268246172</c:v>
                </c:pt>
              </c:numCache>
            </c:numRef>
          </c:val>
          <c:extLst>
            <c:ext xmlns:c16="http://schemas.microsoft.com/office/drawing/2014/chart" uri="{C3380CC4-5D6E-409C-BE32-E72D297353CC}">
              <c16:uniqueId val="{0000000E-C50B-4EE6-B40D-EC1067E49B01}"/>
            </c:ext>
          </c:extLst>
        </c:ser>
        <c:ser>
          <c:idx val="15"/>
          <c:order val="15"/>
          <c:tx>
            <c:strRef>
              <c:f>A_DCFROR!$B$199</c:f>
              <c:strCache>
                <c:ptCount val="1"/>
                <c:pt idx="0">
                  <c:v>Plant Maintenance</c:v>
                </c:pt>
              </c:strCache>
            </c:strRef>
          </c:tx>
          <c:spPr>
            <a:solidFill>
              <a:srgbClr val="339933"/>
            </a:solidFill>
          </c:spPr>
          <c:invertIfNegative val="0"/>
          <c:cat>
            <c:strRef>
              <c:f>A_DCFROR!$C$183:$G$183</c:f>
              <c:strCache>
                <c:ptCount val="4"/>
                <c:pt idx="1">
                  <c:v>Base Co-product Price</c:v>
                </c:pt>
                <c:pt idx="2">
                  <c:v>High Co-product Price</c:v>
                </c:pt>
                <c:pt idx="3">
                  <c:v>Low Co-product Price</c:v>
                </c:pt>
              </c:strCache>
            </c:strRef>
          </c:cat>
          <c:val>
            <c:numRef>
              <c:f>A_DCFROR!$C$199:$G$199</c:f>
              <c:numCache>
                <c:formatCode>_("$"* #,##0.00_);_("$"* \(#,##0.00\);_("$"* "-"??_);_(@_)</c:formatCode>
                <c:ptCount val="5"/>
                <c:pt idx="1">
                  <c:v>15.518387146897641</c:v>
                </c:pt>
                <c:pt idx="2">
                  <c:v>15.587501200961949</c:v>
                </c:pt>
                <c:pt idx="3">
                  <c:v>15.167928319941698</c:v>
                </c:pt>
              </c:numCache>
            </c:numRef>
          </c:val>
          <c:extLst>
            <c:ext xmlns:c16="http://schemas.microsoft.com/office/drawing/2014/chart" uri="{C3380CC4-5D6E-409C-BE32-E72D297353CC}">
              <c16:uniqueId val="{0000000F-C50B-4EE6-B40D-EC1067E49B01}"/>
            </c:ext>
          </c:extLst>
        </c:ser>
        <c:ser>
          <c:idx val="16"/>
          <c:order val="16"/>
          <c:tx>
            <c:strRef>
              <c:f>A_DCFROR!$B$200</c:f>
              <c:strCache>
                <c:ptCount val="1"/>
                <c:pt idx="0">
                  <c:v>Insurance</c:v>
                </c:pt>
              </c:strCache>
            </c:strRef>
          </c:tx>
          <c:spPr>
            <a:solidFill>
              <a:srgbClr val="3366CC"/>
            </a:solidFill>
          </c:spPr>
          <c:invertIfNegative val="0"/>
          <c:cat>
            <c:strRef>
              <c:f>A_DCFROR!$C$183:$G$183</c:f>
              <c:strCache>
                <c:ptCount val="4"/>
                <c:pt idx="1">
                  <c:v>Base Co-product Price</c:v>
                </c:pt>
                <c:pt idx="2">
                  <c:v>High Co-product Price</c:v>
                </c:pt>
                <c:pt idx="3">
                  <c:v>Low Co-product Price</c:v>
                </c:pt>
              </c:strCache>
            </c:strRef>
          </c:cat>
          <c:val>
            <c:numRef>
              <c:f>A_DCFROR!$C$200:$G$200</c:f>
              <c:numCache>
                <c:formatCode>_("$"* #,##0.00_);_("$"* \(#,##0.00\);_("$"* "-"??_);_(@_)</c:formatCode>
                <c:ptCount val="5"/>
                <c:pt idx="1">
                  <c:v>1.3247076519245251</c:v>
                </c:pt>
                <c:pt idx="2">
                  <c:v>1.3306074864503583</c:v>
                </c:pt>
                <c:pt idx="3">
                  <c:v>1.2947911737906592</c:v>
                </c:pt>
              </c:numCache>
            </c:numRef>
          </c:val>
          <c:extLst>
            <c:ext xmlns:c16="http://schemas.microsoft.com/office/drawing/2014/chart" uri="{C3380CC4-5D6E-409C-BE32-E72D297353CC}">
              <c16:uniqueId val="{00000010-C50B-4EE6-B40D-EC1067E49B01}"/>
            </c:ext>
          </c:extLst>
        </c:ser>
        <c:ser>
          <c:idx val="17"/>
          <c:order val="17"/>
          <c:tx>
            <c:strRef>
              <c:f>A_DCFROR!$B$201</c:f>
              <c:strCache>
                <c:ptCount val="1"/>
                <c:pt idx="0">
                  <c:v>Tax</c:v>
                </c:pt>
              </c:strCache>
            </c:strRef>
          </c:tx>
          <c:spPr>
            <a:solidFill>
              <a:srgbClr val="9966FF"/>
            </a:solidFill>
          </c:spPr>
          <c:invertIfNegative val="0"/>
          <c:cat>
            <c:strRef>
              <c:f>A_DCFROR!$C$183:$G$183</c:f>
              <c:strCache>
                <c:ptCount val="4"/>
                <c:pt idx="1">
                  <c:v>Base Co-product Price</c:v>
                </c:pt>
                <c:pt idx="2">
                  <c:v>High Co-product Price</c:v>
                </c:pt>
                <c:pt idx="3">
                  <c:v>Low Co-product Price</c:v>
                </c:pt>
              </c:strCache>
            </c:strRef>
          </c:cat>
          <c:val>
            <c:numRef>
              <c:f>A_DCFROR!$C$201:$G$201</c:f>
              <c:numCache>
                <c:formatCode>_("$"* #,##0.00_);_("$"* \(#,##0.00\);_("$"* "-"??_);_(@_)</c:formatCode>
                <c:ptCount val="5"/>
                <c:pt idx="1">
                  <c:v>2.7871796295920821</c:v>
                </c:pt>
                <c:pt idx="2">
                  <c:v>2.795907550046326</c:v>
                </c:pt>
                <c:pt idx="3">
                  <c:v>2.7233025819936114</c:v>
                </c:pt>
              </c:numCache>
            </c:numRef>
          </c:val>
          <c:extLst>
            <c:ext xmlns:c16="http://schemas.microsoft.com/office/drawing/2014/chart" uri="{C3380CC4-5D6E-409C-BE32-E72D297353CC}">
              <c16:uniqueId val="{00000011-C50B-4EE6-B40D-EC1067E49B01}"/>
            </c:ext>
          </c:extLst>
        </c:ser>
        <c:ser>
          <c:idx val="18"/>
          <c:order val="18"/>
          <c:tx>
            <c:strRef>
              <c:f>A_DCFROR!$B$202</c:f>
              <c:strCache>
                <c:ptCount val="1"/>
                <c:pt idx="0">
                  <c:v>Ammonia Sulfate</c:v>
                </c:pt>
              </c:strCache>
            </c:strRef>
          </c:tx>
          <c:spPr>
            <a:solidFill>
              <a:srgbClr val="99BC7A"/>
            </a:solidFill>
          </c:spPr>
          <c:invertIfNegative val="0"/>
          <c:cat>
            <c:strRef>
              <c:f>A_DCFROR!$C$183:$G$183</c:f>
              <c:strCache>
                <c:ptCount val="4"/>
                <c:pt idx="1">
                  <c:v>Base Co-product Price</c:v>
                </c:pt>
                <c:pt idx="2">
                  <c:v>High Co-product Price</c:v>
                </c:pt>
                <c:pt idx="3">
                  <c:v>Low Co-product Price</c:v>
                </c:pt>
              </c:strCache>
            </c:strRef>
          </c:cat>
          <c:val>
            <c:numRef>
              <c:f>A_DCFROR!$C$202:$G$202</c:f>
              <c:numCache>
                <c:formatCode>_("$"* #,##0.00_);_("$"* \(#,##0.00\);_("$"* "-"??_);_(@_)</c:formatCode>
                <c:ptCount val="5"/>
                <c:pt idx="1">
                  <c:v>-1.9360111490169731</c:v>
                </c:pt>
                <c:pt idx="2">
                  <c:v>-2.089316978058199</c:v>
                </c:pt>
                <c:pt idx="3">
                  <c:v>-0.98318354235806593</c:v>
                </c:pt>
              </c:numCache>
            </c:numRef>
          </c:val>
          <c:extLst>
            <c:ext xmlns:c16="http://schemas.microsoft.com/office/drawing/2014/chart" uri="{C3380CC4-5D6E-409C-BE32-E72D297353CC}">
              <c16:uniqueId val="{00000012-C50B-4EE6-B40D-EC1067E49B01}"/>
            </c:ext>
          </c:extLst>
        </c:ser>
        <c:ser>
          <c:idx val="19"/>
          <c:order val="19"/>
          <c:tx>
            <c:strRef>
              <c:f>A_DCFROR!$B$203</c:f>
              <c:strCache>
                <c:ptCount val="1"/>
                <c:pt idx="0">
                  <c:v>Magnesium Sulfate</c:v>
                </c:pt>
              </c:strCache>
            </c:strRef>
          </c:tx>
          <c:spPr>
            <a:solidFill>
              <a:srgbClr val="68B8AE"/>
            </a:solidFill>
          </c:spPr>
          <c:invertIfNegative val="0"/>
          <c:dLbls>
            <c:dLbl>
              <c:idx val="1"/>
              <c:delete val="1"/>
              <c:extLst>
                <c:ext xmlns:c15="http://schemas.microsoft.com/office/drawing/2012/chart" uri="{CE6537A1-D6FC-4f65-9D91-7224C49458BB}">
                  <c15:layout>
                    <c:manualLayout>
                      <c:w val="0.10504081156927943"/>
                      <c:h val="9.1124237066131597E-2"/>
                    </c:manualLayout>
                  </c15:layout>
                </c:ext>
                <c:ext xmlns:c16="http://schemas.microsoft.com/office/drawing/2014/chart" uri="{C3380CC4-5D6E-409C-BE32-E72D297353CC}">
                  <c16:uniqueId val="{00000004-8341-4B64-AFE0-653A268E2C03}"/>
                </c:ext>
              </c:extLst>
            </c:dLbl>
            <c:dLbl>
              <c:idx val="2"/>
              <c:delete val="1"/>
              <c:extLst>
                <c:ext xmlns:c15="http://schemas.microsoft.com/office/drawing/2012/chart" uri="{CE6537A1-D6FC-4f65-9D91-7224C49458BB}">
                  <c15:layout>
                    <c:manualLayout>
                      <c:w val="0.11314745679388594"/>
                      <c:h val="9.8995884584912375E-2"/>
                    </c:manualLayout>
                  </c15:layout>
                </c:ext>
                <c:ext xmlns:c16="http://schemas.microsoft.com/office/drawing/2014/chart" uri="{C3380CC4-5D6E-409C-BE32-E72D297353CC}">
                  <c16:uniqueId val="{00000003-8341-4B64-AFE0-653A268E2C03}"/>
                </c:ext>
              </c:extLst>
            </c:dLbl>
            <c:dLbl>
              <c:idx val="3"/>
              <c:delete val="1"/>
              <c:extLst>
                <c:ext xmlns:c15="http://schemas.microsoft.com/office/drawing/2012/chart" uri="{CE6537A1-D6FC-4f65-9D91-7224C49458BB}">
                  <c15:layout>
                    <c:manualLayout>
                      <c:w val="9.8604934745851067E-2"/>
                      <c:h val="9.7027990339235759E-2"/>
                    </c:manualLayout>
                  </c15:layout>
                </c:ext>
                <c:ext xmlns:c16="http://schemas.microsoft.com/office/drawing/2014/chart" uri="{C3380CC4-5D6E-409C-BE32-E72D297353CC}">
                  <c16:uniqueId val="{00000005-8341-4B64-AFE0-653A268E2C03}"/>
                </c:ext>
              </c:extLst>
            </c:dLbl>
            <c:spPr>
              <a:noFill/>
              <a:ln w="19050">
                <a:solidFill>
                  <a:schemeClr val="tx1"/>
                </a:solidFill>
              </a:ln>
              <a:effectLst/>
            </c:spPr>
            <c:txPr>
              <a:bodyPr wrap="square" lIns="38100" tIns="19050" rIns="38100" bIns="19050" anchor="ctr">
                <a:spAutoFit/>
              </a:bodyPr>
              <a:lstStyle/>
              <a:p>
                <a:pPr>
                  <a:defRPr sz="1100" b="1" cap="all" baseline="0"/>
                </a:pPr>
                <a:endParaRPr lang="en-US"/>
              </a:p>
            </c:txPr>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cat>
            <c:strRef>
              <c:f>A_DCFROR!$C$183:$G$183</c:f>
              <c:strCache>
                <c:ptCount val="4"/>
                <c:pt idx="1">
                  <c:v>Base Co-product Price</c:v>
                </c:pt>
                <c:pt idx="2">
                  <c:v>High Co-product Price</c:v>
                </c:pt>
                <c:pt idx="3">
                  <c:v>Low Co-product Price</c:v>
                </c:pt>
              </c:strCache>
            </c:strRef>
          </c:cat>
          <c:val>
            <c:numRef>
              <c:f>A_DCFROR!$C$203:$G$203</c:f>
              <c:numCache>
                <c:formatCode>_("$"* #,##0.00_);_("$"* \(#,##0.00\);_("$"* "-"??_);_(@_)</c:formatCode>
                <c:ptCount val="5"/>
                <c:pt idx="1">
                  <c:v>-2.9040167235254595</c:v>
                </c:pt>
                <c:pt idx="2">
                  <c:v>-3.133975467087299</c:v>
                </c:pt>
                <c:pt idx="3">
                  <c:v>-1.4747753135370989</c:v>
                </c:pt>
              </c:numCache>
            </c:numRef>
          </c:val>
          <c:extLst>
            <c:ext xmlns:c16="http://schemas.microsoft.com/office/drawing/2014/chart" uri="{C3380CC4-5D6E-409C-BE32-E72D297353CC}">
              <c16:uniqueId val="{00000013-C50B-4EE6-B40D-EC1067E49B01}"/>
            </c:ext>
          </c:extLst>
        </c:ser>
        <c:ser>
          <c:idx val="20"/>
          <c:order val="20"/>
          <c:tx>
            <c:strRef>
              <c:f>A_DCFROR!$B$204</c:f>
              <c:strCache>
                <c:ptCount val="1"/>
                <c:pt idx="0">
                  <c:v>Naphtha</c:v>
                </c:pt>
              </c:strCache>
            </c:strRef>
          </c:tx>
          <c:spPr>
            <a:solidFill>
              <a:srgbClr val="D3B0D4"/>
            </a:solidFill>
          </c:spPr>
          <c:invertIfNegative val="0"/>
          <c:cat>
            <c:strRef>
              <c:f>A_DCFROR!$C$183:$G$183</c:f>
              <c:strCache>
                <c:ptCount val="4"/>
                <c:pt idx="1">
                  <c:v>Base Co-product Price</c:v>
                </c:pt>
                <c:pt idx="2">
                  <c:v>High Co-product Price</c:v>
                </c:pt>
                <c:pt idx="3">
                  <c:v>Low Co-product Price</c:v>
                </c:pt>
              </c:strCache>
            </c:strRef>
          </c:cat>
          <c:val>
            <c:numRef>
              <c:f>A_DCFROR!$C$204:$G$204</c:f>
              <c:numCache>
                <c:formatCode>_("$"* #,##0.00_);_("$"* \(#,##0.00\);_("$"* "-"??_);_(@_)</c:formatCode>
                <c:ptCount val="5"/>
                <c:pt idx="1">
                  <c:v>-1.0486727057175269</c:v>
                </c:pt>
                <c:pt idx="2">
                  <c:v>-1.1317133631148582</c:v>
                </c:pt>
                <c:pt idx="3">
                  <c:v>-0.53255775211061895</c:v>
                </c:pt>
              </c:numCache>
            </c:numRef>
          </c:val>
          <c:extLst>
            <c:ext xmlns:c16="http://schemas.microsoft.com/office/drawing/2014/chart" uri="{C3380CC4-5D6E-409C-BE32-E72D297353CC}">
              <c16:uniqueId val="{00000014-C50B-4EE6-B40D-EC1067E49B01}"/>
            </c:ext>
          </c:extLst>
        </c:ser>
        <c:ser>
          <c:idx val="21"/>
          <c:order val="21"/>
          <c:tx>
            <c:strRef>
              <c:f>A_DCFROR!$B$205</c:f>
              <c:strCache>
                <c:ptCount val="1"/>
                <c:pt idx="0">
                  <c:v>Waste Collection</c:v>
                </c:pt>
              </c:strCache>
            </c:strRef>
          </c:tx>
          <c:spPr>
            <a:solidFill>
              <a:srgbClr val="998155"/>
            </a:solidFill>
          </c:spPr>
          <c:invertIfNegative val="0"/>
          <c:cat>
            <c:strRef>
              <c:f>A_DCFROR!$C$183:$G$183</c:f>
              <c:strCache>
                <c:ptCount val="4"/>
                <c:pt idx="1">
                  <c:v>Base Co-product Price</c:v>
                </c:pt>
                <c:pt idx="2">
                  <c:v>High Co-product Price</c:v>
                </c:pt>
                <c:pt idx="3">
                  <c:v>Low Co-product Price</c:v>
                </c:pt>
              </c:strCache>
            </c:strRef>
          </c:cat>
          <c:val>
            <c:numRef>
              <c:f>A_DCFROR!$C$205:$G$205</c:f>
              <c:numCache>
                <c:formatCode>_("$"* #,##0.00_);_("$"* \(#,##0.00\);_("$"* "-"??_);_(@_)</c:formatCode>
                <c:ptCount val="5"/>
                <c:pt idx="1">
                  <c:v>-4.8400278725424323E-2</c:v>
                </c:pt>
                <c:pt idx="2">
                  <c:v>-5.2232924451454985E-2</c:v>
                </c:pt>
                <c:pt idx="3">
                  <c:v>-2.4579588558951645E-2</c:v>
                </c:pt>
              </c:numCache>
            </c:numRef>
          </c:val>
          <c:extLst>
            <c:ext xmlns:c16="http://schemas.microsoft.com/office/drawing/2014/chart" uri="{C3380CC4-5D6E-409C-BE32-E72D297353CC}">
              <c16:uniqueId val="{00000015-C50B-4EE6-B40D-EC1067E49B01}"/>
            </c:ext>
          </c:extLst>
        </c:ser>
        <c:dLbls>
          <c:showLegendKey val="0"/>
          <c:showVal val="0"/>
          <c:showCatName val="0"/>
          <c:showSerName val="0"/>
          <c:showPercent val="0"/>
          <c:showBubbleSize val="0"/>
        </c:dLbls>
        <c:gapWidth val="10"/>
        <c:overlap val="100"/>
        <c:axId val="208777487"/>
        <c:axId val="208771727"/>
      </c:barChart>
      <c:lineChart>
        <c:grouping val="standard"/>
        <c:varyColors val="0"/>
        <c:ser>
          <c:idx val="23"/>
          <c:order val="23"/>
          <c:tx>
            <c:strRef>
              <c:f>A_DCFROR!$B$207</c:f>
              <c:strCache>
                <c:ptCount val="1"/>
                <c:pt idx="0">
                  <c:v>Jet Fuel Market Value</c:v>
                </c:pt>
              </c:strCache>
            </c:strRef>
          </c:tx>
          <c:spPr>
            <a:ln w="44450">
              <a:solidFill>
                <a:schemeClr val="tx1"/>
              </a:solidFill>
            </a:ln>
          </c:spPr>
          <c:marker>
            <c:symbol val="none"/>
          </c:marker>
          <c:cat>
            <c:strLit>
              <c:ptCount val="5"/>
              <c:pt idx="1">
                <c:v>Base Coproduct Price</c:v>
              </c:pt>
              <c:pt idx="2">
                <c:v>High Coproduct Price</c:v>
              </c:pt>
              <c:pt idx="3">
                <c:v>Low Coproduct Price</c:v>
              </c:pt>
            </c:strLit>
          </c:cat>
          <c:val>
            <c:numRef>
              <c:f>A_DCFROR!$C$207:$G$207</c:f>
              <c:numCache>
                <c:formatCode>_("$"* #,##0.00_);_("$"* \(#,##0.00\);_("$"* "-"??_);_(@_)</c:formatCode>
                <c:ptCount val="5"/>
                <c:pt idx="0">
                  <c:v>4.1782729805013927</c:v>
                </c:pt>
                <c:pt idx="1">
                  <c:v>4.1782729805013927</c:v>
                </c:pt>
                <c:pt idx="2">
                  <c:v>4.1782729805013927</c:v>
                </c:pt>
                <c:pt idx="3">
                  <c:v>4.1782729805013927</c:v>
                </c:pt>
                <c:pt idx="4">
                  <c:v>4.1782729805013927</c:v>
                </c:pt>
              </c:numCache>
            </c:numRef>
          </c:val>
          <c:smooth val="0"/>
          <c:extLst>
            <c:ext xmlns:c16="http://schemas.microsoft.com/office/drawing/2014/chart" uri="{C3380CC4-5D6E-409C-BE32-E72D297353CC}">
              <c16:uniqueId val="{00000016-C50B-4EE6-B40D-EC1067E49B01}"/>
            </c:ext>
          </c:extLst>
        </c:ser>
        <c:dLbls>
          <c:showLegendKey val="0"/>
          <c:showVal val="0"/>
          <c:showCatName val="0"/>
          <c:showSerName val="0"/>
          <c:showPercent val="0"/>
          <c:showBubbleSize val="0"/>
        </c:dLbls>
        <c:marker val="1"/>
        <c:smooth val="0"/>
        <c:axId val="1236251264"/>
        <c:axId val="1236262784"/>
      </c:lineChart>
      <c:scatterChart>
        <c:scatterStyle val="lineMarker"/>
        <c:varyColors val="0"/>
        <c:ser>
          <c:idx val="22"/>
          <c:order val="22"/>
          <c:tx>
            <c:strRef>
              <c:f>A_DCFROR!$B$206</c:f>
              <c:strCache>
                <c:ptCount val="1"/>
                <c:pt idx="0">
                  <c:v>Minimum Selling Price</c:v>
                </c:pt>
              </c:strCache>
            </c:strRef>
          </c:tx>
          <c:spPr>
            <a:ln>
              <a:noFill/>
            </a:ln>
          </c:spPr>
          <c:marker>
            <c:symbol val="square"/>
            <c:size val="7"/>
            <c:spPr>
              <a:solidFill>
                <a:srgbClr val="000000"/>
              </a:solidFill>
              <a:ln w="28575">
                <a:noFill/>
                <a:miter lim="800000"/>
              </a:ln>
              <a:effectLst/>
            </c:spPr>
          </c:marker>
          <c:dLbls>
            <c:spPr>
              <a:solidFill>
                <a:schemeClr val="tx1"/>
              </a:solidFill>
              <a:ln>
                <a:noFill/>
              </a:ln>
              <a:effectLst/>
            </c:spPr>
            <c:txPr>
              <a:bodyPr wrap="square" lIns="38100" tIns="19050" rIns="38100" bIns="19050" anchor="ctr">
                <a:spAutoFit/>
              </a:bodyPr>
              <a:lstStyle/>
              <a:p>
                <a:pPr>
                  <a:defRPr sz="1600" b="0">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strRef>
              <c:f>A_DCFROR!$C$183:$G$183</c:f>
              <c:strCache>
                <c:ptCount val="4"/>
                <c:pt idx="1">
                  <c:v>Base Co-product Price</c:v>
                </c:pt>
                <c:pt idx="2">
                  <c:v>High Co-product Price</c:v>
                </c:pt>
                <c:pt idx="3">
                  <c:v>Low Co-product Price</c:v>
                </c:pt>
              </c:strCache>
            </c:strRef>
          </c:xVal>
          <c:yVal>
            <c:numRef>
              <c:f>A_DCFROR!$C$206:$G$206</c:f>
              <c:numCache>
                <c:formatCode>_("$"* #,##0.00_);_("$"* \(#,##0.00\);_("$"* "-"??_);_(@_)</c:formatCode>
                <c:ptCount val="5"/>
                <c:pt idx="1">
                  <c:v>24.67966573816156</c:v>
                </c:pt>
                <c:pt idx="2">
                  <c:v>22.395543175487465</c:v>
                </c:pt>
                <c:pt idx="3">
                  <c:v>26.82451253481895</c:v>
                </c:pt>
              </c:numCache>
            </c:numRef>
          </c:yVal>
          <c:smooth val="0"/>
          <c:extLst>
            <c:ext xmlns:c16="http://schemas.microsoft.com/office/drawing/2014/chart" uri="{C3380CC4-5D6E-409C-BE32-E72D297353CC}">
              <c16:uniqueId val="{00000017-C50B-4EE6-B40D-EC1067E49B01}"/>
            </c:ext>
          </c:extLst>
        </c:ser>
        <c:dLbls>
          <c:showLegendKey val="0"/>
          <c:showVal val="0"/>
          <c:showCatName val="0"/>
          <c:showSerName val="0"/>
          <c:showPercent val="0"/>
          <c:showBubbleSize val="0"/>
        </c:dLbls>
        <c:axId val="1236251264"/>
        <c:axId val="1236262784"/>
      </c:scatterChart>
      <c:catAx>
        <c:axId val="208777487"/>
        <c:scaling>
          <c:orientation val="minMax"/>
        </c:scaling>
        <c:delete val="1"/>
        <c:axPos val="b"/>
        <c:numFmt formatCode="General" sourceLinked="1"/>
        <c:majorTickMark val="none"/>
        <c:minorTickMark val="none"/>
        <c:tickLblPos val="low"/>
        <c:crossAx val="208771727"/>
        <c:crossesAt val="0"/>
        <c:auto val="0"/>
        <c:lblAlgn val="ctr"/>
        <c:lblOffset val="50"/>
        <c:noMultiLvlLbl val="0"/>
      </c:catAx>
      <c:valAx>
        <c:axId val="208771727"/>
        <c:scaling>
          <c:orientation val="minMax"/>
          <c:max val="40"/>
        </c:scaling>
        <c:delete val="0"/>
        <c:axPos val="l"/>
        <c:majorGridlines>
          <c:spPr>
            <a:ln w="9525" cap="flat" cmpd="sng" algn="ctr">
              <a:solidFill>
                <a:schemeClr val="tx1"/>
              </a:solidFill>
              <a:round/>
            </a:ln>
            <a:effectLst/>
          </c:spPr>
        </c:majorGridlines>
        <c:title>
          <c:tx>
            <c:rich>
              <a:bodyPr/>
              <a:lstStyle/>
              <a:p>
                <a:pPr>
                  <a:defRPr sz="1400"/>
                </a:pPr>
                <a:r>
                  <a:rPr lang="en-US" sz="1400"/>
                  <a:t>COST </a:t>
                </a:r>
                <a:r>
                  <a:rPr lang="en-US" sz="1400" b="0"/>
                  <a:t>[USD</a:t>
                </a:r>
                <a:r>
                  <a:rPr lang="en-US" sz="1400" b="0" baseline="0"/>
                  <a:t> (2026) / GGE ]</a:t>
                </a:r>
                <a:endParaRPr lang="en-US" sz="1400" b="0"/>
              </a:p>
            </c:rich>
          </c:tx>
          <c:layout>
            <c:manualLayout>
              <c:xMode val="edge"/>
              <c:yMode val="edge"/>
              <c:x val="1.4873615200280086E-2"/>
              <c:y val="0.25478926995272827"/>
            </c:manualLayout>
          </c:layout>
          <c:overlay val="0"/>
          <c:spPr>
            <a:noFill/>
          </c:spPr>
        </c:title>
        <c:numFmt formatCode="_(&quot;$&quot;* #,##0_);_(&quot;$&quot;* \(#,##0\);_(&quot;$&quot;* &quot;-&quot;_);_(@_)" sourceLinked="0"/>
        <c:majorTickMark val="cross"/>
        <c:minorTickMark val="cross"/>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Cond" panose="020B0506020202020204" pitchFamily="34" charset="0"/>
                <a:ea typeface="+mn-ea"/>
                <a:cs typeface="+mn-cs"/>
              </a:defRPr>
            </a:pPr>
            <a:endParaRPr lang="en-US"/>
          </a:p>
        </c:txPr>
        <c:crossAx val="208777487"/>
        <c:crosses val="autoZero"/>
        <c:crossBetween val="between"/>
      </c:valAx>
      <c:valAx>
        <c:axId val="1236262784"/>
        <c:scaling>
          <c:orientation val="minMax"/>
        </c:scaling>
        <c:delete val="1"/>
        <c:axPos val="r"/>
        <c:numFmt formatCode="_(&quot;$&quot;* #,##0_);_(&quot;$&quot;* \(#,##0\);_(&quot;$&quot;* &quot;-&quot;_);_(@_)" sourceLinked="0"/>
        <c:majorTickMark val="none"/>
        <c:minorTickMark val="none"/>
        <c:tickLblPos val="nextTo"/>
        <c:crossAx val="1236251264"/>
        <c:crosses val="max"/>
        <c:crossBetween val="between"/>
      </c:valAx>
      <c:catAx>
        <c:axId val="1236251264"/>
        <c:scaling>
          <c:orientation val="minMax"/>
        </c:scaling>
        <c:delete val="1"/>
        <c:axPos val="b"/>
        <c:numFmt formatCode="General" sourceLinked="1"/>
        <c:majorTickMark val="out"/>
        <c:minorTickMark val="none"/>
        <c:tickLblPos val="nextTo"/>
        <c:crossAx val="1236262784"/>
        <c:crosses val="autoZero"/>
        <c:auto val="1"/>
        <c:lblAlgn val="ctr"/>
        <c:lblOffset val="100"/>
        <c:noMultiLvlLbl val="0"/>
      </c:catAx>
      <c:spPr>
        <a:noFill/>
        <a:ln w="19050">
          <a:solidFill>
            <a:schemeClr val="tx1"/>
          </a:solidFill>
          <a:miter lim="800000"/>
        </a:ln>
        <a:effectLst/>
      </c:spPr>
    </c:plotArea>
    <c:legend>
      <c:legendPos val="b"/>
      <c:layout>
        <c:manualLayout>
          <c:xMode val="edge"/>
          <c:yMode val="edge"/>
          <c:x val="1.481846695835404E-3"/>
          <c:y val="0.7937776442898542"/>
          <c:w val="0.98799634182813911"/>
          <c:h val="0.19480194428757616"/>
        </c:manualLayout>
      </c:layout>
      <c:overlay val="0"/>
      <c:txPr>
        <a:bodyPr/>
        <a:lstStyle/>
        <a:p>
          <a:pPr>
            <a:defRPr sz="1050"/>
          </a:pPr>
          <a:endParaRPr lang="en-US"/>
        </a:p>
      </c:txPr>
    </c:legend>
    <c:plotVisOnly val="1"/>
    <c:dispBlanksAs val="gap"/>
    <c:showDLblsOverMax val="0"/>
  </c:chart>
  <c:spPr>
    <a:solidFill>
      <a:schemeClr val="bg1"/>
    </a:solidFill>
    <a:ln w="22225"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ysClr val="windowText" lastClr="000000"/>
                </a:solidFill>
                <a:latin typeface="Arial Nova Cond" panose="020B0506020202020204" pitchFamily="34" charset="0"/>
                <a:ea typeface="+mn-ea"/>
                <a:cs typeface="+mn-cs"/>
              </a:defRPr>
            </a:pPr>
            <a:r>
              <a:rPr lang="en-US" sz="2000" b="1"/>
              <a:t>PATH B DISCOUNTED</a:t>
            </a:r>
            <a:r>
              <a:rPr lang="en-US" sz="2000" b="1" baseline="0"/>
              <a:t> CASH FLOW RATE OF RETURN</a:t>
            </a:r>
            <a:endParaRPr lang="en-US" sz="2000" b="1"/>
          </a:p>
        </c:rich>
      </c:tx>
      <c:layout>
        <c:manualLayout>
          <c:xMode val="edge"/>
          <c:yMode val="edge"/>
          <c:x val="0.20858167868661748"/>
          <c:y val="2.1593302559946969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2091107738589303"/>
          <c:y val="9.7924679816825996E-2"/>
          <c:w val="0.75338600131422062"/>
          <c:h val="0.70273727798207797"/>
        </c:manualLayout>
      </c:layout>
      <c:barChart>
        <c:barDir val="col"/>
        <c:grouping val="stacked"/>
        <c:varyColors val="0"/>
        <c:ser>
          <c:idx val="0"/>
          <c:order val="0"/>
          <c:tx>
            <c:strRef>
              <c:f>B_DCFROR!$B$105</c:f>
              <c:strCache>
                <c:ptCount val="1"/>
                <c:pt idx="0">
                  <c:v>Capital Investment</c:v>
                </c:pt>
              </c:strCache>
            </c:strRef>
          </c:tx>
          <c:spPr>
            <a:solidFill>
              <a:schemeClr val="accent1"/>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B_DCFROR!$C$105:$AI$105</c:f>
              <c:numCache>
                <c:formatCode>_("$"* #,##0_);_("$"* \(#,##0\);_("$"* "-"??_);_(@_)</c:formatCode>
                <c:ptCount val="33"/>
                <c:pt idx="0">
                  <c:v>397.44623167372777</c:v>
                </c:pt>
                <c:pt idx="1">
                  <c:v>418.36445439339769</c:v>
                </c:pt>
                <c:pt idx="2">
                  <c:v>439.28267711306762</c:v>
                </c:pt>
              </c:numCache>
            </c:numRef>
          </c:val>
          <c:extLst>
            <c:ext xmlns:c16="http://schemas.microsoft.com/office/drawing/2014/chart" uri="{C3380CC4-5D6E-409C-BE32-E72D297353CC}">
              <c16:uniqueId val="{00000000-5BA9-44AF-AB15-AB7212B6D945}"/>
            </c:ext>
          </c:extLst>
        </c:ser>
        <c:ser>
          <c:idx val="1"/>
          <c:order val="1"/>
          <c:tx>
            <c:strRef>
              <c:f>B_DCFROR!$B$106</c:f>
              <c:strCache>
                <c:ptCount val="1"/>
                <c:pt idx="0">
                  <c:v>Tax</c:v>
                </c:pt>
              </c:strCache>
            </c:strRef>
          </c:tx>
          <c:spPr>
            <a:solidFill>
              <a:schemeClr val="accent2">
                <a:lumMod val="75000"/>
              </a:schemeClr>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B_DCFROR!$C$106:$AI$106</c:f>
              <c:numCache>
                <c:formatCode>General</c:formatCode>
                <c:ptCount val="33"/>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-0.18932225346833467</c:v>
                </c:pt>
                <c:pt idx="18">
                  <c:v>-94.033074242599554</c:v>
                </c:pt>
                <c:pt idx="19">
                  <c:v>-94.033074242599554</c:v>
                </c:pt>
                <c:pt idx="20">
                  <c:v>-94.033074242599554</c:v>
                </c:pt>
                <c:pt idx="21">
                  <c:v>-94.033074242599554</c:v>
                </c:pt>
                <c:pt idx="22">
                  <c:v>-94.033074242599554</c:v>
                </c:pt>
                <c:pt idx="23">
                  <c:v>-94.033074242599554</c:v>
                </c:pt>
                <c:pt idx="24">
                  <c:v>-94.033074242599554</c:v>
                </c:pt>
                <c:pt idx="25">
                  <c:v>-94.033074242599554</c:v>
                </c:pt>
                <c:pt idx="26">
                  <c:v>-94.033074242599554</c:v>
                </c:pt>
                <c:pt idx="27">
                  <c:v>-94.033074242599554</c:v>
                </c:pt>
                <c:pt idx="28">
                  <c:v>-94.033074242599554</c:v>
                </c:pt>
                <c:pt idx="29">
                  <c:v>-94.033074242599554</c:v>
                </c:pt>
                <c:pt idx="30">
                  <c:v>-94.033074242599554</c:v>
                </c:pt>
                <c:pt idx="31">
                  <c:v>-94.033074242599554</c:v>
                </c:pt>
                <c:pt idx="32">
                  <c:v>-94.033074242599554</c:v>
                </c:pt>
              </c:numCache>
            </c:numRef>
          </c:val>
          <c:extLst>
            <c:ext xmlns:c16="http://schemas.microsoft.com/office/drawing/2014/chart" uri="{C3380CC4-5D6E-409C-BE32-E72D297353CC}">
              <c16:uniqueId val="{00000001-5BA9-44AF-AB15-AB7212B6D945}"/>
            </c:ext>
          </c:extLst>
        </c:ser>
        <c:ser>
          <c:idx val="2"/>
          <c:order val="2"/>
          <c:tx>
            <c:strRef>
              <c:f>B_DCFROR!$B$107</c:f>
              <c:strCache>
                <c:ptCount val="1"/>
                <c:pt idx="0">
                  <c:v>Depreciation</c:v>
                </c:pt>
              </c:strCache>
            </c:strRef>
          </c:tx>
          <c:spPr>
            <a:solidFill>
              <a:schemeClr val="accent5">
                <a:lumMod val="75000"/>
              </a:schemeClr>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B_DCFROR!$C$107:$AI$107</c:f>
              <c:numCache>
                <c:formatCode>General</c:formatCode>
                <c:ptCount val="33"/>
                <c:pt idx="2" formatCode="_(&quot;$&quot;* #,##0_);_(&quot;$&quot;* \(#,##0\);_(&quot;$&quot;* &quot;-&quot;??_);_(@_)">
                  <c:v>-298.92140266408262</c:v>
                </c:pt>
                <c:pt idx="3" formatCode="_(&quot;$&quot;* #,##0_);_(&quot;$&quot;* \(#,##0\);_(&quot;$&quot;* &quot;-&quot;??_);_(@_)">
                  <c:v>-512.2872744047155</c:v>
                </c:pt>
                <c:pt idx="4" formatCode="_(&quot;$&quot;* #,##0_);_(&quot;$&quot;* \(#,##0\);_(&quot;$&quot;* &quot;-&quot;??_);_(@_)">
                  <c:v>-365.8597153670263</c:v>
                </c:pt>
                <c:pt idx="5" formatCode="_(&quot;$&quot;* #,##0_);_(&quot;$&quot;* \(#,##0\);_(&quot;$&quot;* &quot;-&quot;??_);_(@_)">
                  <c:v>-261.26860176867683</c:v>
                </c:pt>
                <c:pt idx="6" formatCode="_(&quot;$&quot;* #,##0_);_(&quot;$&quot;* \(#,##0\);_(&quot;$&quot;* &quot;-&quot;??_);_(@_)">
                  <c:v>-186.79972888665205</c:v>
                </c:pt>
                <c:pt idx="7" formatCode="_(&quot;$&quot;* #,##0_);_(&quot;$&quot;* \(#,##0\);_(&quot;$&quot;* &quot;-&quot;??_);_(@_)">
                  <c:v>-186.59054665945536</c:v>
                </c:pt>
                <c:pt idx="8" formatCode="_(&quot;$&quot;* #,##0_);_(&quot;$&quot;* \(#,##0\);_(&quot;$&quot;* &quot;-&quot;??_);_(@_)">
                  <c:v>-186.79972888665205</c:v>
                </c:pt>
                <c:pt idx="9" formatCode="_(&quot;$&quot;* #,##0_);_(&quot;$&quot;* \(#,##0\);_(&quot;$&quot;* &quot;-&quot;??_);_(@_)">
                  <c:v>-93.295273329727678</c:v>
                </c:pt>
                <c:pt idx="10" formatCode="_(&quot;$&quot;* #,##0_);_(&quot;$&quot;* \(#,##0\);_(&quot;$&quot;* &quot;-&quot;??_);_(@_)">
                  <c:v>0</c:v>
                </c:pt>
                <c:pt idx="11" formatCode="_(&quot;$&quot;* #,##0_);_(&quot;$&quot;* \(#,##0\);_(&quot;$&quot;* &quot;-&quot;??_);_(@_)">
                  <c:v>0</c:v>
                </c:pt>
                <c:pt idx="12" formatCode="_(&quot;$&quot;* #,##0_);_(&quot;$&quot;* \(#,##0\);_(&quot;$&quot;* &quot;-&quot;??_);_(@_)">
                  <c:v>0</c:v>
                </c:pt>
                <c:pt idx="13" formatCode="_(&quot;$&quot;* #,##0_);_(&quot;$&quot;* \(#,##0\);_(&quot;$&quot;* &quot;-&quot;??_);_(@_)">
                  <c:v>0</c:v>
                </c:pt>
                <c:pt idx="14" formatCode="_(&quot;$&quot;* #,##0_);_(&quot;$&quot;* \(#,##0\);_(&quot;$&quot;* &quot;-&quot;??_);_(@_)">
                  <c:v>0</c:v>
                </c:pt>
                <c:pt idx="15" formatCode="_(&quot;$&quot;* #,##0_);_(&quot;$&quot;* \(#,##0\);_(&quot;$&quot;* &quot;-&quot;??_);_(@_)">
                  <c:v>0</c:v>
                </c:pt>
                <c:pt idx="16" formatCode="_(&quot;$&quot;* #,##0_);_(&quot;$&quot;* \(#,##0\);_(&quot;$&quot;* &quot;-&quot;??_);_(@_)">
                  <c:v>0</c:v>
                </c:pt>
                <c:pt idx="17" formatCode="_(&quot;$&quot;* #,##0_);_(&quot;$&quot;* \(#,##0\);_(&quot;$&quot;* &quot;-&quot;??_);_(@_)">
                  <c:v>0</c:v>
                </c:pt>
                <c:pt idx="18" formatCode="_(&quot;$&quot;* #,##0_);_(&quot;$&quot;* \(#,##0\);_(&quot;$&quot;* &quot;-&quot;??_);_(@_)">
                  <c:v>0</c:v>
                </c:pt>
                <c:pt idx="19" formatCode="_(&quot;$&quot;* #,##0_);_(&quot;$&quot;* \(#,##0\);_(&quot;$&quot;* &quot;-&quot;??_);_(@_)">
                  <c:v>0</c:v>
                </c:pt>
                <c:pt idx="20" formatCode="_(&quot;$&quot;* #,##0_);_(&quot;$&quot;* \(#,##0\);_(&quot;$&quot;* &quot;-&quot;??_);_(@_)">
                  <c:v>0</c:v>
                </c:pt>
                <c:pt idx="21" formatCode="_(&quot;$&quot;* #,##0_);_(&quot;$&quot;* \(#,##0\);_(&quot;$&quot;* &quot;-&quot;??_);_(@_)">
                  <c:v>0</c:v>
                </c:pt>
                <c:pt idx="22" formatCode="_(&quot;$&quot;* #,##0_);_(&quot;$&quot;* \(#,##0\);_(&quot;$&quot;* &quot;-&quot;??_);_(@_)">
                  <c:v>0</c:v>
                </c:pt>
                <c:pt idx="23" formatCode="_(&quot;$&quot;* #,##0_);_(&quot;$&quot;* \(#,##0\);_(&quot;$&quot;* &quot;-&quot;??_);_(@_)">
                  <c:v>0</c:v>
                </c:pt>
                <c:pt idx="24" formatCode="_(&quot;$&quot;* #,##0_);_(&quot;$&quot;* \(#,##0\);_(&quot;$&quot;* &quot;-&quot;??_);_(@_)">
                  <c:v>0</c:v>
                </c:pt>
                <c:pt idx="25" formatCode="_(&quot;$&quot;* #,##0_);_(&quot;$&quot;* \(#,##0\);_(&quot;$&quot;* &quot;-&quot;??_);_(@_)">
                  <c:v>0</c:v>
                </c:pt>
                <c:pt idx="26" formatCode="_(&quot;$&quot;* #,##0_);_(&quot;$&quot;* \(#,##0\);_(&quot;$&quot;* &quot;-&quot;??_);_(@_)">
                  <c:v>0</c:v>
                </c:pt>
                <c:pt idx="27" formatCode="_(&quot;$&quot;* #,##0_);_(&quot;$&quot;* \(#,##0\);_(&quot;$&quot;* &quot;-&quot;??_);_(@_)">
                  <c:v>0</c:v>
                </c:pt>
                <c:pt idx="28" formatCode="_(&quot;$&quot;* #,##0_);_(&quot;$&quot;* \(#,##0\);_(&quot;$&quot;* &quot;-&quot;??_);_(@_)">
                  <c:v>0</c:v>
                </c:pt>
                <c:pt idx="29" formatCode="_(&quot;$&quot;* #,##0_);_(&quot;$&quot;* \(#,##0\);_(&quot;$&quot;* &quot;-&quot;??_);_(@_)">
                  <c:v>0</c:v>
                </c:pt>
                <c:pt idx="30" formatCode="_(&quot;$&quot;* #,##0_);_(&quot;$&quot;* \(#,##0\);_(&quot;$&quot;* &quot;-&quot;??_);_(@_)">
                  <c:v>0</c:v>
                </c:pt>
                <c:pt idx="31" formatCode="_(&quot;$&quot;* #,##0_);_(&quot;$&quot;* \(#,##0\);_(&quot;$&quot;* &quot;-&quot;??_);_(@_)">
                  <c:v>0</c:v>
                </c:pt>
                <c:pt idx="32" formatCode="_(&quot;$&quot;* #,##0_);_(&quot;$&quot;* \(#,##0\);_(&quot;$&quot;* &quot;-&quot;??_);_(@_)">
                  <c:v>0</c:v>
                </c:pt>
              </c:numCache>
            </c:numRef>
          </c:val>
          <c:extLst>
            <c:ext xmlns:c16="http://schemas.microsoft.com/office/drawing/2014/chart" uri="{C3380CC4-5D6E-409C-BE32-E72D297353CC}">
              <c16:uniqueId val="{00000002-5BA9-44AF-AB15-AB7212B6D945}"/>
            </c:ext>
          </c:extLst>
        </c:ser>
        <c:ser>
          <c:idx val="3"/>
          <c:order val="3"/>
          <c:tx>
            <c:strRef>
              <c:f>B_DCFROR!$B$108</c:f>
              <c:strCache>
                <c:ptCount val="1"/>
                <c:pt idx="0">
                  <c:v>Loan Payment</c:v>
                </c:pt>
              </c:strCache>
            </c:strRef>
          </c:tx>
          <c:spPr>
            <a:solidFill>
              <a:schemeClr val="bg2">
                <a:lumMod val="50000"/>
              </a:schemeClr>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B_DCFROR!$C$108:$AI$108</c:f>
              <c:numCache>
                <c:formatCode>_("$"* #,##0_);_("$"* \(#,##0\);_("$"* "-"??_);_(@_)</c:formatCode>
                <c:ptCount val="33"/>
                <c:pt idx="0">
                  <c:v>-10.040746905441544</c:v>
                </c:pt>
                <c:pt idx="1">
                  <c:v>-60.244481432649259</c:v>
                </c:pt>
                <c:pt idx="2">
                  <c:v>-100.40746905441543</c:v>
                </c:pt>
                <c:pt idx="3">
                  <c:v>-100.40746905441543</c:v>
                </c:pt>
                <c:pt idx="4">
                  <c:v>-93.476392804221703</c:v>
                </c:pt>
                <c:pt idx="5">
                  <c:v>-85.990830454012496</c:v>
                </c:pt>
                <c:pt idx="6">
                  <c:v>-77.906423115786538</c:v>
                </c:pt>
                <c:pt idx="7">
                  <c:v>-69.175263190502491</c:v>
                </c:pt>
                <c:pt idx="8">
                  <c:v>-59.745610471195747</c:v>
                </c:pt>
                <c:pt idx="9">
                  <c:v>-49.561585534344445</c:v>
                </c:pt>
                <c:pt idx="10">
                  <c:v>-38.562838602545042</c:v>
                </c:pt>
                <c:pt idx="11">
                  <c:v>-26.684191916201687</c:v>
                </c:pt>
                <c:pt idx="12">
                  <c:v>-13.855253494950865</c:v>
                </c:pt>
                <c:pt idx="13">
                  <c:v>1.8626451492309572E-14</c:v>
                </c:pt>
                <c:pt idx="14">
                  <c:v>2.0116567611694336E-14</c:v>
                </c:pt>
                <c:pt idx="15">
                  <c:v>2.1725893020629887E-14</c:v>
                </c:pt>
                <c:pt idx="16">
                  <c:v>2.3463964462280273E-14</c:v>
                </c:pt>
                <c:pt idx="17">
                  <c:v>2.5341081619262696E-14</c:v>
                </c:pt>
                <c:pt idx="18">
                  <c:v>2.7368368148803711E-14</c:v>
                </c:pt>
                <c:pt idx="19">
                  <c:v>2.9557837600708006E-14</c:v>
                </c:pt>
                <c:pt idx="20">
                  <c:v>3.1922464608764651E-14</c:v>
                </c:pt>
                <c:pt idx="21">
                  <c:v>3.4476261777465822E-14</c:v>
                </c:pt>
                <c:pt idx="22">
                  <c:v>3.7234362719663093E-14</c:v>
                </c:pt>
                <c:pt idx="23">
                  <c:v>4.0213111737236139E-14</c:v>
                </c:pt>
                <c:pt idx="24">
                  <c:v>4.3430160676215033E-14</c:v>
                </c:pt>
                <c:pt idx="25">
                  <c:v>4.6904573530312234E-14</c:v>
                </c:pt>
                <c:pt idx="26">
                  <c:v>5.0656939412737217E-14</c:v>
                </c:pt>
                <c:pt idx="27">
                  <c:v>5.4709494565756189E-14</c:v>
                </c:pt>
                <c:pt idx="28">
                  <c:v>5.9086254131016691E-14</c:v>
                </c:pt>
                <c:pt idx="29">
                  <c:v>6.3813154461498039E-14</c:v>
                </c:pt>
                <c:pt idx="30">
                  <c:v>6.8918206818417875E-14</c:v>
                </c:pt>
                <c:pt idx="31">
                  <c:v>7.4431663363891301E-14</c:v>
                </c:pt>
                <c:pt idx="32">
                  <c:v>8.038619643300261E-14</c:v>
                </c:pt>
              </c:numCache>
            </c:numRef>
          </c:val>
          <c:extLst>
            <c:ext xmlns:c16="http://schemas.microsoft.com/office/drawing/2014/chart" uri="{C3380CC4-5D6E-409C-BE32-E72D297353CC}">
              <c16:uniqueId val="{00000003-5BA9-44AF-AB15-AB7212B6D945}"/>
            </c:ext>
          </c:extLst>
        </c:ser>
        <c:ser>
          <c:idx val="4"/>
          <c:order val="4"/>
          <c:tx>
            <c:strRef>
              <c:f>B_DCFROR!$B$109</c:f>
              <c:strCache>
                <c:ptCount val="1"/>
                <c:pt idx="0">
                  <c:v>Operational Expenses</c:v>
                </c:pt>
              </c:strCache>
            </c:strRef>
          </c:tx>
          <c:spPr>
            <a:solidFill>
              <a:srgbClr val="CCCC00"/>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B_DCFROR!$C$109:$AI$109</c:f>
              <c:numCache>
                <c:formatCode>General</c:formatCode>
                <c:ptCount val="33"/>
                <c:pt idx="3" formatCode="_(&quot;$&quot;* #,##0.00_);_(&quot;$&quot;* \(#,##0.00\);_(&quot;$&quot;* &quot;-&quot;??_);_(@_)">
                  <c:v>-105.89939470461225</c:v>
                </c:pt>
                <c:pt idx="4" formatCode="_(&quot;$&quot;* #,##0.00_);_(&quot;$&quot;* \(#,##0.00\);_(&quot;$&quot;* &quot;-&quot;??_);_(@_)">
                  <c:v>-141.19919293948303</c:v>
                </c:pt>
                <c:pt idx="5" formatCode="_(&quot;$&quot;* #,##0.00_);_(&quot;$&quot;* \(#,##0.00\);_(&quot;$&quot;* &quot;-&quot;??_);_(@_)">
                  <c:v>-141.19919293948303</c:v>
                </c:pt>
                <c:pt idx="6" formatCode="_(&quot;$&quot;* #,##0.00_);_(&quot;$&quot;* \(#,##0.00\);_(&quot;$&quot;* &quot;-&quot;??_);_(@_)">
                  <c:v>-141.19919293948303</c:v>
                </c:pt>
                <c:pt idx="7" formatCode="_(&quot;$&quot;* #,##0.00_);_(&quot;$&quot;* \(#,##0.00\);_(&quot;$&quot;* &quot;-&quot;??_);_(@_)">
                  <c:v>-141.19919293948303</c:v>
                </c:pt>
                <c:pt idx="8" formatCode="_(&quot;$&quot;* #,##0.00_);_(&quot;$&quot;* \(#,##0.00\);_(&quot;$&quot;* &quot;-&quot;??_);_(@_)">
                  <c:v>-141.19919293948303</c:v>
                </c:pt>
                <c:pt idx="9" formatCode="_(&quot;$&quot;* #,##0.00_);_(&quot;$&quot;* \(#,##0.00\);_(&quot;$&quot;* &quot;-&quot;??_);_(@_)">
                  <c:v>-141.19919293948303</c:v>
                </c:pt>
                <c:pt idx="10" formatCode="_(&quot;$&quot;* #,##0.00_);_(&quot;$&quot;* \(#,##0.00\);_(&quot;$&quot;* &quot;-&quot;??_);_(@_)">
                  <c:v>-141.19919293948303</c:v>
                </c:pt>
                <c:pt idx="11" formatCode="_(&quot;$&quot;* #,##0.00_);_(&quot;$&quot;* \(#,##0.00\);_(&quot;$&quot;* &quot;-&quot;??_);_(@_)">
                  <c:v>-141.19919293948303</c:v>
                </c:pt>
                <c:pt idx="12" formatCode="_(&quot;$&quot;* #,##0.00_);_(&quot;$&quot;* \(#,##0.00\);_(&quot;$&quot;* &quot;-&quot;??_);_(@_)">
                  <c:v>-141.19919293948303</c:v>
                </c:pt>
                <c:pt idx="13" formatCode="_(&quot;$&quot;* #,##0.00_);_(&quot;$&quot;* \(#,##0.00\);_(&quot;$&quot;* &quot;-&quot;??_);_(@_)">
                  <c:v>-141.19919293948303</c:v>
                </c:pt>
                <c:pt idx="14" formatCode="_(&quot;$&quot;* #,##0.00_);_(&quot;$&quot;* \(#,##0.00\);_(&quot;$&quot;* &quot;-&quot;??_);_(@_)">
                  <c:v>-141.19919293948303</c:v>
                </c:pt>
                <c:pt idx="15" formatCode="_(&quot;$&quot;* #,##0.00_);_(&quot;$&quot;* \(#,##0.00\);_(&quot;$&quot;* &quot;-&quot;??_);_(@_)">
                  <c:v>-141.19919293948303</c:v>
                </c:pt>
                <c:pt idx="16" formatCode="_(&quot;$&quot;* #,##0.00_);_(&quot;$&quot;* \(#,##0.00\);_(&quot;$&quot;* &quot;-&quot;??_);_(@_)">
                  <c:v>-141.19919293948303</c:v>
                </c:pt>
                <c:pt idx="17" formatCode="_(&quot;$&quot;* #,##0.00_);_(&quot;$&quot;* \(#,##0.00\);_(&quot;$&quot;* &quot;-&quot;??_);_(@_)">
                  <c:v>-141.19919293948303</c:v>
                </c:pt>
                <c:pt idx="18" formatCode="_(&quot;$&quot;* #,##0.00_);_(&quot;$&quot;* \(#,##0.00\);_(&quot;$&quot;* &quot;-&quot;??_);_(@_)">
                  <c:v>-141.19919293948303</c:v>
                </c:pt>
                <c:pt idx="19" formatCode="_(&quot;$&quot;* #,##0.00_);_(&quot;$&quot;* \(#,##0.00\);_(&quot;$&quot;* &quot;-&quot;??_);_(@_)">
                  <c:v>-141.19919293948303</c:v>
                </c:pt>
                <c:pt idx="20" formatCode="_(&quot;$&quot;* #,##0.00_);_(&quot;$&quot;* \(#,##0.00\);_(&quot;$&quot;* &quot;-&quot;??_);_(@_)">
                  <c:v>-141.19919293948303</c:v>
                </c:pt>
                <c:pt idx="21" formatCode="_(&quot;$&quot;* #,##0.00_);_(&quot;$&quot;* \(#,##0.00\);_(&quot;$&quot;* &quot;-&quot;??_);_(@_)">
                  <c:v>-141.19919293948303</c:v>
                </c:pt>
                <c:pt idx="22" formatCode="_(&quot;$&quot;* #,##0.00_);_(&quot;$&quot;* \(#,##0.00\);_(&quot;$&quot;* &quot;-&quot;??_);_(@_)">
                  <c:v>-141.19919293948303</c:v>
                </c:pt>
                <c:pt idx="23" formatCode="_(&quot;$&quot;* #,##0.00_);_(&quot;$&quot;* \(#,##0.00\);_(&quot;$&quot;* &quot;-&quot;??_);_(@_)">
                  <c:v>-141.19919293948303</c:v>
                </c:pt>
                <c:pt idx="24" formatCode="_(&quot;$&quot;* #,##0.00_);_(&quot;$&quot;* \(#,##0.00\);_(&quot;$&quot;* &quot;-&quot;??_);_(@_)">
                  <c:v>-141.19919293948303</c:v>
                </c:pt>
                <c:pt idx="25" formatCode="_(&quot;$&quot;* #,##0.00_);_(&quot;$&quot;* \(#,##0.00\);_(&quot;$&quot;* &quot;-&quot;??_);_(@_)">
                  <c:v>-141.19919293948303</c:v>
                </c:pt>
                <c:pt idx="26" formatCode="_(&quot;$&quot;* #,##0.00_);_(&quot;$&quot;* \(#,##0.00\);_(&quot;$&quot;* &quot;-&quot;??_);_(@_)">
                  <c:v>-141.19919293948303</c:v>
                </c:pt>
                <c:pt idx="27" formatCode="_(&quot;$&quot;* #,##0.00_);_(&quot;$&quot;* \(#,##0.00\);_(&quot;$&quot;* &quot;-&quot;??_);_(@_)">
                  <c:v>-141.19919293948303</c:v>
                </c:pt>
                <c:pt idx="28" formatCode="_(&quot;$&quot;* #,##0.00_);_(&quot;$&quot;* \(#,##0.00\);_(&quot;$&quot;* &quot;-&quot;??_);_(@_)">
                  <c:v>-141.19919293948303</c:v>
                </c:pt>
                <c:pt idx="29" formatCode="_(&quot;$&quot;* #,##0.00_);_(&quot;$&quot;* \(#,##0.00\);_(&quot;$&quot;* &quot;-&quot;??_);_(@_)">
                  <c:v>-141.19919293948303</c:v>
                </c:pt>
                <c:pt idx="30" formatCode="_(&quot;$&quot;* #,##0.00_);_(&quot;$&quot;* \(#,##0.00\);_(&quot;$&quot;* &quot;-&quot;??_);_(@_)">
                  <c:v>-141.19919293948303</c:v>
                </c:pt>
                <c:pt idx="31" formatCode="_(&quot;$&quot;* #,##0.00_);_(&quot;$&quot;* \(#,##0.00\);_(&quot;$&quot;* &quot;-&quot;??_);_(@_)">
                  <c:v>-141.19919293948303</c:v>
                </c:pt>
                <c:pt idx="32" formatCode="_(&quot;$&quot;* #,##0.00_);_(&quot;$&quot;* \(#,##0.00\);_(&quot;$&quot;* &quot;-&quot;??_);_(@_)">
                  <c:v>-141.19919293948303</c:v>
                </c:pt>
              </c:numCache>
            </c:numRef>
          </c:val>
          <c:extLst>
            <c:ext xmlns:c16="http://schemas.microsoft.com/office/drawing/2014/chart" uri="{C3380CC4-5D6E-409C-BE32-E72D297353CC}">
              <c16:uniqueId val="{00000004-5BA9-44AF-AB15-AB7212B6D945}"/>
            </c:ext>
          </c:extLst>
        </c:ser>
        <c:ser>
          <c:idx val="5"/>
          <c:order val="5"/>
          <c:tx>
            <c:strRef>
              <c:f>B_DCFROR!$B$110</c:f>
              <c:strCache>
                <c:ptCount val="1"/>
                <c:pt idx="0">
                  <c:v>Revenue</c:v>
                </c:pt>
              </c:strCache>
            </c:strRef>
          </c:tx>
          <c:spPr>
            <a:solidFill>
              <a:schemeClr val="accent6"/>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B_DCFROR!$C$110:$AI$110</c:f>
              <c:numCache>
                <c:formatCode>General</c:formatCode>
                <c:ptCount val="33"/>
                <c:pt idx="3" formatCode="_(&quot;$&quot;* #,##0_);_(&quot;$&quot;* \(#,##0\);_(&quot;$&quot;* &quot;-&quot;??_);_(@_)">
                  <c:v>13.139566021575954</c:v>
                </c:pt>
                <c:pt idx="4" formatCode="_(&quot;$&quot;* #,##0_);_(&quot;$&quot;* \(#,##0\);_(&quot;$&quot;* &quot;-&quot;??_);_(@_)">
                  <c:v>67.454548946768924</c:v>
                </c:pt>
                <c:pt idx="5" formatCode="_(&quot;$&quot;* #,##0_);_(&quot;$&quot;* \(#,##0\);_(&quot;$&quot;* &quot;-&quot;??_);_(@_)">
                  <c:v>61.322317224335372</c:v>
                </c:pt>
                <c:pt idx="6" formatCode="_(&quot;$&quot;* #,##0_);_(&quot;$&quot;* \(#,##0\);_(&quot;$&quot;* &quot;-&quot;??_);_(@_)">
                  <c:v>55.747561113032162</c:v>
                </c:pt>
                <c:pt idx="7" formatCode="_(&quot;$&quot;* #,##0_);_(&quot;$&quot;* \(#,##0\);_(&quot;$&quot;* &quot;-&quot;??_);_(@_)">
                  <c:v>50.679601011847417</c:v>
                </c:pt>
                <c:pt idx="8" formatCode="_(&quot;$&quot;* #,##0_);_(&quot;$&quot;* \(#,##0\);_(&quot;$&quot;* &quot;-&quot;??_);_(@_)">
                  <c:v>46.072364556224919</c:v>
                </c:pt>
                <c:pt idx="9" formatCode="_(&quot;$&quot;* #,##0_);_(&quot;$&quot;* \(#,##0\);_(&quot;$&quot;* &quot;-&quot;??_);_(@_)">
                  <c:v>41.883967778386278</c:v>
                </c:pt>
                <c:pt idx="10" formatCode="_(&quot;$&quot;* #,##0_);_(&quot;$&quot;* \(#,##0\);_(&quot;$&quot;* &quot;-&quot;??_);_(@_)">
                  <c:v>38.076334343987533</c:v>
                </c:pt>
                <c:pt idx="11" formatCode="_(&quot;$&quot;* #,##0_);_(&quot;$&quot;* \(#,##0\);_(&quot;$&quot;* &quot;-&quot;??_);_(@_)">
                  <c:v>34.61484940362503</c:v>
                </c:pt>
                <c:pt idx="12" formatCode="_(&quot;$&quot;* #,##0_);_(&quot;$&quot;* \(#,##0\);_(&quot;$&quot;* &quot;-&quot;??_);_(@_)">
                  <c:v>31.468044912386382</c:v>
                </c:pt>
                <c:pt idx="13" formatCode="_(&quot;$&quot;* #,##0_);_(&quot;$&quot;* \(#,##0\);_(&quot;$&quot;* &quot;-&quot;??_);_(@_)">
                  <c:v>94.165768204319946</c:v>
                </c:pt>
                <c:pt idx="14" formatCode="_(&quot;$&quot;* #,##0_);_(&quot;$&quot;* \(#,##0\);_(&quot;$&quot;* &quot;-&quot;??_);_(@_)">
                  <c:v>85.605243822109045</c:v>
                </c:pt>
                <c:pt idx="15" formatCode="_(&quot;$&quot;* #,##0_);_(&quot;$&quot;* \(#,##0\);_(&quot;$&quot;* &quot;-&quot;??_);_(@_)">
                  <c:v>77.822948929190034</c:v>
                </c:pt>
                <c:pt idx="16" formatCode="_(&quot;$&quot;* #,##0_);_(&quot;$&quot;* \(#,##0\);_(&quot;$&quot;* &quot;-&quot;??_);_(@_)">
                  <c:v>70.748135390172749</c:v>
                </c:pt>
                <c:pt idx="17" formatCode="_(&quot;$&quot;* #,##0_);_(&quot;$&quot;* \(#,##0\);_(&quot;$&quot;* &quot;-&quot;??_);_(@_)">
                  <c:v>64.271164476089893</c:v>
                </c:pt>
                <c:pt idx="18" formatCode="_(&quot;$&quot;* #,##0_);_(&quot;$&quot;* \(#,##0\);_(&quot;$&quot;* &quot;-&quot;??_);_(@_)">
                  <c:v>38.00519669720024</c:v>
                </c:pt>
                <c:pt idx="19" formatCode="_(&quot;$&quot;* #,##0_);_(&quot;$&quot;* \(#,##0\);_(&quot;$&quot;* &quot;-&quot;??_);_(@_)">
                  <c:v>34.550178815636578</c:v>
                </c:pt>
                <c:pt idx="20" formatCode="_(&quot;$&quot;* #,##0_);_(&quot;$&quot;* \(#,##0\);_(&quot;$&quot;* &quot;-&quot;??_);_(@_)">
                  <c:v>31.409253468760522</c:v>
                </c:pt>
                <c:pt idx="21" formatCode="_(&quot;$&quot;* #,##0_);_(&quot;$&quot;* \(#,##0\);_(&quot;$&quot;* &quot;-&quot;??_);_(@_)">
                  <c:v>28.553866789782287</c:v>
                </c:pt>
                <c:pt idx="22" formatCode="_(&quot;$&quot;* #,##0_);_(&quot;$&quot;* \(#,##0\);_(&quot;$&quot;* &quot;-&quot;??_);_(@_)">
                  <c:v>25.958060717983901</c:v>
                </c:pt>
                <c:pt idx="23" formatCode="_(&quot;$&quot;* #,##0_);_(&quot;$&quot;* \(#,##0\);_(&quot;$&quot;* &quot;-&quot;??_);_(@_)">
                  <c:v>23.598237016349</c:v>
                </c:pt>
                <c:pt idx="24" formatCode="_(&quot;$&quot;* #,##0_);_(&quot;$&quot;* \(#,##0\);_(&quot;$&quot;* &quot;-&quot;??_);_(@_)">
                  <c:v>21.452942742135452</c:v>
                </c:pt>
                <c:pt idx="25" formatCode="_(&quot;$&quot;* #,##0_);_(&quot;$&quot;* \(#,##0\);_(&quot;$&quot;* &quot;-&quot;??_);_(@_)">
                  <c:v>19.502675220123134</c:v>
                </c:pt>
                <c:pt idx="26" formatCode="_(&quot;$&quot;* #,##0_);_(&quot;$&quot;* \(#,##0\);_(&quot;$&quot;* &quot;-&quot;??_);_(@_)">
                  <c:v>17.729704745566487</c:v>
                </c:pt>
                <c:pt idx="27" formatCode="_(&quot;$&quot;* #,##0_);_(&quot;$&quot;* \(#,##0\);_(&quot;$&quot;* &quot;-&quot;??_);_(@_)">
                  <c:v>16.117913405060438</c:v>
                </c:pt>
                <c:pt idx="28" formatCode="_(&quot;$&quot;* #,##0_);_(&quot;$&quot;* \(#,##0\);_(&quot;$&quot;* &quot;-&quot;??_);_(@_)">
                  <c:v>14.652648550054943</c:v>
                </c:pt>
                <c:pt idx="29" formatCode="_(&quot;$&quot;* #,##0_);_(&quot;$&quot;* \(#,##0\);_(&quot;$&quot;* &quot;-&quot;??_);_(@_)">
                  <c:v>13.320589590959038</c:v>
                </c:pt>
                <c:pt idx="30" formatCode="_(&quot;$&quot;* #,##0_);_(&quot;$&quot;* \(#,##0\);_(&quot;$&quot;* &quot;-&quot;??_);_(@_)">
                  <c:v>12.109626900871852</c:v>
                </c:pt>
                <c:pt idx="31" formatCode="_(&quot;$&quot;* #,##0_);_(&quot;$&quot;* \(#,##0\);_(&quot;$&quot;* &quot;-&quot;??_);_(@_)">
                  <c:v>11.00875172806532</c:v>
                </c:pt>
                <c:pt idx="32" formatCode="_(&quot;$&quot;* #,##0_);_(&quot;$&quot;* \(#,##0\);_(&quot;$&quot;* &quot;-&quot;??_);_(@_)">
                  <c:v>10.007956116423017</c:v>
                </c:pt>
              </c:numCache>
            </c:numRef>
          </c:val>
          <c:extLst>
            <c:ext xmlns:c16="http://schemas.microsoft.com/office/drawing/2014/chart" uri="{C3380CC4-5D6E-409C-BE32-E72D297353CC}">
              <c16:uniqueId val="{00000005-5BA9-44AF-AB15-AB7212B6D945}"/>
            </c:ext>
          </c:extLst>
        </c:ser>
        <c:dLbls>
          <c:showLegendKey val="0"/>
          <c:showVal val="0"/>
          <c:showCatName val="0"/>
          <c:showSerName val="0"/>
          <c:showPercent val="0"/>
          <c:showBubbleSize val="0"/>
        </c:dLbls>
        <c:gapWidth val="70"/>
        <c:overlap val="100"/>
        <c:axId val="409926112"/>
        <c:axId val="1100436719"/>
      </c:barChart>
      <c:lineChart>
        <c:grouping val="standard"/>
        <c:varyColors val="0"/>
        <c:ser>
          <c:idx val="6"/>
          <c:order val="6"/>
          <c:tx>
            <c:strRef>
              <c:f>B_DCFROR!$B$111</c:f>
              <c:strCache>
                <c:ptCount val="1"/>
                <c:pt idx="0">
                  <c:v>Net Present Value</c:v>
                </c:pt>
              </c:strCache>
            </c:strRef>
          </c:tx>
          <c:spPr>
            <a:ln w="38100" cap="flat">
              <a:solidFill>
                <a:srgbClr val="000000"/>
              </a:solidFill>
              <a:miter lim="800000"/>
            </a:ln>
            <a:effectLst/>
          </c:spPr>
          <c:marker>
            <c:symbol val="none"/>
          </c:marker>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B_DCFROR!$C$111:$AI$111</c:f>
              <c:numCache>
                <c:formatCode>General</c:formatCode>
                <c:ptCount val="33"/>
                <c:pt idx="3" formatCode="_(&quot;$&quot;* #,##0_);_(&quot;$&quot;* \(#,##0\);_(&quot;$&quot;* &quot;-&quot;??_);_(@_)">
                  <c:v>-1546.0796536353539</c:v>
                </c:pt>
                <c:pt idx="4" formatCode="_(&quot;$&quot;* #,##0_);_(&quot;$&quot;* \(#,##0\);_(&quot;$&quot;* &quot;-&quot;??_);_(@_)">
                  <c:v>-1478.6251046885848</c:v>
                </c:pt>
                <c:pt idx="5" formatCode="_(&quot;$&quot;* #,##0_);_(&quot;$&quot;* \(#,##0\);_(&quot;$&quot;* &quot;-&quot;??_);_(@_)">
                  <c:v>-1417.3027874642496</c:v>
                </c:pt>
                <c:pt idx="6" formatCode="_(&quot;$&quot;* #,##0_);_(&quot;$&quot;* \(#,##0\);_(&quot;$&quot;* &quot;-&quot;??_);_(@_)">
                  <c:v>-1361.5552263512172</c:v>
                </c:pt>
                <c:pt idx="7" formatCode="_(&quot;$&quot;* #,##0_);_(&quot;$&quot;* \(#,##0\);_(&quot;$&quot;* &quot;-&quot;??_);_(@_)">
                  <c:v>-1310.8756253393701</c:v>
                </c:pt>
                <c:pt idx="8" formatCode="_(&quot;$&quot;* #,##0_);_(&quot;$&quot;* \(#,##0\);_(&quot;$&quot;* &quot;-&quot;??_);_(@_)">
                  <c:v>-1264.8032607831449</c:v>
                </c:pt>
                <c:pt idx="9" formatCode="_(&quot;$&quot;* #,##0_);_(&quot;$&quot;* \(#,##0\);_(&quot;$&quot;* &quot;-&quot;??_);_(@_)">
                  <c:v>-1222.9192930047589</c:v>
                </c:pt>
                <c:pt idx="10" formatCode="_(&quot;$&quot;* #,##0_);_(&quot;$&quot;* \(#,##0\);_(&quot;$&quot;* &quot;-&quot;??_);_(@_)">
                  <c:v>-1184.842958660771</c:v>
                </c:pt>
                <c:pt idx="11" formatCode="_(&quot;$&quot;* #,##0_);_(&quot;$&quot;* \(#,##0\);_(&quot;$&quot;* &quot;-&quot;??_);_(@_)">
                  <c:v>-1150.2281092571461</c:v>
                </c:pt>
                <c:pt idx="12" formatCode="_(&quot;$&quot;* #,##0_);_(&quot;$&quot;* \(#,##0\);_(&quot;$&quot;* &quot;-&quot;??_);_(@_)">
                  <c:v>-1118.7600643447599</c:v>
                </c:pt>
                <c:pt idx="13" formatCode="_(&quot;$&quot;* #,##0_);_(&quot;$&quot;* \(#,##0\);_(&quot;$&quot;* &quot;-&quot;??_);_(@_)">
                  <c:v>-1024.5942961404398</c:v>
                </c:pt>
                <c:pt idx="14" formatCode="_(&quot;$&quot;* #,##0_);_(&quot;$&quot;* \(#,##0\);_(&quot;$&quot;* &quot;-&quot;??_);_(@_)">
                  <c:v>-938.98905231833078</c:v>
                </c:pt>
                <c:pt idx="15" formatCode="_(&quot;$&quot;* #,##0_);_(&quot;$&quot;* \(#,##0\);_(&quot;$&quot;* &quot;-&quot;??_);_(@_)">
                  <c:v>-861.16610338914074</c:v>
                </c:pt>
                <c:pt idx="16" formatCode="_(&quot;$&quot;* #,##0_);_(&quot;$&quot;* \(#,##0\);_(&quot;$&quot;* &quot;-&quot;??_);_(@_)">
                  <c:v>-790.41796799896804</c:v>
                </c:pt>
                <c:pt idx="17" formatCode="_(&quot;$&quot;* #,##0_);_(&quot;$&quot;* \(#,##0\);_(&quot;$&quot;* &quot;-&quot;??_);_(@_)">
                  <c:v>-726.14680352287814</c:v>
                </c:pt>
                <c:pt idx="18" formatCode="_(&quot;$&quot;* #,##0_);_(&quot;$&quot;* \(#,##0\);_(&quot;$&quot;* &quot;-&quot;??_);_(@_)">
                  <c:v>-688.14160682567785</c:v>
                </c:pt>
                <c:pt idx="19" formatCode="_(&quot;$&quot;* #,##0_);_(&quot;$&quot;* \(#,##0\);_(&quot;$&quot;* &quot;-&quot;??_);_(@_)">
                  <c:v>-653.59142801004123</c:v>
                </c:pt>
                <c:pt idx="20" formatCode="_(&quot;$&quot;* #,##0_);_(&quot;$&quot;* \(#,##0\);_(&quot;$&quot;* &quot;-&quot;??_);_(@_)">
                  <c:v>-622.1821745412808</c:v>
                </c:pt>
                <c:pt idx="21" formatCode="_(&quot;$&quot;* #,##0_);_(&quot;$&quot;* \(#,##0\);_(&quot;$&quot;* &quot;-&quot;??_);_(@_)">
                  <c:v>-593.62830775149848</c:v>
                </c:pt>
                <c:pt idx="22" formatCode="_(&quot;$&quot;* #,##0_);_(&quot;$&quot;* \(#,##0\);_(&quot;$&quot;* &quot;-&quot;??_);_(@_)">
                  <c:v>-567.67024703351456</c:v>
                </c:pt>
                <c:pt idx="23" formatCode="_(&quot;$&quot;* #,##0_);_(&quot;$&quot;* \(#,##0\);_(&quot;$&quot;* &quot;-&quot;??_);_(@_)">
                  <c:v>-544.07201001716555</c:v>
                </c:pt>
                <c:pt idx="24" formatCode="_(&quot;$&quot;* #,##0_);_(&quot;$&quot;* \(#,##0\);_(&quot;$&quot;* &quot;-&quot;??_);_(@_)">
                  <c:v>-522.61906727503015</c:v>
                </c:pt>
                <c:pt idx="25" formatCode="_(&quot;$&quot;* #,##0_);_(&quot;$&quot;* \(#,##0\);_(&quot;$&quot;* &quot;-&quot;??_);_(@_)">
                  <c:v>-503.11639205490695</c:v>
                </c:pt>
                <c:pt idx="26" formatCode="_(&quot;$&quot;* #,##0_);_(&quot;$&quot;* \(#,##0\);_(&quot;$&quot;* &quot;-&quot;??_);_(@_)">
                  <c:v>-485.38668730934046</c:v>
                </c:pt>
                <c:pt idx="27" formatCode="_(&quot;$&quot;* #,##0_);_(&quot;$&quot;* \(#,##0\);_(&quot;$&quot;* &quot;-&quot;??_);_(@_)">
                  <c:v>-469.26877390427995</c:v>
                </c:pt>
                <c:pt idx="28" formatCode="_(&quot;$&quot;* #,##0_);_(&quot;$&quot;* \(#,##0\);_(&quot;$&quot;* &quot;-&quot;??_);_(@_)">
                  <c:v>-454.61612535422495</c:v>
                </c:pt>
                <c:pt idx="29" formatCode="_(&quot;$&quot;* #,##0_);_(&quot;$&quot;* \(#,##0\);_(&quot;$&quot;* &quot;-&quot;??_);_(@_)">
                  <c:v>-441.29553576326583</c:v>
                </c:pt>
                <c:pt idx="30" formatCode="_(&quot;$&quot;* #,##0_);_(&quot;$&quot;* \(#,##0\);_(&quot;$&quot;* &quot;-&quot;??_);_(@_)">
                  <c:v>-429.18590886239411</c:v>
                </c:pt>
                <c:pt idx="31" formatCode="_(&quot;$&quot;* #,##0_);_(&quot;$&quot;* \(#,##0\);_(&quot;$&quot;* &quot;-&quot;??_);_(@_)">
                  <c:v>-418.17715713432887</c:v>
                </c:pt>
                <c:pt idx="32" formatCode="_(&quot;$&quot;* #,##0_);_(&quot;$&quot;* \(#,##0\);_(&quot;$&quot;* &quot;-&quot;??_);_(@_)">
                  <c:v>-408.16920101790572</c:v>
                </c:pt>
              </c:numCache>
            </c:numRef>
          </c:val>
          <c:smooth val="0"/>
          <c:extLst>
            <c:ext xmlns:c16="http://schemas.microsoft.com/office/drawing/2014/chart" uri="{C3380CC4-5D6E-409C-BE32-E72D297353CC}">
              <c16:uniqueId val="{00000006-5BA9-44AF-AB15-AB7212B6D945}"/>
            </c:ext>
          </c:extLst>
        </c:ser>
        <c:dLbls>
          <c:showLegendKey val="0"/>
          <c:showVal val="0"/>
          <c:showCatName val="0"/>
          <c:showSerName val="0"/>
          <c:showPercent val="0"/>
          <c:showBubbleSize val="0"/>
        </c:dLbls>
        <c:marker val="1"/>
        <c:smooth val="0"/>
        <c:axId val="1815470032"/>
        <c:axId val="1815446032"/>
      </c:lineChart>
      <c:catAx>
        <c:axId val="409926112"/>
        <c:scaling>
          <c:orientation val="minMax"/>
        </c:scaling>
        <c:delete val="0"/>
        <c:axPos val="b"/>
        <c:title>
          <c:tx>
            <c:rich>
              <a:bodyPr rot="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mn-cs"/>
                  </a:defRPr>
                </a:pPr>
                <a:r>
                  <a:rPr lang="en-US" sz="1800" b="1"/>
                  <a:t>YEAR</a:t>
                </a:r>
              </a:p>
            </c:rich>
          </c:tx>
          <c:layout>
            <c:manualLayout>
              <c:xMode val="edge"/>
              <c:yMode val="edge"/>
              <c:x val="0.4895485051998828"/>
              <c:y val="0.86175491842166363"/>
            </c:manualLayout>
          </c:layout>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Arial Nova Cond" panose="020B0506020202020204" pitchFamily="34" charset="0"/>
                <a:ea typeface="+mn-ea"/>
                <a:cs typeface="+mn-cs"/>
              </a:defRPr>
            </a:pPr>
            <a:endParaRPr lang="en-US"/>
          </a:p>
        </c:txPr>
        <c:crossAx val="1100436719"/>
        <c:crosses val="autoZero"/>
        <c:auto val="1"/>
        <c:lblAlgn val="ctr"/>
        <c:lblOffset val="100"/>
        <c:tickLblSkip val="2"/>
        <c:tickMarkSkip val="1"/>
        <c:noMultiLvlLbl val="0"/>
      </c:catAx>
      <c:valAx>
        <c:axId val="1100436719"/>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600" b="0" i="0" u="none" strike="noStrike" kern="1200" baseline="0">
                    <a:solidFill>
                      <a:sysClr val="windowText" lastClr="000000"/>
                    </a:solidFill>
                    <a:latin typeface="Arial Nova Cond" panose="020B0506020202020204" pitchFamily="34" charset="0"/>
                    <a:ea typeface="+mn-ea"/>
                    <a:cs typeface="+mn-cs"/>
                  </a:defRPr>
                </a:pPr>
                <a:r>
                  <a:rPr lang="en-US" sz="1600" b="1"/>
                  <a:t>CASH FLOW</a:t>
                </a:r>
                <a:r>
                  <a:rPr lang="en-US" sz="1600" b="1" baseline="0"/>
                  <a:t> </a:t>
                </a:r>
                <a:r>
                  <a:rPr lang="en-US" sz="1600" baseline="0"/>
                  <a:t>[1E6 USD (2026) ]</a:t>
                </a:r>
                <a:endParaRPr lang="en-US" sz="1600"/>
              </a:p>
            </c:rich>
          </c:tx>
          <c:layout>
            <c:manualLayout>
              <c:xMode val="edge"/>
              <c:yMode val="edge"/>
              <c:x val="1.3160182646916478E-2"/>
              <c:y val="0.22501221733080704"/>
            </c:manualLayout>
          </c:layout>
          <c:overlay val="0"/>
          <c:spPr>
            <a:noFill/>
            <a:ln>
              <a:noFill/>
            </a:ln>
            <a:effectLst/>
          </c:spPr>
          <c:txPr>
            <a:bodyPr rot="-5400000" spcFirstLastPara="1" vertOverflow="ellipsis" vert="horz" wrap="square" anchor="ctr" anchorCtr="1"/>
            <a:lstStyle/>
            <a:p>
              <a:pPr>
                <a:defRPr sz="1600" b="0"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Cond" panose="020B0506020202020204" pitchFamily="34" charset="0"/>
                <a:ea typeface="+mn-ea"/>
                <a:cs typeface="+mn-cs"/>
              </a:defRPr>
            </a:pPr>
            <a:endParaRPr lang="en-US"/>
          </a:p>
        </c:txPr>
        <c:crossAx val="409926112"/>
        <c:crosses val="autoZero"/>
        <c:crossBetween val="between"/>
      </c:valAx>
      <c:valAx>
        <c:axId val="1815446032"/>
        <c:scaling>
          <c:orientation val="minMax"/>
        </c:scaling>
        <c:delete val="0"/>
        <c:axPos val="r"/>
        <c:title>
          <c:tx>
            <c:rich>
              <a:bodyPr rot="-5400000" spcFirstLastPara="1" vertOverflow="ellipsis" vert="horz" wrap="square" anchor="ctr" anchorCtr="1"/>
              <a:lstStyle/>
              <a:p>
                <a:pPr>
                  <a:defRPr sz="1600" b="0" i="0" u="none" strike="noStrike" kern="1200" baseline="0">
                    <a:solidFill>
                      <a:sysClr val="windowText" lastClr="000000"/>
                    </a:solidFill>
                    <a:latin typeface="Arial Nova Cond" panose="020B0506020202020204" pitchFamily="34" charset="0"/>
                    <a:ea typeface="+mn-ea"/>
                    <a:cs typeface="+mn-cs"/>
                  </a:defRPr>
                </a:pPr>
                <a:r>
                  <a:rPr lang="en-US" sz="1600" b="1"/>
                  <a:t>NET PRESENT VALUE </a:t>
                </a:r>
                <a:r>
                  <a:rPr lang="en-US" sz="1600"/>
                  <a:t>[1E6 USD (2026)</a:t>
                </a:r>
                <a:r>
                  <a:rPr lang="en-US" sz="1600" baseline="0"/>
                  <a:t> ]</a:t>
                </a:r>
                <a:endParaRPr lang="en-US" sz="1600"/>
              </a:p>
            </c:rich>
          </c:tx>
          <c:layout>
            <c:manualLayout>
              <c:xMode val="edge"/>
              <c:yMode val="edge"/>
              <c:x val="0.95223015067554173"/>
              <c:y val="0.15663562125040797"/>
            </c:manualLayout>
          </c:layout>
          <c:overlay val="0"/>
          <c:spPr>
            <a:noFill/>
            <a:ln>
              <a:noFill/>
            </a:ln>
            <a:effectLst/>
          </c:spPr>
          <c:txPr>
            <a:bodyPr rot="-5400000" spcFirstLastPara="1" vertOverflow="ellipsis" vert="horz" wrap="square" anchor="ctr" anchorCtr="1"/>
            <a:lstStyle/>
            <a:p>
              <a:pPr>
                <a:defRPr sz="1600" b="0"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Cond" panose="020B0506020202020204" pitchFamily="34" charset="0"/>
                <a:ea typeface="+mn-ea"/>
                <a:cs typeface="+mn-cs"/>
              </a:defRPr>
            </a:pPr>
            <a:endParaRPr lang="en-US"/>
          </a:p>
        </c:txPr>
        <c:crossAx val="1815470032"/>
        <c:crosses val="max"/>
        <c:crossBetween val="between"/>
      </c:valAx>
      <c:catAx>
        <c:axId val="1815470032"/>
        <c:scaling>
          <c:orientation val="minMax"/>
        </c:scaling>
        <c:delete val="1"/>
        <c:axPos val="b"/>
        <c:numFmt formatCode="General" sourceLinked="1"/>
        <c:majorTickMark val="out"/>
        <c:minorTickMark val="none"/>
        <c:tickLblPos val="nextTo"/>
        <c:crossAx val="1815446032"/>
        <c:crosses val="autoZero"/>
        <c:auto val="1"/>
        <c:lblAlgn val="ctr"/>
        <c:lblOffset val="100"/>
        <c:noMultiLvlLbl val="0"/>
      </c:catAx>
      <c:spPr>
        <a:noFill/>
        <a:ln w="22225">
          <a:solidFill>
            <a:schemeClr val="tx1"/>
          </a:solidFill>
        </a:ln>
        <a:effectLst/>
      </c:spPr>
    </c:plotArea>
    <c:legend>
      <c:legendPos val="b"/>
      <c:layout>
        <c:manualLayout>
          <c:xMode val="edge"/>
          <c:yMode val="edge"/>
          <c:x val="3.193642385474843E-2"/>
          <c:y val="0.91192618413924675"/>
          <c:w val="0.96136308928003777"/>
          <c:h val="7.5433285467888647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9050"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246621698194458"/>
          <c:y val="0.12779272712722289"/>
          <c:w val="0.83487753797614661"/>
          <c:h val="0.59726246719160114"/>
        </c:manualLayout>
      </c:layout>
      <c:barChart>
        <c:barDir val="col"/>
        <c:grouping val="stacked"/>
        <c:varyColors val="0"/>
        <c:ser>
          <c:idx val="0"/>
          <c:order val="0"/>
          <c:tx>
            <c:strRef>
              <c:f>B_DCFROR!$B$188</c:f>
              <c:strCache>
                <c:ptCount val="1"/>
                <c:pt idx="0">
                  <c:v>Transportation</c:v>
                </c:pt>
              </c:strCache>
            </c:strRef>
          </c:tx>
          <c:spPr>
            <a:solidFill>
              <a:srgbClr val="CCFF99"/>
            </a:solidFill>
          </c:spPr>
          <c:invertIfNegative val="0"/>
          <c:cat>
            <c:strLit>
              <c:ptCount val="5"/>
              <c:pt idx="1">
                <c:v>Base Coproduct Price</c:v>
              </c:pt>
              <c:pt idx="2">
                <c:v>High Coproduct Price</c:v>
              </c:pt>
              <c:pt idx="3">
                <c:v>Low Coproduct Price</c:v>
              </c:pt>
            </c:strLit>
          </c:cat>
          <c:val>
            <c:numRef>
              <c:f>B_DCFROR!$C$188:$G$188</c:f>
              <c:numCache>
                <c:formatCode>_("$"* #,##0.00_);_("$"* \(#,##0.00\);_("$"* "-"??_);_(@_)</c:formatCode>
                <c:ptCount val="5"/>
                <c:pt idx="1">
                  <c:v>171.72547948706139</c:v>
                </c:pt>
                <c:pt idx="2">
                  <c:v>48.405837852492596</c:v>
                </c:pt>
                <c:pt idx="3">
                  <c:v>169.86833985168488</c:v>
                </c:pt>
              </c:numCache>
            </c:numRef>
          </c:val>
          <c:extLst>
            <c:ext xmlns:c16="http://schemas.microsoft.com/office/drawing/2014/chart" uri="{C3380CC4-5D6E-409C-BE32-E72D297353CC}">
              <c16:uniqueId val="{00000000-CF0C-49BF-ABDA-88775F8959F4}"/>
            </c:ext>
          </c:extLst>
        </c:ser>
        <c:ser>
          <c:idx val="1"/>
          <c:order val="1"/>
          <c:tx>
            <c:strRef>
              <c:f>B_DCFROR!$B$189</c:f>
              <c:strCache>
                <c:ptCount val="1"/>
                <c:pt idx="0">
                  <c:v>Ocean Water Processing</c:v>
                </c:pt>
              </c:strCache>
            </c:strRef>
          </c:tx>
          <c:spPr>
            <a:solidFill>
              <a:srgbClr val="00B0F0"/>
            </a:solidFill>
          </c:spPr>
          <c:invertIfNegative val="0"/>
          <c:cat>
            <c:strLit>
              <c:ptCount val="5"/>
              <c:pt idx="1">
                <c:v>Base Coproduct Price</c:v>
              </c:pt>
              <c:pt idx="2">
                <c:v>High Coproduct Price</c:v>
              </c:pt>
              <c:pt idx="3">
                <c:v>Low Coproduct Price</c:v>
              </c:pt>
            </c:strLit>
          </c:cat>
          <c:val>
            <c:numRef>
              <c:f>B_DCFROR!$C$189:$G$189</c:f>
              <c:numCache>
                <c:formatCode>_("$"* #,##0.00_);_("$"* \(#,##0.00\);_("$"* "-"??_);_(@_)</c:formatCode>
                <c:ptCount val="5"/>
                <c:pt idx="1">
                  <c:v>8.9289820483153832</c:v>
                </c:pt>
                <c:pt idx="2">
                  <c:v>2.5168941645094476</c:v>
                </c:pt>
                <c:pt idx="3">
                  <c:v>8.8324188212682202</c:v>
                </c:pt>
              </c:numCache>
            </c:numRef>
          </c:val>
          <c:extLst>
            <c:ext xmlns:c16="http://schemas.microsoft.com/office/drawing/2014/chart" uri="{C3380CC4-5D6E-409C-BE32-E72D297353CC}">
              <c16:uniqueId val="{00000001-CF0C-49BF-ABDA-88775F8959F4}"/>
            </c:ext>
          </c:extLst>
        </c:ser>
        <c:ser>
          <c:idx val="2"/>
          <c:order val="2"/>
          <c:tx>
            <c:strRef>
              <c:f>B_DCFROR!$B$190</c:f>
              <c:strCache>
                <c:ptCount val="1"/>
                <c:pt idx="0">
                  <c:v>Cheese Whey Processing</c:v>
                </c:pt>
              </c:strCache>
            </c:strRef>
          </c:tx>
          <c:spPr>
            <a:solidFill>
              <a:schemeClr val="accent2"/>
            </a:solidFill>
          </c:spPr>
          <c:invertIfNegative val="0"/>
          <c:cat>
            <c:strLit>
              <c:ptCount val="5"/>
              <c:pt idx="1">
                <c:v>Base Coproduct Price</c:v>
              </c:pt>
              <c:pt idx="2">
                <c:v>High Coproduct Price</c:v>
              </c:pt>
              <c:pt idx="3">
                <c:v>Low Coproduct Price</c:v>
              </c:pt>
            </c:strLit>
          </c:cat>
          <c:val>
            <c:numRef>
              <c:f>B_DCFROR!$C$190:$G$190</c:f>
              <c:numCache>
                <c:formatCode>_("$"* #,##0.00_);_("$"* \(#,##0.00\);_("$"* "-"??_);_(@_)</c:formatCode>
                <c:ptCount val="5"/>
                <c:pt idx="1">
                  <c:v>16.618444291605517</c:v>
                </c:pt>
                <c:pt idx="2">
                  <c:v>4.6843934991065037</c:v>
                </c:pt>
                <c:pt idx="3">
                  <c:v>16.438722728652696</c:v>
                </c:pt>
              </c:numCache>
            </c:numRef>
          </c:val>
          <c:extLst>
            <c:ext xmlns:c16="http://schemas.microsoft.com/office/drawing/2014/chart" uri="{C3380CC4-5D6E-409C-BE32-E72D297353CC}">
              <c16:uniqueId val="{00000002-CF0C-49BF-ABDA-88775F8959F4}"/>
            </c:ext>
          </c:extLst>
        </c:ser>
        <c:ser>
          <c:idx val="3"/>
          <c:order val="3"/>
          <c:tx>
            <c:strRef>
              <c:f>B_DCFROR!$B$191</c:f>
              <c:strCache>
                <c:ptCount val="1"/>
                <c:pt idx="0">
                  <c:v>Feedstock Preparation</c:v>
                </c:pt>
              </c:strCache>
            </c:strRef>
          </c:tx>
          <c:spPr>
            <a:solidFill>
              <a:schemeClr val="tx1">
                <a:lumMod val="75000"/>
                <a:lumOff val="25000"/>
              </a:schemeClr>
            </a:solidFill>
          </c:spPr>
          <c:invertIfNegative val="0"/>
          <c:cat>
            <c:strLit>
              <c:ptCount val="5"/>
              <c:pt idx="1">
                <c:v>Base Coproduct Price</c:v>
              </c:pt>
              <c:pt idx="2">
                <c:v>High Coproduct Price</c:v>
              </c:pt>
              <c:pt idx="3">
                <c:v>Low Coproduct Price</c:v>
              </c:pt>
            </c:strLit>
          </c:cat>
          <c:val>
            <c:numRef>
              <c:f>B_DCFROR!$C$191:$G$191</c:f>
              <c:numCache>
                <c:formatCode>_("$"* #,##0.00_);_("$"* \(#,##0.00\);_("$"* "-"??_);_(@_)</c:formatCode>
                <c:ptCount val="5"/>
                <c:pt idx="1">
                  <c:v>31.68707495944982</c:v>
                </c:pt>
                <c:pt idx="2">
                  <c:v>8.9319268001954999</c:v>
                </c:pt>
                <c:pt idx="3">
                  <c:v>31.344392423275714</c:v>
                </c:pt>
              </c:numCache>
            </c:numRef>
          </c:val>
          <c:extLst>
            <c:ext xmlns:c16="http://schemas.microsoft.com/office/drawing/2014/chart" uri="{C3380CC4-5D6E-409C-BE32-E72D297353CC}">
              <c16:uniqueId val="{00000003-CF0C-49BF-ABDA-88775F8959F4}"/>
            </c:ext>
          </c:extLst>
        </c:ser>
        <c:ser>
          <c:idx val="4"/>
          <c:order val="4"/>
          <c:tx>
            <c:strRef>
              <c:f>B_DCFROR!$B$192</c:f>
              <c:strCache>
                <c:ptCount val="1"/>
                <c:pt idx="0">
                  <c:v>Food Waste Ensiling</c:v>
                </c:pt>
              </c:strCache>
            </c:strRef>
          </c:tx>
          <c:spPr>
            <a:solidFill>
              <a:srgbClr val="CC9900"/>
            </a:solidFill>
          </c:spPr>
          <c:invertIfNegative val="0"/>
          <c:cat>
            <c:strLit>
              <c:ptCount val="5"/>
              <c:pt idx="1">
                <c:v>Base Coproduct Price</c:v>
              </c:pt>
              <c:pt idx="2">
                <c:v>High Coproduct Price</c:v>
              </c:pt>
              <c:pt idx="3">
                <c:v>Low Coproduct Price</c:v>
              </c:pt>
            </c:strLit>
          </c:cat>
          <c:val>
            <c:numRef>
              <c:f>B_DCFROR!$C$192:$G$192</c:f>
              <c:numCache>
                <c:formatCode>_("$"* #,##0.00_);_("$"* \(#,##0.00\);_("$"* "-"??_);_(@_)</c:formatCode>
                <c:ptCount val="5"/>
                <c:pt idx="1">
                  <c:v>7.9870100087229075</c:v>
                </c:pt>
                <c:pt idx="2">
                  <c:v>2.2513718556110143</c:v>
                </c:pt>
                <c:pt idx="3">
                  <c:v>7.9006338174922659</c:v>
                </c:pt>
              </c:numCache>
            </c:numRef>
          </c:val>
          <c:extLst>
            <c:ext xmlns:c16="http://schemas.microsoft.com/office/drawing/2014/chart" uri="{C3380CC4-5D6E-409C-BE32-E72D297353CC}">
              <c16:uniqueId val="{00000004-CF0C-49BF-ABDA-88775F8959F4}"/>
            </c:ext>
          </c:extLst>
        </c:ser>
        <c:ser>
          <c:idx val="5"/>
          <c:order val="5"/>
          <c:tx>
            <c:strRef>
              <c:f>B_DCFROR!$B$193</c:f>
              <c:strCache>
                <c:ptCount val="1"/>
                <c:pt idx="0">
                  <c:v>Food Waste Digestion</c:v>
                </c:pt>
              </c:strCache>
            </c:strRef>
          </c:tx>
          <c:spPr>
            <a:solidFill>
              <a:srgbClr val="CCCC00"/>
            </a:solidFill>
          </c:spPr>
          <c:invertIfNegative val="0"/>
          <c:cat>
            <c:strLit>
              <c:ptCount val="5"/>
              <c:pt idx="1">
                <c:v>Base Coproduct Price</c:v>
              </c:pt>
              <c:pt idx="2">
                <c:v>High Coproduct Price</c:v>
              </c:pt>
              <c:pt idx="3">
                <c:v>Low Coproduct Price</c:v>
              </c:pt>
            </c:strLit>
          </c:cat>
          <c:val>
            <c:numRef>
              <c:f>B_DCFROR!$C$193:$G$193</c:f>
              <c:numCache>
                <c:formatCode>_("$"* #,##0.00_);_("$"* \(#,##0.00\);_("$"* "-"??_);_(@_)</c:formatCode>
                <c:ptCount val="5"/>
                <c:pt idx="1">
                  <c:v>10.668803367381352</c:v>
                </c:pt>
                <c:pt idx="2">
                  <c:v>3.0073135764369736</c:v>
                </c:pt>
                <c:pt idx="3">
                  <c:v>10.553424696407282</c:v>
                </c:pt>
              </c:numCache>
            </c:numRef>
          </c:val>
          <c:extLst>
            <c:ext xmlns:c16="http://schemas.microsoft.com/office/drawing/2014/chart" uri="{C3380CC4-5D6E-409C-BE32-E72D297353CC}">
              <c16:uniqueId val="{00000005-CF0C-49BF-ABDA-88775F8959F4}"/>
            </c:ext>
          </c:extLst>
        </c:ser>
        <c:ser>
          <c:idx val="6"/>
          <c:order val="6"/>
          <c:tx>
            <c:strRef>
              <c:f>B_DCFROR!$B$194</c:f>
              <c:strCache>
                <c:ptCount val="1"/>
                <c:pt idx="0">
                  <c:v>Manure Digestion</c:v>
                </c:pt>
              </c:strCache>
            </c:strRef>
          </c:tx>
          <c:spPr>
            <a:solidFill>
              <a:srgbClr val="996633"/>
            </a:solidFill>
            <a:ln>
              <a:noFill/>
            </a:ln>
          </c:spPr>
          <c:invertIfNegative val="0"/>
          <c:cat>
            <c:strLit>
              <c:ptCount val="5"/>
              <c:pt idx="1">
                <c:v>Base Coproduct Price</c:v>
              </c:pt>
              <c:pt idx="2">
                <c:v>High Coproduct Price</c:v>
              </c:pt>
              <c:pt idx="3">
                <c:v>Low Coproduct Price</c:v>
              </c:pt>
            </c:strLit>
          </c:cat>
          <c:val>
            <c:numRef>
              <c:f>B_DCFROR!$C$194:$G$194</c:f>
              <c:numCache>
                <c:formatCode>_("$"* #,##0.00_);_("$"* \(#,##0.00\);_("$"* "-"??_);_(@_)</c:formatCode>
                <c:ptCount val="5"/>
                <c:pt idx="1">
                  <c:v>35.808696663622158</c:v>
                </c:pt>
                <c:pt idx="2">
                  <c:v>10.093726158668176</c:v>
                </c:pt>
                <c:pt idx="3">
                  <c:v>35.421440503011482</c:v>
                </c:pt>
              </c:numCache>
            </c:numRef>
          </c:val>
          <c:extLst>
            <c:ext xmlns:c16="http://schemas.microsoft.com/office/drawing/2014/chart" uri="{C3380CC4-5D6E-409C-BE32-E72D297353CC}">
              <c16:uniqueId val="{00000006-CF0C-49BF-ABDA-88775F8959F4}"/>
            </c:ext>
          </c:extLst>
        </c:ser>
        <c:ser>
          <c:idx val="7"/>
          <c:order val="7"/>
          <c:tx>
            <c:strRef>
              <c:f>B_DCFROR!$B$195</c:f>
              <c:strCache>
                <c:ptCount val="1"/>
                <c:pt idx="0">
                  <c:v>Nitrogen Removal</c:v>
                </c:pt>
              </c:strCache>
            </c:strRef>
          </c:tx>
          <c:spPr>
            <a:solidFill>
              <a:srgbClr val="808000"/>
            </a:solidFill>
          </c:spPr>
          <c:invertIfNegative val="0"/>
          <c:cat>
            <c:strLit>
              <c:ptCount val="5"/>
              <c:pt idx="1">
                <c:v>Base Coproduct Price</c:v>
              </c:pt>
              <c:pt idx="2">
                <c:v>High Coproduct Price</c:v>
              </c:pt>
              <c:pt idx="3">
                <c:v>Low Coproduct Price</c:v>
              </c:pt>
            </c:strLit>
          </c:cat>
          <c:val>
            <c:numRef>
              <c:f>B_DCFROR!$C$195:$G$195</c:f>
              <c:numCache>
                <c:formatCode>_("$"* #,##0.00_);_("$"* \(#,##0.00\);_("$"* "-"??_);_(@_)</c:formatCode>
                <c:ptCount val="5"/>
                <c:pt idx="1">
                  <c:v>92.515791348549939</c:v>
                </c:pt>
                <c:pt idx="2">
                  <c:v>26.078275676908866</c:v>
                </c:pt>
                <c:pt idx="3">
                  <c:v>91.515271544937676</c:v>
                </c:pt>
              </c:numCache>
            </c:numRef>
          </c:val>
          <c:extLst>
            <c:ext xmlns:c16="http://schemas.microsoft.com/office/drawing/2014/chart" uri="{C3380CC4-5D6E-409C-BE32-E72D297353CC}">
              <c16:uniqueId val="{00000007-CF0C-49BF-ABDA-88775F8959F4}"/>
            </c:ext>
          </c:extLst>
        </c:ser>
        <c:ser>
          <c:idx val="8"/>
          <c:order val="8"/>
          <c:tx>
            <c:strRef>
              <c:f>B_DCFROR!$B$196</c:f>
              <c:strCache>
                <c:ptCount val="1"/>
                <c:pt idx="0">
                  <c:v>Chain-Elongation</c:v>
                </c:pt>
              </c:strCache>
            </c:strRef>
          </c:tx>
          <c:spPr>
            <a:solidFill>
              <a:srgbClr val="00CC66"/>
            </a:solidFill>
          </c:spPr>
          <c:invertIfNegative val="0"/>
          <c:cat>
            <c:strLit>
              <c:ptCount val="5"/>
              <c:pt idx="1">
                <c:v>Base Coproduct Price</c:v>
              </c:pt>
              <c:pt idx="2">
                <c:v>High Coproduct Price</c:v>
              </c:pt>
              <c:pt idx="3">
                <c:v>Low Coproduct Price</c:v>
              </c:pt>
            </c:strLit>
          </c:cat>
          <c:val>
            <c:numRef>
              <c:f>B_DCFROR!$C$196:$G$196</c:f>
              <c:numCache>
                <c:formatCode>_("$"* #,##0.00_);_("$"* \(#,##0.00\);_("$"* "-"??_);_(@_)</c:formatCode>
                <c:ptCount val="5"/>
                <c:pt idx="1">
                  <c:v>109.6018669620821</c:v>
                </c:pt>
                <c:pt idx="2">
                  <c:v>30.894484710970005</c:v>
                </c:pt>
                <c:pt idx="3">
                  <c:v>108.4165683572709</c:v>
                </c:pt>
              </c:numCache>
            </c:numRef>
          </c:val>
          <c:extLst>
            <c:ext xmlns:c16="http://schemas.microsoft.com/office/drawing/2014/chart" uri="{C3380CC4-5D6E-409C-BE32-E72D297353CC}">
              <c16:uniqueId val="{00000008-CF0C-49BF-ABDA-88775F8959F4}"/>
            </c:ext>
          </c:extLst>
        </c:ser>
        <c:ser>
          <c:idx val="9"/>
          <c:order val="9"/>
          <c:tx>
            <c:strRef>
              <c:f>B_DCFROR!$B$197</c:f>
              <c:strCache>
                <c:ptCount val="1"/>
                <c:pt idx="0">
                  <c:v>Electrodialysis</c:v>
                </c:pt>
              </c:strCache>
            </c:strRef>
          </c:tx>
          <c:spPr>
            <a:solidFill>
              <a:srgbClr val="F8E708"/>
            </a:solidFill>
            <a:ln>
              <a:noFill/>
            </a:ln>
          </c:spPr>
          <c:invertIfNegative val="0"/>
          <c:cat>
            <c:strLit>
              <c:ptCount val="5"/>
              <c:pt idx="1">
                <c:v>Base Coproduct Price</c:v>
              </c:pt>
              <c:pt idx="2">
                <c:v>High Coproduct Price</c:v>
              </c:pt>
              <c:pt idx="3">
                <c:v>Low Coproduct Price</c:v>
              </c:pt>
            </c:strLit>
          </c:cat>
          <c:val>
            <c:numRef>
              <c:f>B_DCFROR!$C$197:$G$197</c:f>
              <c:numCache>
                <c:formatCode>_("$"* #,##0.00_);_("$"* \(#,##0.00\);_("$"* "-"??_);_(@_)</c:formatCode>
                <c:ptCount val="5"/>
                <c:pt idx="1">
                  <c:v>13.947676955013563</c:v>
                </c:pt>
                <c:pt idx="2">
                  <c:v>3.9315597843720278</c:v>
                </c:pt>
                <c:pt idx="3">
                  <c:v>13.796838629961545</c:v>
                </c:pt>
              </c:numCache>
            </c:numRef>
          </c:val>
          <c:extLst>
            <c:ext xmlns:c16="http://schemas.microsoft.com/office/drawing/2014/chart" uri="{C3380CC4-5D6E-409C-BE32-E72D297353CC}">
              <c16:uniqueId val="{00000009-CF0C-49BF-ABDA-88775F8959F4}"/>
            </c:ext>
          </c:extLst>
        </c:ser>
        <c:ser>
          <c:idx val="10"/>
          <c:order val="10"/>
          <c:tx>
            <c:strRef>
              <c:f>B_DCFROR!$B$198</c:f>
              <c:strCache>
                <c:ptCount val="1"/>
                <c:pt idx="0">
                  <c:v>Extractions</c:v>
                </c:pt>
              </c:strCache>
            </c:strRef>
          </c:tx>
          <c:spPr>
            <a:solidFill>
              <a:srgbClr val="CC66FF"/>
            </a:solidFill>
          </c:spPr>
          <c:invertIfNegative val="0"/>
          <c:cat>
            <c:strLit>
              <c:ptCount val="5"/>
              <c:pt idx="1">
                <c:v>Base Coproduct Price</c:v>
              </c:pt>
              <c:pt idx="2">
                <c:v>High Coproduct Price</c:v>
              </c:pt>
              <c:pt idx="3">
                <c:v>Low Coproduct Price</c:v>
              </c:pt>
            </c:strLit>
          </c:cat>
          <c:val>
            <c:numRef>
              <c:f>B_DCFROR!$C$198:$G$198</c:f>
              <c:numCache>
                <c:formatCode>_("$"* #,##0.00_);_("$"* \(#,##0.00\);_("$"* "-"??_);_(@_)</c:formatCode>
                <c:ptCount val="5"/>
                <c:pt idx="1">
                  <c:v>9.9490149086070971</c:v>
                </c:pt>
                <c:pt idx="2">
                  <c:v>2.8044201937683439</c:v>
                </c:pt>
                <c:pt idx="3">
                  <c:v>9.8414204504351623</c:v>
                </c:pt>
              </c:numCache>
            </c:numRef>
          </c:val>
          <c:extLst>
            <c:ext xmlns:c16="http://schemas.microsoft.com/office/drawing/2014/chart" uri="{C3380CC4-5D6E-409C-BE32-E72D297353CC}">
              <c16:uniqueId val="{0000000A-CF0C-49BF-ABDA-88775F8959F4}"/>
            </c:ext>
          </c:extLst>
        </c:ser>
        <c:ser>
          <c:idx val="11"/>
          <c:order val="11"/>
          <c:tx>
            <c:strRef>
              <c:f>B_DCFROR!$B$199</c:f>
              <c:strCache>
                <c:ptCount val="1"/>
                <c:pt idx="0">
                  <c:v>Alcohol Conversion</c:v>
                </c:pt>
              </c:strCache>
            </c:strRef>
          </c:tx>
          <c:spPr>
            <a:solidFill>
              <a:srgbClr val="009999"/>
            </a:solidFill>
          </c:spPr>
          <c:invertIfNegative val="0"/>
          <c:cat>
            <c:strLit>
              <c:ptCount val="5"/>
              <c:pt idx="1">
                <c:v>Base Coproduct Price</c:v>
              </c:pt>
              <c:pt idx="2">
                <c:v>High Coproduct Price</c:v>
              </c:pt>
              <c:pt idx="3">
                <c:v>Low Coproduct Price</c:v>
              </c:pt>
            </c:strLit>
          </c:cat>
          <c:val>
            <c:numRef>
              <c:f>B_DCFROR!$C$199:$G$199</c:f>
              <c:numCache>
                <c:formatCode>_("$"* #,##0.00_);_("$"* \(#,##0.00\);_("$"* "-"??_);_(@_)</c:formatCode>
                <c:ptCount val="5"/>
                <c:pt idx="1">
                  <c:v>29.773129566709109</c:v>
                </c:pt>
                <c:pt idx="2">
                  <c:v>8.3924254366455884</c:v>
                </c:pt>
                <c:pt idx="3">
                  <c:v>29.451145553895788</c:v>
                </c:pt>
              </c:numCache>
            </c:numRef>
          </c:val>
          <c:extLst>
            <c:ext xmlns:c16="http://schemas.microsoft.com/office/drawing/2014/chart" uri="{C3380CC4-5D6E-409C-BE32-E72D297353CC}">
              <c16:uniqueId val="{0000000B-CF0C-49BF-ABDA-88775F8959F4}"/>
            </c:ext>
          </c:extLst>
        </c:ser>
        <c:ser>
          <c:idx val="12"/>
          <c:order val="12"/>
          <c:tx>
            <c:strRef>
              <c:f>B_DCFROR!$B$200</c:f>
              <c:strCache>
                <c:ptCount val="1"/>
                <c:pt idx="0">
                  <c:v>Esterification</c:v>
                </c:pt>
              </c:strCache>
            </c:strRef>
          </c:tx>
          <c:spPr>
            <a:solidFill>
              <a:srgbClr val="9966FF"/>
            </a:solidFill>
          </c:spPr>
          <c:invertIfNegative val="0"/>
          <c:cat>
            <c:strLit>
              <c:ptCount val="5"/>
              <c:pt idx="1">
                <c:v>Base Coproduct Price</c:v>
              </c:pt>
              <c:pt idx="2">
                <c:v>High Coproduct Price</c:v>
              </c:pt>
              <c:pt idx="3">
                <c:v>Low Coproduct Price</c:v>
              </c:pt>
            </c:strLit>
          </c:cat>
          <c:val>
            <c:numRef>
              <c:f>B_DCFROR!$C$200:$G$200</c:f>
              <c:numCache>
                <c:formatCode>_("$"* #,##0.00_);_("$"* \(#,##0.00\);_("$"* "-"??_);_(@_)</c:formatCode>
                <c:ptCount val="5"/>
                <c:pt idx="1">
                  <c:v>5.1285822993508932</c:v>
                </c:pt>
                <c:pt idx="2">
                  <c:v>1.4456405883219419</c:v>
                </c:pt>
                <c:pt idx="3">
                  <c:v>5.0731188148996385</c:v>
                </c:pt>
              </c:numCache>
            </c:numRef>
          </c:val>
          <c:extLst>
            <c:ext xmlns:c16="http://schemas.microsoft.com/office/drawing/2014/chart" uri="{C3380CC4-5D6E-409C-BE32-E72D297353CC}">
              <c16:uniqueId val="{0000000C-CF0C-49BF-ABDA-88775F8959F4}"/>
            </c:ext>
          </c:extLst>
        </c:ser>
        <c:ser>
          <c:idx val="13"/>
          <c:order val="13"/>
          <c:tx>
            <c:strRef>
              <c:f>B_DCFROR!$B$201</c:f>
              <c:strCache>
                <c:ptCount val="1"/>
                <c:pt idx="0">
                  <c:v>Purification</c:v>
                </c:pt>
              </c:strCache>
            </c:strRef>
          </c:tx>
          <c:spPr>
            <a:solidFill>
              <a:srgbClr val="6600FF"/>
            </a:solidFill>
          </c:spPr>
          <c:invertIfNegative val="0"/>
          <c:cat>
            <c:strLit>
              <c:ptCount val="5"/>
              <c:pt idx="1">
                <c:v>Base Coproduct Price</c:v>
              </c:pt>
              <c:pt idx="2">
                <c:v>High Coproduct Price</c:v>
              </c:pt>
              <c:pt idx="3">
                <c:v>Low Coproduct Price</c:v>
              </c:pt>
            </c:strLit>
          </c:cat>
          <c:val>
            <c:numRef>
              <c:f>B_DCFROR!$C$201:$G$201</c:f>
              <c:numCache>
                <c:formatCode>_("$"* #,##0.00_);_("$"* \(#,##0.00\);_("$"* "-"??_);_(@_)</c:formatCode>
                <c:ptCount val="5"/>
                <c:pt idx="1">
                  <c:v>274.59365480401152</c:v>
                </c:pt>
                <c:pt idx="2">
                  <c:v>77.402235064178598</c:v>
                </c:pt>
                <c:pt idx="3">
                  <c:v>271.62403863824125</c:v>
                </c:pt>
              </c:numCache>
            </c:numRef>
          </c:val>
          <c:extLst>
            <c:ext xmlns:c16="http://schemas.microsoft.com/office/drawing/2014/chart" uri="{C3380CC4-5D6E-409C-BE32-E72D297353CC}">
              <c16:uniqueId val="{0000000D-CF0C-49BF-ABDA-88775F8959F4}"/>
            </c:ext>
          </c:extLst>
        </c:ser>
        <c:ser>
          <c:idx val="14"/>
          <c:order val="14"/>
          <c:tx>
            <c:strRef>
              <c:f>B_DCFROR!$B$202</c:f>
              <c:strCache>
                <c:ptCount val="1"/>
                <c:pt idx="0">
                  <c:v>Overhead and Benefits</c:v>
                </c:pt>
              </c:strCache>
            </c:strRef>
          </c:tx>
          <c:spPr>
            <a:solidFill>
              <a:srgbClr val="006666"/>
            </a:solidFill>
          </c:spPr>
          <c:invertIfNegative val="0"/>
          <c:cat>
            <c:strLit>
              <c:ptCount val="5"/>
              <c:pt idx="1">
                <c:v>Base Coproduct Price</c:v>
              </c:pt>
              <c:pt idx="2">
                <c:v>High Coproduct Price</c:v>
              </c:pt>
              <c:pt idx="3">
                <c:v>Low Coproduct Price</c:v>
              </c:pt>
            </c:strLit>
          </c:cat>
          <c:val>
            <c:numRef>
              <c:f>B_DCFROR!$C$202:$G$202</c:f>
              <c:numCache>
                <c:formatCode>_("$"* #,##0.00_);_("$"* \(#,##0.00\);_("$"* "-"??_);_(@_)</c:formatCode>
                <c:ptCount val="5"/>
                <c:pt idx="1">
                  <c:v>46.19424915025575</c:v>
                </c:pt>
                <c:pt idx="2">
                  <c:v>13.021197208265184</c:v>
                </c:pt>
                <c:pt idx="3">
                  <c:v>45.694677559134583</c:v>
                </c:pt>
              </c:numCache>
            </c:numRef>
          </c:val>
          <c:extLst>
            <c:ext xmlns:c16="http://schemas.microsoft.com/office/drawing/2014/chart" uri="{C3380CC4-5D6E-409C-BE32-E72D297353CC}">
              <c16:uniqueId val="{0000000E-CF0C-49BF-ABDA-88775F8959F4}"/>
            </c:ext>
          </c:extLst>
        </c:ser>
        <c:ser>
          <c:idx val="15"/>
          <c:order val="15"/>
          <c:tx>
            <c:strRef>
              <c:f>B_DCFROR!$B$203</c:f>
              <c:strCache>
                <c:ptCount val="1"/>
                <c:pt idx="0">
                  <c:v>Plant Maintenance</c:v>
                </c:pt>
              </c:strCache>
            </c:strRef>
          </c:tx>
          <c:spPr>
            <a:solidFill>
              <a:srgbClr val="339933"/>
            </a:solidFill>
          </c:spPr>
          <c:invertIfNegative val="0"/>
          <c:cat>
            <c:strLit>
              <c:ptCount val="5"/>
              <c:pt idx="1">
                <c:v>Base Coproduct Price</c:v>
              </c:pt>
              <c:pt idx="2">
                <c:v>High Coproduct Price</c:v>
              </c:pt>
              <c:pt idx="3">
                <c:v>Low Coproduct Price</c:v>
              </c:pt>
            </c:strLit>
          </c:cat>
          <c:val>
            <c:numRef>
              <c:f>B_DCFROR!$C$203:$G$203</c:f>
              <c:numCache>
                <c:formatCode>_("$"* #,##0.00_);_("$"* \(#,##0.00\);_("$"* "-"??_);_(@_)</c:formatCode>
                <c:ptCount val="5"/>
                <c:pt idx="1">
                  <c:v>559.04313905553067</c:v>
                </c:pt>
                <c:pt idx="2">
                  <c:v>157.58262328048642</c:v>
                </c:pt>
                <c:pt idx="3">
                  <c:v>552.99732002782173</c:v>
                </c:pt>
              </c:numCache>
            </c:numRef>
          </c:val>
          <c:extLst>
            <c:ext xmlns:c16="http://schemas.microsoft.com/office/drawing/2014/chart" uri="{C3380CC4-5D6E-409C-BE32-E72D297353CC}">
              <c16:uniqueId val="{0000000F-CF0C-49BF-ABDA-88775F8959F4}"/>
            </c:ext>
          </c:extLst>
        </c:ser>
        <c:ser>
          <c:idx val="16"/>
          <c:order val="16"/>
          <c:tx>
            <c:strRef>
              <c:f>B_DCFROR!$B$204</c:f>
              <c:strCache>
                <c:ptCount val="1"/>
                <c:pt idx="0">
                  <c:v>Insurance</c:v>
                </c:pt>
              </c:strCache>
            </c:strRef>
          </c:tx>
          <c:spPr>
            <a:solidFill>
              <a:srgbClr val="3366CC"/>
            </a:solidFill>
          </c:spPr>
          <c:invertIfNegative val="0"/>
          <c:cat>
            <c:strLit>
              <c:ptCount val="5"/>
              <c:pt idx="1">
                <c:v>Base Coproduct Price</c:v>
              </c:pt>
              <c:pt idx="2">
                <c:v>High Coproduct Price</c:v>
              </c:pt>
              <c:pt idx="3">
                <c:v>Low Coproduct Price</c:v>
              </c:pt>
            </c:strLit>
          </c:cat>
          <c:val>
            <c:numRef>
              <c:f>B_DCFROR!$C$204:$G$204</c:f>
              <c:numCache>
                <c:formatCode>_("$"* #,##0.00_);_("$"* \(#,##0.00\);_("$"* "-"??_);_(@_)</c:formatCode>
                <c:ptCount val="5"/>
                <c:pt idx="1">
                  <c:v>47.722016279946921</c:v>
                </c:pt>
                <c:pt idx="2">
                  <c:v>13.451842958546932</c:v>
                </c:pt>
                <c:pt idx="3">
                  <c:v>47.205922522757852</c:v>
                </c:pt>
              </c:numCache>
            </c:numRef>
          </c:val>
          <c:extLst>
            <c:ext xmlns:c16="http://schemas.microsoft.com/office/drawing/2014/chart" uri="{C3380CC4-5D6E-409C-BE32-E72D297353CC}">
              <c16:uniqueId val="{00000010-CF0C-49BF-ABDA-88775F8959F4}"/>
            </c:ext>
          </c:extLst>
        </c:ser>
        <c:ser>
          <c:idx val="17"/>
          <c:order val="17"/>
          <c:tx>
            <c:strRef>
              <c:f>B_DCFROR!$B$205</c:f>
              <c:strCache>
                <c:ptCount val="1"/>
                <c:pt idx="0">
                  <c:v>Tax</c:v>
                </c:pt>
              </c:strCache>
            </c:strRef>
          </c:tx>
          <c:spPr>
            <a:solidFill>
              <a:srgbClr val="9966FF"/>
            </a:solidFill>
          </c:spPr>
          <c:invertIfNegative val="0"/>
          <c:cat>
            <c:strLit>
              <c:ptCount val="5"/>
              <c:pt idx="1">
                <c:v>Base Coproduct Price</c:v>
              </c:pt>
              <c:pt idx="2">
                <c:v>High Coproduct Price</c:v>
              </c:pt>
              <c:pt idx="3">
                <c:v>Low Coproduct Price</c:v>
              </c:pt>
            </c:strLit>
          </c:cat>
          <c:val>
            <c:numRef>
              <c:f>B_DCFROR!$C$205:$G$205</c:f>
              <c:numCache>
                <c:formatCode>_("$"* #,##0.00_);_("$"* \(#,##0.00\);_("$"* "-"??_);_(@_)</c:formatCode>
                <c:ptCount val="5"/>
                <c:pt idx="1">
                  <c:v>100.29359222027301</c:v>
                </c:pt>
                <c:pt idx="2">
                  <c:v>28.270118516466297</c:v>
                </c:pt>
                <c:pt idx="3">
                  <c:v>99.211139650287336</c:v>
                </c:pt>
              </c:numCache>
            </c:numRef>
          </c:val>
          <c:extLst>
            <c:ext xmlns:c16="http://schemas.microsoft.com/office/drawing/2014/chart" uri="{C3380CC4-5D6E-409C-BE32-E72D297353CC}">
              <c16:uniqueId val="{00000011-CF0C-49BF-ABDA-88775F8959F4}"/>
            </c:ext>
          </c:extLst>
        </c:ser>
        <c:ser>
          <c:idx val="18"/>
          <c:order val="18"/>
          <c:tx>
            <c:strRef>
              <c:f>B_DCFROR!$B$206</c:f>
              <c:strCache>
                <c:ptCount val="1"/>
                <c:pt idx="0">
                  <c:v>Ammonia Sulfate</c:v>
                </c:pt>
              </c:strCache>
            </c:strRef>
          </c:tx>
          <c:spPr>
            <a:solidFill>
              <a:srgbClr val="99BC7A"/>
            </a:solidFill>
          </c:spPr>
          <c:invertIfNegative val="0"/>
          <c:cat>
            <c:strLit>
              <c:ptCount val="5"/>
              <c:pt idx="1">
                <c:v>Base Coproduct Price</c:v>
              </c:pt>
              <c:pt idx="2">
                <c:v>High Coproduct Price</c:v>
              </c:pt>
              <c:pt idx="3">
                <c:v>Low Coproduct Price</c:v>
              </c:pt>
            </c:strLit>
          </c:cat>
          <c:val>
            <c:numRef>
              <c:f>B_DCFROR!$C$206:$G$206</c:f>
              <c:numCache>
                <c:formatCode>_("$"* #,##0.00_);_("$"* \(#,##0.00\);_("$"* "-"??_);_(@_)</c:formatCode>
                <c:ptCount val="5"/>
                <c:pt idx="1">
                  <c:v>-2.1270166758098883</c:v>
                </c:pt>
                <c:pt idx="2">
                  <c:v>-0.95872582416267937</c:v>
                </c:pt>
                <c:pt idx="3">
                  <c:v>-2.2621951869793859</c:v>
                </c:pt>
              </c:numCache>
            </c:numRef>
          </c:val>
          <c:extLst>
            <c:ext xmlns:c16="http://schemas.microsoft.com/office/drawing/2014/chart" uri="{C3380CC4-5D6E-409C-BE32-E72D297353CC}">
              <c16:uniqueId val="{00000012-CF0C-49BF-ABDA-88775F8959F4}"/>
            </c:ext>
          </c:extLst>
        </c:ser>
        <c:ser>
          <c:idx val="19"/>
          <c:order val="19"/>
          <c:tx>
            <c:strRef>
              <c:f>B_DCFROR!$B$207</c:f>
              <c:strCache>
                <c:ptCount val="1"/>
                <c:pt idx="0">
                  <c:v>Magnesium Sulfate</c:v>
                </c:pt>
              </c:strCache>
            </c:strRef>
          </c:tx>
          <c:spPr>
            <a:solidFill>
              <a:srgbClr val="68B8AE"/>
            </a:solidFill>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4F-4333-4B01-80D8-413CBDBBB8B4}"/>
                </c:ext>
              </c:extLst>
            </c:dLbl>
            <c:dLbl>
              <c:idx val="2"/>
              <c:delete val="1"/>
              <c:extLst>
                <c:ext xmlns:c15="http://schemas.microsoft.com/office/drawing/2012/chart" uri="{CE6537A1-D6FC-4f65-9D91-7224C49458BB}"/>
                <c:ext xmlns:c16="http://schemas.microsoft.com/office/drawing/2014/chart" uri="{C3380CC4-5D6E-409C-BE32-E72D297353CC}">
                  <c16:uniqueId val="{00000050-4333-4B01-80D8-413CBDBBB8B4}"/>
                </c:ext>
              </c:extLst>
            </c:dLbl>
            <c:dLbl>
              <c:idx val="3"/>
              <c:delete val="1"/>
              <c:extLst>
                <c:ext xmlns:c15="http://schemas.microsoft.com/office/drawing/2012/chart" uri="{CE6537A1-D6FC-4f65-9D91-7224C49458BB}"/>
                <c:ext xmlns:c16="http://schemas.microsoft.com/office/drawing/2014/chart" uri="{C3380CC4-5D6E-409C-BE32-E72D297353CC}">
                  <c16:uniqueId val="{00000051-4333-4B01-80D8-413CBDBBB8B4}"/>
                </c:ext>
              </c:extLst>
            </c:dLbl>
            <c:spPr>
              <a:noFill/>
              <a:ln w="19050">
                <a:solidFill>
                  <a:schemeClr val="tx1"/>
                </a:solidFill>
              </a:ln>
              <a:effectLst/>
            </c:spPr>
            <c:txPr>
              <a:bodyPr wrap="square" lIns="38100" tIns="19050" rIns="38100" bIns="19050" anchor="ctr">
                <a:spAutoFit/>
              </a:bodyPr>
              <a:lstStyle/>
              <a:p>
                <a:pPr>
                  <a:defRPr sz="1100" b="1" cap="all" baseline="0"/>
                </a:pPr>
                <a:endParaRPr lang="en-US"/>
              </a:p>
            </c:txPr>
            <c:showLegendKey val="0"/>
            <c:showVal val="0"/>
            <c:showCatName val="1"/>
            <c:showSerName val="0"/>
            <c:showPercent val="0"/>
            <c:showBubbleSize val="0"/>
            <c:showLeaderLines val="0"/>
            <c:extLst>
              <c:ext xmlns:c15="http://schemas.microsoft.com/office/drawing/2012/chart" uri="{CE6537A1-D6FC-4f65-9D91-7224C49458BB}">
                <c15:showLeaderLines val="1"/>
              </c:ext>
            </c:extLst>
          </c:dLbls>
          <c:cat>
            <c:strLit>
              <c:ptCount val="5"/>
              <c:pt idx="1">
                <c:v>Base Coproduct Price</c:v>
              </c:pt>
              <c:pt idx="2">
                <c:v>High Coproduct Price</c:v>
              </c:pt>
              <c:pt idx="3">
                <c:v>Low Coproduct Price</c:v>
              </c:pt>
            </c:strLit>
          </c:cat>
          <c:val>
            <c:numRef>
              <c:f>B_DCFROR!$C$207:$G$207</c:f>
              <c:numCache>
                <c:formatCode>_("$"* #,##0.00_);_("$"* \(#,##0.00\);_("$"* "-"??_);_(@_)</c:formatCode>
                <c:ptCount val="5"/>
                <c:pt idx="1">
                  <c:v>-8.5080667032395532</c:v>
                </c:pt>
                <c:pt idx="2">
                  <c:v>-1.4380887362440189</c:v>
                </c:pt>
                <c:pt idx="3">
                  <c:v>-10.715661412007616</c:v>
                </c:pt>
              </c:numCache>
            </c:numRef>
          </c:val>
          <c:extLst>
            <c:ext xmlns:c16="http://schemas.microsoft.com/office/drawing/2014/chart" uri="{C3380CC4-5D6E-409C-BE32-E72D297353CC}">
              <c16:uniqueId val="{00000013-CF0C-49BF-ABDA-88775F8959F4}"/>
            </c:ext>
          </c:extLst>
        </c:ser>
        <c:ser>
          <c:idx val="20"/>
          <c:order val="20"/>
          <c:tx>
            <c:strRef>
              <c:f>B_DCFROR!$B$208</c:f>
              <c:strCache>
                <c:ptCount val="1"/>
                <c:pt idx="0">
                  <c:v>Naphtha</c:v>
                </c:pt>
              </c:strCache>
            </c:strRef>
          </c:tx>
          <c:spPr>
            <a:solidFill>
              <a:srgbClr val="D3B0D4"/>
            </a:solidFill>
          </c:spPr>
          <c:invertIfNegative val="0"/>
          <c:cat>
            <c:strLit>
              <c:ptCount val="5"/>
              <c:pt idx="1">
                <c:v>Base Coproduct Price</c:v>
              </c:pt>
              <c:pt idx="2">
                <c:v>High Coproduct Price</c:v>
              </c:pt>
              <c:pt idx="3">
                <c:v>Low Coproduct Price</c:v>
              </c:pt>
            </c:strLit>
          </c:cat>
          <c:val>
            <c:numRef>
              <c:f>B_DCFROR!$C$208:$G$208</c:f>
              <c:numCache>
                <c:formatCode>_("$"* #,##0.00_);_("$"* \(#,##0.00\);_("$"* "-"??_);_(@_)</c:formatCode>
                <c:ptCount val="5"/>
                <c:pt idx="1">
                  <c:v>-8.5080667032395532</c:v>
                </c:pt>
                <c:pt idx="2">
                  <c:v>-1.5978763736044657</c:v>
                </c:pt>
                <c:pt idx="3">
                  <c:v>-8.9297178433396809</c:v>
                </c:pt>
              </c:numCache>
            </c:numRef>
          </c:val>
          <c:extLst>
            <c:ext xmlns:c16="http://schemas.microsoft.com/office/drawing/2014/chart" uri="{C3380CC4-5D6E-409C-BE32-E72D297353CC}">
              <c16:uniqueId val="{00000014-CF0C-49BF-ABDA-88775F8959F4}"/>
            </c:ext>
          </c:extLst>
        </c:ser>
        <c:ser>
          <c:idx val="21"/>
          <c:order val="21"/>
          <c:tx>
            <c:strRef>
              <c:f>B_DCFROR!$B$209</c:f>
              <c:strCache>
                <c:ptCount val="1"/>
                <c:pt idx="0">
                  <c:v>Other Esters</c:v>
                </c:pt>
              </c:strCache>
            </c:strRef>
          </c:tx>
          <c:spPr>
            <a:solidFill>
              <a:srgbClr val="C2A3FF"/>
            </a:solidFill>
          </c:spPr>
          <c:invertIfNegative val="0"/>
          <c:cat>
            <c:strLit>
              <c:ptCount val="5"/>
              <c:pt idx="1">
                <c:v>Base Coproduct Price</c:v>
              </c:pt>
              <c:pt idx="2">
                <c:v>High Coproduct Price</c:v>
              </c:pt>
              <c:pt idx="3">
                <c:v>Low Coproduct Price</c:v>
              </c:pt>
            </c:strLit>
          </c:cat>
          <c:val>
            <c:numRef>
              <c:f>B_DCFROR!$C$209:$G$209</c:f>
              <c:numCache>
                <c:formatCode>_("$"* #,##0.00_);_("$"* \(#,##0.00\);_("$"* "-"??_);_(@_)</c:formatCode>
                <c:ptCount val="5"/>
                <c:pt idx="1">
                  <c:v>-283.60222344131847</c:v>
                </c:pt>
                <c:pt idx="2">
                  <c:v>-143.80887362440191</c:v>
                </c:pt>
                <c:pt idx="3">
                  <c:v>-89.297178433396809</c:v>
                </c:pt>
              </c:numCache>
            </c:numRef>
          </c:val>
          <c:extLst>
            <c:ext xmlns:c16="http://schemas.microsoft.com/office/drawing/2014/chart" uri="{C3380CC4-5D6E-409C-BE32-E72D297353CC}">
              <c16:uniqueId val="{0000001A-CF0C-49BF-ABDA-88775F8959F4}"/>
            </c:ext>
          </c:extLst>
        </c:ser>
        <c:ser>
          <c:idx val="22"/>
          <c:order val="22"/>
          <c:tx>
            <c:strRef>
              <c:f>B_DCFROR!$B$210</c:f>
              <c:strCache>
                <c:ptCount val="1"/>
                <c:pt idx="0">
                  <c:v>Waste Collection</c:v>
                </c:pt>
              </c:strCache>
            </c:strRef>
          </c:tx>
          <c:spPr>
            <a:solidFill>
              <a:srgbClr val="998155"/>
            </a:solidFill>
            <a:ln>
              <a:noFill/>
            </a:ln>
          </c:spPr>
          <c:invertIfNegative val="0"/>
          <c:cat>
            <c:strRef>
              <c:f>B_DCFROR!$C$187:$G$187</c:f>
              <c:strCache>
                <c:ptCount val="4"/>
                <c:pt idx="1">
                  <c:v>Base Coproduct Price</c:v>
                </c:pt>
                <c:pt idx="2">
                  <c:v>High Coproduct Price</c:v>
                </c:pt>
                <c:pt idx="3">
                  <c:v>Low Coproduct Price</c:v>
                </c:pt>
              </c:strCache>
            </c:strRef>
          </c:cat>
          <c:val>
            <c:numRef>
              <c:f>B_DCFROR!$C$210:$G$210</c:f>
              <c:numCache>
                <c:formatCode>_("$"* #,##0.00_);_("$"* \(#,##0.00\);_("$"* "-"??_);_(@_)</c:formatCode>
                <c:ptCount val="5"/>
                <c:pt idx="1">
                  <c:v>-0.14180111172065923</c:v>
                </c:pt>
                <c:pt idx="2">
                  <c:v>-3.9946909340111643E-2</c:v>
                </c:pt>
                <c:pt idx="3">
                  <c:v>-5.9531452288931197E-2</c:v>
                </c:pt>
              </c:numCache>
            </c:numRef>
          </c:val>
          <c:extLst>
            <c:ext xmlns:c16="http://schemas.microsoft.com/office/drawing/2014/chart" uri="{C3380CC4-5D6E-409C-BE32-E72D297353CC}">
              <c16:uniqueId val="{0000001F-CF0C-49BF-ABDA-88775F8959F4}"/>
            </c:ext>
          </c:extLst>
        </c:ser>
        <c:dLbls>
          <c:showLegendKey val="0"/>
          <c:showVal val="0"/>
          <c:showCatName val="0"/>
          <c:showSerName val="0"/>
          <c:showPercent val="0"/>
          <c:showBubbleSize val="0"/>
        </c:dLbls>
        <c:gapWidth val="23"/>
        <c:overlap val="100"/>
        <c:axId val="208777487"/>
        <c:axId val="208771727"/>
      </c:barChart>
      <c:lineChart>
        <c:grouping val="standard"/>
        <c:varyColors val="0"/>
        <c:ser>
          <c:idx val="26"/>
          <c:order val="23"/>
          <c:tx>
            <c:strRef>
              <c:f>B_DCFROR!$B$212</c:f>
              <c:strCache>
                <c:ptCount val="1"/>
                <c:pt idx="0">
                  <c:v>Market Value</c:v>
                </c:pt>
              </c:strCache>
            </c:strRef>
          </c:tx>
          <c:spPr>
            <a:ln cap="flat">
              <a:solidFill>
                <a:srgbClr val="000000"/>
              </a:solidFill>
              <a:miter lim="800000"/>
            </a:ln>
          </c:spPr>
          <c:marker>
            <c:symbol val="none"/>
          </c:marker>
          <c:cat>
            <c:strRef>
              <c:f>B_DCFROR!$C$187:$G$187</c:f>
              <c:strCache>
                <c:ptCount val="4"/>
                <c:pt idx="1">
                  <c:v>Base Coproduct Price</c:v>
                </c:pt>
                <c:pt idx="2">
                  <c:v>High Coproduct Price</c:v>
                </c:pt>
                <c:pt idx="3">
                  <c:v>Low Coproduct Price</c:v>
                </c:pt>
              </c:strCache>
            </c:strRef>
          </c:cat>
          <c:val>
            <c:numRef>
              <c:f>B_DCFROR!$C$212:$G$212</c:f>
              <c:numCache>
                <c:formatCode>_("$"* #,##0.00_);_("$"* \(#,##0.00\);_("$"* "-"??_);_(@_)</c:formatCode>
                <c:ptCount val="5"/>
                <c:pt idx="0">
                  <c:v>198</c:v>
                </c:pt>
                <c:pt idx="1">
                  <c:v>198</c:v>
                </c:pt>
                <c:pt idx="2">
                  <c:v>198</c:v>
                </c:pt>
                <c:pt idx="3">
                  <c:v>198</c:v>
                </c:pt>
                <c:pt idx="4">
                  <c:v>198</c:v>
                </c:pt>
              </c:numCache>
            </c:numRef>
          </c:val>
          <c:smooth val="0"/>
          <c:extLst>
            <c:ext xmlns:c16="http://schemas.microsoft.com/office/drawing/2014/chart" uri="{C3380CC4-5D6E-409C-BE32-E72D297353CC}">
              <c16:uniqueId val="{00000001-F093-49C1-8B41-7FAFE2777752}"/>
            </c:ext>
          </c:extLst>
        </c:ser>
        <c:dLbls>
          <c:showLegendKey val="0"/>
          <c:showVal val="0"/>
          <c:showCatName val="0"/>
          <c:showSerName val="0"/>
          <c:showPercent val="0"/>
          <c:showBubbleSize val="0"/>
        </c:dLbls>
        <c:marker val="1"/>
        <c:smooth val="0"/>
        <c:axId val="1236251264"/>
        <c:axId val="1236262784"/>
      </c:lineChart>
      <c:scatterChart>
        <c:scatterStyle val="lineMarker"/>
        <c:varyColors val="0"/>
        <c:ser>
          <c:idx val="23"/>
          <c:order val="24"/>
          <c:tx>
            <c:strRef>
              <c:f>B_DCFROR!$B$211</c:f>
              <c:strCache>
                <c:ptCount val="1"/>
                <c:pt idx="0">
                  <c:v>Minimum Selling Price</c:v>
                </c:pt>
              </c:strCache>
            </c:strRef>
          </c:tx>
          <c:spPr>
            <a:ln w="25400">
              <a:noFill/>
            </a:ln>
          </c:spPr>
          <c:marker>
            <c:symbol val="square"/>
            <c:size val="5"/>
            <c:spPr>
              <a:solidFill>
                <a:schemeClr val="tx1"/>
              </a:solidFill>
              <a:ln>
                <a:noFill/>
              </a:ln>
            </c:spPr>
          </c:marker>
          <c:dLbls>
            <c:spPr>
              <a:solidFill>
                <a:schemeClr val="tx1"/>
              </a:solidFill>
              <a:ln>
                <a:noFill/>
              </a:ln>
              <a:effectLst/>
            </c:spPr>
            <c:txPr>
              <a:bodyPr wrap="square" lIns="38100" tIns="19050" rIns="38100" bIns="19050" anchor="ctr">
                <a:spAutoFit/>
              </a:bodyPr>
              <a:lstStyle/>
              <a:p>
                <a:pPr>
                  <a:defRPr sz="1400">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yVal>
            <c:numRef>
              <c:f>B_DCFROR!$C$211:$G$211</c:f>
              <c:numCache>
                <c:formatCode>_("$"* #,##0.00_);_("$"* \(#,##0.00\);_("$"* "-"??_);_(@_)</c:formatCode>
                <c:ptCount val="5"/>
                <c:pt idx="1">
                  <c:v>572.29</c:v>
                </c:pt>
                <c:pt idx="2">
                  <c:v>97.889999999999958</c:v>
                </c:pt>
                <c:pt idx="3">
                  <c:v>756.75000000000011</c:v>
                </c:pt>
              </c:numCache>
            </c:numRef>
          </c:yVal>
          <c:smooth val="0"/>
          <c:extLst>
            <c:ext xmlns:c16="http://schemas.microsoft.com/office/drawing/2014/chart" uri="{C3380CC4-5D6E-409C-BE32-E72D297353CC}">
              <c16:uniqueId val="{00000052-4333-4B01-80D8-413CBDBBB8B4}"/>
            </c:ext>
          </c:extLst>
        </c:ser>
        <c:dLbls>
          <c:showLegendKey val="0"/>
          <c:showVal val="0"/>
          <c:showCatName val="0"/>
          <c:showSerName val="0"/>
          <c:showPercent val="0"/>
          <c:showBubbleSize val="0"/>
        </c:dLbls>
        <c:axId val="1236251264"/>
        <c:axId val="1236262784"/>
      </c:scatterChart>
      <c:catAx>
        <c:axId val="208777487"/>
        <c:scaling>
          <c:orientation val="minMax"/>
        </c:scaling>
        <c:delete val="1"/>
        <c:axPos val="b"/>
        <c:numFmt formatCode="General" sourceLinked="1"/>
        <c:majorTickMark val="none"/>
        <c:minorTickMark val="none"/>
        <c:tickLblPos val="low"/>
        <c:crossAx val="208771727"/>
        <c:crossesAt val="0"/>
        <c:auto val="0"/>
        <c:lblAlgn val="ctr"/>
        <c:lblOffset val="50"/>
        <c:noMultiLvlLbl val="0"/>
      </c:catAx>
      <c:valAx>
        <c:axId val="208771727"/>
        <c:scaling>
          <c:orientation val="minMax"/>
          <c:min val="-500"/>
        </c:scaling>
        <c:delete val="0"/>
        <c:axPos val="l"/>
        <c:majorGridlines>
          <c:spPr>
            <a:ln w="9525" cap="flat" cmpd="sng" algn="ctr">
              <a:solidFill>
                <a:schemeClr val="tx1"/>
              </a:solidFill>
              <a:round/>
            </a:ln>
            <a:effectLst/>
          </c:spPr>
        </c:majorGridlines>
        <c:title>
          <c:tx>
            <c:rich>
              <a:bodyPr/>
              <a:lstStyle/>
              <a:p>
                <a:pPr>
                  <a:defRPr sz="1600">
                    <a:solidFill>
                      <a:sysClr val="windowText" lastClr="000000"/>
                    </a:solidFill>
                  </a:defRPr>
                </a:pPr>
                <a:r>
                  <a:rPr lang="en-US" sz="1600">
                    <a:solidFill>
                      <a:sysClr val="windowText" lastClr="000000"/>
                    </a:solidFill>
                  </a:rPr>
                  <a:t>COST </a:t>
                </a:r>
                <a:r>
                  <a:rPr lang="en-US" sz="1600" b="0">
                    <a:solidFill>
                      <a:sysClr val="windowText" lastClr="000000"/>
                    </a:solidFill>
                  </a:rPr>
                  <a:t>[USD</a:t>
                </a:r>
                <a:r>
                  <a:rPr lang="en-US" sz="1600" b="0" baseline="0">
                    <a:solidFill>
                      <a:sysClr val="windowText" lastClr="000000"/>
                    </a:solidFill>
                  </a:rPr>
                  <a:t> (2026) / kg ]</a:t>
                </a:r>
                <a:endParaRPr lang="en-US" sz="1600" b="0">
                  <a:solidFill>
                    <a:sysClr val="windowText" lastClr="000000"/>
                  </a:solidFill>
                </a:endParaRPr>
              </a:p>
            </c:rich>
          </c:tx>
          <c:layout>
            <c:manualLayout>
              <c:xMode val="edge"/>
              <c:yMode val="edge"/>
              <c:x val="1.6244747256333892E-2"/>
              <c:y val="0.23529994167395743"/>
            </c:manualLayout>
          </c:layout>
          <c:overlay val="0"/>
          <c:spPr>
            <a:noFill/>
          </c:spPr>
        </c:title>
        <c:numFmt formatCode="_(&quot;$&quot;* #,##0_);_(&quot;$&quot;* \(#,##0\);_(&quot;$&quot;* &quot;-&quot;_);_(@_)" sourceLinked="0"/>
        <c:majorTickMark val="cross"/>
        <c:minorTickMark val="cross"/>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Cond" panose="020B0506020202020204" pitchFamily="34" charset="0"/>
                <a:ea typeface="+mn-ea"/>
                <a:cs typeface="+mn-cs"/>
              </a:defRPr>
            </a:pPr>
            <a:endParaRPr lang="en-US"/>
          </a:p>
        </c:txPr>
        <c:crossAx val="208777487"/>
        <c:crosses val="autoZero"/>
        <c:crossBetween val="between"/>
      </c:valAx>
      <c:valAx>
        <c:axId val="1236262784"/>
        <c:scaling>
          <c:orientation val="minMax"/>
        </c:scaling>
        <c:delete val="1"/>
        <c:axPos val="r"/>
        <c:numFmt formatCode="_(&quot;$&quot;* #,##0_);_(&quot;$&quot;* \(#,##0\);_(&quot;$&quot;* &quot;-&quot;_);_(@_)" sourceLinked="0"/>
        <c:majorTickMark val="none"/>
        <c:minorTickMark val="none"/>
        <c:tickLblPos val="nextTo"/>
        <c:crossAx val="1236251264"/>
        <c:crosses val="max"/>
        <c:crossBetween val="between"/>
      </c:valAx>
      <c:catAx>
        <c:axId val="1236251264"/>
        <c:scaling>
          <c:orientation val="minMax"/>
        </c:scaling>
        <c:delete val="1"/>
        <c:axPos val="b"/>
        <c:numFmt formatCode="General" sourceLinked="1"/>
        <c:majorTickMark val="out"/>
        <c:minorTickMark val="none"/>
        <c:tickLblPos val="nextTo"/>
        <c:crossAx val="1236262784"/>
        <c:crosses val="autoZero"/>
        <c:auto val="1"/>
        <c:lblAlgn val="ctr"/>
        <c:lblOffset val="100"/>
        <c:noMultiLvlLbl val="0"/>
      </c:catAx>
      <c:spPr>
        <a:noFill/>
        <a:ln w="19050">
          <a:solidFill>
            <a:schemeClr val="tx1"/>
          </a:solidFill>
          <a:miter lim="800000"/>
        </a:ln>
        <a:effectLst/>
      </c:spPr>
    </c:plotArea>
    <c:legend>
      <c:legendPos val="b"/>
      <c:layout>
        <c:manualLayout>
          <c:xMode val="edge"/>
          <c:yMode val="edge"/>
          <c:x val="6.7543370550184002E-4"/>
          <c:y val="0.82163312919218412"/>
          <c:w val="0.99577060639440795"/>
          <c:h val="0.16725575969670459"/>
        </c:manualLayout>
      </c:layout>
      <c:overlay val="0"/>
      <c:txPr>
        <a:bodyPr/>
        <a:lstStyle/>
        <a:p>
          <a:pPr>
            <a:defRPr sz="1050"/>
          </a:pPr>
          <a:endParaRPr lang="en-US"/>
        </a:p>
      </c:txPr>
    </c:legend>
    <c:plotVisOnly val="1"/>
    <c:dispBlanksAs val="gap"/>
    <c:showDLblsOverMax val="0"/>
  </c:chart>
  <c:spPr>
    <a:solidFill>
      <a:schemeClr val="bg1"/>
    </a:solidFill>
    <a:ln w="22225"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996325459258059"/>
          <c:y val="0.14241665539655077"/>
          <c:w val="0.85088036911421716"/>
          <c:h val="0.52882860067242565"/>
        </c:manualLayout>
      </c:layout>
      <c:barChart>
        <c:barDir val="col"/>
        <c:grouping val="stacked"/>
        <c:varyColors val="0"/>
        <c:ser>
          <c:idx val="0"/>
          <c:order val="0"/>
          <c:tx>
            <c:strRef>
              <c:f>AB_DCFROR!$B$202</c:f>
              <c:strCache>
                <c:ptCount val="1"/>
                <c:pt idx="0">
                  <c:v>Transportation</c:v>
                </c:pt>
              </c:strCache>
            </c:strRef>
          </c:tx>
          <c:spPr>
            <a:solidFill>
              <a:schemeClr val="bg2">
                <a:lumMod val="90000"/>
              </a:schemeClr>
            </a:solidFill>
            <a:ln>
              <a:noFill/>
            </a:ln>
          </c:spPr>
          <c:invertIfNegative val="0"/>
          <c:cat>
            <c:strLit>
              <c:ptCount val="5"/>
              <c:pt idx="1">
                <c:v>Base Coproduct Price</c:v>
              </c:pt>
              <c:pt idx="2">
                <c:v>High Coproduct Price</c:v>
              </c:pt>
              <c:pt idx="3">
                <c:v>Low Coproduct Price</c:v>
              </c:pt>
            </c:strLit>
          </c:cat>
          <c:val>
            <c:numRef>
              <c:f>AB_DCFROR!$C$202:$G$202</c:f>
              <c:numCache>
                <c:formatCode>_("$"* #,##0.00_);_("$"* \(#,##0.00\);_("$"* "-"??_);_(@_)</c:formatCode>
                <c:ptCount val="5"/>
                <c:pt idx="1">
                  <c:v>0.25917203536275801</c:v>
                </c:pt>
                <c:pt idx="2">
                  <c:v>0.2169066064782719</c:v>
                </c:pt>
                <c:pt idx="3">
                  <c:v>0.2901108773614039</c:v>
                </c:pt>
              </c:numCache>
            </c:numRef>
          </c:val>
          <c:extLst>
            <c:ext xmlns:c16="http://schemas.microsoft.com/office/drawing/2014/chart" uri="{C3380CC4-5D6E-409C-BE32-E72D297353CC}">
              <c16:uniqueId val="{00000000-C5C2-48EF-8396-47ECBA8C0CC5}"/>
            </c:ext>
          </c:extLst>
        </c:ser>
        <c:ser>
          <c:idx val="1"/>
          <c:order val="1"/>
          <c:tx>
            <c:strRef>
              <c:f>AB_DCFROR!$B$203</c:f>
              <c:strCache>
                <c:ptCount val="1"/>
                <c:pt idx="0">
                  <c:v>Ocean Water Processing</c:v>
                </c:pt>
              </c:strCache>
            </c:strRef>
          </c:tx>
          <c:spPr>
            <a:solidFill>
              <a:srgbClr val="0099FF"/>
            </a:solidFill>
            <a:ln>
              <a:noFill/>
            </a:ln>
          </c:spPr>
          <c:invertIfNegative val="0"/>
          <c:cat>
            <c:strLit>
              <c:ptCount val="5"/>
              <c:pt idx="1">
                <c:v>Base Coproduct Price</c:v>
              </c:pt>
              <c:pt idx="2">
                <c:v>High Coproduct Price</c:v>
              </c:pt>
              <c:pt idx="3">
                <c:v>Low Coproduct Price</c:v>
              </c:pt>
            </c:strLit>
          </c:cat>
          <c:val>
            <c:numRef>
              <c:f>AB_DCFROR!$C$203:$G$203</c:f>
              <c:numCache>
                <c:formatCode>_("$"* #,##0.00_);_("$"* \(#,##0.00\);_("$"* "-"??_);_(@_)</c:formatCode>
                <c:ptCount val="5"/>
                <c:pt idx="0" formatCode="General">
                  <c:v>0</c:v>
                </c:pt>
                <c:pt idx="1">
                  <c:v>1.2536768825664565E-2</c:v>
                </c:pt>
                <c:pt idx="2">
                  <c:v>1.0492289333497452E-2</c:v>
                </c:pt>
                <c:pt idx="3">
                  <c:v>1.4033354324666748E-2</c:v>
                </c:pt>
              </c:numCache>
            </c:numRef>
          </c:val>
          <c:extLst>
            <c:ext xmlns:c16="http://schemas.microsoft.com/office/drawing/2014/chart" uri="{C3380CC4-5D6E-409C-BE32-E72D297353CC}">
              <c16:uniqueId val="{00000001-C5C2-48EF-8396-47ECBA8C0CC5}"/>
            </c:ext>
          </c:extLst>
        </c:ser>
        <c:ser>
          <c:idx val="2"/>
          <c:order val="2"/>
          <c:tx>
            <c:strRef>
              <c:f>AB_DCFROR!$B$204</c:f>
              <c:strCache>
                <c:ptCount val="1"/>
                <c:pt idx="0">
                  <c:v>Cheese Whey Processing</c:v>
                </c:pt>
              </c:strCache>
            </c:strRef>
          </c:tx>
          <c:spPr>
            <a:solidFill>
              <a:srgbClr val="E97132"/>
            </a:solidFill>
            <a:ln>
              <a:noFill/>
            </a:ln>
          </c:spPr>
          <c:invertIfNegative val="0"/>
          <c:cat>
            <c:strLit>
              <c:ptCount val="5"/>
              <c:pt idx="1">
                <c:v>Base Coproduct Price</c:v>
              </c:pt>
              <c:pt idx="2">
                <c:v>High Coproduct Price</c:v>
              </c:pt>
              <c:pt idx="3">
                <c:v>Low Coproduct Price</c:v>
              </c:pt>
            </c:strLit>
          </c:cat>
          <c:val>
            <c:numRef>
              <c:f>AB_DCFROR!$C$204:$G$204</c:f>
              <c:numCache>
                <c:formatCode>_("$"* #,##0.00_);_("$"* \(#,##0.00\);_("$"* "-"??_);_(@_)</c:formatCode>
                <c:ptCount val="5"/>
                <c:pt idx="1">
                  <c:v>2.4292604168430862E-2</c:v>
                </c:pt>
                <c:pt idx="2">
                  <c:v>2.0330998771989527E-2</c:v>
                </c:pt>
                <c:pt idx="3">
                  <c:v>2.7192550688705509E-2</c:v>
                </c:pt>
              </c:numCache>
            </c:numRef>
          </c:val>
          <c:extLst>
            <c:ext xmlns:c16="http://schemas.microsoft.com/office/drawing/2014/chart" uri="{C3380CC4-5D6E-409C-BE32-E72D297353CC}">
              <c16:uniqueId val="{00000002-C5C2-48EF-8396-47ECBA8C0CC5}"/>
            </c:ext>
          </c:extLst>
        </c:ser>
        <c:ser>
          <c:idx val="3"/>
          <c:order val="3"/>
          <c:tx>
            <c:strRef>
              <c:f>AB_DCFROR!$B$205</c:f>
              <c:strCache>
                <c:ptCount val="1"/>
                <c:pt idx="0">
                  <c:v>Feedstock Preparation</c:v>
                </c:pt>
              </c:strCache>
            </c:strRef>
          </c:tx>
          <c:spPr>
            <a:solidFill>
              <a:srgbClr val="998155"/>
            </a:solidFill>
            <a:ln>
              <a:noFill/>
            </a:ln>
          </c:spPr>
          <c:invertIfNegative val="0"/>
          <c:cat>
            <c:strLit>
              <c:ptCount val="5"/>
              <c:pt idx="1">
                <c:v>Base Coproduct Price</c:v>
              </c:pt>
              <c:pt idx="2">
                <c:v>High Coproduct Price</c:v>
              </c:pt>
              <c:pt idx="3">
                <c:v>Low Coproduct Price</c:v>
              </c:pt>
            </c:strLit>
          </c:cat>
          <c:val>
            <c:numRef>
              <c:f>AB_DCFROR!$C$204:$G$204</c:f>
              <c:numCache>
                <c:formatCode>_("$"* #,##0.00_);_("$"* \(#,##0.00\);_("$"* "-"??_);_(@_)</c:formatCode>
                <c:ptCount val="5"/>
                <c:pt idx="1">
                  <c:v>2.4292604168430862E-2</c:v>
                </c:pt>
                <c:pt idx="2">
                  <c:v>2.0330998771989527E-2</c:v>
                </c:pt>
                <c:pt idx="3">
                  <c:v>2.7192550688705509E-2</c:v>
                </c:pt>
              </c:numCache>
            </c:numRef>
          </c:val>
          <c:extLst>
            <c:ext xmlns:c16="http://schemas.microsoft.com/office/drawing/2014/chart" uri="{C3380CC4-5D6E-409C-BE32-E72D297353CC}">
              <c16:uniqueId val="{00000003-C5C2-48EF-8396-47ECBA8C0CC5}"/>
            </c:ext>
          </c:extLst>
        </c:ser>
        <c:ser>
          <c:idx val="4"/>
          <c:order val="4"/>
          <c:tx>
            <c:strRef>
              <c:f>AB_DCFROR!$B$206</c:f>
              <c:strCache>
                <c:ptCount val="1"/>
                <c:pt idx="0">
                  <c:v>Food Waste Ensiling</c:v>
                </c:pt>
              </c:strCache>
            </c:strRef>
          </c:tx>
          <c:spPr>
            <a:solidFill>
              <a:srgbClr val="CC9900"/>
            </a:solidFill>
            <a:ln>
              <a:noFill/>
            </a:ln>
          </c:spPr>
          <c:invertIfNegative val="0"/>
          <c:cat>
            <c:strLit>
              <c:ptCount val="5"/>
              <c:pt idx="1">
                <c:v>Base Coproduct Price</c:v>
              </c:pt>
              <c:pt idx="2">
                <c:v>High Coproduct Price</c:v>
              </c:pt>
              <c:pt idx="3">
                <c:v>Low Coproduct Price</c:v>
              </c:pt>
            </c:strLit>
          </c:cat>
          <c:val>
            <c:numRef>
              <c:f>AB_DCFROR!$C$206:$G$206</c:f>
              <c:numCache>
                <c:formatCode>_("$"* #,##0.00_);_("$"* \(#,##0.00\);_("$"* "-"??_);_(@_)</c:formatCode>
                <c:ptCount val="5"/>
                <c:pt idx="1">
                  <c:v>1.6542880124281123E-2</c:v>
                </c:pt>
                <c:pt idx="2">
                  <c:v>1.3845089359707557E-2</c:v>
                </c:pt>
                <c:pt idx="3">
                  <c:v>1.8517697946162606E-2</c:v>
                </c:pt>
              </c:numCache>
            </c:numRef>
          </c:val>
          <c:extLst>
            <c:ext xmlns:c16="http://schemas.microsoft.com/office/drawing/2014/chart" uri="{C3380CC4-5D6E-409C-BE32-E72D297353CC}">
              <c16:uniqueId val="{00000004-C5C2-48EF-8396-47ECBA8C0CC5}"/>
            </c:ext>
          </c:extLst>
        </c:ser>
        <c:ser>
          <c:idx val="5"/>
          <c:order val="5"/>
          <c:tx>
            <c:strRef>
              <c:f>AB_DCFROR!$B$207</c:f>
              <c:strCache>
                <c:ptCount val="1"/>
                <c:pt idx="0">
                  <c:v>Food Waste Digestion</c:v>
                </c:pt>
              </c:strCache>
            </c:strRef>
          </c:tx>
          <c:spPr>
            <a:solidFill>
              <a:srgbClr val="CCCC00"/>
            </a:solidFill>
            <a:ln>
              <a:noFill/>
            </a:ln>
          </c:spPr>
          <c:invertIfNegative val="0"/>
          <c:cat>
            <c:strLit>
              <c:ptCount val="5"/>
              <c:pt idx="1">
                <c:v>Base Coproduct Price</c:v>
              </c:pt>
              <c:pt idx="2">
                <c:v>High Coproduct Price</c:v>
              </c:pt>
              <c:pt idx="3">
                <c:v>Low Coproduct Price</c:v>
              </c:pt>
            </c:strLit>
          </c:cat>
          <c:val>
            <c:numRef>
              <c:f>AB_DCFROR!$C$207:$G$207</c:f>
              <c:numCache>
                <c:formatCode>_("$"* #,##0.00_);_("$"* \(#,##0.00\);_("$"* "-"??_);_(@_)</c:formatCode>
                <c:ptCount val="5"/>
                <c:pt idx="1">
                  <c:v>1.8265998465427764E-2</c:v>
                </c:pt>
                <c:pt idx="2">
                  <c:v>1.5287203866449953E-2</c:v>
                </c:pt>
                <c:pt idx="3">
                  <c:v>2.0446514737865788E-2</c:v>
                </c:pt>
              </c:numCache>
            </c:numRef>
          </c:val>
          <c:extLst>
            <c:ext xmlns:c16="http://schemas.microsoft.com/office/drawing/2014/chart" uri="{C3380CC4-5D6E-409C-BE32-E72D297353CC}">
              <c16:uniqueId val="{00000005-C5C2-48EF-8396-47ECBA8C0CC5}"/>
            </c:ext>
          </c:extLst>
        </c:ser>
        <c:ser>
          <c:idx val="6"/>
          <c:order val="6"/>
          <c:tx>
            <c:strRef>
              <c:f>AB_DCFROR!$B$208</c:f>
              <c:strCache>
                <c:ptCount val="1"/>
                <c:pt idx="0">
                  <c:v>Manure Digestion</c:v>
                </c:pt>
              </c:strCache>
            </c:strRef>
          </c:tx>
          <c:spPr>
            <a:solidFill>
              <a:srgbClr val="E5CBB1"/>
            </a:solidFill>
            <a:ln>
              <a:noFill/>
            </a:ln>
          </c:spPr>
          <c:invertIfNegative val="0"/>
          <c:cat>
            <c:strLit>
              <c:ptCount val="5"/>
              <c:pt idx="1">
                <c:v>Base Coproduct Price</c:v>
              </c:pt>
              <c:pt idx="2">
                <c:v>High Coproduct Price</c:v>
              </c:pt>
              <c:pt idx="3">
                <c:v>Low Coproduct Price</c:v>
              </c:pt>
            </c:strLit>
          </c:cat>
          <c:val>
            <c:numRef>
              <c:f>AB_DCFROR!$C$208:$G$208</c:f>
              <c:numCache>
                <c:formatCode>_("$"* #,##0.00_);_("$"* \(#,##0.00\);_("$"* "-"??_);_(@_)</c:formatCode>
                <c:ptCount val="5"/>
                <c:pt idx="1">
                  <c:v>3.4187434693756451E-2</c:v>
                </c:pt>
                <c:pt idx="2">
                  <c:v>2.8612193569576085E-2</c:v>
                </c:pt>
                <c:pt idx="3">
                  <c:v>3.8268583490727107E-2</c:v>
                </c:pt>
              </c:numCache>
            </c:numRef>
          </c:val>
          <c:extLst>
            <c:ext xmlns:c16="http://schemas.microsoft.com/office/drawing/2014/chart" uri="{C3380CC4-5D6E-409C-BE32-E72D297353CC}">
              <c16:uniqueId val="{00000006-C5C2-48EF-8396-47ECBA8C0CC5}"/>
            </c:ext>
          </c:extLst>
        </c:ser>
        <c:ser>
          <c:idx val="7"/>
          <c:order val="7"/>
          <c:tx>
            <c:strRef>
              <c:f>AB_DCFROR!$B$209</c:f>
              <c:strCache>
                <c:ptCount val="1"/>
                <c:pt idx="0">
                  <c:v>Nitrogen Removal</c:v>
                </c:pt>
              </c:strCache>
            </c:strRef>
          </c:tx>
          <c:spPr>
            <a:solidFill>
              <a:srgbClr val="FEEAC6"/>
            </a:solidFill>
            <a:ln>
              <a:noFill/>
            </a:ln>
          </c:spPr>
          <c:invertIfNegative val="0"/>
          <c:cat>
            <c:strLit>
              <c:ptCount val="5"/>
              <c:pt idx="1">
                <c:v>Base Coproduct Price</c:v>
              </c:pt>
              <c:pt idx="2">
                <c:v>High Coproduct Price</c:v>
              </c:pt>
              <c:pt idx="3">
                <c:v>Low Coproduct Price</c:v>
              </c:pt>
            </c:strLit>
          </c:cat>
          <c:val>
            <c:numRef>
              <c:f>AB_DCFROR!$C$209:$G$209</c:f>
              <c:numCache>
                <c:formatCode>_("$"* #,##0.00_);_("$"* \(#,##0.00\);_("$"* "-"??_);_(@_)</c:formatCode>
                <c:ptCount val="5"/>
                <c:pt idx="1">
                  <c:v>6.5351978937966765E-2</c:v>
                </c:pt>
                <c:pt idx="2">
                  <c:v>5.4694465621003489E-2</c:v>
                </c:pt>
                <c:pt idx="3">
                  <c:v>7.3153416881804156E-2</c:v>
                </c:pt>
              </c:numCache>
            </c:numRef>
          </c:val>
          <c:extLst>
            <c:ext xmlns:c16="http://schemas.microsoft.com/office/drawing/2014/chart" uri="{C3380CC4-5D6E-409C-BE32-E72D297353CC}">
              <c16:uniqueId val="{00000007-C5C2-48EF-8396-47ECBA8C0CC5}"/>
            </c:ext>
          </c:extLst>
        </c:ser>
        <c:ser>
          <c:idx val="8"/>
          <c:order val="8"/>
          <c:tx>
            <c:strRef>
              <c:f>AB_DCFROR!$B$210</c:f>
              <c:strCache>
                <c:ptCount val="1"/>
                <c:pt idx="0">
                  <c:v>Chain-Elongation</c:v>
                </c:pt>
              </c:strCache>
            </c:strRef>
          </c:tx>
          <c:spPr>
            <a:solidFill>
              <a:srgbClr val="CBE68E"/>
            </a:solidFill>
            <a:ln>
              <a:noFill/>
            </a:ln>
          </c:spPr>
          <c:invertIfNegative val="0"/>
          <c:cat>
            <c:strLit>
              <c:ptCount val="5"/>
              <c:pt idx="1">
                <c:v>Base Coproduct Price</c:v>
              </c:pt>
              <c:pt idx="2">
                <c:v>High Coproduct Price</c:v>
              </c:pt>
              <c:pt idx="3">
                <c:v>Low Coproduct Price</c:v>
              </c:pt>
            </c:strLit>
          </c:cat>
          <c:val>
            <c:numRef>
              <c:f>AB_DCFROR!$C$210:$G$210</c:f>
              <c:numCache>
                <c:formatCode>_("$"* #,##0.00_);_("$"* \(#,##0.00\);_("$"* "-"??_);_(@_)</c:formatCode>
                <c:ptCount val="5"/>
                <c:pt idx="1">
                  <c:v>7.3577975780606014E-2</c:v>
                </c:pt>
                <c:pt idx="2">
                  <c:v>6.1578977900811939E-2</c:v>
                </c:pt>
                <c:pt idx="3">
                  <c:v>8.2361397819446361E-2</c:v>
                </c:pt>
              </c:numCache>
            </c:numRef>
          </c:val>
          <c:extLst>
            <c:ext xmlns:c16="http://schemas.microsoft.com/office/drawing/2014/chart" uri="{C3380CC4-5D6E-409C-BE32-E72D297353CC}">
              <c16:uniqueId val="{00000008-C5C2-48EF-8396-47ECBA8C0CC5}"/>
            </c:ext>
          </c:extLst>
        </c:ser>
        <c:ser>
          <c:idx val="9"/>
          <c:order val="9"/>
          <c:tx>
            <c:strRef>
              <c:f>AB_DCFROR!$B$211</c:f>
              <c:strCache>
                <c:ptCount val="1"/>
                <c:pt idx="0">
                  <c:v>Electrodialysis A</c:v>
                </c:pt>
              </c:strCache>
            </c:strRef>
          </c:tx>
          <c:spPr>
            <a:solidFill>
              <a:srgbClr val="36D632"/>
            </a:solidFill>
          </c:spPr>
          <c:invertIfNegative val="0"/>
          <c:cat>
            <c:strLit>
              <c:ptCount val="5"/>
              <c:pt idx="1">
                <c:v>Base Coproduct Price</c:v>
              </c:pt>
              <c:pt idx="2">
                <c:v>High Coproduct Price</c:v>
              </c:pt>
              <c:pt idx="3">
                <c:v>Low Coproduct Price</c:v>
              </c:pt>
            </c:strLit>
          </c:cat>
          <c:val>
            <c:numRef>
              <c:f>AB_DCFROR!$C$211:$G$211</c:f>
              <c:numCache>
                <c:formatCode>_("$"* #,##0.00_);_("$"* \(#,##0.00\);_("$"* "-"??_);_(@_)</c:formatCode>
                <c:ptCount val="5"/>
                <c:pt idx="1">
                  <c:v>1.7252456283111259E-2</c:v>
                </c:pt>
                <c:pt idx="2">
                  <c:v>1.4438948787613443E-2</c:v>
                </c:pt>
                <c:pt idx="3">
                  <c:v>1.9311980252526461E-2</c:v>
                </c:pt>
              </c:numCache>
            </c:numRef>
          </c:val>
          <c:extLst>
            <c:ext xmlns:c16="http://schemas.microsoft.com/office/drawing/2014/chart" uri="{C3380CC4-5D6E-409C-BE32-E72D297353CC}">
              <c16:uniqueId val="{00000009-C5C2-48EF-8396-47ECBA8C0CC5}"/>
            </c:ext>
          </c:extLst>
        </c:ser>
        <c:ser>
          <c:idx val="10"/>
          <c:order val="10"/>
          <c:tx>
            <c:strRef>
              <c:f>AB_DCFROR!$B$212</c:f>
              <c:strCache>
                <c:ptCount val="1"/>
                <c:pt idx="0">
                  <c:v>Liquid-Liquid Extraction A</c:v>
                </c:pt>
              </c:strCache>
            </c:strRef>
          </c:tx>
          <c:spPr>
            <a:solidFill>
              <a:srgbClr val="A02B93"/>
            </a:solidFill>
            <a:ln>
              <a:noFill/>
            </a:ln>
          </c:spPr>
          <c:invertIfNegative val="0"/>
          <c:cat>
            <c:strLit>
              <c:ptCount val="5"/>
              <c:pt idx="1">
                <c:v>Base Coproduct Price</c:v>
              </c:pt>
              <c:pt idx="2">
                <c:v>High Coproduct Price</c:v>
              </c:pt>
              <c:pt idx="3">
                <c:v>Low Coproduct Price</c:v>
              </c:pt>
            </c:strLit>
          </c:cat>
          <c:val>
            <c:numRef>
              <c:f>AB_DCFROR!$C$212:$G$212</c:f>
              <c:numCache>
                <c:formatCode>_("$"* #,##0.00_);_("$"* \(#,##0.00\);_("$"* "-"??_);_(@_)</c:formatCode>
                <c:ptCount val="5"/>
                <c:pt idx="1">
                  <c:v>3.2501112770877039E-3</c:v>
                </c:pt>
                <c:pt idx="2">
                  <c:v>2.7200874770425083E-3</c:v>
                </c:pt>
                <c:pt idx="3">
                  <c:v>3.6380955715316979E-3</c:v>
                </c:pt>
              </c:numCache>
            </c:numRef>
          </c:val>
          <c:extLst>
            <c:ext xmlns:c16="http://schemas.microsoft.com/office/drawing/2014/chart" uri="{C3380CC4-5D6E-409C-BE32-E72D297353CC}">
              <c16:uniqueId val="{0000000A-C5C2-48EF-8396-47ECBA8C0CC5}"/>
            </c:ext>
          </c:extLst>
        </c:ser>
        <c:ser>
          <c:idx val="11"/>
          <c:order val="11"/>
          <c:tx>
            <c:strRef>
              <c:f>AB_DCFROR!$B$213</c:f>
              <c:strCache>
                <c:ptCount val="1"/>
                <c:pt idx="0">
                  <c:v>Ketonization</c:v>
                </c:pt>
              </c:strCache>
            </c:strRef>
          </c:tx>
          <c:spPr>
            <a:solidFill>
              <a:srgbClr val="FF53FF"/>
            </a:solidFill>
            <a:ln>
              <a:noFill/>
            </a:ln>
          </c:spPr>
          <c:invertIfNegative val="0"/>
          <c:cat>
            <c:strLit>
              <c:ptCount val="5"/>
              <c:pt idx="1">
                <c:v>Base Coproduct Price</c:v>
              </c:pt>
              <c:pt idx="2">
                <c:v>High Coproduct Price</c:v>
              </c:pt>
              <c:pt idx="3">
                <c:v>Low Coproduct Price</c:v>
              </c:pt>
            </c:strLit>
          </c:cat>
          <c:val>
            <c:numRef>
              <c:f>AB_DCFROR!$C$213:$G$213</c:f>
              <c:numCache>
                <c:formatCode>_("$"* #,##0.00_);_("$"* \(#,##0.00\);_("$"* "-"??_);_(@_)</c:formatCode>
                <c:ptCount val="5"/>
                <c:pt idx="1">
                  <c:v>3.0514167828909772E-3</c:v>
                </c:pt>
                <c:pt idx="2">
                  <c:v>2.5537958152055942E-3</c:v>
                </c:pt>
                <c:pt idx="3">
                  <c:v>3.4156817838805337E-3</c:v>
                </c:pt>
              </c:numCache>
            </c:numRef>
          </c:val>
          <c:extLst>
            <c:ext xmlns:c16="http://schemas.microsoft.com/office/drawing/2014/chart" uri="{C3380CC4-5D6E-409C-BE32-E72D297353CC}">
              <c16:uniqueId val="{0000000B-C5C2-48EF-8396-47ECBA8C0CC5}"/>
            </c:ext>
          </c:extLst>
        </c:ser>
        <c:ser>
          <c:idx val="12"/>
          <c:order val="12"/>
          <c:tx>
            <c:strRef>
              <c:f>AB_DCFROR!$B$214</c:f>
              <c:strCache>
                <c:ptCount val="1"/>
                <c:pt idx="0">
                  <c:v>Hydrodeoxygenation</c:v>
                </c:pt>
              </c:strCache>
            </c:strRef>
          </c:tx>
          <c:spPr>
            <a:solidFill>
              <a:srgbClr val="EA8FFF"/>
            </a:solidFill>
            <a:ln>
              <a:noFill/>
            </a:ln>
          </c:spPr>
          <c:invertIfNegative val="0"/>
          <c:cat>
            <c:strLit>
              <c:ptCount val="5"/>
              <c:pt idx="1">
                <c:v>Base Coproduct Price</c:v>
              </c:pt>
              <c:pt idx="2">
                <c:v>High Coproduct Price</c:v>
              </c:pt>
              <c:pt idx="3">
                <c:v>Low Coproduct Price</c:v>
              </c:pt>
            </c:strLit>
          </c:cat>
          <c:val>
            <c:numRef>
              <c:f>AB_DCFROR!$C$214:$G$214</c:f>
              <c:numCache>
                <c:formatCode>_("$"* #,##0.00_);_("$"* \(#,##0.00\);_("$"* "-"??_);_(@_)</c:formatCode>
                <c:ptCount val="5"/>
                <c:pt idx="1">
                  <c:v>2.9031842247732443E-3</c:v>
                </c:pt>
                <c:pt idx="2">
                  <c:v>2.4297368244047251E-3</c:v>
                </c:pt>
                <c:pt idx="3">
                  <c:v>3.2497538610285585E-3</c:v>
                </c:pt>
              </c:numCache>
            </c:numRef>
          </c:val>
          <c:extLst>
            <c:ext xmlns:c16="http://schemas.microsoft.com/office/drawing/2014/chart" uri="{C3380CC4-5D6E-409C-BE32-E72D297353CC}">
              <c16:uniqueId val="{0000000C-C5C2-48EF-8396-47ECBA8C0CC5}"/>
            </c:ext>
          </c:extLst>
        </c:ser>
        <c:ser>
          <c:idx val="13"/>
          <c:order val="13"/>
          <c:tx>
            <c:strRef>
              <c:f>AB_DCFROR!$B$215</c:f>
              <c:strCache>
                <c:ptCount val="1"/>
                <c:pt idx="0">
                  <c:v>Hydrocarbon Distillation</c:v>
                </c:pt>
              </c:strCache>
            </c:strRef>
          </c:tx>
          <c:spPr>
            <a:solidFill>
              <a:srgbClr val="FF99CC"/>
            </a:solidFill>
            <a:ln>
              <a:noFill/>
            </a:ln>
          </c:spPr>
          <c:invertIfNegative val="0"/>
          <c:cat>
            <c:strLit>
              <c:ptCount val="5"/>
              <c:pt idx="1">
                <c:v>Base Coproduct Price</c:v>
              </c:pt>
              <c:pt idx="2">
                <c:v>High Coproduct Price</c:v>
              </c:pt>
              <c:pt idx="3">
                <c:v>Low Coproduct Price</c:v>
              </c:pt>
            </c:strLit>
          </c:cat>
          <c:val>
            <c:numRef>
              <c:f>AB_DCFROR!$C$215:$G$215</c:f>
              <c:numCache>
                <c:formatCode>_("$"* #,##0.00_);_("$"* \(#,##0.00\);_("$"* "-"??_);_(@_)</c:formatCode>
                <c:ptCount val="5"/>
                <c:pt idx="1">
                  <c:v>1.7700866772880817E-3</c:v>
                </c:pt>
                <c:pt idx="2">
                  <c:v>1.4814233094460195E-3</c:v>
                </c:pt>
                <c:pt idx="3">
                  <c:v>1.9813920056421662E-3</c:v>
                </c:pt>
              </c:numCache>
            </c:numRef>
          </c:val>
          <c:extLst>
            <c:ext xmlns:c16="http://schemas.microsoft.com/office/drawing/2014/chart" uri="{C3380CC4-5D6E-409C-BE32-E72D297353CC}">
              <c16:uniqueId val="{0000000D-C5C2-48EF-8396-47ECBA8C0CC5}"/>
            </c:ext>
          </c:extLst>
        </c:ser>
        <c:ser>
          <c:idx val="29"/>
          <c:order val="14"/>
          <c:tx>
            <c:strRef>
              <c:f>AB_DCFROR!$B$216</c:f>
              <c:strCache>
                <c:ptCount val="1"/>
                <c:pt idx="0">
                  <c:v>Alcohol Conversion</c:v>
                </c:pt>
              </c:strCache>
            </c:strRef>
          </c:tx>
          <c:spPr>
            <a:solidFill>
              <a:srgbClr val="88AED8"/>
            </a:solidFill>
            <a:ln>
              <a:noFill/>
            </a:ln>
          </c:spPr>
          <c:invertIfNegative val="0"/>
          <c:cat>
            <c:strLit>
              <c:ptCount val="5"/>
              <c:pt idx="1">
                <c:v>Base Coproduct Price</c:v>
              </c:pt>
              <c:pt idx="2">
                <c:v>High Coproduct Price</c:v>
              </c:pt>
              <c:pt idx="3">
                <c:v>Low Coproduct Price</c:v>
              </c:pt>
            </c:strLit>
          </c:cat>
          <c:val>
            <c:numRef>
              <c:f>AB_DCFROR!$C$216:$G$216</c:f>
              <c:numCache>
                <c:formatCode>_("$"* #,##0.00_);_("$"* \(#,##0.00\);_("$"* "-"??_);_(@_)</c:formatCode>
                <c:ptCount val="5"/>
                <c:pt idx="1">
                  <c:v>4.058851811751063E-2</c:v>
                </c:pt>
                <c:pt idx="2">
                  <c:v>3.3969396870030429E-2</c:v>
                </c:pt>
                <c:pt idx="3">
                  <c:v>4.5433800700715142E-2</c:v>
                </c:pt>
              </c:numCache>
            </c:numRef>
          </c:val>
          <c:extLst>
            <c:ext xmlns:c16="http://schemas.microsoft.com/office/drawing/2014/chart" uri="{C3380CC4-5D6E-409C-BE32-E72D297353CC}">
              <c16:uniqueId val="{00000012-C5C2-48EF-8396-47ECBA8C0CC5}"/>
            </c:ext>
          </c:extLst>
        </c:ser>
        <c:ser>
          <c:idx val="24"/>
          <c:order val="15"/>
          <c:tx>
            <c:strRef>
              <c:f>AB_DCFROR!$B$217</c:f>
              <c:strCache>
                <c:ptCount val="1"/>
                <c:pt idx="0">
                  <c:v>Electrodialysis B</c:v>
                </c:pt>
              </c:strCache>
            </c:strRef>
          </c:tx>
          <c:spPr>
            <a:solidFill>
              <a:srgbClr val="36D632"/>
            </a:solidFill>
            <a:ln>
              <a:noFill/>
            </a:ln>
          </c:spPr>
          <c:invertIfNegative val="0"/>
          <c:cat>
            <c:strLit>
              <c:ptCount val="5"/>
              <c:pt idx="1">
                <c:v>Base Coproduct Price</c:v>
              </c:pt>
              <c:pt idx="2">
                <c:v>High Coproduct Price</c:v>
              </c:pt>
              <c:pt idx="3">
                <c:v>Low Coproduct Price</c:v>
              </c:pt>
            </c:strLit>
          </c:cat>
          <c:val>
            <c:numRef>
              <c:f>AB_DCFROR!$C$217:$G$217</c:f>
              <c:numCache>
                <c:formatCode>_("$"* #,##0.00_);_("$"* \(#,##0.00\);_("$"* "-"??_);_(@_)</c:formatCode>
                <c:ptCount val="5"/>
                <c:pt idx="1">
                  <c:v>2.0545408278493216E-2</c:v>
                </c:pt>
                <c:pt idx="2">
                  <c:v>1.719489057591022E-2</c:v>
                </c:pt>
                <c:pt idx="3">
                  <c:v>2.2998030682898317E-2</c:v>
                </c:pt>
              </c:numCache>
            </c:numRef>
          </c:val>
          <c:extLst>
            <c:ext xmlns:c16="http://schemas.microsoft.com/office/drawing/2014/chart" uri="{C3380CC4-5D6E-409C-BE32-E72D297353CC}">
              <c16:uniqueId val="{0000000E-C5C2-48EF-8396-47ECBA8C0CC5}"/>
            </c:ext>
          </c:extLst>
        </c:ser>
        <c:ser>
          <c:idx val="27"/>
          <c:order val="16"/>
          <c:tx>
            <c:strRef>
              <c:f>AB_DCFROR!$B$219</c:f>
              <c:strCache>
                <c:ptCount val="1"/>
                <c:pt idx="0">
                  <c:v>Liquid-Liquid Extraction B</c:v>
                </c:pt>
              </c:strCache>
            </c:strRef>
          </c:tx>
          <c:spPr>
            <a:solidFill>
              <a:srgbClr val="A02B93"/>
            </a:solidFill>
            <a:ln w="38100">
              <a:noFill/>
            </a:ln>
          </c:spPr>
          <c:invertIfNegative val="0"/>
          <c:cat>
            <c:strLit>
              <c:ptCount val="5"/>
              <c:pt idx="1">
                <c:v>Base Coproduct Price</c:v>
              </c:pt>
              <c:pt idx="2">
                <c:v>High Coproduct Price</c:v>
              </c:pt>
              <c:pt idx="3">
                <c:v>Low Coproduct Price</c:v>
              </c:pt>
            </c:strLit>
          </c:cat>
          <c:val>
            <c:numRef>
              <c:f>AB_DCFROR!$C$219:$G$219</c:f>
              <c:numCache>
                <c:formatCode>_("$"* #,##0.00_);_("$"* \(#,##0.00\);_("$"* "-"??_);_(@_)</c:formatCode>
                <c:ptCount val="5"/>
                <c:pt idx="1">
                  <c:v>4.593302587206729E-3</c:v>
                </c:pt>
                <c:pt idx="2">
                  <c:v>3.8442329448250528E-3</c:v>
                </c:pt>
                <c:pt idx="3">
                  <c:v>5.1416312786052784E-3</c:v>
                </c:pt>
              </c:numCache>
            </c:numRef>
          </c:val>
          <c:extLst>
            <c:ext xmlns:c16="http://schemas.microsoft.com/office/drawing/2014/chart" uri="{C3380CC4-5D6E-409C-BE32-E72D297353CC}">
              <c16:uniqueId val="{0000000F-C5C2-48EF-8396-47ECBA8C0CC5}"/>
            </c:ext>
          </c:extLst>
        </c:ser>
        <c:ser>
          <c:idx val="28"/>
          <c:order val="17"/>
          <c:tx>
            <c:strRef>
              <c:f>AB_DCFROR!$B$218</c:f>
              <c:strCache>
                <c:ptCount val="1"/>
                <c:pt idx="0">
                  <c:v>Supercritical CO2 Extraction</c:v>
                </c:pt>
              </c:strCache>
            </c:strRef>
          </c:tx>
          <c:spPr>
            <a:solidFill>
              <a:srgbClr val="00FFFF"/>
            </a:solidFill>
            <a:ln>
              <a:noFill/>
            </a:ln>
          </c:spPr>
          <c:invertIfNegative val="0"/>
          <c:cat>
            <c:strLit>
              <c:ptCount val="5"/>
              <c:pt idx="1">
                <c:v>Base Coproduct Price</c:v>
              </c:pt>
              <c:pt idx="2">
                <c:v>High Coproduct Price</c:v>
              </c:pt>
              <c:pt idx="3">
                <c:v>Low Coproduct Price</c:v>
              </c:pt>
            </c:strLit>
          </c:cat>
          <c:val>
            <c:numRef>
              <c:f>AB_DCFROR!$C$218:$G$218</c:f>
              <c:numCache>
                <c:formatCode>_("$"* #,##0.00_);_("$"* \(#,##0.00\);_("$"* "-"??_);_(@_)</c:formatCode>
                <c:ptCount val="5"/>
                <c:pt idx="1">
                  <c:v>1.2423844082815515E-2</c:v>
                </c:pt>
                <c:pt idx="2">
                  <c:v>1.0397780206675434E-2</c:v>
                </c:pt>
                <c:pt idx="3">
                  <c:v>1.3906949112090883E-2</c:v>
                </c:pt>
              </c:numCache>
            </c:numRef>
          </c:val>
          <c:extLst>
            <c:ext xmlns:c16="http://schemas.microsoft.com/office/drawing/2014/chart" uri="{C3380CC4-5D6E-409C-BE32-E72D297353CC}">
              <c16:uniqueId val="{00000010-C5C2-48EF-8396-47ECBA8C0CC5}"/>
            </c:ext>
          </c:extLst>
        </c:ser>
        <c:ser>
          <c:idx val="30"/>
          <c:order val="18"/>
          <c:tx>
            <c:strRef>
              <c:f>AB_DCFROR!$B$220</c:f>
              <c:strCache>
                <c:ptCount val="1"/>
                <c:pt idx="0">
                  <c:v>Esterification</c:v>
                </c:pt>
              </c:strCache>
            </c:strRef>
          </c:tx>
          <c:spPr>
            <a:solidFill>
              <a:srgbClr val="7030A0"/>
            </a:solidFill>
            <a:ln w="38100">
              <a:noFill/>
            </a:ln>
          </c:spPr>
          <c:invertIfNegative val="0"/>
          <c:cat>
            <c:strLit>
              <c:ptCount val="5"/>
              <c:pt idx="1">
                <c:v>Base Coproduct Price</c:v>
              </c:pt>
              <c:pt idx="2">
                <c:v>High Coproduct Price</c:v>
              </c:pt>
              <c:pt idx="3">
                <c:v>Low Coproduct Price</c:v>
              </c:pt>
            </c:strLit>
          </c:cat>
          <c:val>
            <c:numRef>
              <c:f>AB_DCFROR!$C$220:$G$220</c:f>
              <c:numCache>
                <c:formatCode>_("$"* #,##0.00_);_("$"* \(#,##0.00\);_("$"* "-"??_);_(@_)</c:formatCode>
                <c:ptCount val="5"/>
                <c:pt idx="1">
                  <c:v>8.3005391307369239E-3</c:v>
                </c:pt>
                <c:pt idx="2">
                  <c:v>6.946898311263436E-3</c:v>
                </c:pt>
                <c:pt idx="3">
                  <c:v>9.2914217632323499E-3</c:v>
                </c:pt>
              </c:numCache>
            </c:numRef>
          </c:val>
          <c:extLst>
            <c:ext xmlns:c16="http://schemas.microsoft.com/office/drawing/2014/chart" uri="{C3380CC4-5D6E-409C-BE32-E72D297353CC}">
              <c16:uniqueId val="{00000013-C5C2-48EF-8396-47ECBA8C0CC5}"/>
            </c:ext>
          </c:extLst>
        </c:ser>
        <c:ser>
          <c:idx val="31"/>
          <c:order val="19"/>
          <c:tx>
            <c:strRef>
              <c:f>AB_DCFROR!$B$221</c:f>
              <c:strCache>
                <c:ptCount val="1"/>
                <c:pt idx="0">
                  <c:v>Ester Separations</c:v>
                </c:pt>
              </c:strCache>
            </c:strRef>
          </c:tx>
          <c:spPr>
            <a:solidFill>
              <a:srgbClr val="E8D1FF"/>
            </a:solidFill>
            <a:ln>
              <a:noFill/>
            </a:ln>
          </c:spPr>
          <c:invertIfNegative val="0"/>
          <c:cat>
            <c:strLit>
              <c:ptCount val="5"/>
              <c:pt idx="1">
                <c:v>Base Coproduct Price</c:v>
              </c:pt>
              <c:pt idx="2">
                <c:v>High Coproduct Price</c:v>
              </c:pt>
              <c:pt idx="3">
                <c:v>Low Coproduct Price</c:v>
              </c:pt>
            </c:strLit>
          </c:cat>
          <c:val>
            <c:numRef>
              <c:f>AB_DCFROR!$C$221:$G$221</c:f>
              <c:numCache>
                <c:formatCode>_("$"* #,##0.00_);_("$"* \(#,##0.00\);_("$"* "-"??_);_(@_)</c:formatCode>
                <c:ptCount val="5"/>
                <c:pt idx="1">
                  <c:v>0.45998582830349521</c:v>
                </c:pt>
                <c:pt idx="2">
                  <c:v>0.384971954654585</c:v>
                </c:pt>
                <c:pt idx="3">
                  <c:v>0.5148969565183068</c:v>
                </c:pt>
              </c:numCache>
            </c:numRef>
          </c:val>
          <c:extLst>
            <c:ext xmlns:c16="http://schemas.microsoft.com/office/drawing/2014/chart" uri="{C3380CC4-5D6E-409C-BE32-E72D297353CC}">
              <c16:uniqueId val="{00000014-C5C2-48EF-8396-47ECBA8C0CC5}"/>
            </c:ext>
          </c:extLst>
        </c:ser>
        <c:ser>
          <c:idx val="14"/>
          <c:order val="20"/>
          <c:tx>
            <c:strRef>
              <c:f>AB_DCFROR!$B$222</c:f>
              <c:strCache>
                <c:ptCount val="1"/>
                <c:pt idx="0">
                  <c:v>Overhead and Benefits</c:v>
                </c:pt>
              </c:strCache>
            </c:strRef>
          </c:tx>
          <c:spPr>
            <a:solidFill>
              <a:srgbClr val="68B8AE"/>
            </a:solidFill>
            <a:ln w="38100">
              <a:noFill/>
            </a:ln>
          </c:spPr>
          <c:invertIfNegative val="0"/>
          <c:dPt>
            <c:idx val="0"/>
            <c:invertIfNegative val="0"/>
            <c:bubble3D val="0"/>
            <c:extLst>
              <c:ext xmlns:c16="http://schemas.microsoft.com/office/drawing/2014/chart" uri="{C3380CC4-5D6E-409C-BE32-E72D297353CC}">
                <c16:uniqueId val="{00000000-94E0-4A06-B2EE-BD6870603CCA}"/>
              </c:ext>
            </c:extLst>
          </c:dPt>
          <c:cat>
            <c:strLit>
              <c:ptCount val="5"/>
              <c:pt idx="1">
                <c:v>Base Coproduct Price</c:v>
              </c:pt>
              <c:pt idx="2">
                <c:v>High Coproduct Price</c:v>
              </c:pt>
              <c:pt idx="3">
                <c:v>Low Coproduct Price</c:v>
              </c:pt>
            </c:strLit>
          </c:cat>
          <c:val>
            <c:numRef>
              <c:f>AB_DCFROR!$C$222:$G$222</c:f>
              <c:numCache>
                <c:formatCode>_("$"* #,##0.00_);_("$"* \(#,##0.00\);_("$"* "-"??_);_(@_)</c:formatCode>
                <c:ptCount val="5"/>
                <c:pt idx="1">
                  <c:v>0.23093854557779217</c:v>
                </c:pt>
                <c:pt idx="2">
                  <c:v>0.19327739644515929</c:v>
                </c:pt>
                <c:pt idx="3">
                  <c:v>0.25850699509445285</c:v>
                </c:pt>
              </c:numCache>
            </c:numRef>
          </c:val>
          <c:extLst>
            <c:ext xmlns:c16="http://schemas.microsoft.com/office/drawing/2014/chart" uri="{C3380CC4-5D6E-409C-BE32-E72D297353CC}">
              <c16:uniqueId val="{00000015-C5C2-48EF-8396-47ECBA8C0CC5}"/>
            </c:ext>
          </c:extLst>
        </c:ser>
        <c:ser>
          <c:idx val="15"/>
          <c:order val="21"/>
          <c:tx>
            <c:strRef>
              <c:f>AB_DCFROR!$B$223</c:f>
              <c:strCache>
                <c:ptCount val="1"/>
                <c:pt idx="0">
                  <c:v>Plant Maintenance</c:v>
                </c:pt>
              </c:strCache>
            </c:strRef>
          </c:tx>
          <c:spPr>
            <a:solidFill>
              <a:srgbClr val="99BC7A"/>
            </a:solidFill>
            <a:ln w="38100">
              <a:noFill/>
            </a:ln>
          </c:spPr>
          <c:invertIfNegative val="0"/>
          <c:cat>
            <c:strLit>
              <c:ptCount val="5"/>
              <c:pt idx="1">
                <c:v>Base Coproduct Price</c:v>
              </c:pt>
              <c:pt idx="2">
                <c:v>High Coproduct Price</c:v>
              </c:pt>
              <c:pt idx="3">
                <c:v>Low Coproduct Price</c:v>
              </c:pt>
            </c:strLit>
          </c:cat>
          <c:val>
            <c:numRef>
              <c:f>AB_DCFROR!$C$223:$G$223</c:f>
              <c:numCache>
                <c:formatCode>_("$"* #,##0.00_);_("$"* \(#,##0.00\);_("$"* "-"??_);_(@_)</c:formatCode>
                <c:ptCount val="5"/>
                <c:pt idx="1">
                  <c:v>0.39765882804498226</c:v>
                </c:pt>
                <c:pt idx="2">
                  <c:v>0.33280915823589752</c:v>
                </c:pt>
                <c:pt idx="3">
                  <c:v>0.44512962724995803</c:v>
                </c:pt>
              </c:numCache>
            </c:numRef>
          </c:val>
          <c:extLst>
            <c:ext xmlns:c16="http://schemas.microsoft.com/office/drawing/2014/chart" uri="{C3380CC4-5D6E-409C-BE32-E72D297353CC}">
              <c16:uniqueId val="{00000016-C5C2-48EF-8396-47ECBA8C0CC5}"/>
            </c:ext>
          </c:extLst>
        </c:ser>
        <c:ser>
          <c:idx val="16"/>
          <c:order val="22"/>
          <c:tx>
            <c:strRef>
              <c:f>AB_DCFROR!$B$224</c:f>
              <c:strCache>
                <c:ptCount val="1"/>
                <c:pt idx="0">
                  <c:v>Insurance</c:v>
                </c:pt>
              </c:strCache>
            </c:strRef>
          </c:tx>
          <c:spPr>
            <a:solidFill>
              <a:srgbClr val="339966"/>
            </a:solidFill>
            <a:ln w="38100">
              <a:noFill/>
            </a:ln>
          </c:spPr>
          <c:invertIfNegative val="0"/>
          <c:cat>
            <c:strLit>
              <c:ptCount val="5"/>
              <c:pt idx="1">
                <c:v>Base Coproduct Price</c:v>
              </c:pt>
              <c:pt idx="2">
                <c:v>High Coproduct Price</c:v>
              </c:pt>
              <c:pt idx="3">
                <c:v>Low Coproduct Price</c:v>
              </c:pt>
            </c:strLit>
          </c:cat>
          <c:val>
            <c:numRef>
              <c:f>AB_DCFROR!$C$224:$G$224</c:f>
              <c:numCache>
                <c:formatCode>_("$"* #,##0.00_);_("$"* \(#,##0.00\);_("$"* "-"??_);_(@_)</c:formatCode>
                <c:ptCount val="5"/>
                <c:pt idx="1">
                  <c:v>9.2787059877162528E-2</c:v>
                </c:pt>
                <c:pt idx="2">
                  <c:v>7.7655470255042741E-2</c:v>
                </c:pt>
                <c:pt idx="3">
                  <c:v>0.10386357969165688</c:v>
                </c:pt>
              </c:numCache>
            </c:numRef>
          </c:val>
          <c:extLst>
            <c:ext xmlns:c16="http://schemas.microsoft.com/office/drawing/2014/chart" uri="{C3380CC4-5D6E-409C-BE32-E72D297353CC}">
              <c16:uniqueId val="{00000017-C5C2-48EF-8396-47ECBA8C0CC5}"/>
            </c:ext>
          </c:extLst>
        </c:ser>
        <c:ser>
          <c:idx val="17"/>
          <c:order val="23"/>
          <c:tx>
            <c:strRef>
              <c:f>AB_DCFROR!$B$225</c:f>
              <c:strCache>
                <c:ptCount val="1"/>
                <c:pt idx="0">
                  <c:v>Tax</c:v>
                </c:pt>
              </c:strCache>
            </c:strRef>
          </c:tx>
          <c:spPr>
            <a:solidFill>
              <a:srgbClr val="336699"/>
            </a:solidFill>
          </c:spPr>
          <c:invertIfNegative val="0"/>
          <c:cat>
            <c:strLit>
              <c:ptCount val="5"/>
              <c:pt idx="1">
                <c:v>Base Coproduct Price</c:v>
              </c:pt>
              <c:pt idx="2">
                <c:v>High Coproduct Price</c:v>
              </c:pt>
              <c:pt idx="3">
                <c:v>Low Coproduct Price</c:v>
              </c:pt>
            </c:strLit>
          </c:cat>
          <c:val>
            <c:numRef>
              <c:f>AB_DCFROR!$C$225:$G$225</c:f>
              <c:numCache>
                <c:formatCode>_("$"* #,##0.00_);_("$"* \(#,##0.00\);_("$"* "-"??_);_(@_)</c:formatCode>
                <c:ptCount val="5"/>
                <c:pt idx="1">
                  <c:v>0.19497140792806494</c:v>
                </c:pt>
                <c:pt idx="2">
                  <c:v>0.163216897908151</c:v>
                </c:pt>
                <c:pt idx="3">
                  <c:v>0.21834531773570756</c:v>
                </c:pt>
              </c:numCache>
            </c:numRef>
          </c:val>
          <c:extLst>
            <c:ext xmlns:c16="http://schemas.microsoft.com/office/drawing/2014/chart" uri="{C3380CC4-5D6E-409C-BE32-E72D297353CC}">
              <c16:uniqueId val="{00000018-C5C2-48EF-8396-47ECBA8C0CC5}"/>
            </c:ext>
          </c:extLst>
        </c:ser>
        <c:ser>
          <c:idx val="18"/>
          <c:order val="24"/>
          <c:tx>
            <c:strRef>
              <c:f>AB_DCFROR!$B$226</c:f>
              <c:strCache>
                <c:ptCount val="1"/>
                <c:pt idx="0">
                  <c:v>Ammonia Sulfate</c:v>
                </c:pt>
              </c:strCache>
            </c:strRef>
          </c:tx>
          <c:spPr>
            <a:solidFill>
              <a:srgbClr val="99BC7A"/>
            </a:solidFill>
            <a:ln>
              <a:noFill/>
            </a:ln>
          </c:spPr>
          <c:invertIfNegative val="0"/>
          <c:cat>
            <c:strLit>
              <c:ptCount val="5"/>
              <c:pt idx="1">
                <c:v>Base Coproduct Price</c:v>
              </c:pt>
              <c:pt idx="2">
                <c:v>High Coproduct Price</c:v>
              </c:pt>
              <c:pt idx="3">
                <c:v>Low Coproduct Price</c:v>
              </c:pt>
            </c:strLit>
          </c:cat>
          <c:val>
            <c:numRef>
              <c:f>AB_DCFROR!$C$226:$G$226</c:f>
              <c:numCache>
                <c:formatCode>_("$"* #,##0.00_);_("$"* \(#,##0.00\);_("$"* "-"??_);_(@_)</c:formatCode>
                <c:ptCount val="5"/>
                <c:pt idx="1">
                  <c:v>-1.2712756349430936E-3</c:v>
                </c:pt>
                <c:pt idx="2">
                  <c:v>-2.6972594285631698E-3</c:v>
                </c:pt>
                <c:pt idx="3">
                  <c:v>-1.2532020891044043E-3</c:v>
                </c:pt>
              </c:numCache>
            </c:numRef>
          </c:val>
          <c:extLst>
            <c:ext xmlns:c16="http://schemas.microsoft.com/office/drawing/2014/chart" uri="{C3380CC4-5D6E-409C-BE32-E72D297353CC}">
              <c16:uniqueId val="{00000019-C5C2-48EF-8396-47ECBA8C0CC5}"/>
            </c:ext>
          </c:extLst>
        </c:ser>
        <c:ser>
          <c:idx val="19"/>
          <c:order val="25"/>
          <c:tx>
            <c:strRef>
              <c:f>AB_DCFROR!$B$227</c:f>
              <c:strCache>
                <c:ptCount val="1"/>
                <c:pt idx="0">
                  <c:v>Magnesium Sulfate</c:v>
                </c:pt>
              </c:strCache>
            </c:strRef>
          </c:tx>
          <c:spPr>
            <a:solidFill>
              <a:srgbClr val="373BE9"/>
            </a:solidFill>
            <a:ln>
              <a:noFill/>
            </a:ln>
          </c:spPr>
          <c:invertIfNegative val="0"/>
          <c:cat>
            <c:strLit>
              <c:ptCount val="5"/>
              <c:pt idx="1">
                <c:v>Base Coproduct Price</c:v>
              </c:pt>
              <c:pt idx="2">
                <c:v>High Coproduct Price</c:v>
              </c:pt>
              <c:pt idx="3">
                <c:v>Low Coproduct Price</c:v>
              </c:pt>
            </c:strLit>
          </c:cat>
          <c:val>
            <c:numRef>
              <c:f>AB_DCFROR!$C$227:$G$227</c:f>
              <c:numCache>
                <c:formatCode>_("$"* #,##0.00_);_("$"* \(#,##0.00\);_("$"* "-"??_);_(@_)</c:formatCode>
                <c:ptCount val="5"/>
                <c:pt idx="1">
                  <c:v>-5.0851025397723746E-3</c:v>
                </c:pt>
                <c:pt idx="2">
                  <c:v>-4.4954323809386154E-3</c:v>
                </c:pt>
                <c:pt idx="3">
                  <c:v>-4.9468503517279116E-3</c:v>
                </c:pt>
              </c:numCache>
            </c:numRef>
          </c:val>
          <c:extLst>
            <c:ext xmlns:c16="http://schemas.microsoft.com/office/drawing/2014/chart" uri="{C3380CC4-5D6E-409C-BE32-E72D297353CC}">
              <c16:uniqueId val="{0000001A-C5C2-48EF-8396-47ECBA8C0CC5}"/>
            </c:ext>
          </c:extLst>
        </c:ser>
        <c:ser>
          <c:idx val="20"/>
          <c:order val="26"/>
          <c:tx>
            <c:strRef>
              <c:f>AB_DCFROR!$B$228</c:f>
              <c:strCache>
                <c:ptCount val="1"/>
                <c:pt idx="0">
                  <c:v>Naphtha</c:v>
                </c:pt>
              </c:strCache>
            </c:strRef>
          </c:tx>
          <c:spPr>
            <a:solidFill>
              <a:srgbClr val="D3B0D4"/>
            </a:solidFill>
          </c:spPr>
          <c:invertIfNegative val="0"/>
          <c:cat>
            <c:strLit>
              <c:ptCount val="5"/>
              <c:pt idx="1">
                <c:v>Base Coproduct Price</c:v>
              </c:pt>
              <c:pt idx="2">
                <c:v>High Coproduct Price</c:v>
              </c:pt>
              <c:pt idx="3">
                <c:v>Low Coproduct Price</c:v>
              </c:pt>
            </c:strLit>
          </c:cat>
          <c:val>
            <c:numRef>
              <c:f>AB_DCFROR!$C$228:$G$228</c:f>
              <c:numCache>
                <c:formatCode>_("$"* #,##0.00_);_("$"* \(#,##0.00\);_("$"* "-"??_);_(@_)</c:formatCode>
                <c:ptCount val="5"/>
                <c:pt idx="1">
                  <c:v>-1.8362870282511356E-3</c:v>
                </c:pt>
                <c:pt idx="2">
                  <c:v>-1.9105587618989117E-3</c:v>
                </c:pt>
                <c:pt idx="3">
                  <c:v>-1.4840551055183737E-3</c:v>
                </c:pt>
              </c:numCache>
            </c:numRef>
          </c:val>
          <c:extLst>
            <c:ext xmlns:c16="http://schemas.microsoft.com/office/drawing/2014/chart" uri="{C3380CC4-5D6E-409C-BE32-E72D297353CC}">
              <c16:uniqueId val="{0000001B-C5C2-48EF-8396-47ECBA8C0CC5}"/>
            </c:ext>
          </c:extLst>
        </c:ser>
        <c:ser>
          <c:idx val="21"/>
          <c:order val="27"/>
          <c:tx>
            <c:strRef>
              <c:f>AB_DCFROR!$B$229</c:f>
              <c:strCache>
                <c:ptCount val="1"/>
                <c:pt idx="0">
                  <c:v>Pentyl Caproate</c:v>
                </c:pt>
              </c:strCache>
            </c:strRef>
          </c:tx>
          <c:spPr>
            <a:solidFill>
              <a:srgbClr val="C2A3FF"/>
            </a:solidFill>
          </c:spPr>
          <c:invertIfNegative val="0"/>
          <c:cat>
            <c:strLit>
              <c:ptCount val="5"/>
              <c:pt idx="1">
                <c:v>Base Coproduct Price</c:v>
              </c:pt>
              <c:pt idx="2">
                <c:v>High Coproduct Price</c:v>
              </c:pt>
              <c:pt idx="3">
                <c:v>Low Coproduct Price</c:v>
              </c:pt>
            </c:strLit>
          </c:cat>
          <c:val>
            <c:numRef>
              <c:f>AB_DCFROR!$C$229:$G$229</c:f>
              <c:numCache>
                <c:formatCode>_("$"* #,##0.00_);_("$"* \(#,##0.00\);_("$"* "-"??_);_(@_)</c:formatCode>
                <c:ptCount val="5"/>
                <c:pt idx="1">
                  <c:v>-0.50851025397723748</c:v>
                </c:pt>
                <c:pt idx="2">
                  <c:v>-0.44954323809386165</c:v>
                </c:pt>
                <c:pt idx="3">
                  <c:v>-0.5276640375176439</c:v>
                </c:pt>
              </c:numCache>
            </c:numRef>
          </c:val>
          <c:extLst>
            <c:ext xmlns:c16="http://schemas.microsoft.com/office/drawing/2014/chart" uri="{C3380CC4-5D6E-409C-BE32-E72D297353CC}">
              <c16:uniqueId val="{0000001F-C5C2-48EF-8396-47ECBA8C0CC5}"/>
            </c:ext>
          </c:extLst>
        </c:ser>
        <c:ser>
          <c:idx val="25"/>
          <c:order val="28"/>
          <c:tx>
            <c:strRef>
              <c:f>AB_DCFROR!$B$230</c:f>
              <c:strCache>
                <c:ptCount val="1"/>
                <c:pt idx="0">
                  <c:v>Other Esters</c:v>
                </c:pt>
              </c:strCache>
            </c:strRef>
          </c:tx>
          <c:spPr>
            <a:solidFill>
              <a:srgbClr val="E8D1FF"/>
            </a:solidFill>
          </c:spPr>
          <c:invertIfNegative val="0"/>
          <c:cat>
            <c:strLit>
              <c:ptCount val="5"/>
              <c:pt idx="1">
                <c:v>Base Coproduct Price</c:v>
              </c:pt>
              <c:pt idx="2">
                <c:v>High Coproduct Price</c:v>
              </c:pt>
              <c:pt idx="3">
                <c:v>Low Coproduct Price</c:v>
              </c:pt>
            </c:strLit>
          </c:cat>
          <c:val>
            <c:numRef>
              <c:f>AB_DCFROR!$C$230:$G$230</c:f>
              <c:numCache>
                <c:formatCode>_("$"* #,##0.00_);_("$"* \(#,##0.00\);_("$"* "-"??_);_(@_)</c:formatCode>
                <c:ptCount val="5"/>
                <c:pt idx="1">
                  <c:v>-0.40963326014833024</c:v>
                </c:pt>
                <c:pt idx="2">
                  <c:v>-0.39335033333212893</c:v>
                </c:pt>
                <c:pt idx="3">
                  <c:v>-0.37925852696580653</c:v>
                </c:pt>
              </c:numCache>
            </c:numRef>
          </c:val>
          <c:extLst>
            <c:ext xmlns:c16="http://schemas.microsoft.com/office/drawing/2014/chart" uri="{C3380CC4-5D6E-409C-BE32-E72D297353CC}">
              <c16:uniqueId val="{00000020-C5C2-48EF-8396-47ECBA8C0CC5}"/>
            </c:ext>
          </c:extLst>
        </c:ser>
        <c:ser>
          <c:idx val="26"/>
          <c:order val="29"/>
          <c:tx>
            <c:strRef>
              <c:f>AB_DCFROR!$B$231</c:f>
              <c:strCache>
                <c:ptCount val="1"/>
                <c:pt idx="0">
                  <c:v>Waste Collection</c:v>
                </c:pt>
              </c:strCache>
            </c:strRef>
          </c:tx>
          <c:spPr>
            <a:solidFill>
              <a:srgbClr val="663300"/>
            </a:solidFill>
          </c:spPr>
          <c:invertIfNegative val="0"/>
          <c:cat>
            <c:strLit>
              <c:ptCount val="5"/>
              <c:pt idx="1">
                <c:v>Base Coproduct Price</c:v>
              </c:pt>
              <c:pt idx="2">
                <c:v>High Coproduct Price</c:v>
              </c:pt>
              <c:pt idx="3">
                <c:v>Low Coproduct Price</c:v>
              </c:pt>
            </c:strLit>
          </c:cat>
          <c:val>
            <c:numRef>
              <c:f>AB_DCFROR!$C$231:$G$231</c:f>
              <c:numCache>
                <c:formatCode>_("$"* #,##0.00_);_("$"* \(#,##0.00\);_("$"* "-"??_);_(@_)</c:formatCode>
                <c:ptCount val="5"/>
                <c:pt idx="1">
                  <c:v>-8.4751708996206243E-5</c:v>
                </c:pt>
                <c:pt idx="2">
                  <c:v>-1.1238580952346542E-4</c:v>
                </c:pt>
                <c:pt idx="3">
                  <c:v>-3.2979002344852737E-5</c:v>
                </c:pt>
              </c:numCache>
            </c:numRef>
          </c:val>
          <c:extLst>
            <c:ext xmlns:c16="http://schemas.microsoft.com/office/drawing/2014/chart" uri="{C3380CC4-5D6E-409C-BE32-E72D297353CC}">
              <c16:uniqueId val="{00000021-C5C2-48EF-8396-47ECBA8C0CC5}"/>
            </c:ext>
          </c:extLst>
        </c:ser>
        <c:dLbls>
          <c:showLegendKey val="0"/>
          <c:showVal val="0"/>
          <c:showCatName val="0"/>
          <c:showSerName val="0"/>
          <c:showPercent val="0"/>
          <c:showBubbleSize val="0"/>
        </c:dLbls>
        <c:gapWidth val="8"/>
        <c:overlap val="100"/>
        <c:axId val="208777487"/>
        <c:axId val="208771727"/>
      </c:barChart>
      <c:lineChart>
        <c:grouping val="standard"/>
        <c:varyColors val="0"/>
        <c:ser>
          <c:idx val="23"/>
          <c:order val="31"/>
          <c:tx>
            <c:v>Jet Fuel Market Value</c:v>
          </c:tx>
          <c:spPr>
            <a:ln>
              <a:solidFill>
                <a:srgbClr val="000000"/>
              </a:solidFill>
            </a:ln>
          </c:spPr>
          <c:marker>
            <c:symbol val="none"/>
          </c:marker>
          <c:cat>
            <c:strLit>
              <c:ptCount val="5"/>
              <c:pt idx="1">
                <c:v>Base Coproduct Price</c:v>
              </c:pt>
              <c:pt idx="2">
                <c:v>High Coproduct Price</c:v>
              </c:pt>
              <c:pt idx="3">
                <c:v>Low Coproduct Price</c:v>
              </c:pt>
            </c:strLit>
          </c:cat>
          <c:val>
            <c:numRef>
              <c:f>AB_DCFROR!$C$233:$G$233</c:f>
              <c:numCache>
                <c:formatCode>_("$"* #,##0.00_);_("$"* \(#,##0.00\);_("$"* "-"??_);_(@_)</c:formatCode>
                <c:ptCount val="5"/>
                <c:pt idx="0">
                  <c:v>3.6355198293271981E-2</c:v>
                </c:pt>
                <c:pt idx="1">
                  <c:v>3.6355198293271981E-2</c:v>
                </c:pt>
                <c:pt idx="2">
                  <c:v>3.6355198293271981E-2</c:v>
                </c:pt>
                <c:pt idx="3">
                  <c:v>3.6355198293271981E-2</c:v>
                </c:pt>
                <c:pt idx="4">
                  <c:v>3.6355198293271981E-2</c:v>
                </c:pt>
              </c:numCache>
            </c:numRef>
          </c:val>
          <c:smooth val="0"/>
          <c:extLst>
            <c:ext xmlns:c16="http://schemas.microsoft.com/office/drawing/2014/chart" uri="{C3380CC4-5D6E-409C-BE32-E72D297353CC}">
              <c16:uniqueId val="{00000022-C5C2-48EF-8396-47ECBA8C0CC5}"/>
            </c:ext>
          </c:extLst>
        </c:ser>
        <c:dLbls>
          <c:showLegendKey val="0"/>
          <c:showVal val="0"/>
          <c:showCatName val="0"/>
          <c:showSerName val="0"/>
          <c:showPercent val="0"/>
          <c:showBubbleSize val="0"/>
        </c:dLbls>
        <c:marker val="1"/>
        <c:smooth val="0"/>
        <c:axId val="1236251264"/>
        <c:axId val="1236262784"/>
      </c:lineChart>
      <c:scatterChart>
        <c:scatterStyle val="lineMarker"/>
        <c:varyColors val="0"/>
        <c:ser>
          <c:idx val="22"/>
          <c:order val="30"/>
          <c:tx>
            <c:v>Minimum Selling Price</c:v>
          </c:tx>
          <c:spPr>
            <a:ln w="38100">
              <a:noFill/>
            </a:ln>
          </c:spPr>
          <c:marker>
            <c:symbol val="square"/>
            <c:size val="5"/>
            <c:spPr>
              <a:solidFill>
                <a:schemeClr val="tx1"/>
              </a:solidFill>
              <a:ln>
                <a:noFill/>
                <a:miter lim="800000"/>
              </a:ln>
            </c:spPr>
          </c:marker>
          <c:dLbls>
            <c:dLbl>
              <c:idx val="2"/>
              <c:numFmt formatCode="&quot;$&quot;#,##0.00" sourceLinked="0"/>
              <c:spPr>
                <a:solidFill>
                  <a:schemeClr val="tx1"/>
                </a:solidFill>
                <a:ln>
                  <a:noFill/>
                </a:ln>
                <a:effectLst/>
              </c:spPr>
              <c:txPr>
                <a:bodyPr wrap="square" lIns="38100" tIns="19050" rIns="38100" bIns="19050" anchor="ctr">
                  <a:spAutoFit/>
                </a:bodyPr>
                <a:lstStyle/>
                <a:p>
                  <a:pPr>
                    <a:defRPr sz="1400" b="0" cap="all" baseline="0">
                      <a:solidFill>
                        <a:schemeClr val="bg1"/>
                      </a:solidFill>
                    </a:defRPr>
                  </a:pPr>
                  <a:endParaRPr lang="en-US"/>
                </a:p>
              </c:txPr>
              <c:showLegendKey val="0"/>
              <c:showVal val="1"/>
              <c:showCatName val="0"/>
              <c:showSerName val="0"/>
              <c:showPercent val="0"/>
              <c:showBubbleSize val="0"/>
              <c:extLst>
                <c:ext xmlns:c16="http://schemas.microsoft.com/office/drawing/2014/chart" uri="{C3380CC4-5D6E-409C-BE32-E72D297353CC}">
                  <c16:uniqueId val="{00000085-C5C2-48EF-8396-47ECBA8C0CC5}"/>
                </c:ext>
              </c:extLst>
            </c:dLbl>
            <c:spPr>
              <a:solidFill>
                <a:schemeClr val="tx1"/>
              </a:solidFill>
              <a:ln>
                <a:noFill/>
              </a:ln>
              <a:effectLst/>
            </c:spPr>
            <c:txPr>
              <a:bodyPr wrap="square" lIns="38100" tIns="19050" rIns="38100" bIns="19050" anchor="ctr">
                <a:spAutoFit/>
              </a:bodyPr>
              <a:lstStyle/>
              <a:p>
                <a:pPr>
                  <a:defRPr sz="1400" b="0" cap="all" baseline="0">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strLit>
              <c:ptCount val="5"/>
              <c:pt idx="1">
                <c:v>Base Coproduct Price</c:v>
              </c:pt>
              <c:pt idx="2">
                <c:v>High Coproduct Price</c:v>
              </c:pt>
              <c:pt idx="3">
                <c:v>Low Coproduct Price</c:v>
              </c:pt>
            </c:strLit>
          </c:xVal>
          <c:yVal>
            <c:numRef>
              <c:f>AB_DCFROR!$C$232:$G$232</c:f>
              <c:numCache>
                <c:formatCode>_("$"* #,##0.00_);_("$"* \(#,##0.00\);_("$"* "-"??_);_(@_)</c:formatCode>
                <c:ptCount val="5"/>
                <c:pt idx="1">
                  <c:v>1.0855662210371013</c:v>
                </c:pt>
                <c:pt idx="2">
                  <c:v>0.83180693695006336</c:v>
                </c:pt>
                <c:pt idx="3">
                  <c:v>1.3376289292037875</c:v>
                </c:pt>
              </c:numCache>
            </c:numRef>
          </c:yVal>
          <c:smooth val="0"/>
          <c:extLst>
            <c:ext xmlns:c16="http://schemas.microsoft.com/office/drawing/2014/chart" uri="{C3380CC4-5D6E-409C-BE32-E72D297353CC}">
              <c16:uniqueId val="{00000023-C5C2-48EF-8396-47ECBA8C0CC5}"/>
            </c:ext>
          </c:extLst>
        </c:ser>
        <c:dLbls>
          <c:showLegendKey val="0"/>
          <c:showVal val="0"/>
          <c:showCatName val="0"/>
          <c:showSerName val="0"/>
          <c:showPercent val="0"/>
          <c:showBubbleSize val="0"/>
        </c:dLbls>
        <c:axId val="1236251264"/>
        <c:axId val="1236262784"/>
      </c:scatterChart>
      <c:catAx>
        <c:axId val="208777487"/>
        <c:scaling>
          <c:orientation val="minMax"/>
        </c:scaling>
        <c:delete val="1"/>
        <c:axPos val="b"/>
        <c:numFmt formatCode="General" sourceLinked="1"/>
        <c:majorTickMark val="none"/>
        <c:minorTickMark val="none"/>
        <c:tickLblPos val="low"/>
        <c:crossAx val="208771727"/>
        <c:crossesAt val="0"/>
        <c:auto val="0"/>
        <c:lblAlgn val="ctr"/>
        <c:lblOffset val="50"/>
        <c:noMultiLvlLbl val="0"/>
      </c:catAx>
      <c:valAx>
        <c:axId val="208771727"/>
        <c:scaling>
          <c:orientation val="minMax"/>
        </c:scaling>
        <c:delete val="0"/>
        <c:axPos val="l"/>
        <c:majorGridlines>
          <c:spPr>
            <a:ln w="9525" cap="flat" cmpd="sng" algn="ctr">
              <a:solidFill>
                <a:schemeClr val="tx1"/>
              </a:solidFill>
              <a:round/>
            </a:ln>
            <a:effectLst/>
          </c:spPr>
        </c:majorGridlines>
        <c:title>
          <c:tx>
            <c:rich>
              <a:bodyPr/>
              <a:lstStyle/>
              <a:p>
                <a:pPr>
                  <a:defRPr sz="1800"/>
                </a:pPr>
                <a:r>
                  <a:rPr lang="en-US" sz="1800"/>
                  <a:t>COST </a:t>
                </a:r>
                <a:r>
                  <a:rPr lang="en-US" sz="1800" b="0"/>
                  <a:t>[USD</a:t>
                </a:r>
                <a:r>
                  <a:rPr lang="en-US" sz="1800" b="0" baseline="0"/>
                  <a:t> (2026) / GGE ]</a:t>
                </a:r>
                <a:endParaRPr lang="en-US" sz="1800" b="0"/>
              </a:p>
            </c:rich>
          </c:tx>
          <c:layout>
            <c:manualLayout>
              <c:xMode val="edge"/>
              <c:yMode val="edge"/>
              <c:x val="1.1991472035490775E-2"/>
              <c:y val="0.20309018191720454"/>
            </c:manualLayout>
          </c:layout>
          <c:overlay val="0"/>
          <c:spPr>
            <a:noFill/>
          </c:spPr>
        </c:title>
        <c:numFmt formatCode="_(&quot;$&quot;* #,##0_);_(&quot;$&quot;* \(#,##0\);_(&quot;$&quot;* &quot;-&quot;_);_(@_)" sourceLinked="0"/>
        <c:majorTickMark val="cross"/>
        <c:minorTickMark val="cross"/>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Cond" panose="020B0506020202020204" pitchFamily="34" charset="0"/>
                <a:ea typeface="+mn-ea"/>
                <a:cs typeface="+mn-cs"/>
              </a:defRPr>
            </a:pPr>
            <a:endParaRPr lang="en-US"/>
          </a:p>
        </c:txPr>
        <c:crossAx val="208777487"/>
        <c:crosses val="autoZero"/>
        <c:crossBetween val="between"/>
      </c:valAx>
      <c:valAx>
        <c:axId val="1236262784"/>
        <c:scaling>
          <c:orientation val="minMax"/>
        </c:scaling>
        <c:delete val="1"/>
        <c:axPos val="r"/>
        <c:numFmt formatCode="_(&quot;$&quot;* #,##0_);_(&quot;$&quot;* \(#,##0\);_(&quot;$&quot;* &quot;-&quot;_);_(@_)" sourceLinked="0"/>
        <c:majorTickMark val="none"/>
        <c:minorTickMark val="none"/>
        <c:tickLblPos val="nextTo"/>
        <c:crossAx val="1236251264"/>
        <c:crosses val="max"/>
        <c:crossBetween val="between"/>
      </c:valAx>
      <c:catAx>
        <c:axId val="1236251264"/>
        <c:scaling>
          <c:orientation val="minMax"/>
        </c:scaling>
        <c:delete val="1"/>
        <c:axPos val="b"/>
        <c:numFmt formatCode="General" sourceLinked="1"/>
        <c:majorTickMark val="out"/>
        <c:minorTickMark val="none"/>
        <c:tickLblPos val="nextTo"/>
        <c:crossAx val="1236262784"/>
        <c:crosses val="autoZero"/>
        <c:auto val="1"/>
        <c:lblAlgn val="ctr"/>
        <c:lblOffset val="100"/>
        <c:noMultiLvlLbl val="0"/>
      </c:catAx>
      <c:dTable>
        <c:showHorzBorder val="1"/>
        <c:showVertBorder val="1"/>
        <c:showOutline val="1"/>
        <c:showKeys val="1"/>
      </c:dTable>
      <c:spPr>
        <a:noFill/>
        <a:ln w="19050">
          <a:solidFill>
            <a:schemeClr val="tx1"/>
          </a:solidFill>
          <a:miter lim="800000"/>
        </a:ln>
        <a:effectLst/>
      </c:spPr>
    </c:plotArea>
    <c:legend>
      <c:legendPos val="b"/>
      <c:layout>
        <c:manualLayout>
          <c:xMode val="edge"/>
          <c:yMode val="edge"/>
          <c:x val="1.1686545481513502E-2"/>
          <c:y val="0.74770543235849241"/>
          <c:w val="0.96654573552446521"/>
          <c:h val="0.24067631063315995"/>
        </c:manualLayout>
      </c:layout>
      <c:overlay val="0"/>
    </c:legend>
    <c:plotVisOnly val="1"/>
    <c:dispBlanksAs val="gap"/>
    <c:showDLblsOverMax val="0"/>
  </c:chart>
  <c:spPr>
    <a:solidFill>
      <a:schemeClr val="bg1"/>
    </a:solidFill>
    <a:ln w="22225"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ysClr val="windowText" lastClr="000000"/>
                </a:solidFill>
                <a:latin typeface="Arial Nova Cond" panose="020B0506020202020204" pitchFamily="34" charset="0"/>
                <a:ea typeface="+mn-ea"/>
                <a:cs typeface="+mn-cs"/>
              </a:defRPr>
            </a:pPr>
            <a:r>
              <a:rPr lang="en-US" sz="2000" b="1"/>
              <a:t>PATH AB DISCOUNTED</a:t>
            </a:r>
            <a:r>
              <a:rPr lang="en-US" sz="2000" b="1" baseline="0"/>
              <a:t> CASH FLOW RATE OF RETURN</a:t>
            </a:r>
            <a:endParaRPr lang="en-US" sz="2000" b="1"/>
          </a:p>
        </c:rich>
      </c:tx>
      <c:layout>
        <c:manualLayout>
          <c:xMode val="edge"/>
          <c:yMode val="edge"/>
          <c:x val="0.20858167868661748"/>
          <c:y val="2.1593302559946969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0723359902745871"/>
          <c:y val="9.7924679816825996E-2"/>
          <c:w val="0.77937310804401427"/>
          <c:h val="0.70273727798207797"/>
        </c:manualLayout>
      </c:layout>
      <c:barChart>
        <c:barDir val="col"/>
        <c:grouping val="stacked"/>
        <c:varyColors val="0"/>
        <c:ser>
          <c:idx val="0"/>
          <c:order val="0"/>
          <c:tx>
            <c:strRef>
              <c:f>AB_DCFROR!$B$112</c:f>
              <c:strCache>
                <c:ptCount val="1"/>
                <c:pt idx="0">
                  <c:v>Capital Investment</c:v>
                </c:pt>
              </c:strCache>
            </c:strRef>
          </c:tx>
          <c:spPr>
            <a:solidFill>
              <a:schemeClr val="accent1"/>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AB_DCFROR!$C$112:$AI$112</c:f>
              <c:numCache>
                <c:formatCode>_("$"* #,##0_);_("$"* \(#,##0\);_("$"* "-"??_);_(@_)</c:formatCode>
                <c:ptCount val="33"/>
                <c:pt idx="0">
                  <c:v>471.21679767247309</c:v>
                </c:pt>
                <c:pt idx="1">
                  <c:v>496.01768176049796</c:v>
                </c:pt>
                <c:pt idx="2">
                  <c:v>520.81856584852289</c:v>
                </c:pt>
              </c:numCache>
            </c:numRef>
          </c:val>
          <c:extLst>
            <c:ext xmlns:c16="http://schemas.microsoft.com/office/drawing/2014/chart" uri="{C3380CC4-5D6E-409C-BE32-E72D297353CC}">
              <c16:uniqueId val="{00000000-44C6-4366-827B-8E51CDD062D6}"/>
            </c:ext>
          </c:extLst>
        </c:ser>
        <c:ser>
          <c:idx val="1"/>
          <c:order val="1"/>
          <c:tx>
            <c:strRef>
              <c:f>AB_DCFROR!$B$113</c:f>
              <c:strCache>
                <c:ptCount val="1"/>
                <c:pt idx="0">
                  <c:v>Tax</c:v>
                </c:pt>
              </c:strCache>
            </c:strRef>
          </c:tx>
          <c:spPr>
            <a:solidFill>
              <a:schemeClr val="accent2"/>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AB_DCFROR!$C$113:$AI$113</c:f>
              <c:numCache>
                <c:formatCode>General</c:formatCode>
                <c:ptCount val="33"/>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numCache>
            </c:numRef>
          </c:val>
          <c:extLst>
            <c:ext xmlns:c16="http://schemas.microsoft.com/office/drawing/2014/chart" uri="{C3380CC4-5D6E-409C-BE32-E72D297353CC}">
              <c16:uniqueId val="{00000001-44C6-4366-827B-8E51CDD062D6}"/>
            </c:ext>
          </c:extLst>
        </c:ser>
        <c:ser>
          <c:idx val="2"/>
          <c:order val="2"/>
          <c:tx>
            <c:strRef>
              <c:f>AB_DCFROR!$B$114</c:f>
              <c:strCache>
                <c:ptCount val="1"/>
                <c:pt idx="0">
                  <c:v>Depreciation</c:v>
                </c:pt>
              </c:strCache>
            </c:strRef>
          </c:tx>
          <c:spPr>
            <a:solidFill>
              <a:schemeClr val="accent3"/>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AB_DCFROR!$C$114:$AI$114</c:f>
              <c:numCache>
                <c:formatCode>General</c:formatCode>
                <c:ptCount val="33"/>
                <c:pt idx="2" formatCode="_(&quot;$&quot;* #,##0_);_(&quot;$&quot;* \(#,##0\);_(&quot;$&quot;* &quot;-&quot;??_);_(@_)">
                  <c:v>-354.40463361787573</c:v>
                </c:pt>
                <c:pt idx="3" formatCode="_(&quot;$&quot;* #,##0_);_(&quot;$&quot;* \(#,##0\);_(&quot;$&quot;* &quot;-&quot;??_);_(@_)">
                  <c:v>-607.37365131572972</c:v>
                </c:pt>
                <c:pt idx="4" formatCode="_(&quot;$&quot;* #,##0_);_(&quot;$&quot;* \(#,##0\);_(&quot;$&quot;* &quot;-&quot;??_);_(@_)">
                  <c:v>-433.76746269955544</c:v>
                </c:pt>
                <c:pt idx="5" formatCode="_(&quot;$&quot;* #,##0_);_(&quot;$&quot;* \(#,##0\);_(&quot;$&quot;* &quot;-&quot;??_);_(@_)">
                  <c:v>-309.76304225943096</c:v>
                </c:pt>
                <c:pt idx="6" formatCode="_(&quot;$&quot;* #,##0_);_(&quot;$&quot;* \(#,##0\);_(&quot;$&quot;* &quot;-&quot;??_);_(@_)">
                  <c:v>-221.47189490606235</c:v>
                </c:pt>
                <c:pt idx="7" formatCode="_(&quot;$&quot;* #,##0_);_(&quot;$&quot;* \(#,##0\);_(&quot;$&quot;* &quot;-&quot;??_);_(@_)">
                  <c:v>-221.22388606518209</c:v>
                </c:pt>
                <c:pt idx="8" formatCode="_(&quot;$&quot;* #,##0_);_(&quot;$&quot;* \(#,##0\);_(&quot;$&quot;* &quot;-&quot;??_);_(@_)">
                  <c:v>-221.47189490606235</c:v>
                </c:pt>
                <c:pt idx="9" formatCode="_(&quot;$&quot;* #,##0_);_(&quot;$&quot;* \(#,##0\);_(&quot;$&quot;* &quot;-&quot;??_);_(@_)">
                  <c:v>-110.61194303259104</c:v>
                </c:pt>
                <c:pt idx="10" formatCode="_(&quot;$&quot;* #,##0_);_(&quot;$&quot;* \(#,##0\);_(&quot;$&quot;* &quot;-&quot;??_);_(@_)">
                  <c:v>0</c:v>
                </c:pt>
                <c:pt idx="11" formatCode="_(&quot;$&quot;* #,##0_);_(&quot;$&quot;* \(#,##0\);_(&quot;$&quot;* &quot;-&quot;??_);_(@_)">
                  <c:v>0</c:v>
                </c:pt>
                <c:pt idx="12" formatCode="_(&quot;$&quot;* #,##0_);_(&quot;$&quot;* \(#,##0\);_(&quot;$&quot;* &quot;-&quot;??_);_(@_)">
                  <c:v>0</c:v>
                </c:pt>
                <c:pt idx="13" formatCode="_(&quot;$&quot;* #,##0_);_(&quot;$&quot;* \(#,##0\);_(&quot;$&quot;* &quot;-&quot;??_);_(@_)">
                  <c:v>0</c:v>
                </c:pt>
                <c:pt idx="14" formatCode="_(&quot;$&quot;* #,##0_);_(&quot;$&quot;* \(#,##0\);_(&quot;$&quot;* &quot;-&quot;??_);_(@_)">
                  <c:v>0</c:v>
                </c:pt>
                <c:pt idx="15" formatCode="_(&quot;$&quot;* #,##0_);_(&quot;$&quot;* \(#,##0\);_(&quot;$&quot;* &quot;-&quot;??_);_(@_)">
                  <c:v>0</c:v>
                </c:pt>
                <c:pt idx="16" formatCode="_(&quot;$&quot;* #,##0_);_(&quot;$&quot;* \(#,##0\);_(&quot;$&quot;* &quot;-&quot;??_);_(@_)">
                  <c:v>0</c:v>
                </c:pt>
                <c:pt idx="17" formatCode="_(&quot;$&quot;* #,##0_);_(&quot;$&quot;* \(#,##0\);_(&quot;$&quot;* &quot;-&quot;??_);_(@_)">
                  <c:v>0</c:v>
                </c:pt>
                <c:pt idx="18" formatCode="_(&quot;$&quot;* #,##0_);_(&quot;$&quot;* \(#,##0\);_(&quot;$&quot;* &quot;-&quot;??_);_(@_)">
                  <c:v>0</c:v>
                </c:pt>
                <c:pt idx="19" formatCode="_(&quot;$&quot;* #,##0_);_(&quot;$&quot;* \(#,##0\);_(&quot;$&quot;* &quot;-&quot;??_);_(@_)">
                  <c:v>0</c:v>
                </c:pt>
                <c:pt idx="20" formatCode="_(&quot;$&quot;* #,##0_);_(&quot;$&quot;* \(#,##0\);_(&quot;$&quot;* &quot;-&quot;??_);_(@_)">
                  <c:v>0</c:v>
                </c:pt>
                <c:pt idx="21" formatCode="_(&quot;$&quot;* #,##0_);_(&quot;$&quot;* \(#,##0\);_(&quot;$&quot;* &quot;-&quot;??_);_(@_)">
                  <c:v>0</c:v>
                </c:pt>
                <c:pt idx="22" formatCode="_(&quot;$&quot;* #,##0_);_(&quot;$&quot;* \(#,##0\);_(&quot;$&quot;* &quot;-&quot;??_);_(@_)">
                  <c:v>0</c:v>
                </c:pt>
                <c:pt idx="23" formatCode="_(&quot;$&quot;* #,##0_);_(&quot;$&quot;* \(#,##0\);_(&quot;$&quot;* &quot;-&quot;??_);_(@_)">
                  <c:v>0</c:v>
                </c:pt>
                <c:pt idx="24" formatCode="_(&quot;$&quot;* #,##0_);_(&quot;$&quot;* \(#,##0\);_(&quot;$&quot;* &quot;-&quot;??_);_(@_)">
                  <c:v>0</c:v>
                </c:pt>
                <c:pt idx="25" formatCode="_(&quot;$&quot;* #,##0_);_(&quot;$&quot;* \(#,##0\);_(&quot;$&quot;* &quot;-&quot;??_);_(@_)">
                  <c:v>0</c:v>
                </c:pt>
                <c:pt idx="26" formatCode="_(&quot;$&quot;* #,##0_);_(&quot;$&quot;* \(#,##0\);_(&quot;$&quot;* &quot;-&quot;??_);_(@_)">
                  <c:v>0</c:v>
                </c:pt>
                <c:pt idx="27" formatCode="_(&quot;$&quot;* #,##0_);_(&quot;$&quot;* \(#,##0\);_(&quot;$&quot;* &quot;-&quot;??_);_(@_)">
                  <c:v>0</c:v>
                </c:pt>
                <c:pt idx="28" formatCode="_(&quot;$&quot;* #,##0_);_(&quot;$&quot;* \(#,##0\);_(&quot;$&quot;* &quot;-&quot;??_);_(@_)">
                  <c:v>0</c:v>
                </c:pt>
                <c:pt idx="29" formatCode="_(&quot;$&quot;* #,##0_);_(&quot;$&quot;* \(#,##0\);_(&quot;$&quot;* &quot;-&quot;??_);_(@_)">
                  <c:v>0</c:v>
                </c:pt>
                <c:pt idx="30" formatCode="_(&quot;$&quot;* #,##0_);_(&quot;$&quot;* \(#,##0\);_(&quot;$&quot;* &quot;-&quot;??_);_(@_)">
                  <c:v>0</c:v>
                </c:pt>
                <c:pt idx="31" formatCode="_(&quot;$&quot;* #,##0_);_(&quot;$&quot;* \(#,##0\);_(&quot;$&quot;* &quot;-&quot;??_);_(@_)">
                  <c:v>0</c:v>
                </c:pt>
                <c:pt idx="32" formatCode="_(&quot;$&quot;* #,##0_);_(&quot;$&quot;* \(#,##0\);_(&quot;$&quot;* &quot;-&quot;??_);_(@_)">
                  <c:v>0</c:v>
                </c:pt>
              </c:numCache>
            </c:numRef>
          </c:val>
          <c:extLst>
            <c:ext xmlns:c16="http://schemas.microsoft.com/office/drawing/2014/chart" uri="{C3380CC4-5D6E-409C-BE32-E72D297353CC}">
              <c16:uniqueId val="{00000002-44C6-4366-827B-8E51CDD062D6}"/>
            </c:ext>
          </c:extLst>
        </c:ser>
        <c:ser>
          <c:idx val="3"/>
          <c:order val="3"/>
          <c:tx>
            <c:strRef>
              <c:f>AB_DCFROR!$B$115</c:f>
              <c:strCache>
                <c:ptCount val="1"/>
                <c:pt idx="0">
                  <c:v>Loan Payment</c:v>
                </c:pt>
              </c:strCache>
            </c:strRef>
          </c:tx>
          <c:spPr>
            <a:solidFill>
              <a:schemeClr val="accent4"/>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AB_DCFROR!$C$115:$AI$115</c:f>
              <c:numCache>
                <c:formatCode>_("$"* #,##0_);_("$"* \(#,##0\);_("$"* "-"??_);_(@_)</c:formatCode>
                <c:ptCount val="33"/>
                <c:pt idx="0">
                  <c:v>-11.904424362251952</c:v>
                </c:pt>
                <c:pt idx="1">
                  <c:v>-71.42654617351171</c:v>
                </c:pt>
                <c:pt idx="2">
                  <c:v>-119.0442436225195</c:v>
                </c:pt>
                <c:pt idx="3">
                  <c:v>-119.0442436225195</c:v>
                </c:pt>
                <c:pt idx="4">
                  <c:v>-110.82668035292691</c:v>
                </c:pt>
                <c:pt idx="5">
                  <c:v>-101.95171202176689</c:v>
                </c:pt>
                <c:pt idx="6">
                  <c:v>-92.366746224114081</c:v>
                </c:pt>
                <c:pt idx="7">
                  <c:v>-82.014983162649031</c:v>
                </c:pt>
                <c:pt idx="8">
                  <c:v>-70.835079056266807</c:v>
                </c:pt>
                <c:pt idx="9">
                  <c:v>-58.760782621373991</c:v>
                </c:pt>
                <c:pt idx="10">
                  <c:v>-45.720542471689754</c:v>
                </c:pt>
                <c:pt idx="11">
                  <c:v>-31.637083110030769</c:v>
                </c:pt>
                <c:pt idx="12">
                  <c:v>-16.426946999439071</c:v>
                </c:pt>
                <c:pt idx="13">
                  <c:v>-3.4123659133911134E-14</c:v>
                </c:pt>
                <c:pt idx="14">
                  <c:v>-3.6853551864624022E-14</c:v>
                </c:pt>
                <c:pt idx="15">
                  <c:v>-3.9801836013793942E-14</c:v>
                </c:pt>
                <c:pt idx="16">
                  <c:v>-4.2985982894897461E-14</c:v>
                </c:pt>
                <c:pt idx="17">
                  <c:v>-4.6424861526489253E-14</c:v>
                </c:pt>
                <c:pt idx="18">
                  <c:v>-5.0138850448608397E-14</c:v>
                </c:pt>
                <c:pt idx="19">
                  <c:v>-5.4149958484497065E-14</c:v>
                </c:pt>
                <c:pt idx="20">
                  <c:v>-5.8481955163256824E-14</c:v>
                </c:pt>
                <c:pt idx="21">
                  <c:v>-6.3160511576317375E-14</c:v>
                </c:pt>
                <c:pt idx="22">
                  <c:v>-6.8213352502422768E-14</c:v>
                </c:pt>
                <c:pt idx="23">
                  <c:v>-7.3670420702616588E-14</c:v>
                </c:pt>
                <c:pt idx="24">
                  <c:v>-7.956405435882591E-14</c:v>
                </c:pt>
                <c:pt idx="25">
                  <c:v>-8.5929178707531999E-14</c:v>
                </c:pt>
                <c:pt idx="26">
                  <c:v>-9.2803513004134551E-14</c:v>
                </c:pt>
                <c:pt idx="27">
                  <c:v>-1.0022779404446531E-13</c:v>
                </c:pt>
                <c:pt idx="28">
                  <c:v>-1.0824601756802254E-13</c:v>
                </c:pt>
                <c:pt idx="29">
                  <c:v>-1.1690569897346434E-13</c:v>
                </c:pt>
                <c:pt idx="30">
                  <c:v>-1.2625815489134149E-13</c:v>
                </c:pt>
                <c:pt idx="31">
                  <c:v>-1.3635880728264877E-13</c:v>
                </c:pt>
                <c:pt idx="32">
                  <c:v>-1.472675118652607E-13</c:v>
                </c:pt>
              </c:numCache>
            </c:numRef>
          </c:val>
          <c:extLst>
            <c:ext xmlns:c16="http://schemas.microsoft.com/office/drawing/2014/chart" uri="{C3380CC4-5D6E-409C-BE32-E72D297353CC}">
              <c16:uniqueId val="{00000003-44C6-4366-827B-8E51CDD062D6}"/>
            </c:ext>
          </c:extLst>
        </c:ser>
        <c:ser>
          <c:idx val="4"/>
          <c:order val="4"/>
          <c:tx>
            <c:strRef>
              <c:f>AB_DCFROR!$B$116</c:f>
              <c:strCache>
                <c:ptCount val="1"/>
                <c:pt idx="0">
                  <c:v>OPEX</c:v>
                </c:pt>
              </c:strCache>
            </c:strRef>
          </c:tx>
          <c:spPr>
            <a:solidFill>
              <a:schemeClr val="accent5"/>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AB_DCFROR!$C$116:$AI$116</c:f>
              <c:numCache>
                <c:formatCode>General</c:formatCode>
                <c:ptCount val="33"/>
                <c:pt idx="3" formatCode="_(&quot;$&quot;* #,##0.00_);_(&quot;$&quot;* \(#,##0.00\);_(&quot;$&quot;* &quot;-&quot;??_);_(@_)">
                  <c:v>-158.2478689761387</c:v>
                </c:pt>
                <c:pt idx="4" formatCode="_(&quot;$&quot;* #,##0.00_);_(&quot;$&quot;* \(#,##0.00\);_(&quot;$&quot;* &quot;-&quot;??_);_(@_)">
                  <c:v>-210.99715863485164</c:v>
                </c:pt>
                <c:pt idx="5" formatCode="_(&quot;$&quot;* #,##0.00_);_(&quot;$&quot;* \(#,##0.00\);_(&quot;$&quot;* &quot;-&quot;??_);_(@_)">
                  <c:v>-210.99715863485164</c:v>
                </c:pt>
                <c:pt idx="6" formatCode="_(&quot;$&quot;* #,##0.00_);_(&quot;$&quot;* \(#,##0.00\);_(&quot;$&quot;* &quot;-&quot;??_);_(@_)">
                  <c:v>-210.99715863485164</c:v>
                </c:pt>
                <c:pt idx="7" formatCode="_(&quot;$&quot;* #,##0.00_);_(&quot;$&quot;* \(#,##0.00\);_(&quot;$&quot;* &quot;-&quot;??_);_(@_)">
                  <c:v>-210.99715863485164</c:v>
                </c:pt>
                <c:pt idx="8" formatCode="_(&quot;$&quot;* #,##0.00_);_(&quot;$&quot;* \(#,##0.00\);_(&quot;$&quot;* &quot;-&quot;??_);_(@_)">
                  <c:v>-210.99715863485164</c:v>
                </c:pt>
                <c:pt idx="9" formatCode="_(&quot;$&quot;* #,##0.00_);_(&quot;$&quot;* \(#,##0.00\);_(&quot;$&quot;* &quot;-&quot;??_);_(@_)">
                  <c:v>-210.99715863485164</c:v>
                </c:pt>
                <c:pt idx="10" formatCode="_(&quot;$&quot;* #,##0.00_);_(&quot;$&quot;* \(#,##0.00\);_(&quot;$&quot;* &quot;-&quot;??_);_(@_)">
                  <c:v>-210.99715863485164</c:v>
                </c:pt>
                <c:pt idx="11" formatCode="_(&quot;$&quot;* #,##0.00_);_(&quot;$&quot;* \(#,##0.00\);_(&quot;$&quot;* &quot;-&quot;??_);_(@_)">
                  <c:v>-210.99715863485164</c:v>
                </c:pt>
                <c:pt idx="12" formatCode="_(&quot;$&quot;* #,##0.00_);_(&quot;$&quot;* \(#,##0.00\);_(&quot;$&quot;* &quot;-&quot;??_);_(@_)">
                  <c:v>-210.99715863485164</c:v>
                </c:pt>
                <c:pt idx="13" formatCode="_(&quot;$&quot;* #,##0.00_);_(&quot;$&quot;* \(#,##0.00\);_(&quot;$&quot;* &quot;-&quot;??_);_(@_)">
                  <c:v>-210.99715863485164</c:v>
                </c:pt>
                <c:pt idx="14" formatCode="_(&quot;$&quot;* #,##0.00_);_(&quot;$&quot;* \(#,##0.00\);_(&quot;$&quot;* &quot;-&quot;??_);_(@_)">
                  <c:v>-210.99715863485164</c:v>
                </c:pt>
                <c:pt idx="15" formatCode="_(&quot;$&quot;* #,##0.00_);_(&quot;$&quot;* \(#,##0.00\);_(&quot;$&quot;* &quot;-&quot;??_);_(@_)">
                  <c:v>-210.99715863485164</c:v>
                </c:pt>
                <c:pt idx="16" formatCode="_(&quot;$&quot;* #,##0.00_);_(&quot;$&quot;* \(#,##0.00\);_(&quot;$&quot;* &quot;-&quot;??_);_(@_)">
                  <c:v>-210.99715863485164</c:v>
                </c:pt>
                <c:pt idx="17" formatCode="_(&quot;$&quot;* #,##0.00_);_(&quot;$&quot;* \(#,##0.00\);_(&quot;$&quot;* &quot;-&quot;??_);_(@_)">
                  <c:v>-210.99715863485164</c:v>
                </c:pt>
                <c:pt idx="18" formatCode="_(&quot;$&quot;* #,##0.00_);_(&quot;$&quot;* \(#,##0.00\);_(&quot;$&quot;* &quot;-&quot;??_);_(@_)">
                  <c:v>-210.99715863485164</c:v>
                </c:pt>
                <c:pt idx="19" formatCode="_(&quot;$&quot;* #,##0.00_);_(&quot;$&quot;* \(#,##0.00\);_(&quot;$&quot;* &quot;-&quot;??_);_(@_)">
                  <c:v>-210.99715863485164</c:v>
                </c:pt>
                <c:pt idx="20" formatCode="_(&quot;$&quot;* #,##0.00_);_(&quot;$&quot;* \(#,##0.00\);_(&quot;$&quot;* &quot;-&quot;??_);_(@_)">
                  <c:v>-210.99715863485164</c:v>
                </c:pt>
                <c:pt idx="21" formatCode="_(&quot;$&quot;* #,##0.00_);_(&quot;$&quot;* \(#,##0.00\);_(&quot;$&quot;* &quot;-&quot;??_);_(@_)">
                  <c:v>-210.99715863485164</c:v>
                </c:pt>
                <c:pt idx="22" formatCode="_(&quot;$&quot;* #,##0.00_);_(&quot;$&quot;* \(#,##0.00\);_(&quot;$&quot;* &quot;-&quot;??_);_(@_)">
                  <c:v>-210.99715863485164</c:v>
                </c:pt>
                <c:pt idx="23" formatCode="_(&quot;$&quot;* #,##0.00_);_(&quot;$&quot;* \(#,##0.00\);_(&quot;$&quot;* &quot;-&quot;??_);_(@_)">
                  <c:v>-210.99715863485164</c:v>
                </c:pt>
                <c:pt idx="24" formatCode="_(&quot;$&quot;* #,##0.00_);_(&quot;$&quot;* \(#,##0.00\);_(&quot;$&quot;* &quot;-&quot;??_);_(@_)">
                  <c:v>-210.99715863485164</c:v>
                </c:pt>
                <c:pt idx="25" formatCode="_(&quot;$&quot;* #,##0.00_);_(&quot;$&quot;* \(#,##0.00\);_(&quot;$&quot;* &quot;-&quot;??_);_(@_)">
                  <c:v>-210.99715863485164</c:v>
                </c:pt>
                <c:pt idx="26" formatCode="_(&quot;$&quot;* #,##0.00_);_(&quot;$&quot;* \(#,##0.00\);_(&quot;$&quot;* &quot;-&quot;??_);_(@_)">
                  <c:v>-210.99715863485164</c:v>
                </c:pt>
                <c:pt idx="27" formatCode="_(&quot;$&quot;* #,##0.00_);_(&quot;$&quot;* \(#,##0.00\);_(&quot;$&quot;* &quot;-&quot;??_);_(@_)">
                  <c:v>-210.99715863485164</c:v>
                </c:pt>
                <c:pt idx="28" formatCode="_(&quot;$&quot;* #,##0.00_);_(&quot;$&quot;* \(#,##0.00\);_(&quot;$&quot;* &quot;-&quot;??_);_(@_)">
                  <c:v>-210.99715863485164</c:v>
                </c:pt>
                <c:pt idx="29" formatCode="_(&quot;$&quot;* #,##0.00_);_(&quot;$&quot;* \(#,##0.00\);_(&quot;$&quot;* &quot;-&quot;??_);_(@_)">
                  <c:v>-210.99715863485164</c:v>
                </c:pt>
                <c:pt idx="30" formatCode="_(&quot;$&quot;* #,##0.00_);_(&quot;$&quot;* \(#,##0.00\);_(&quot;$&quot;* &quot;-&quot;??_);_(@_)">
                  <c:v>-210.99715863485164</c:v>
                </c:pt>
                <c:pt idx="31" formatCode="_(&quot;$&quot;* #,##0.00_);_(&quot;$&quot;* \(#,##0.00\);_(&quot;$&quot;* &quot;-&quot;??_);_(@_)">
                  <c:v>-210.99715863485164</c:v>
                </c:pt>
                <c:pt idx="32" formatCode="_(&quot;$&quot;* #,##0.00_);_(&quot;$&quot;* \(#,##0.00\);_(&quot;$&quot;* &quot;-&quot;??_);_(@_)">
                  <c:v>-210.99715863485164</c:v>
                </c:pt>
              </c:numCache>
            </c:numRef>
          </c:val>
          <c:extLst>
            <c:ext xmlns:c16="http://schemas.microsoft.com/office/drawing/2014/chart" uri="{C3380CC4-5D6E-409C-BE32-E72D297353CC}">
              <c16:uniqueId val="{00000004-44C6-4366-827B-8E51CDD062D6}"/>
            </c:ext>
          </c:extLst>
        </c:ser>
        <c:ser>
          <c:idx val="5"/>
          <c:order val="5"/>
          <c:tx>
            <c:strRef>
              <c:f>AB_DCFROR!$B$117</c:f>
              <c:strCache>
                <c:ptCount val="1"/>
                <c:pt idx="0">
                  <c:v>Revenue</c:v>
                </c:pt>
              </c:strCache>
            </c:strRef>
          </c:tx>
          <c:spPr>
            <a:solidFill>
              <a:schemeClr val="accent6"/>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AB_DCFROR!$C$117:$AI$117</c:f>
              <c:numCache>
                <c:formatCode>General</c:formatCode>
                <c:ptCount val="33"/>
                <c:pt idx="3" formatCode="_(&quot;$&quot;* #,##0_);_(&quot;$&quot;* \(#,##0\);_(&quot;$&quot;* &quot;-&quot;??_);_(@_)">
                  <c:v>-141.41184063897398</c:v>
                </c:pt>
                <c:pt idx="4" formatCode="_(&quot;$&quot;* #,##0_);_(&quot;$&quot;* \(#,##0\);_(&quot;$&quot;* &quot;-&quot;??_);_(@_)">
                  <c:v>-110.31634003279845</c:v>
                </c:pt>
                <c:pt idx="5" formatCode="_(&quot;$&quot;* #,##0_);_(&quot;$&quot;* \(#,##0\);_(&quot;$&quot;* &quot;-&quot;??_);_(@_)">
                  <c:v>-100.28758184799858</c:v>
                </c:pt>
                <c:pt idx="6" formatCode="_(&quot;$&quot;* #,##0_);_(&quot;$&quot;* \(#,##0\);_(&quot;$&quot;* &quot;-&quot;??_);_(@_)">
                  <c:v>-91.170528952725988</c:v>
                </c:pt>
                <c:pt idx="7" formatCode="_(&quot;$&quot;* #,##0_);_(&quot;$&quot;* \(#,##0\);_(&quot;$&quot;* &quot;-&quot;??_);_(@_)">
                  <c:v>-82.882299047932705</c:v>
                </c:pt>
                <c:pt idx="8" formatCode="_(&quot;$&quot;* #,##0_);_(&quot;$&quot;* \(#,##0\);_(&quot;$&quot;* &quot;-&quot;??_);_(@_)">
                  <c:v>-75.347544589029724</c:v>
                </c:pt>
                <c:pt idx="9" formatCode="_(&quot;$&quot;* #,##0_);_(&quot;$&quot;* \(#,##0\);_(&quot;$&quot;* &quot;-&quot;??_);_(@_)">
                  <c:v>-68.497767808208835</c:v>
                </c:pt>
                <c:pt idx="10" formatCode="_(&quot;$&quot;* #,##0_);_(&quot;$&quot;* \(#,##0\);_(&quot;$&quot;* &quot;-&quot;??_);_(@_)">
                  <c:v>-62.270698007462578</c:v>
                </c:pt>
                <c:pt idx="11" formatCode="_(&quot;$&quot;* #,##0_);_(&quot;$&quot;* \(#,##0\);_(&quot;$&quot;* &quot;-&quot;??_);_(@_)">
                  <c:v>-56.60972546132961</c:v>
                </c:pt>
                <c:pt idx="12" formatCode="_(&quot;$&quot;* #,##0_);_(&quot;$&quot;* \(#,##0\);_(&quot;$&quot;* &quot;-&quot;??_);_(@_)">
                  <c:v>-51.46338678302692</c:v>
                </c:pt>
                <c:pt idx="13" formatCode="_(&quot;$&quot;* #,##0_);_(&quot;$&quot;* \(#,##0\);_(&quot;$&quot;* &quot;-&quot;??_);_(@_)">
                  <c:v>30.941956515022834</c:v>
                </c:pt>
                <c:pt idx="14" formatCode="_(&quot;$&quot;* #,##0_);_(&quot;$&quot;* \(#,##0\);_(&quot;$&quot;* &quot;-&quot;??_);_(@_)">
                  <c:v>28.129051377293486</c:v>
                </c:pt>
                <c:pt idx="15" formatCode="_(&quot;$&quot;* #,##0_);_(&quot;$&quot;* \(#,##0\);_(&quot;$&quot;* &quot;-&quot;??_);_(@_)">
                  <c:v>25.571864888448623</c:v>
                </c:pt>
                <c:pt idx="16" formatCode="_(&quot;$&quot;* #,##0_);_(&quot;$&quot;* \(#,##0\);_(&quot;$&quot;* &quot;-&quot;??_);_(@_)">
                  <c:v>23.247149898589651</c:v>
                </c:pt>
                <c:pt idx="17" formatCode="_(&quot;$&quot;* #,##0_);_(&quot;$&quot;* \(#,##0\);_(&quot;$&quot;* &quot;-&quot;??_);_(@_)">
                  <c:v>21.133772635081499</c:v>
                </c:pt>
                <c:pt idx="18" formatCode="_(&quot;$&quot;* #,##0_);_(&quot;$&quot;* \(#,##0\);_(&quot;$&quot;* &quot;-&quot;??_);_(@_)">
                  <c:v>19.212520577346815</c:v>
                </c:pt>
                <c:pt idx="19" formatCode="_(&quot;$&quot;* #,##0_);_(&quot;$&quot;* \(#,##0\);_(&quot;$&quot;* &quot;-&quot;??_);_(@_)">
                  <c:v>17.465927797588016</c:v>
                </c:pt>
                <c:pt idx="20" formatCode="_(&quot;$&quot;* #,##0_);_(&quot;$&quot;* \(#,##0\);_(&quot;$&quot;* &quot;-&quot;??_);_(@_)">
                  <c:v>15.878116179625469</c:v>
                </c:pt>
                <c:pt idx="21" formatCode="_(&quot;$&quot;* #,##0_);_(&quot;$&quot;* \(#,##0\);_(&quot;$&quot;* &quot;-&quot;??_);_(@_)">
                  <c:v>14.434651072386785</c:v>
                </c:pt>
                <c:pt idx="22" formatCode="_(&quot;$&quot;* #,##0_);_(&quot;$&quot;* \(#,##0\);_(&quot;$&quot;* &quot;-&quot;??_);_(@_)">
                  <c:v>13.122410065806172</c:v>
                </c:pt>
                <c:pt idx="23" formatCode="_(&quot;$&quot;* #,##0_);_(&quot;$&quot;* \(#,##0\);_(&quot;$&quot;* &quot;-&quot;??_);_(@_)">
                  <c:v>11.929463696187428</c:v>
                </c:pt>
                <c:pt idx="24" formatCode="_(&quot;$&quot;* #,##0_);_(&quot;$&quot;* \(#,##0\);_(&quot;$&quot;* &quot;-&quot;??_);_(@_)">
                  <c:v>10.844966996534021</c:v>
                </c:pt>
                <c:pt idx="25" formatCode="_(&quot;$&quot;* #,##0_);_(&quot;$&quot;* \(#,##0\);_(&quot;$&quot;* &quot;-&quot;??_);_(@_)">
                  <c:v>9.8590609059400212</c:v>
                </c:pt>
                <c:pt idx="26" formatCode="_(&quot;$&quot;* #,##0_);_(&quot;$&quot;* \(#,##0\);_(&quot;$&quot;* &quot;-&quot;??_);_(@_)">
                  <c:v>8.9627826417636562</c:v>
                </c:pt>
                <c:pt idx="27" formatCode="_(&quot;$&quot;* #,##0_);_(&quot;$&quot;* \(#,##0\);_(&quot;$&quot;* &quot;-&quot;??_);_(@_)">
                  <c:v>8.1479842197851386</c:v>
                </c:pt>
                <c:pt idx="28" formatCode="_(&quot;$&quot;* #,##0_);_(&quot;$&quot;* \(#,##0\);_(&quot;$&quot;* &quot;-&quot;??_);_(@_)">
                  <c:v>7.4072583816228539</c:v>
                </c:pt>
                <c:pt idx="29" formatCode="_(&quot;$&quot;* #,##0_);_(&quot;$&quot;* \(#,##0\);_(&quot;$&quot;* &quot;-&quot;??_);_(@_)">
                  <c:v>6.733871256020775</c:v>
                </c:pt>
                <c:pt idx="30" formatCode="_(&quot;$&quot;* #,##0_);_(&quot;$&quot;* \(#,##0\);_(&quot;$&quot;* &quot;-&quot;??_);_(@_)">
                  <c:v>6.1217011418370681</c:v>
                </c:pt>
                <c:pt idx="31" formatCode="_(&quot;$&quot;* #,##0_);_(&quot;$&quot;* \(#,##0\);_(&quot;$&quot;* &quot;-&quot;??_);_(@_)">
                  <c:v>5.5651828562155163</c:v>
                </c:pt>
                <c:pt idx="32" formatCode="_(&quot;$&quot;* #,##0_);_(&quot;$&quot;* \(#,##0\);_(&quot;$&quot;* &quot;-&quot;??_);_(@_)">
                  <c:v>5.059257142014105</c:v>
                </c:pt>
              </c:numCache>
            </c:numRef>
          </c:val>
          <c:extLst>
            <c:ext xmlns:c16="http://schemas.microsoft.com/office/drawing/2014/chart" uri="{C3380CC4-5D6E-409C-BE32-E72D297353CC}">
              <c16:uniqueId val="{00000005-44C6-4366-827B-8E51CDD062D6}"/>
            </c:ext>
          </c:extLst>
        </c:ser>
        <c:dLbls>
          <c:showLegendKey val="0"/>
          <c:showVal val="0"/>
          <c:showCatName val="0"/>
          <c:showSerName val="0"/>
          <c:showPercent val="0"/>
          <c:showBubbleSize val="0"/>
        </c:dLbls>
        <c:gapWidth val="70"/>
        <c:overlap val="100"/>
        <c:axId val="409926112"/>
        <c:axId val="1100436719"/>
      </c:barChart>
      <c:lineChart>
        <c:grouping val="standard"/>
        <c:varyColors val="0"/>
        <c:ser>
          <c:idx val="6"/>
          <c:order val="6"/>
          <c:tx>
            <c:strRef>
              <c:f>AB_DCFROR!$B$118</c:f>
              <c:strCache>
                <c:ptCount val="1"/>
                <c:pt idx="0">
                  <c:v>Net Present Value</c:v>
                </c:pt>
              </c:strCache>
            </c:strRef>
          </c:tx>
          <c:spPr>
            <a:ln w="28575" cap="rnd">
              <a:solidFill>
                <a:schemeClr val="accent1">
                  <a:lumMod val="60000"/>
                </a:schemeClr>
              </a:solidFill>
              <a:round/>
            </a:ln>
            <a:effectLst/>
          </c:spPr>
          <c:marker>
            <c:symbol val="none"/>
          </c:marker>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AB_DCFROR!$C$118:$AI$118</c:f>
              <c:numCache>
                <c:formatCode>General</c:formatCode>
                <c:ptCount val="33"/>
                <c:pt idx="3" formatCode="_(&quot;$&quot;* #,##0_);_(&quot;$&quot;* \(#,##0\);_(&quot;$&quot;* &quot;-&quot;??_);_(@_)">
                  <c:v>-1990.0399794994446</c:v>
                </c:pt>
                <c:pt idx="4" formatCode="_(&quot;$&quot;* #,##0_);_(&quot;$&quot;* \(#,##0\);_(&quot;$&quot;* &quot;-&quot;??_);_(@_)">
                  <c:v>-2100.3563195322431</c:v>
                </c:pt>
                <c:pt idx="5" formatCode="_(&quot;$&quot;* #,##0_);_(&quot;$&quot;* \(#,##0\);_(&quot;$&quot;* &quot;-&quot;??_);_(@_)">
                  <c:v>-2200.6439013802415</c:v>
                </c:pt>
                <c:pt idx="6" formatCode="_(&quot;$&quot;* #,##0_);_(&quot;$&quot;* \(#,##0\);_(&quot;$&quot;* &quot;-&quot;??_);_(@_)">
                  <c:v>-2291.8144303329677</c:v>
                </c:pt>
                <c:pt idx="7" formatCode="_(&quot;$&quot;* #,##0_);_(&quot;$&quot;* \(#,##0\);_(&quot;$&quot;* &quot;-&quot;??_);_(@_)">
                  <c:v>-2374.6967293809003</c:v>
                </c:pt>
                <c:pt idx="8" formatCode="_(&quot;$&quot;* #,##0_);_(&quot;$&quot;* \(#,##0\);_(&quot;$&quot;* &quot;-&quot;??_);_(@_)">
                  <c:v>-2450.0442739699297</c:v>
                </c:pt>
                <c:pt idx="9" formatCode="_(&quot;$&quot;* #,##0_);_(&quot;$&quot;* \(#,##0\);_(&quot;$&quot;* &quot;-&quot;??_);_(@_)">
                  <c:v>-2518.5420417781388</c:v>
                </c:pt>
                <c:pt idx="10" formatCode="_(&quot;$&quot;* #,##0_);_(&quot;$&quot;* \(#,##0\);_(&quot;$&quot;* &quot;-&quot;??_);_(@_)">
                  <c:v>-2580.8127397856015</c:v>
                </c:pt>
                <c:pt idx="11" formatCode="_(&quot;$&quot;* #,##0_);_(&quot;$&quot;* \(#,##0\);_(&quot;$&quot;* &quot;-&quot;??_);_(@_)">
                  <c:v>-2637.4224652469311</c:v>
                </c:pt>
                <c:pt idx="12" formatCode="_(&quot;$&quot;* #,##0_);_(&quot;$&quot;* \(#,##0\);_(&quot;$&quot;* &quot;-&quot;??_);_(@_)">
                  <c:v>-2688.8858520299577</c:v>
                </c:pt>
                <c:pt idx="13" formatCode="_(&quot;$&quot;* #,##0_);_(&quot;$&quot;* \(#,##0\);_(&quot;$&quot;* &quot;-&quot;??_);_(@_)">
                  <c:v>-2657.9438955149349</c:v>
                </c:pt>
                <c:pt idx="14" formatCode="_(&quot;$&quot;* #,##0_);_(&quot;$&quot;* \(#,##0\);_(&quot;$&quot;* &quot;-&quot;??_);_(@_)">
                  <c:v>-2629.8148441376416</c:v>
                </c:pt>
                <c:pt idx="15" formatCode="_(&quot;$&quot;* #,##0_);_(&quot;$&quot;* \(#,##0\);_(&quot;$&quot;* &quot;-&quot;??_);_(@_)">
                  <c:v>-2604.242979249193</c:v>
                </c:pt>
                <c:pt idx="16" formatCode="_(&quot;$&quot;* #,##0_);_(&quot;$&quot;* \(#,##0\);_(&quot;$&quot;* &quot;-&quot;??_);_(@_)">
                  <c:v>-2580.9958293506029</c:v>
                </c:pt>
                <c:pt idx="17" formatCode="_(&quot;$&quot;* #,##0_);_(&quot;$&quot;* \(#,##0\);_(&quot;$&quot;* &quot;-&quot;??_);_(@_)">
                  <c:v>-2559.8620567155217</c:v>
                </c:pt>
                <c:pt idx="18" formatCode="_(&quot;$&quot;* #,##0_);_(&quot;$&quot;* \(#,##0\);_(&quot;$&quot;* &quot;-&quot;??_);_(@_)">
                  <c:v>-2540.6495361381749</c:v>
                </c:pt>
                <c:pt idx="19" formatCode="_(&quot;$&quot;* #,##0_);_(&quot;$&quot;* \(#,##0\);_(&quot;$&quot;* &quot;-&quot;??_);_(@_)">
                  <c:v>-2523.1836083405869</c:v>
                </c:pt>
                <c:pt idx="20" formatCode="_(&quot;$&quot;* #,##0_);_(&quot;$&quot;* \(#,##0\);_(&quot;$&quot;* &quot;-&quot;??_);_(@_)">
                  <c:v>-2507.3054921609614</c:v>
                </c:pt>
                <c:pt idx="21" formatCode="_(&quot;$&quot;* #,##0_);_(&quot;$&quot;* \(#,##0\);_(&quot;$&quot;* &quot;-&quot;??_);_(@_)">
                  <c:v>-2492.8708410885747</c:v>
                </c:pt>
                <c:pt idx="22" formatCode="_(&quot;$&quot;* #,##0_);_(&quot;$&quot;* \(#,##0\);_(&quot;$&quot;* &quot;-&quot;??_);_(@_)">
                  <c:v>-2479.7484310227683</c:v>
                </c:pt>
                <c:pt idx="23" formatCode="_(&quot;$&quot;* #,##0_);_(&quot;$&quot;* \(#,##0\);_(&quot;$&quot;* &quot;-&quot;??_);_(@_)">
                  <c:v>-2467.8189673265811</c:v>
                </c:pt>
                <c:pt idx="24" formatCode="_(&quot;$&quot;* #,##0_);_(&quot;$&quot;* \(#,##0\);_(&quot;$&quot;* &quot;-&quot;??_);_(@_)">
                  <c:v>-2456.9740003300471</c:v>
                </c:pt>
                <c:pt idx="25" formatCode="_(&quot;$&quot;* #,##0_);_(&quot;$&quot;* \(#,##0\);_(&quot;$&quot;* &quot;-&quot;??_);_(@_)">
                  <c:v>-2447.114939424107</c:v>
                </c:pt>
                <c:pt idx="26" formatCode="_(&quot;$&quot;* #,##0_);_(&quot;$&quot;* \(#,##0\);_(&quot;$&quot;* &quot;-&quot;??_);_(@_)">
                  <c:v>-2438.1521567823434</c:v>
                </c:pt>
                <c:pt idx="27" formatCode="_(&quot;$&quot;* #,##0_);_(&quot;$&quot;* \(#,##0\);_(&quot;$&quot;* &quot;-&quot;??_);_(@_)">
                  <c:v>-2430.0041725625583</c:v>
                </c:pt>
                <c:pt idx="28" formatCode="_(&quot;$&quot;* #,##0_);_(&quot;$&quot;* \(#,##0\);_(&quot;$&quot;* &quot;-&quot;??_);_(@_)">
                  <c:v>-2422.5969141809355</c:v>
                </c:pt>
                <c:pt idx="29" formatCode="_(&quot;$&quot;* #,##0_);_(&quot;$&quot;* \(#,##0\);_(&quot;$&quot;* &quot;-&quot;??_);_(@_)">
                  <c:v>-2415.8630429249147</c:v>
                </c:pt>
                <c:pt idx="30" formatCode="_(&quot;$&quot;* #,##0_);_(&quot;$&quot;* \(#,##0\);_(&quot;$&quot;* &quot;-&quot;??_);_(@_)">
                  <c:v>-2409.7413417830776</c:v>
                </c:pt>
                <c:pt idx="31" formatCode="_(&quot;$&quot;* #,##0_);_(&quot;$&quot;* \(#,##0\);_(&quot;$&quot;* &quot;-&quot;??_);_(@_)">
                  <c:v>-2404.1761589268622</c:v>
                </c:pt>
                <c:pt idx="32" formatCode="_(&quot;$&quot;* #,##0_);_(&quot;$&quot;* \(#,##0\);_(&quot;$&quot;* &quot;-&quot;??_);_(@_)">
                  <c:v>-2399.1169017848483</c:v>
                </c:pt>
              </c:numCache>
            </c:numRef>
          </c:val>
          <c:smooth val="0"/>
          <c:extLst>
            <c:ext xmlns:c16="http://schemas.microsoft.com/office/drawing/2014/chart" uri="{C3380CC4-5D6E-409C-BE32-E72D297353CC}">
              <c16:uniqueId val="{00000006-44C6-4366-827B-8E51CDD062D6}"/>
            </c:ext>
          </c:extLst>
        </c:ser>
        <c:dLbls>
          <c:showLegendKey val="0"/>
          <c:showVal val="0"/>
          <c:showCatName val="0"/>
          <c:showSerName val="0"/>
          <c:showPercent val="0"/>
          <c:showBubbleSize val="0"/>
        </c:dLbls>
        <c:marker val="1"/>
        <c:smooth val="0"/>
        <c:axId val="1815470032"/>
        <c:axId val="1815446032"/>
      </c:lineChart>
      <c:catAx>
        <c:axId val="409926112"/>
        <c:scaling>
          <c:orientation val="minMax"/>
        </c:scaling>
        <c:delete val="0"/>
        <c:axPos val="b"/>
        <c:title>
          <c:tx>
            <c:rich>
              <a:bodyPr rot="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mn-cs"/>
                  </a:defRPr>
                </a:pPr>
                <a:r>
                  <a:rPr lang="en-US" sz="1800" b="1"/>
                  <a:t>YEAR</a:t>
                </a:r>
              </a:p>
            </c:rich>
          </c:tx>
          <c:layout>
            <c:manualLayout>
              <c:xMode val="edge"/>
              <c:yMode val="edge"/>
              <c:x val="0.4895485051998828"/>
              <c:y val="0.86175491842166363"/>
            </c:manualLayout>
          </c:layout>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Arial Nova Cond" panose="020B0506020202020204" pitchFamily="34" charset="0"/>
                <a:ea typeface="+mn-ea"/>
                <a:cs typeface="+mn-cs"/>
              </a:defRPr>
            </a:pPr>
            <a:endParaRPr lang="en-US"/>
          </a:p>
        </c:txPr>
        <c:crossAx val="1100436719"/>
        <c:crosses val="autoZero"/>
        <c:auto val="1"/>
        <c:lblAlgn val="ctr"/>
        <c:lblOffset val="100"/>
        <c:tickLblSkip val="2"/>
        <c:tickMarkSkip val="1"/>
        <c:noMultiLvlLbl val="0"/>
      </c:catAx>
      <c:valAx>
        <c:axId val="1100436719"/>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600" b="0" i="0" u="none" strike="noStrike" kern="1200" baseline="0">
                    <a:solidFill>
                      <a:sysClr val="windowText" lastClr="000000"/>
                    </a:solidFill>
                    <a:latin typeface="Arial Nova Cond" panose="020B0506020202020204" pitchFamily="34" charset="0"/>
                    <a:ea typeface="+mn-ea"/>
                    <a:cs typeface="+mn-cs"/>
                  </a:defRPr>
                </a:pPr>
                <a:r>
                  <a:rPr lang="en-US" sz="1600" b="1"/>
                  <a:t>CASH FLOW</a:t>
                </a:r>
                <a:r>
                  <a:rPr lang="en-US" sz="1600" b="1" baseline="0"/>
                  <a:t> </a:t>
                </a:r>
                <a:r>
                  <a:rPr lang="en-US" sz="1600" baseline="0"/>
                  <a:t>[1E9 USD (2026) ]</a:t>
                </a:r>
                <a:endParaRPr lang="en-US" sz="1600"/>
              </a:p>
            </c:rich>
          </c:tx>
          <c:layout>
            <c:manualLayout>
              <c:xMode val="edge"/>
              <c:yMode val="edge"/>
              <c:x val="1.3160182646916478E-2"/>
              <c:y val="0.22501221733080704"/>
            </c:manualLayout>
          </c:layout>
          <c:overlay val="0"/>
          <c:spPr>
            <a:noFill/>
            <a:ln>
              <a:noFill/>
            </a:ln>
            <a:effectLst/>
          </c:spPr>
          <c:txPr>
            <a:bodyPr rot="-5400000" spcFirstLastPara="1" vertOverflow="ellipsis" vert="horz" wrap="square" anchor="ctr" anchorCtr="1"/>
            <a:lstStyle/>
            <a:p>
              <a:pPr>
                <a:defRPr sz="1600" b="0"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Arial Nova Cond" panose="020B0506020202020204" pitchFamily="34" charset="0"/>
                <a:ea typeface="+mn-ea"/>
                <a:cs typeface="+mn-cs"/>
              </a:defRPr>
            </a:pPr>
            <a:endParaRPr lang="en-US"/>
          </a:p>
        </c:txPr>
        <c:crossAx val="409926112"/>
        <c:crosses val="autoZero"/>
        <c:crossBetween val="between"/>
        <c:dispUnits>
          <c:builtInUnit val="thousands"/>
        </c:dispUnits>
      </c:valAx>
      <c:valAx>
        <c:axId val="1815446032"/>
        <c:scaling>
          <c:orientation val="minMax"/>
        </c:scaling>
        <c:delete val="0"/>
        <c:axPos val="r"/>
        <c:title>
          <c:tx>
            <c:rich>
              <a:bodyPr rot="-5400000" spcFirstLastPara="1" vertOverflow="ellipsis" vert="horz" wrap="square" anchor="ctr" anchorCtr="1"/>
              <a:lstStyle/>
              <a:p>
                <a:pPr>
                  <a:defRPr sz="1600" b="0" i="0" u="none" strike="noStrike" kern="1200" baseline="0">
                    <a:solidFill>
                      <a:sysClr val="windowText" lastClr="000000"/>
                    </a:solidFill>
                    <a:latin typeface="Arial Nova Cond" panose="020B0506020202020204" pitchFamily="34" charset="0"/>
                    <a:ea typeface="+mn-ea"/>
                    <a:cs typeface="+mn-cs"/>
                  </a:defRPr>
                </a:pPr>
                <a:r>
                  <a:rPr lang="en-US" sz="1600" b="1"/>
                  <a:t>NET PRESENT VALUE </a:t>
                </a:r>
                <a:r>
                  <a:rPr lang="en-US" sz="1600"/>
                  <a:t>[1E9 USD (2026)</a:t>
                </a:r>
                <a:r>
                  <a:rPr lang="en-US" sz="1600" baseline="0"/>
                  <a:t> ]</a:t>
                </a:r>
                <a:endParaRPr lang="en-US" sz="1600"/>
              </a:p>
            </c:rich>
          </c:tx>
          <c:layout>
            <c:manualLayout>
              <c:xMode val="edge"/>
              <c:yMode val="edge"/>
              <c:x val="0.95223015067554173"/>
              <c:y val="0.15663562125040797"/>
            </c:manualLayout>
          </c:layout>
          <c:overlay val="0"/>
          <c:spPr>
            <a:noFill/>
            <a:ln>
              <a:noFill/>
            </a:ln>
            <a:effectLst/>
          </c:spPr>
          <c:txPr>
            <a:bodyPr rot="-5400000" spcFirstLastPara="1" vertOverflow="ellipsis" vert="horz" wrap="square" anchor="ctr" anchorCtr="1"/>
            <a:lstStyle/>
            <a:p>
              <a:pPr>
                <a:defRPr sz="1600" b="0"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Arial Nova Cond" panose="020B0506020202020204" pitchFamily="34" charset="0"/>
                <a:ea typeface="+mn-ea"/>
                <a:cs typeface="+mn-cs"/>
              </a:defRPr>
            </a:pPr>
            <a:endParaRPr lang="en-US"/>
          </a:p>
        </c:txPr>
        <c:crossAx val="1815470032"/>
        <c:crosses val="max"/>
        <c:crossBetween val="between"/>
        <c:dispUnits>
          <c:builtInUnit val="thousands"/>
        </c:dispUnits>
      </c:valAx>
      <c:catAx>
        <c:axId val="1815470032"/>
        <c:scaling>
          <c:orientation val="minMax"/>
        </c:scaling>
        <c:delete val="1"/>
        <c:axPos val="b"/>
        <c:numFmt formatCode="General" sourceLinked="1"/>
        <c:majorTickMark val="out"/>
        <c:minorTickMark val="none"/>
        <c:tickLblPos val="nextTo"/>
        <c:crossAx val="1815446032"/>
        <c:crosses val="autoZero"/>
        <c:auto val="1"/>
        <c:lblAlgn val="ctr"/>
        <c:lblOffset val="100"/>
        <c:noMultiLvlLbl val="0"/>
      </c:catAx>
      <c:spPr>
        <a:noFill/>
        <a:ln w="22225">
          <a:solidFill>
            <a:schemeClr val="tx1"/>
          </a:solidFill>
        </a:ln>
        <a:effectLst/>
      </c:spPr>
    </c:plotArea>
    <c:legend>
      <c:legendPos val="b"/>
      <c:layout>
        <c:manualLayout>
          <c:xMode val="edge"/>
          <c:yMode val="edge"/>
          <c:x val="2.9200901547855315E-2"/>
          <c:y val="0.91192619819210341"/>
          <c:w val="0.96136308928003777"/>
          <c:h val="7.5433285467888647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9050"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11944561112282E-2"/>
          <c:y val="0.11037391830950588"/>
          <c:w val="0.68333174391168827"/>
          <c:h val="0.83777314323133056"/>
        </c:manualLayout>
      </c:layout>
      <c:barChart>
        <c:barDir val="col"/>
        <c:grouping val="stacked"/>
        <c:varyColors val="0"/>
        <c:ser>
          <c:idx val="0"/>
          <c:order val="0"/>
          <c:tx>
            <c:strRef>
              <c:f>AB_DCFROR!$B$202</c:f>
              <c:strCache>
                <c:ptCount val="1"/>
                <c:pt idx="0">
                  <c:v>Transportation</c:v>
                </c:pt>
              </c:strCache>
            </c:strRef>
          </c:tx>
          <c:spPr>
            <a:solidFill>
              <a:srgbClr val="737373"/>
            </a:solidFill>
            <a:ln>
              <a:noFill/>
            </a:ln>
          </c:spPr>
          <c:invertIfNegative val="0"/>
          <c:cat>
            <c:strLit>
              <c:ptCount val="5"/>
              <c:pt idx="1">
                <c:v>Base Coproduct Price</c:v>
              </c:pt>
              <c:pt idx="2">
                <c:v>High Coproduct Price</c:v>
              </c:pt>
              <c:pt idx="3">
                <c:v>Low Coproduct Price</c:v>
              </c:pt>
            </c:strLit>
          </c:cat>
          <c:val>
            <c:numRef>
              <c:f>AB_DCFROR!$C$202:$G$202</c:f>
              <c:numCache>
                <c:formatCode>_("$"* #,##0.00_);_("$"* \(#,##0.00\);_("$"* "-"??_);_(@_)</c:formatCode>
                <c:ptCount val="5"/>
                <c:pt idx="1">
                  <c:v>0.25917203536275801</c:v>
                </c:pt>
                <c:pt idx="2">
                  <c:v>0.2169066064782719</c:v>
                </c:pt>
                <c:pt idx="3">
                  <c:v>0.2901108773614039</c:v>
                </c:pt>
              </c:numCache>
            </c:numRef>
          </c:val>
          <c:extLst>
            <c:ext xmlns:c16="http://schemas.microsoft.com/office/drawing/2014/chart" uri="{C3380CC4-5D6E-409C-BE32-E72D297353CC}">
              <c16:uniqueId val="{00000000-2B23-49CE-A0B6-42E2DCC3EBAF}"/>
            </c:ext>
          </c:extLst>
        </c:ser>
        <c:ser>
          <c:idx val="1"/>
          <c:order val="1"/>
          <c:tx>
            <c:strRef>
              <c:f>AB_DCFROR!$B$203</c:f>
              <c:strCache>
                <c:ptCount val="1"/>
                <c:pt idx="0">
                  <c:v>Ocean Water Processing</c:v>
                </c:pt>
              </c:strCache>
            </c:strRef>
          </c:tx>
          <c:spPr>
            <a:solidFill>
              <a:srgbClr val="0099FF"/>
            </a:solidFill>
            <a:ln>
              <a:noFill/>
            </a:ln>
          </c:spPr>
          <c:invertIfNegative val="0"/>
          <c:cat>
            <c:strLit>
              <c:ptCount val="5"/>
              <c:pt idx="1">
                <c:v>Base Coproduct Price</c:v>
              </c:pt>
              <c:pt idx="2">
                <c:v>High Coproduct Price</c:v>
              </c:pt>
              <c:pt idx="3">
                <c:v>Low Coproduct Price</c:v>
              </c:pt>
            </c:strLit>
          </c:cat>
          <c:val>
            <c:numRef>
              <c:f>AB_DCFROR!$C$203:$G$203</c:f>
              <c:numCache>
                <c:formatCode>_("$"* #,##0.00_);_("$"* \(#,##0.00\);_("$"* "-"??_);_(@_)</c:formatCode>
                <c:ptCount val="5"/>
                <c:pt idx="0" formatCode="General">
                  <c:v>0</c:v>
                </c:pt>
                <c:pt idx="1">
                  <c:v>1.2536768825664565E-2</c:v>
                </c:pt>
                <c:pt idx="2">
                  <c:v>1.0492289333497452E-2</c:v>
                </c:pt>
                <c:pt idx="3">
                  <c:v>1.4033354324666748E-2</c:v>
                </c:pt>
              </c:numCache>
            </c:numRef>
          </c:val>
          <c:extLst>
            <c:ext xmlns:c16="http://schemas.microsoft.com/office/drawing/2014/chart" uri="{C3380CC4-5D6E-409C-BE32-E72D297353CC}">
              <c16:uniqueId val="{00000001-2B23-49CE-A0B6-42E2DCC3EBAF}"/>
            </c:ext>
          </c:extLst>
        </c:ser>
        <c:ser>
          <c:idx val="2"/>
          <c:order val="2"/>
          <c:tx>
            <c:strRef>
              <c:f>AB_DCFROR!$B$204</c:f>
              <c:strCache>
                <c:ptCount val="1"/>
                <c:pt idx="0">
                  <c:v>Cheese Whey Processing</c:v>
                </c:pt>
              </c:strCache>
            </c:strRef>
          </c:tx>
          <c:spPr>
            <a:solidFill>
              <a:srgbClr val="E97132"/>
            </a:solidFill>
            <a:ln>
              <a:noFill/>
            </a:ln>
          </c:spPr>
          <c:invertIfNegative val="0"/>
          <c:cat>
            <c:strLit>
              <c:ptCount val="5"/>
              <c:pt idx="1">
                <c:v>Base Coproduct Price</c:v>
              </c:pt>
              <c:pt idx="2">
                <c:v>High Coproduct Price</c:v>
              </c:pt>
              <c:pt idx="3">
                <c:v>Low Coproduct Price</c:v>
              </c:pt>
            </c:strLit>
          </c:cat>
          <c:val>
            <c:numRef>
              <c:f>AB_DCFROR!$C$204:$G$204</c:f>
              <c:numCache>
                <c:formatCode>_("$"* #,##0.00_);_("$"* \(#,##0.00\);_("$"* "-"??_);_(@_)</c:formatCode>
                <c:ptCount val="5"/>
                <c:pt idx="1">
                  <c:v>2.4292604168430862E-2</c:v>
                </c:pt>
                <c:pt idx="2">
                  <c:v>2.0330998771989527E-2</c:v>
                </c:pt>
                <c:pt idx="3">
                  <c:v>2.7192550688705509E-2</c:v>
                </c:pt>
              </c:numCache>
            </c:numRef>
          </c:val>
          <c:extLst>
            <c:ext xmlns:c16="http://schemas.microsoft.com/office/drawing/2014/chart" uri="{C3380CC4-5D6E-409C-BE32-E72D297353CC}">
              <c16:uniqueId val="{00000002-2B23-49CE-A0B6-42E2DCC3EBAF}"/>
            </c:ext>
          </c:extLst>
        </c:ser>
        <c:ser>
          <c:idx val="3"/>
          <c:order val="3"/>
          <c:tx>
            <c:strRef>
              <c:f>AB_DCFROR!$B$205</c:f>
              <c:strCache>
                <c:ptCount val="1"/>
                <c:pt idx="0">
                  <c:v>Feedstock Preparation</c:v>
                </c:pt>
              </c:strCache>
            </c:strRef>
          </c:tx>
          <c:spPr>
            <a:solidFill>
              <a:srgbClr val="998155"/>
            </a:solidFill>
            <a:ln>
              <a:noFill/>
            </a:ln>
          </c:spPr>
          <c:invertIfNegative val="0"/>
          <c:cat>
            <c:strLit>
              <c:ptCount val="5"/>
              <c:pt idx="1">
                <c:v>Base Coproduct Price</c:v>
              </c:pt>
              <c:pt idx="2">
                <c:v>High Coproduct Price</c:v>
              </c:pt>
              <c:pt idx="3">
                <c:v>Low Coproduct Price</c:v>
              </c:pt>
            </c:strLit>
          </c:cat>
          <c:val>
            <c:numRef>
              <c:f>AB_DCFROR!$C$204:$G$204</c:f>
              <c:numCache>
                <c:formatCode>_("$"* #,##0.00_);_("$"* \(#,##0.00\);_("$"* "-"??_);_(@_)</c:formatCode>
                <c:ptCount val="5"/>
                <c:pt idx="1">
                  <c:v>2.4292604168430862E-2</c:v>
                </c:pt>
                <c:pt idx="2">
                  <c:v>2.0330998771989527E-2</c:v>
                </c:pt>
                <c:pt idx="3">
                  <c:v>2.7192550688705509E-2</c:v>
                </c:pt>
              </c:numCache>
            </c:numRef>
          </c:val>
          <c:extLst>
            <c:ext xmlns:c16="http://schemas.microsoft.com/office/drawing/2014/chart" uri="{C3380CC4-5D6E-409C-BE32-E72D297353CC}">
              <c16:uniqueId val="{00000003-2B23-49CE-A0B6-42E2DCC3EBAF}"/>
            </c:ext>
          </c:extLst>
        </c:ser>
        <c:ser>
          <c:idx val="4"/>
          <c:order val="4"/>
          <c:tx>
            <c:strRef>
              <c:f>AB_DCFROR!$B$206</c:f>
              <c:strCache>
                <c:ptCount val="1"/>
                <c:pt idx="0">
                  <c:v>Food Waste Ensiling</c:v>
                </c:pt>
              </c:strCache>
            </c:strRef>
          </c:tx>
          <c:spPr>
            <a:solidFill>
              <a:srgbClr val="CC9900"/>
            </a:solidFill>
            <a:ln>
              <a:noFill/>
            </a:ln>
          </c:spPr>
          <c:invertIfNegative val="0"/>
          <c:cat>
            <c:strLit>
              <c:ptCount val="5"/>
              <c:pt idx="1">
                <c:v>Base Coproduct Price</c:v>
              </c:pt>
              <c:pt idx="2">
                <c:v>High Coproduct Price</c:v>
              </c:pt>
              <c:pt idx="3">
                <c:v>Low Coproduct Price</c:v>
              </c:pt>
            </c:strLit>
          </c:cat>
          <c:val>
            <c:numRef>
              <c:f>AB_DCFROR!$C$206:$G$206</c:f>
              <c:numCache>
                <c:formatCode>_("$"* #,##0.00_);_("$"* \(#,##0.00\);_("$"* "-"??_);_(@_)</c:formatCode>
                <c:ptCount val="5"/>
                <c:pt idx="1">
                  <c:v>1.6542880124281123E-2</c:v>
                </c:pt>
                <c:pt idx="2">
                  <c:v>1.3845089359707557E-2</c:v>
                </c:pt>
                <c:pt idx="3">
                  <c:v>1.8517697946162606E-2</c:v>
                </c:pt>
              </c:numCache>
            </c:numRef>
          </c:val>
          <c:extLst>
            <c:ext xmlns:c16="http://schemas.microsoft.com/office/drawing/2014/chart" uri="{C3380CC4-5D6E-409C-BE32-E72D297353CC}">
              <c16:uniqueId val="{00000004-2B23-49CE-A0B6-42E2DCC3EBAF}"/>
            </c:ext>
          </c:extLst>
        </c:ser>
        <c:ser>
          <c:idx val="5"/>
          <c:order val="5"/>
          <c:tx>
            <c:strRef>
              <c:f>AB_DCFROR!$B$207</c:f>
              <c:strCache>
                <c:ptCount val="1"/>
                <c:pt idx="0">
                  <c:v>Food Waste Digestion</c:v>
                </c:pt>
              </c:strCache>
            </c:strRef>
          </c:tx>
          <c:spPr>
            <a:solidFill>
              <a:srgbClr val="CCCC00"/>
            </a:solidFill>
            <a:ln>
              <a:noFill/>
            </a:ln>
          </c:spPr>
          <c:invertIfNegative val="0"/>
          <c:cat>
            <c:strLit>
              <c:ptCount val="5"/>
              <c:pt idx="1">
                <c:v>Base Coproduct Price</c:v>
              </c:pt>
              <c:pt idx="2">
                <c:v>High Coproduct Price</c:v>
              </c:pt>
              <c:pt idx="3">
                <c:v>Low Coproduct Price</c:v>
              </c:pt>
            </c:strLit>
          </c:cat>
          <c:val>
            <c:numRef>
              <c:f>AB_DCFROR!$C$207:$G$207</c:f>
              <c:numCache>
                <c:formatCode>_("$"* #,##0.00_);_("$"* \(#,##0.00\);_("$"* "-"??_);_(@_)</c:formatCode>
                <c:ptCount val="5"/>
                <c:pt idx="1">
                  <c:v>1.8265998465427764E-2</c:v>
                </c:pt>
                <c:pt idx="2">
                  <c:v>1.5287203866449953E-2</c:v>
                </c:pt>
                <c:pt idx="3">
                  <c:v>2.0446514737865788E-2</c:v>
                </c:pt>
              </c:numCache>
            </c:numRef>
          </c:val>
          <c:extLst>
            <c:ext xmlns:c16="http://schemas.microsoft.com/office/drawing/2014/chart" uri="{C3380CC4-5D6E-409C-BE32-E72D297353CC}">
              <c16:uniqueId val="{00000005-2B23-49CE-A0B6-42E2DCC3EBAF}"/>
            </c:ext>
          </c:extLst>
        </c:ser>
        <c:ser>
          <c:idx val="6"/>
          <c:order val="6"/>
          <c:tx>
            <c:strRef>
              <c:f>AB_DCFROR!$B$208</c:f>
              <c:strCache>
                <c:ptCount val="1"/>
                <c:pt idx="0">
                  <c:v>Manure Digestion</c:v>
                </c:pt>
              </c:strCache>
            </c:strRef>
          </c:tx>
          <c:spPr>
            <a:solidFill>
              <a:srgbClr val="E5CBB1"/>
            </a:solidFill>
            <a:ln>
              <a:noFill/>
            </a:ln>
          </c:spPr>
          <c:invertIfNegative val="0"/>
          <c:cat>
            <c:strLit>
              <c:ptCount val="5"/>
              <c:pt idx="1">
                <c:v>Base Coproduct Price</c:v>
              </c:pt>
              <c:pt idx="2">
                <c:v>High Coproduct Price</c:v>
              </c:pt>
              <c:pt idx="3">
                <c:v>Low Coproduct Price</c:v>
              </c:pt>
            </c:strLit>
          </c:cat>
          <c:val>
            <c:numRef>
              <c:f>AB_DCFROR!$C$208:$G$208</c:f>
              <c:numCache>
                <c:formatCode>_("$"* #,##0.00_);_("$"* \(#,##0.00\);_("$"* "-"??_);_(@_)</c:formatCode>
                <c:ptCount val="5"/>
                <c:pt idx="1">
                  <c:v>3.4187434693756451E-2</c:v>
                </c:pt>
                <c:pt idx="2">
                  <c:v>2.8612193569576085E-2</c:v>
                </c:pt>
                <c:pt idx="3">
                  <c:v>3.8268583490727107E-2</c:v>
                </c:pt>
              </c:numCache>
            </c:numRef>
          </c:val>
          <c:extLst>
            <c:ext xmlns:c16="http://schemas.microsoft.com/office/drawing/2014/chart" uri="{C3380CC4-5D6E-409C-BE32-E72D297353CC}">
              <c16:uniqueId val="{00000006-2B23-49CE-A0B6-42E2DCC3EBAF}"/>
            </c:ext>
          </c:extLst>
        </c:ser>
        <c:ser>
          <c:idx val="7"/>
          <c:order val="7"/>
          <c:tx>
            <c:strRef>
              <c:f>AB_DCFROR!$B$209</c:f>
              <c:strCache>
                <c:ptCount val="1"/>
                <c:pt idx="0">
                  <c:v>Nitrogen Removal</c:v>
                </c:pt>
              </c:strCache>
            </c:strRef>
          </c:tx>
          <c:spPr>
            <a:solidFill>
              <a:srgbClr val="347215"/>
            </a:solidFill>
            <a:ln>
              <a:noFill/>
            </a:ln>
          </c:spPr>
          <c:invertIfNegative val="0"/>
          <c:cat>
            <c:strLit>
              <c:ptCount val="5"/>
              <c:pt idx="1">
                <c:v>Base Coproduct Price</c:v>
              </c:pt>
              <c:pt idx="2">
                <c:v>High Coproduct Price</c:v>
              </c:pt>
              <c:pt idx="3">
                <c:v>Low Coproduct Price</c:v>
              </c:pt>
            </c:strLit>
          </c:cat>
          <c:val>
            <c:numRef>
              <c:f>AB_DCFROR!$C$209:$G$209</c:f>
              <c:numCache>
                <c:formatCode>_("$"* #,##0.00_);_("$"* \(#,##0.00\);_("$"* "-"??_);_(@_)</c:formatCode>
                <c:ptCount val="5"/>
                <c:pt idx="1">
                  <c:v>6.5351978937966765E-2</c:v>
                </c:pt>
                <c:pt idx="2">
                  <c:v>5.4694465621003489E-2</c:v>
                </c:pt>
                <c:pt idx="3">
                  <c:v>7.3153416881804156E-2</c:v>
                </c:pt>
              </c:numCache>
            </c:numRef>
          </c:val>
          <c:extLst>
            <c:ext xmlns:c16="http://schemas.microsoft.com/office/drawing/2014/chart" uri="{C3380CC4-5D6E-409C-BE32-E72D297353CC}">
              <c16:uniqueId val="{00000007-2B23-49CE-A0B6-42E2DCC3EBAF}"/>
            </c:ext>
          </c:extLst>
        </c:ser>
        <c:ser>
          <c:idx val="8"/>
          <c:order val="8"/>
          <c:tx>
            <c:strRef>
              <c:f>AB_DCFROR!$B$210</c:f>
              <c:strCache>
                <c:ptCount val="1"/>
                <c:pt idx="0">
                  <c:v>Chain-Elongation</c:v>
                </c:pt>
              </c:strCache>
            </c:strRef>
          </c:tx>
          <c:spPr>
            <a:solidFill>
              <a:srgbClr val="CBE68E"/>
            </a:solidFill>
            <a:ln>
              <a:noFill/>
            </a:ln>
          </c:spPr>
          <c:invertIfNegative val="0"/>
          <c:cat>
            <c:strLit>
              <c:ptCount val="5"/>
              <c:pt idx="1">
                <c:v>Base Coproduct Price</c:v>
              </c:pt>
              <c:pt idx="2">
                <c:v>High Coproduct Price</c:v>
              </c:pt>
              <c:pt idx="3">
                <c:v>Low Coproduct Price</c:v>
              </c:pt>
            </c:strLit>
          </c:cat>
          <c:val>
            <c:numRef>
              <c:f>AB_DCFROR!$C$210:$G$210</c:f>
              <c:numCache>
                <c:formatCode>_("$"* #,##0.00_);_("$"* \(#,##0.00\);_("$"* "-"??_);_(@_)</c:formatCode>
                <c:ptCount val="5"/>
                <c:pt idx="1">
                  <c:v>7.3577975780606014E-2</c:v>
                </c:pt>
                <c:pt idx="2">
                  <c:v>6.1578977900811939E-2</c:v>
                </c:pt>
                <c:pt idx="3">
                  <c:v>8.2361397819446361E-2</c:v>
                </c:pt>
              </c:numCache>
            </c:numRef>
          </c:val>
          <c:extLst>
            <c:ext xmlns:c16="http://schemas.microsoft.com/office/drawing/2014/chart" uri="{C3380CC4-5D6E-409C-BE32-E72D297353CC}">
              <c16:uniqueId val="{00000008-2B23-49CE-A0B6-42E2DCC3EBAF}"/>
            </c:ext>
          </c:extLst>
        </c:ser>
        <c:ser>
          <c:idx val="9"/>
          <c:order val="9"/>
          <c:tx>
            <c:strRef>
              <c:f>AB_DCFROR!$B$211</c:f>
              <c:strCache>
                <c:ptCount val="1"/>
                <c:pt idx="0">
                  <c:v>Electrodialysis A</c:v>
                </c:pt>
              </c:strCache>
            </c:strRef>
          </c:tx>
          <c:spPr>
            <a:solidFill>
              <a:srgbClr val="36D632"/>
            </a:solidFill>
          </c:spPr>
          <c:invertIfNegative val="0"/>
          <c:cat>
            <c:strLit>
              <c:ptCount val="5"/>
              <c:pt idx="1">
                <c:v>Base Coproduct Price</c:v>
              </c:pt>
              <c:pt idx="2">
                <c:v>High Coproduct Price</c:v>
              </c:pt>
              <c:pt idx="3">
                <c:v>Low Coproduct Price</c:v>
              </c:pt>
            </c:strLit>
          </c:cat>
          <c:val>
            <c:numRef>
              <c:f>AB_DCFROR!$C$211:$G$211</c:f>
              <c:numCache>
                <c:formatCode>_("$"* #,##0.00_);_("$"* \(#,##0.00\);_("$"* "-"??_);_(@_)</c:formatCode>
                <c:ptCount val="5"/>
                <c:pt idx="1">
                  <c:v>1.7252456283111259E-2</c:v>
                </c:pt>
                <c:pt idx="2">
                  <c:v>1.4438948787613443E-2</c:v>
                </c:pt>
                <c:pt idx="3">
                  <c:v>1.9311980252526461E-2</c:v>
                </c:pt>
              </c:numCache>
            </c:numRef>
          </c:val>
          <c:extLst>
            <c:ext xmlns:c16="http://schemas.microsoft.com/office/drawing/2014/chart" uri="{C3380CC4-5D6E-409C-BE32-E72D297353CC}">
              <c16:uniqueId val="{00000009-2B23-49CE-A0B6-42E2DCC3EBAF}"/>
            </c:ext>
          </c:extLst>
        </c:ser>
        <c:ser>
          <c:idx val="10"/>
          <c:order val="10"/>
          <c:tx>
            <c:strRef>
              <c:f>AB_DCFROR!$B$212</c:f>
              <c:strCache>
                <c:ptCount val="1"/>
                <c:pt idx="0">
                  <c:v>Liquid-Liquid Extraction A</c:v>
                </c:pt>
              </c:strCache>
            </c:strRef>
          </c:tx>
          <c:spPr>
            <a:solidFill>
              <a:srgbClr val="A02B93"/>
            </a:solidFill>
            <a:ln>
              <a:noFill/>
            </a:ln>
          </c:spPr>
          <c:invertIfNegative val="0"/>
          <c:cat>
            <c:strLit>
              <c:ptCount val="5"/>
              <c:pt idx="1">
                <c:v>Base Coproduct Price</c:v>
              </c:pt>
              <c:pt idx="2">
                <c:v>High Coproduct Price</c:v>
              </c:pt>
              <c:pt idx="3">
                <c:v>Low Coproduct Price</c:v>
              </c:pt>
            </c:strLit>
          </c:cat>
          <c:val>
            <c:numRef>
              <c:f>AB_DCFROR!$C$212:$G$212</c:f>
              <c:numCache>
                <c:formatCode>_("$"* #,##0.00_);_("$"* \(#,##0.00\);_("$"* "-"??_);_(@_)</c:formatCode>
                <c:ptCount val="5"/>
                <c:pt idx="1">
                  <c:v>3.2501112770877039E-3</c:v>
                </c:pt>
                <c:pt idx="2">
                  <c:v>2.7200874770425083E-3</c:v>
                </c:pt>
                <c:pt idx="3">
                  <c:v>3.6380955715316979E-3</c:v>
                </c:pt>
              </c:numCache>
            </c:numRef>
          </c:val>
          <c:extLst>
            <c:ext xmlns:c16="http://schemas.microsoft.com/office/drawing/2014/chart" uri="{C3380CC4-5D6E-409C-BE32-E72D297353CC}">
              <c16:uniqueId val="{0000000A-2B23-49CE-A0B6-42E2DCC3EBAF}"/>
            </c:ext>
          </c:extLst>
        </c:ser>
        <c:ser>
          <c:idx val="11"/>
          <c:order val="11"/>
          <c:tx>
            <c:strRef>
              <c:f>AB_DCFROR!$B$213</c:f>
              <c:strCache>
                <c:ptCount val="1"/>
                <c:pt idx="0">
                  <c:v>Ketonization</c:v>
                </c:pt>
              </c:strCache>
            </c:strRef>
          </c:tx>
          <c:spPr>
            <a:solidFill>
              <a:srgbClr val="FF53FF"/>
            </a:solidFill>
            <a:ln>
              <a:noFill/>
            </a:ln>
          </c:spPr>
          <c:invertIfNegative val="0"/>
          <c:cat>
            <c:strLit>
              <c:ptCount val="5"/>
              <c:pt idx="1">
                <c:v>Base Coproduct Price</c:v>
              </c:pt>
              <c:pt idx="2">
                <c:v>High Coproduct Price</c:v>
              </c:pt>
              <c:pt idx="3">
                <c:v>Low Coproduct Price</c:v>
              </c:pt>
            </c:strLit>
          </c:cat>
          <c:val>
            <c:numRef>
              <c:f>AB_DCFROR!$C$213:$G$213</c:f>
              <c:numCache>
                <c:formatCode>_("$"* #,##0.00_);_("$"* \(#,##0.00\);_("$"* "-"??_);_(@_)</c:formatCode>
                <c:ptCount val="5"/>
                <c:pt idx="1">
                  <c:v>3.0514167828909772E-3</c:v>
                </c:pt>
                <c:pt idx="2">
                  <c:v>2.5537958152055942E-3</c:v>
                </c:pt>
                <c:pt idx="3">
                  <c:v>3.4156817838805337E-3</c:v>
                </c:pt>
              </c:numCache>
            </c:numRef>
          </c:val>
          <c:extLst>
            <c:ext xmlns:c16="http://schemas.microsoft.com/office/drawing/2014/chart" uri="{C3380CC4-5D6E-409C-BE32-E72D297353CC}">
              <c16:uniqueId val="{0000000B-2B23-49CE-A0B6-42E2DCC3EBAF}"/>
            </c:ext>
          </c:extLst>
        </c:ser>
        <c:ser>
          <c:idx val="12"/>
          <c:order val="12"/>
          <c:tx>
            <c:strRef>
              <c:f>AB_DCFROR!$B$214</c:f>
              <c:strCache>
                <c:ptCount val="1"/>
                <c:pt idx="0">
                  <c:v>Hydrodeoxygenation</c:v>
                </c:pt>
              </c:strCache>
            </c:strRef>
          </c:tx>
          <c:spPr>
            <a:solidFill>
              <a:srgbClr val="EA8FFF"/>
            </a:solidFill>
            <a:ln>
              <a:noFill/>
            </a:ln>
          </c:spPr>
          <c:invertIfNegative val="0"/>
          <c:cat>
            <c:strLit>
              <c:ptCount val="5"/>
              <c:pt idx="1">
                <c:v>Base Coproduct Price</c:v>
              </c:pt>
              <c:pt idx="2">
                <c:v>High Coproduct Price</c:v>
              </c:pt>
              <c:pt idx="3">
                <c:v>Low Coproduct Price</c:v>
              </c:pt>
            </c:strLit>
          </c:cat>
          <c:val>
            <c:numRef>
              <c:f>AB_DCFROR!$C$214:$G$214</c:f>
              <c:numCache>
                <c:formatCode>_("$"* #,##0.00_);_("$"* \(#,##0.00\);_("$"* "-"??_);_(@_)</c:formatCode>
                <c:ptCount val="5"/>
                <c:pt idx="1">
                  <c:v>2.9031842247732443E-3</c:v>
                </c:pt>
                <c:pt idx="2">
                  <c:v>2.4297368244047251E-3</c:v>
                </c:pt>
                <c:pt idx="3">
                  <c:v>3.2497538610285585E-3</c:v>
                </c:pt>
              </c:numCache>
            </c:numRef>
          </c:val>
          <c:extLst>
            <c:ext xmlns:c16="http://schemas.microsoft.com/office/drawing/2014/chart" uri="{C3380CC4-5D6E-409C-BE32-E72D297353CC}">
              <c16:uniqueId val="{0000000C-2B23-49CE-A0B6-42E2DCC3EBAF}"/>
            </c:ext>
          </c:extLst>
        </c:ser>
        <c:ser>
          <c:idx val="13"/>
          <c:order val="13"/>
          <c:tx>
            <c:strRef>
              <c:f>AB_DCFROR!$B$215</c:f>
              <c:strCache>
                <c:ptCount val="1"/>
                <c:pt idx="0">
                  <c:v>Hydrocarbon Distillation</c:v>
                </c:pt>
              </c:strCache>
            </c:strRef>
          </c:tx>
          <c:spPr>
            <a:solidFill>
              <a:srgbClr val="FF99CC"/>
            </a:solidFill>
            <a:ln>
              <a:noFill/>
            </a:ln>
          </c:spPr>
          <c:invertIfNegative val="0"/>
          <c:cat>
            <c:strLit>
              <c:ptCount val="5"/>
              <c:pt idx="1">
                <c:v>Base Coproduct Price</c:v>
              </c:pt>
              <c:pt idx="2">
                <c:v>High Coproduct Price</c:v>
              </c:pt>
              <c:pt idx="3">
                <c:v>Low Coproduct Price</c:v>
              </c:pt>
            </c:strLit>
          </c:cat>
          <c:val>
            <c:numRef>
              <c:f>AB_DCFROR!$C$215:$G$215</c:f>
              <c:numCache>
                <c:formatCode>_("$"* #,##0.00_);_("$"* \(#,##0.00\);_("$"* "-"??_);_(@_)</c:formatCode>
                <c:ptCount val="5"/>
                <c:pt idx="1">
                  <c:v>1.7700866772880817E-3</c:v>
                </c:pt>
                <c:pt idx="2">
                  <c:v>1.4814233094460195E-3</c:v>
                </c:pt>
                <c:pt idx="3">
                  <c:v>1.9813920056421662E-3</c:v>
                </c:pt>
              </c:numCache>
            </c:numRef>
          </c:val>
          <c:extLst>
            <c:ext xmlns:c16="http://schemas.microsoft.com/office/drawing/2014/chart" uri="{C3380CC4-5D6E-409C-BE32-E72D297353CC}">
              <c16:uniqueId val="{0000000D-2B23-49CE-A0B6-42E2DCC3EBAF}"/>
            </c:ext>
          </c:extLst>
        </c:ser>
        <c:ser>
          <c:idx val="29"/>
          <c:order val="14"/>
          <c:tx>
            <c:strRef>
              <c:f>AB_DCFROR!$B$216</c:f>
              <c:strCache>
                <c:ptCount val="1"/>
                <c:pt idx="0">
                  <c:v>Alcohol Conversion</c:v>
                </c:pt>
              </c:strCache>
            </c:strRef>
          </c:tx>
          <c:spPr>
            <a:solidFill>
              <a:srgbClr val="88AED8"/>
            </a:solidFill>
            <a:ln>
              <a:noFill/>
            </a:ln>
          </c:spPr>
          <c:invertIfNegative val="0"/>
          <c:cat>
            <c:strLit>
              <c:ptCount val="5"/>
              <c:pt idx="1">
                <c:v>Base Coproduct Price</c:v>
              </c:pt>
              <c:pt idx="2">
                <c:v>High Coproduct Price</c:v>
              </c:pt>
              <c:pt idx="3">
                <c:v>Low Coproduct Price</c:v>
              </c:pt>
            </c:strLit>
          </c:cat>
          <c:val>
            <c:numRef>
              <c:f>AB_DCFROR!$C$216:$G$216</c:f>
              <c:numCache>
                <c:formatCode>_("$"* #,##0.00_);_("$"* \(#,##0.00\);_("$"* "-"??_);_(@_)</c:formatCode>
                <c:ptCount val="5"/>
                <c:pt idx="1">
                  <c:v>4.058851811751063E-2</c:v>
                </c:pt>
                <c:pt idx="2">
                  <c:v>3.3969396870030429E-2</c:v>
                </c:pt>
                <c:pt idx="3">
                  <c:v>4.5433800700715142E-2</c:v>
                </c:pt>
              </c:numCache>
            </c:numRef>
          </c:val>
          <c:extLst>
            <c:ext xmlns:c16="http://schemas.microsoft.com/office/drawing/2014/chart" uri="{C3380CC4-5D6E-409C-BE32-E72D297353CC}">
              <c16:uniqueId val="{0000000E-2B23-49CE-A0B6-42E2DCC3EBAF}"/>
            </c:ext>
          </c:extLst>
        </c:ser>
        <c:ser>
          <c:idx val="24"/>
          <c:order val="15"/>
          <c:tx>
            <c:strRef>
              <c:f>AB_DCFROR!$B$217</c:f>
              <c:strCache>
                <c:ptCount val="1"/>
                <c:pt idx="0">
                  <c:v>Electrodialysis B</c:v>
                </c:pt>
              </c:strCache>
            </c:strRef>
          </c:tx>
          <c:spPr>
            <a:solidFill>
              <a:srgbClr val="36D632"/>
            </a:solidFill>
            <a:ln>
              <a:noFill/>
            </a:ln>
          </c:spPr>
          <c:invertIfNegative val="0"/>
          <c:cat>
            <c:strLit>
              <c:ptCount val="5"/>
              <c:pt idx="1">
                <c:v>Base Coproduct Price</c:v>
              </c:pt>
              <c:pt idx="2">
                <c:v>High Coproduct Price</c:v>
              </c:pt>
              <c:pt idx="3">
                <c:v>Low Coproduct Price</c:v>
              </c:pt>
            </c:strLit>
          </c:cat>
          <c:val>
            <c:numRef>
              <c:f>AB_DCFROR!$C$217:$G$217</c:f>
              <c:numCache>
                <c:formatCode>_("$"* #,##0.00_);_("$"* \(#,##0.00\);_("$"* "-"??_);_(@_)</c:formatCode>
                <c:ptCount val="5"/>
                <c:pt idx="1">
                  <c:v>2.0545408278493216E-2</c:v>
                </c:pt>
                <c:pt idx="2">
                  <c:v>1.719489057591022E-2</c:v>
                </c:pt>
                <c:pt idx="3">
                  <c:v>2.2998030682898317E-2</c:v>
                </c:pt>
              </c:numCache>
            </c:numRef>
          </c:val>
          <c:extLst>
            <c:ext xmlns:c16="http://schemas.microsoft.com/office/drawing/2014/chart" uri="{C3380CC4-5D6E-409C-BE32-E72D297353CC}">
              <c16:uniqueId val="{0000000F-2B23-49CE-A0B6-42E2DCC3EBAF}"/>
            </c:ext>
          </c:extLst>
        </c:ser>
        <c:ser>
          <c:idx val="27"/>
          <c:order val="16"/>
          <c:tx>
            <c:strRef>
              <c:f>AB_DCFROR!$B$219</c:f>
              <c:strCache>
                <c:ptCount val="1"/>
                <c:pt idx="0">
                  <c:v>Liquid-Liquid Extraction B</c:v>
                </c:pt>
              </c:strCache>
            </c:strRef>
          </c:tx>
          <c:spPr>
            <a:solidFill>
              <a:srgbClr val="A02B93"/>
            </a:solidFill>
            <a:ln w="38100">
              <a:noFill/>
            </a:ln>
          </c:spPr>
          <c:invertIfNegative val="0"/>
          <c:cat>
            <c:strLit>
              <c:ptCount val="5"/>
              <c:pt idx="1">
                <c:v>Base Coproduct Price</c:v>
              </c:pt>
              <c:pt idx="2">
                <c:v>High Coproduct Price</c:v>
              </c:pt>
              <c:pt idx="3">
                <c:v>Low Coproduct Price</c:v>
              </c:pt>
            </c:strLit>
          </c:cat>
          <c:val>
            <c:numRef>
              <c:f>AB_DCFROR!$C$219:$G$219</c:f>
              <c:numCache>
                <c:formatCode>_("$"* #,##0.00_);_("$"* \(#,##0.00\);_("$"* "-"??_);_(@_)</c:formatCode>
                <c:ptCount val="5"/>
                <c:pt idx="1">
                  <c:v>4.593302587206729E-3</c:v>
                </c:pt>
                <c:pt idx="2">
                  <c:v>3.8442329448250528E-3</c:v>
                </c:pt>
                <c:pt idx="3">
                  <c:v>5.1416312786052784E-3</c:v>
                </c:pt>
              </c:numCache>
            </c:numRef>
          </c:val>
          <c:extLst>
            <c:ext xmlns:c16="http://schemas.microsoft.com/office/drawing/2014/chart" uri="{C3380CC4-5D6E-409C-BE32-E72D297353CC}">
              <c16:uniqueId val="{00000010-2B23-49CE-A0B6-42E2DCC3EBAF}"/>
            </c:ext>
          </c:extLst>
        </c:ser>
        <c:ser>
          <c:idx val="28"/>
          <c:order val="17"/>
          <c:tx>
            <c:strRef>
              <c:f>AB_DCFROR!$B$218</c:f>
              <c:strCache>
                <c:ptCount val="1"/>
                <c:pt idx="0">
                  <c:v>Supercritical CO2 Extraction</c:v>
                </c:pt>
              </c:strCache>
            </c:strRef>
          </c:tx>
          <c:spPr>
            <a:solidFill>
              <a:srgbClr val="00FFFF"/>
            </a:solidFill>
            <a:ln>
              <a:noFill/>
            </a:ln>
          </c:spPr>
          <c:invertIfNegative val="0"/>
          <c:cat>
            <c:strLit>
              <c:ptCount val="5"/>
              <c:pt idx="1">
                <c:v>Base Coproduct Price</c:v>
              </c:pt>
              <c:pt idx="2">
                <c:v>High Coproduct Price</c:v>
              </c:pt>
              <c:pt idx="3">
                <c:v>Low Coproduct Price</c:v>
              </c:pt>
            </c:strLit>
          </c:cat>
          <c:val>
            <c:numRef>
              <c:f>AB_DCFROR!$C$218:$G$218</c:f>
              <c:numCache>
                <c:formatCode>_("$"* #,##0.00_);_("$"* \(#,##0.00\);_("$"* "-"??_);_(@_)</c:formatCode>
                <c:ptCount val="5"/>
                <c:pt idx="1">
                  <c:v>1.2423844082815515E-2</c:v>
                </c:pt>
                <c:pt idx="2">
                  <c:v>1.0397780206675434E-2</c:v>
                </c:pt>
                <c:pt idx="3">
                  <c:v>1.3906949112090883E-2</c:v>
                </c:pt>
              </c:numCache>
            </c:numRef>
          </c:val>
          <c:extLst>
            <c:ext xmlns:c16="http://schemas.microsoft.com/office/drawing/2014/chart" uri="{C3380CC4-5D6E-409C-BE32-E72D297353CC}">
              <c16:uniqueId val="{00000011-2B23-49CE-A0B6-42E2DCC3EBAF}"/>
            </c:ext>
          </c:extLst>
        </c:ser>
        <c:ser>
          <c:idx val="30"/>
          <c:order val="18"/>
          <c:tx>
            <c:strRef>
              <c:f>AB_DCFROR!$B$220</c:f>
              <c:strCache>
                <c:ptCount val="1"/>
                <c:pt idx="0">
                  <c:v>Esterification</c:v>
                </c:pt>
              </c:strCache>
            </c:strRef>
          </c:tx>
          <c:spPr>
            <a:solidFill>
              <a:srgbClr val="7030A0"/>
            </a:solidFill>
            <a:ln w="38100">
              <a:noFill/>
            </a:ln>
          </c:spPr>
          <c:invertIfNegative val="0"/>
          <c:cat>
            <c:strLit>
              <c:ptCount val="5"/>
              <c:pt idx="1">
                <c:v>Base Coproduct Price</c:v>
              </c:pt>
              <c:pt idx="2">
                <c:v>High Coproduct Price</c:v>
              </c:pt>
              <c:pt idx="3">
                <c:v>Low Coproduct Price</c:v>
              </c:pt>
            </c:strLit>
          </c:cat>
          <c:val>
            <c:numRef>
              <c:f>AB_DCFROR!$C$220:$G$220</c:f>
              <c:numCache>
                <c:formatCode>_("$"* #,##0.00_);_("$"* \(#,##0.00\);_("$"* "-"??_);_(@_)</c:formatCode>
                <c:ptCount val="5"/>
                <c:pt idx="1">
                  <c:v>8.3005391307369239E-3</c:v>
                </c:pt>
                <c:pt idx="2">
                  <c:v>6.946898311263436E-3</c:v>
                </c:pt>
                <c:pt idx="3">
                  <c:v>9.2914217632323499E-3</c:v>
                </c:pt>
              </c:numCache>
            </c:numRef>
          </c:val>
          <c:extLst>
            <c:ext xmlns:c16="http://schemas.microsoft.com/office/drawing/2014/chart" uri="{C3380CC4-5D6E-409C-BE32-E72D297353CC}">
              <c16:uniqueId val="{00000012-2B23-49CE-A0B6-42E2DCC3EBAF}"/>
            </c:ext>
          </c:extLst>
        </c:ser>
        <c:ser>
          <c:idx val="31"/>
          <c:order val="19"/>
          <c:tx>
            <c:strRef>
              <c:f>AB_DCFROR!$B$221</c:f>
              <c:strCache>
                <c:ptCount val="1"/>
                <c:pt idx="0">
                  <c:v>Ester Separations</c:v>
                </c:pt>
              </c:strCache>
            </c:strRef>
          </c:tx>
          <c:spPr>
            <a:solidFill>
              <a:srgbClr val="8F809D"/>
            </a:solidFill>
            <a:ln>
              <a:noFill/>
            </a:ln>
          </c:spPr>
          <c:invertIfNegative val="0"/>
          <c:cat>
            <c:strLit>
              <c:ptCount val="5"/>
              <c:pt idx="1">
                <c:v>Base Coproduct Price</c:v>
              </c:pt>
              <c:pt idx="2">
                <c:v>High Coproduct Price</c:v>
              </c:pt>
              <c:pt idx="3">
                <c:v>Low Coproduct Price</c:v>
              </c:pt>
            </c:strLit>
          </c:cat>
          <c:val>
            <c:numRef>
              <c:f>AB_DCFROR!$C$221:$G$221</c:f>
              <c:numCache>
                <c:formatCode>_("$"* #,##0.00_);_("$"* \(#,##0.00\);_("$"* "-"??_);_(@_)</c:formatCode>
                <c:ptCount val="5"/>
                <c:pt idx="1">
                  <c:v>0.45998582830349521</c:v>
                </c:pt>
                <c:pt idx="2">
                  <c:v>0.384971954654585</c:v>
                </c:pt>
                <c:pt idx="3">
                  <c:v>0.5148969565183068</c:v>
                </c:pt>
              </c:numCache>
            </c:numRef>
          </c:val>
          <c:extLst>
            <c:ext xmlns:c16="http://schemas.microsoft.com/office/drawing/2014/chart" uri="{C3380CC4-5D6E-409C-BE32-E72D297353CC}">
              <c16:uniqueId val="{00000013-2B23-49CE-A0B6-42E2DCC3EBAF}"/>
            </c:ext>
          </c:extLst>
        </c:ser>
        <c:ser>
          <c:idx val="14"/>
          <c:order val="20"/>
          <c:tx>
            <c:strRef>
              <c:f>AB_DCFROR!$B$222</c:f>
              <c:strCache>
                <c:ptCount val="1"/>
                <c:pt idx="0">
                  <c:v>Overhead and Benefits</c:v>
                </c:pt>
              </c:strCache>
            </c:strRef>
          </c:tx>
          <c:spPr>
            <a:solidFill>
              <a:srgbClr val="467B76"/>
            </a:solidFill>
            <a:ln w="38100">
              <a:noFill/>
            </a:ln>
          </c:spPr>
          <c:invertIfNegative val="0"/>
          <c:dPt>
            <c:idx val="0"/>
            <c:invertIfNegative val="0"/>
            <c:bubble3D val="0"/>
            <c:extLst>
              <c:ext xmlns:c16="http://schemas.microsoft.com/office/drawing/2014/chart" uri="{C3380CC4-5D6E-409C-BE32-E72D297353CC}">
                <c16:uniqueId val="{00000014-2B23-49CE-A0B6-42E2DCC3EBAF}"/>
              </c:ext>
            </c:extLst>
          </c:dPt>
          <c:cat>
            <c:strLit>
              <c:ptCount val="5"/>
              <c:pt idx="1">
                <c:v>Base Coproduct Price</c:v>
              </c:pt>
              <c:pt idx="2">
                <c:v>High Coproduct Price</c:v>
              </c:pt>
              <c:pt idx="3">
                <c:v>Low Coproduct Price</c:v>
              </c:pt>
            </c:strLit>
          </c:cat>
          <c:val>
            <c:numRef>
              <c:f>AB_DCFROR!$C$222:$G$222</c:f>
              <c:numCache>
                <c:formatCode>_("$"* #,##0.00_);_("$"* \(#,##0.00\);_("$"* "-"??_);_(@_)</c:formatCode>
                <c:ptCount val="5"/>
                <c:pt idx="1">
                  <c:v>0.23093854557779217</c:v>
                </c:pt>
                <c:pt idx="2">
                  <c:v>0.19327739644515929</c:v>
                </c:pt>
                <c:pt idx="3">
                  <c:v>0.25850699509445285</c:v>
                </c:pt>
              </c:numCache>
            </c:numRef>
          </c:val>
          <c:extLst>
            <c:ext xmlns:c16="http://schemas.microsoft.com/office/drawing/2014/chart" uri="{C3380CC4-5D6E-409C-BE32-E72D297353CC}">
              <c16:uniqueId val="{00000015-2B23-49CE-A0B6-42E2DCC3EBAF}"/>
            </c:ext>
          </c:extLst>
        </c:ser>
        <c:ser>
          <c:idx val="15"/>
          <c:order val="21"/>
          <c:tx>
            <c:strRef>
              <c:f>AB_DCFROR!$B$223</c:f>
              <c:strCache>
                <c:ptCount val="1"/>
                <c:pt idx="0">
                  <c:v>Plant Maintenance</c:v>
                </c:pt>
              </c:strCache>
            </c:strRef>
          </c:tx>
          <c:spPr>
            <a:solidFill>
              <a:srgbClr val="76915F"/>
            </a:solidFill>
            <a:ln w="38100">
              <a:noFill/>
            </a:ln>
          </c:spPr>
          <c:invertIfNegative val="0"/>
          <c:cat>
            <c:strLit>
              <c:ptCount val="5"/>
              <c:pt idx="1">
                <c:v>Base Coproduct Price</c:v>
              </c:pt>
              <c:pt idx="2">
                <c:v>High Coproduct Price</c:v>
              </c:pt>
              <c:pt idx="3">
                <c:v>Low Coproduct Price</c:v>
              </c:pt>
            </c:strLit>
          </c:cat>
          <c:val>
            <c:numRef>
              <c:f>AB_DCFROR!$C$223:$G$223</c:f>
              <c:numCache>
                <c:formatCode>_("$"* #,##0.00_);_("$"* \(#,##0.00\);_("$"* "-"??_);_(@_)</c:formatCode>
                <c:ptCount val="5"/>
                <c:pt idx="1">
                  <c:v>0.39765882804498226</c:v>
                </c:pt>
                <c:pt idx="2">
                  <c:v>0.33280915823589752</c:v>
                </c:pt>
                <c:pt idx="3">
                  <c:v>0.44512962724995803</c:v>
                </c:pt>
              </c:numCache>
            </c:numRef>
          </c:val>
          <c:extLst>
            <c:ext xmlns:c16="http://schemas.microsoft.com/office/drawing/2014/chart" uri="{C3380CC4-5D6E-409C-BE32-E72D297353CC}">
              <c16:uniqueId val="{00000016-2B23-49CE-A0B6-42E2DCC3EBAF}"/>
            </c:ext>
          </c:extLst>
        </c:ser>
        <c:ser>
          <c:idx val="16"/>
          <c:order val="22"/>
          <c:tx>
            <c:strRef>
              <c:f>AB_DCFROR!$B$224</c:f>
              <c:strCache>
                <c:ptCount val="1"/>
                <c:pt idx="0">
                  <c:v>Insurance</c:v>
                </c:pt>
              </c:strCache>
            </c:strRef>
          </c:tx>
          <c:spPr>
            <a:solidFill>
              <a:srgbClr val="339966"/>
            </a:solidFill>
            <a:ln w="38100">
              <a:noFill/>
            </a:ln>
          </c:spPr>
          <c:invertIfNegative val="0"/>
          <c:cat>
            <c:strLit>
              <c:ptCount val="5"/>
              <c:pt idx="1">
                <c:v>Base Coproduct Price</c:v>
              </c:pt>
              <c:pt idx="2">
                <c:v>High Coproduct Price</c:v>
              </c:pt>
              <c:pt idx="3">
                <c:v>Low Coproduct Price</c:v>
              </c:pt>
            </c:strLit>
          </c:cat>
          <c:val>
            <c:numRef>
              <c:f>AB_DCFROR!$C$224:$G$224</c:f>
              <c:numCache>
                <c:formatCode>_("$"* #,##0.00_);_("$"* \(#,##0.00\);_("$"* "-"??_);_(@_)</c:formatCode>
                <c:ptCount val="5"/>
                <c:pt idx="1">
                  <c:v>9.2787059877162528E-2</c:v>
                </c:pt>
                <c:pt idx="2">
                  <c:v>7.7655470255042741E-2</c:v>
                </c:pt>
                <c:pt idx="3">
                  <c:v>0.10386357969165688</c:v>
                </c:pt>
              </c:numCache>
            </c:numRef>
          </c:val>
          <c:extLst>
            <c:ext xmlns:c16="http://schemas.microsoft.com/office/drawing/2014/chart" uri="{C3380CC4-5D6E-409C-BE32-E72D297353CC}">
              <c16:uniqueId val="{00000017-2B23-49CE-A0B6-42E2DCC3EBAF}"/>
            </c:ext>
          </c:extLst>
        </c:ser>
        <c:ser>
          <c:idx val="17"/>
          <c:order val="23"/>
          <c:tx>
            <c:strRef>
              <c:f>AB_DCFROR!$B$225</c:f>
              <c:strCache>
                <c:ptCount val="1"/>
                <c:pt idx="0">
                  <c:v>Tax</c:v>
                </c:pt>
              </c:strCache>
            </c:strRef>
          </c:tx>
          <c:spPr>
            <a:solidFill>
              <a:srgbClr val="336699"/>
            </a:solidFill>
          </c:spPr>
          <c:invertIfNegative val="0"/>
          <c:cat>
            <c:strLit>
              <c:ptCount val="5"/>
              <c:pt idx="1">
                <c:v>Base Coproduct Price</c:v>
              </c:pt>
              <c:pt idx="2">
                <c:v>High Coproduct Price</c:v>
              </c:pt>
              <c:pt idx="3">
                <c:v>Low Coproduct Price</c:v>
              </c:pt>
            </c:strLit>
          </c:cat>
          <c:val>
            <c:numRef>
              <c:f>AB_DCFROR!$C$225:$G$225</c:f>
              <c:numCache>
                <c:formatCode>_("$"* #,##0.00_);_("$"* \(#,##0.00\);_("$"* "-"??_);_(@_)</c:formatCode>
                <c:ptCount val="5"/>
                <c:pt idx="1">
                  <c:v>0.19497140792806494</c:v>
                </c:pt>
                <c:pt idx="2">
                  <c:v>0.163216897908151</c:v>
                </c:pt>
                <c:pt idx="3">
                  <c:v>0.21834531773570756</c:v>
                </c:pt>
              </c:numCache>
            </c:numRef>
          </c:val>
          <c:extLst>
            <c:ext xmlns:c16="http://schemas.microsoft.com/office/drawing/2014/chart" uri="{C3380CC4-5D6E-409C-BE32-E72D297353CC}">
              <c16:uniqueId val="{00000018-2B23-49CE-A0B6-42E2DCC3EBAF}"/>
            </c:ext>
          </c:extLst>
        </c:ser>
        <c:ser>
          <c:idx val="18"/>
          <c:order val="24"/>
          <c:tx>
            <c:strRef>
              <c:f>AB_DCFROR!$B$226</c:f>
              <c:strCache>
                <c:ptCount val="1"/>
                <c:pt idx="0">
                  <c:v>Ammonia Sulfate</c:v>
                </c:pt>
              </c:strCache>
            </c:strRef>
          </c:tx>
          <c:spPr>
            <a:solidFill>
              <a:srgbClr val="99BC7A"/>
            </a:solidFill>
            <a:ln>
              <a:noFill/>
            </a:ln>
          </c:spPr>
          <c:invertIfNegative val="0"/>
          <c:cat>
            <c:strLit>
              <c:ptCount val="5"/>
              <c:pt idx="1">
                <c:v>Base Coproduct Price</c:v>
              </c:pt>
              <c:pt idx="2">
                <c:v>High Coproduct Price</c:v>
              </c:pt>
              <c:pt idx="3">
                <c:v>Low Coproduct Price</c:v>
              </c:pt>
            </c:strLit>
          </c:cat>
          <c:val>
            <c:numRef>
              <c:f>AB_DCFROR!$C$226:$G$226</c:f>
              <c:numCache>
                <c:formatCode>_("$"* #,##0.00_);_("$"* \(#,##0.00\);_("$"* "-"??_);_(@_)</c:formatCode>
                <c:ptCount val="5"/>
                <c:pt idx="1">
                  <c:v>-1.2712756349430936E-3</c:v>
                </c:pt>
                <c:pt idx="2">
                  <c:v>-2.6972594285631698E-3</c:v>
                </c:pt>
                <c:pt idx="3">
                  <c:v>-1.2532020891044043E-3</c:v>
                </c:pt>
              </c:numCache>
            </c:numRef>
          </c:val>
          <c:extLst>
            <c:ext xmlns:c16="http://schemas.microsoft.com/office/drawing/2014/chart" uri="{C3380CC4-5D6E-409C-BE32-E72D297353CC}">
              <c16:uniqueId val="{00000019-2B23-49CE-A0B6-42E2DCC3EBAF}"/>
            </c:ext>
          </c:extLst>
        </c:ser>
        <c:ser>
          <c:idx val="19"/>
          <c:order val="25"/>
          <c:tx>
            <c:strRef>
              <c:f>AB_DCFROR!$B$227</c:f>
              <c:strCache>
                <c:ptCount val="1"/>
                <c:pt idx="0">
                  <c:v>Magnesium Sulfate</c:v>
                </c:pt>
              </c:strCache>
            </c:strRef>
          </c:tx>
          <c:spPr>
            <a:solidFill>
              <a:srgbClr val="373BE9"/>
            </a:solidFill>
            <a:ln>
              <a:noFill/>
            </a:ln>
          </c:spPr>
          <c:invertIfNegative val="0"/>
          <c:cat>
            <c:strLit>
              <c:ptCount val="5"/>
              <c:pt idx="1">
                <c:v>Base Coproduct Price</c:v>
              </c:pt>
              <c:pt idx="2">
                <c:v>High Coproduct Price</c:v>
              </c:pt>
              <c:pt idx="3">
                <c:v>Low Coproduct Price</c:v>
              </c:pt>
            </c:strLit>
          </c:cat>
          <c:val>
            <c:numRef>
              <c:f>AB_DCFROR!$C$227:$G$227</c:f>
              <c:numCache>
                <c:formatCode>_("$"* #,##0.00_);_("$"* \(#,##0.00\);_("$"* "-"??_);_(@_)</c:formatCode>
                <c:ptCount val="5"/>
                <c:pt idx="1">
                  <c:v>-5.0851025397723746E-3</c:v>
                </c:pt>
                <c:pt idx="2">
                  <c:v>-4.4954323809386154E-3</c:v>
                </c:pt>
                <c:pt idx="3">
                  <c:v>-4.9468503517279116E-3</c:v>
                </c:pt>
              </c:numCache>
            </c:numRef>
          </c:val>
          <c:extLst>
            <c:ext xmlns:c16="http://schemas.microsoft.com/office/drawing/2014/chart" uri="{C3380CC4-5D6E-409C-BE32-E72D297353CC}">
              <c16:uniqueId val="{0000001A-2B23-49CE-A0B6-42E2DCC3EBAF}"/>
            </c:ext>
          </c:extLst>
        </c:ser>
        <c:ser>
          <c:idx val="20"/>
          <c:order val="26"/>
          <c:tx>
            <c:strRef>
              <c:f>AB_DCFROR!$B$228</c:f>
              <c:strCache>
                <c:ptCount val="1"/>
                <c:pt idx="0">
                  <c:v>Naphtha</c:v>
                </c:pt>
              </c:strCache>
            </c:strRef>
          </c:tx>
          <c:spPr>
            <a:solidFill>
              <a:srgbClr val="D3B0D4"/>
            </a:solidFill>
          </c:spPr>
          <c:invertIfNegative val="0"/>
          <c:cat>
            <c:strLit>
              <c:ptCount val="5"/>
              <c:pt idx="1">
                <c:v>Base Coproduct Price</c:v>
              </c:pt>
              <c:pt idx="2">
                <c:v>High Coproduct Price</c:v>
              </c:pt>
              <c:pt idx="3">
                <c:v>Low Coproduct Price</c:v>
              </c:pt>
            </c:strLit>
          </c:cat>
          <c:val>
            <c:numRef>
              <c:f>AB_DCFROR!$C$228:$G$228</c:f>
              <c:numCache>
                <c:formatCode>_("$"* #,##0.00_);_("$"* \(#,##0.00\);_("$"* "-"??_);_(@_)</c:formatCode>
                <c:ptCount val="5"/>
                <c:pt idx="1">
                  <c:v>-1.8362870282511356E-3</c:v>
                </c:pt>
                <c:pt idx="2">
                  <c:v>-1.9105587618989117E-3</c:v>
                </c:pt>
                <c:pt idx="3">
                  <c:v>-1.4840551055183737E-3</c:v>
                </c:pt>
              </c:numCache>
            </c:numRef>
          </c:val>
          <c:extLst>
            <c:ext xmlns:c16="http://schemas.microsoft.com/office/drawing/2014/chart" uri="{C3380CC4-5D6E-409C-BE32-E72D297353CC}">
              <c16:uniqueId val="{0000001B-2B23-49CE-A0B6-42E2DCC3EBAF}"/>
            </c:ext>
          </c:extLst>
        </c:ser>
        <c:ser>
          <c:idx val="21"/>
          <c:order val="27"/>
          <c:tx>
            <c:strRef>
              <c:f>AB_DCFROR!$B$229</c:f>
              <c:strCache>
                <c:ptCount val="1"/>
                <c:pt idx="0">
                  <c:v>Pentyl Caproate</c:v>
                </c:pt>
              </c:strCache>
            </c:strRef>
          </c:tx>
          <c:spPr>
            <a:solidFill>
              <a:srgbClr val="645AA5"/>
            </a:solidFill>
          </c:spPr>
          <c:invertIfNegative val="0"/>
          <c:cat>
            <c:strLit>
              <c:ptCount val="5"/>
              <c:pt idx="1">
                <c:v>Base Coproduct Price</c:v>
              </c:pt>
              <c:pt idx="2">
                <c:v>High Coproduct Price</c:v>
              </c:pt>
              <c:pt idx="3">
                <c:v>Low Coproduct Price</c:v>
              </c:pt>
            </c:strLit>
          </c:cat>
          <c:val>
            <c:numRef>
              <c:f>AB_DCFROR!$C$229:$G$229</c:f>
              <c:numCache>
                <c:formatCode>_("$"* #,##0.00_);_("$"* \(#,##0.00\);_("$"* "-"??_);_(@_)</c:formatCode>
                <c:ptCount val="5"/>
                <c:pt idx="1">
                  <c:v>-0.50851025397723748</c:v>
                </c:pt>
                <c:pt idx="2">
                  <c:v>-0.44954323809386165</c:v>
                </c:pt>
                <c:pt idx="3">
                  <c:v>-0.5276640375176439</c:v>
                </c:pt>
              </c:numCache>
            </c:numRef>
          </c:val>
          <c:extLst>
            <c:ext xmlns:c16="http://schemas.microsoft.com/office/drawing/2014/chart" uri="{C3380CC4-5D6E-409C-BE32-E72D297353CC}">
              <c16:uniqueId val="{0000001C-2B23-49CE-A0B6-42E2DCC3EBAF}"/>
            </c:ext>
          </c:extLst>
        </c:ser>
        <c:ser>
          <c:idx val="25"/>
          <c:order val="28"/>
          <c:tx>
            <c:strRef>
              <c:f>AB_DCFROR!$B$230</c:f>
              <c:strCache>
                <c:ptCount val="1"/>
                <c:pt idx="0">
                  <c:v>Other Esters</c:v>
                </c:pt>
              </c:strCache>
            </c:strRef>
          </c:tx>
          <c:spPr>
            <a:solidFill>
              <a:srgbClr val="826592"/>
            </a:solidFill>
          </c:spPr>
          <c:invertIfNegative val="0"/>
          <c:cat>
            <c:strLit>
              <c:ptCount val="5"/>
              <c:pt idx="1">
                <c:v>Base Coproduct Price</c:v>
              </c:pt>
              <c:pt idx="2">
                <c:v>High Coproduct Price</c:v>
              </c:pt>
              <c:pt idx="3">
                <c:v>Low Coproduct Price</c:v>
              </c:pt>
            </c:strLit>
          </c:cat>
          <c:val>
            <c:numRef>
              <c:f>AB_DCFROR!$C$230:$G$230</c:f>
              <c:numCache>
                <c:formatCode>_("$"* #,##0.00_);_("$"* \(#,##0.00\);_("$"* "-"??_);_(@_)</c:formatCode>
                <c:ptCount val="5"/>
                <c:pt idx="1">
                  <c:v>-0.40963326014833024</c:v>
                </c:pt>
                <c:pt idx="2">
                  <c:v>-0.39335033333212893</c:v>
                </c:pt>
                <c:pt idx="3">
                  <c:v>-0.37925852696580653</c:v>
                </c:pt>
              </c:numCache>
            </c:numRef>
          </c:val>
          <c:extLst>
            <c:ext xmlns:c16="http://schemas.microsoft.com/office/drawing/2014/chart" uri="{C3380CC4-5D6E-409C-BE32-E72D297353CC}">
              <c16:uniqueId val="{0000001D-2B23-49CE-A0B6-42E2DCC3EBAF}"/>
            </c:ext>
          </c:extLst>
        </c:ser>
        <c:ser>
          <c:idx val="26"/>
          <c:order val="29"/>
          <c:tx>
            <c:strRef>
              <c:f>AB_DCFROR!$B$231</c:f>
              <c:strCache>
                <c:ptCount val="1"/>
                <c:pt idx="0">
                  <c:v>Waste Collection</c:v>
                </c:pt>
              </c:strCache>
            </c:strRef>
          </c:tx>
          <c:spPr>
            <a:solidFill>
              <a:srgbClr val="663300"/>
            </a:solidFill>
          </c:spPr>
          <c:invertIfNegative val="0"/>
          <c:cat>
            <c:strLit>
              <c:ptCount val="5"/>
              <c:pt idx="1">
                <c:v>Base Coproduct Price</c:v>
              </c:pt>
              <c:pt idx="2">
                <c:v>High Coproduct Price</c:v>
              </c:pt>
              <c:pt idx="3">
                <c:v>Low Coproduct Price</c:v>
              </c:pt>
            </c:strLit>
          </c:cat>
          <c:val>
            <c:numRef>
              <c:f>AB_DCFROR!$C$231:$G$231</c:f>
              <c:numCache>
                <c:formatCode>_("$"* #,##0.00_);_("$"* \(#,##0.00\);_("$"* "-"??_);_(@_)</c:formatCode>
                <c:ptCount val="5"/>
                <c:pt idx="1">
                  <c:v>-8.4751708996206243E-5</c:v>
                </c:pt>
                <c:pt idx="2">
                  <c:v>-1.1238580952346542E-4</c:v>
                </c:pt>
                <c:pt idx="3">
                  <c:v>-3.2979002344852737E-5</c:v>
                </c:pt>
              </c:numCache>
            </c:numRef>
          </c:val>
          <c:extLst>
            <c:ext xmlns:c16="http://schemas.microsoft.com/office/drawing/2014/chart" uri="{C3380CC4-5D6E-409C-BE32-E72D297353CC}">
              <c16:uniqueId val="{0000001E-2B23-49CE-A0B6-42E2DCC3EBAF}"/>
            </c:ext>
          </c:extLst>
        </c:ser>
        <c:dLbls>
          <c:showLegendKey val="0"/>
          <c:showVal val="0"/>
          <c:showCatName val="0"/>
          <c:showSerName val="0"/>
          <c:showPercent val="0"/>
          <c:showBubbleSize val="0"/>
        </c:dLbls>
        <c:gapWidth val="8"/>
        <c:overlap val="100"/>
        <c:axId val="208777487"/>
        <c:axId val="208771727"/>
      </c:barChart>
      <c:lineChart>
        <c:grouping val="standard"/>
        <c:varyColors val="0"/>
        <c:ser>
          <c:idx val="23"/>
          <c:order val="31"/>
          <c:tx>
            <c:v>Jet Fuel Market Value</c:v>
          </c:tx>
          <c:spPr>
            <a:ln>
              <a:solidFill>
                <a:srgbClr val="000000"/>
              </a:solidFill>
            </a:ln>
          </c:spPr>
          <c:marker>
            <c:symbol val="none"/>
          </c:marker>
          <c:cat>
            <c:strLit>
              <c:ptCount val="5"/>
              <c:pt idx="1">
                <c:v>Base Coproduct Price</c:v>
              </c:pt>
              <c:pt idx="2">
                <c:v>High Coproduct Price</c:v>
              </c:pt>
              <c:pt idx="3">
                <c:v>Low Coproduct Price</c:v>
              </c:pt>
            </c:strLit>
          </c:cat>
          <c:val>
            <c:numRef>
              <c:f>AB_DCFROR!$C$233:$G$233</c:f>
              <c:numCache>
                <c:formatCode>_("$"* #,##0.00_);_("$"* \(#,##0.00\);_("$"* "-"??_);_(@_)</c:formatCode>
                <c:ptCount val="5"/>
                <c:pt idx="0">
                  <c:v>3.6355198293271981E-2</c:v>
                </c:pt>
                <c:pt idx="1">
                  <c:v>3.6355198293271981E-2</c:v>
                </c:pt>
                <c:pt idx="2">
                  <c:v>3.6355198293271981E-2</c:v>
                </c:pt>
                <c:pt idx="3">
                  <c:v>3.6355198293271981E-2</c:v>
                </c:pt>
                <c:pt idx="4">
                  <c:v>3.6355198293271981E-2</c:v>
                </c:pt>
              </c:numCache>
            </c:numRef>
          </c:val>
          <c:smooth val="0"/>
          <c:extLst>
            <c:ext xmlns:c16="http://schemas.microsoft.com/office/drawing/2014/chart" uri="{C3380CC4-5D6E-409C-BE32-E72D297353CC}">
              <c16:uniqueId val="{0000001F-2B23-49CE-A0B6-42E2DCC3EBAF}"/>
            </c:ext>
          </c:extLst>
        </c:ser>
        <c:dLbls>
          <c:showLegendKey val="0"/>
          <c:showVal val="0"/>
          <c:showCatName val="0"/>
          <c:showSerName val="0"/>
          <c:showPercent val="0"/>
          <c:showBubbleSize val="0"/>
        </c:dLbls>
        <c:marker val="1"/>
        <c:smooth val="0"/>
        <c:axId val="1236251264"/>
        <c:axId val="1236262784"/>
      </c:lineChart>
      <c:scatterChart>
        <c:scatterStyle val="lineMarker"/>
        <c:varyColors val="0"/>
        <c:ser>
          <c:idx val="22"/>
          <c:order val="30"/>
          <c:tx>
            <c:v>Minimum Selling Price</c:v>
          </c:tx>
          <c:spPr>
            <a:ln w="38100">
              <a:noFill/>
            </a:ln>
          </c:spPr>
          <c:marker>
            <c:symbol val="dash"/>
            <c:size val="10"/>
            <c:spPr>
              <a:solidFill>
                <a:schemeClr val="bg1"/>
              </a:solidFill>
              <a:ln>
                <a:noFill/>
                <a:miter lim="800000"/>
              </a:ln>
            </c:spPr>
          </c:marker>
          <c:dLbls>
            <c:dLbl>
              <c:idx val="1"/>
              <c:tx>
                <c:rich>
                  <a:bodyPr/>
                  <a:lstStyle/>
                  <a:p>
                    <a:fld id="{604DE5DF-5DE5-874E-A0A4-773D915271DB}" type="SERIESNAME">
                      <a:rPr lang="en-US" sz="800"/>
                      <a:pPr/>
                      <a:t>[SERIES NAME]</a:t>
                    </a:fld>
                    <a:endParaRPr lang="en-US" baseline="0"/>
                  </a:p>
                  <a:p>
                    <a:fld id="{27B14DFA-B060-4B45-A694-0762F4258E8B}" type="YVALUE">
                      <a:rPr lang="en-US"/>
                      <a:pPr/>
                      <a:t>[Y VALUE]</a:t>
                    </a:fld>
                    <a:endParaRPr lang="en-US"/>
                  </a:p>
                </c:rich>
              </c:tx>
              <c:dLblPos val="t"/>
              <c:showLegendKey val="0"/>
              <c:showVal val="1"/>
              <c:showCatName val="0"/>
              <c:showSerName val="1"/>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486B-E64A-A493-E322A79DBDFA}"/>
                </c:ext>
              </c:extLst>
            </c:dLbl>
            <c:dLbl>
              <c:idx val="2"/>
              <c:tx>
                <c:rich>
                  <a:bodyPr/>
                  <a:lstStyle/>
                  <a:p>
                    <a:fld id="{5FB0B788-3A12-6A49-A57D-9D4C9F6A29D1}" type="SERIESNAME">
                      <a:rPr lang="en-US" sz="800"/>
                      <a:pPr/>
                      <a:t>[SERIES NAME]</a:t>
                    </a:fld>
                    <a:endParaRPr lang="en-US" baseline="0"/>
                  </a:p>
                  <a:p>
                    <a:fld id="{053BFC07-A6D9-4B47-A264-C21DD052B3CB}" type="YVALUE">
                      <a:rPr lang="en-US"/>
                      <a:pPr/>
                      <a:t>[Y VALUE]</a:t>
                    </a:fld>
                    <a:endParaRPr lang="en-US"/>
                  </a:p>
                </c:rich>
              </c:tx>
              <c:dLblPos val="t"/>
              <c:showLegendKey val="0"/>
              <c:showVal val="1"/>
              <c:showCatName val="0"/>
              <c:showSerName val="1"/>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2-486B-E64A-A493-E322A79DBDFA}"/>
                </c:ext>
              </c:extLst>
            </c:dLbl>
            <c:dLbl>
              <c:idx val="3"/>
              <c:tx>
                <c:rich>
                  <a:bodyPr/>
                  <a:lstStyle/>
                  <a:p>
                    <a:fld id="{933DF766-AB1C-BA4D-92F4-C13C2F5853D9}" type="SERIESNAME">
                      <a:rPr lang="en-US" sz="800"/>
                      <a:pPr/>
                      <a:t>[SERIES NAME]</a:t>
                    </a:fld>
                    <a:endParaRPr lang="en-US" sz="800" baseline="0"/>
                  </a:p>
                  <a:p>
                    <a:fld id="{865426B5-6512-4B4F-A64C-EFF70ED8A526}" type="YVALUE">
                      <a:rPr lang="en-US"/>
                      <a:pPr/>
                      <a:t>[Y VALUE]</a:t>
                    </a:fld>
                    <a:endParaRPr lang="en-US"/>
                  </a:p>
                </c:rich>
              </c:tx>
              <c:dLblPos val="t"/>
              <c:showLegendKey val="0"/>
              <c:showVal val="1"/>
              <c:showCatName val="0"/>
              <c:showSerName val="1"/>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486B-E64A-A493-E322A79DBDFA}"/>
                </c:ext>
              </c:extLst>
            </c:dLbl>
            <c:spPr>
              <a:noFill/>
              <a:ln>
                <a:noFill/>
              </a:ln>
              <a:effectLst/>
            </c:spPr>
            <c:txPr>
              <a:bodyPr wrap="square" lIns="38100" tIns="19050" rIns="38100" bIns="19050" anchor="ctr">
                <a:spAutoFit/>
              </a:bodyPr>
              <a:lstStyle/>
              <a:p>
                <a:pPr>
                  <a:defRPr sz="1800" b="1" cap="all" baseline="0">
                    <a:solidFill>
                      <a:schemeClr val="bg1"/>
                    </a:solidFill>
                  </a:defRPr>
                </a:pPr>
                <a:endParaRPr lang="en-US"/>
              </a:p>
            </c:txPr>
            <c:dLblPos val="t"/>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ext>
            </c:extLst>
          </c:dLbls>
          <c:xVal>
            <c:strLit>
              <c:ptCount val="5"/>
              <c:pt idx="1">
                <c:v>Base Coproduct Price</c:v>
              </c:pt>
              <c:pt idx="2">
                <c:v>High Coproduct Price</c:v>
              </c:pt>
              <c:pt idx="3">
                <c:v>Low Coproduct Price</c:v>
              </c:pt>
            </c:strLit>
          </c:xVal>
          <c:yVal>
            <c:numRef>
              <c:f>AB_DCFROR!$C$232:$G$232</c:f>
              <c:numCache>
                <c:formatCode>_("$"* #,##0.00_);_("$"* \(#,##0.00\);_("$"* "-"??_);_(@_)</c:formatCode>
                <c:ptCount val="5"/>
                <c:pt idx="1">
                  <c:v>1.0855662210371013</c:v>
                </c:pt>
                <c:pt idx="2">
                  <c:v>0.83180693695006336</c:v>
                </c:pt>
                <c:pt idx="3">
                  <c:v>1.3376289292037875</c:v>
                </c:pt>
              </c:numCache>
            </c:numRef>
          </c:yVal>
          <c:smooth val="0"/>
          <c:extLst>
            <c:ext xmlns:c16="http://schemas.microsoft.com/office/drawing/2014/chart" uri="{C3380CC4-5D6E-409C-BE32-E72D297353CC}">
              <c16:uniqueId val="{00000020-2B23-49CE-A0B6-42E2DCC3EBAF}"/>
            </c:ext>
          </c:extLst>
        </c:ser>
        <c:dLbls>
          <c:showLegendKey val="0"/>
          <c:showVal val="0"/>
          <c:showCatName val="0"/>
          <c:showSerName val="0"/>
          <c:showPercent val="0"/>
          <c:showBubbleSize val="0"/>
        </c:dLbls>
        <c:axId val="1236251264"/>
        <c:axId val="1236262784"/>
      </c:scatterChart>
      <c:catAx>
        <c:axId val="208777487"/>
        <c:scaling>
          <c:orientation val="minMax"/>
        </c:scaling>
        <c:delete val="1"/>
        <c:axPos val="b"/>
        <c:numFmt formatCode="General" sourceLinked="1"/>
        <c:majorTickMark val="none"/>
        <c:minorTickMark val="none"/>
        <c:tickLblPos val="low"/>
        <c:crossAx val="208771727"/>
        <c:crossesAt val="0"/>
        <c:auto val="0"/>
        <c:lblAlgn val="ctr"/>
        <c:lblOffset val="50"/>
        <c:noMultiLvlLbl val="0"/>
      </c:catAx>
      <c:valAx>
        <c:axId val="208771727"/>
        <c:scaling>
          <c:orientation val="minMax"/>
        </c:scaling>
        <c:delete val="0"/>
        <c:axPos val="l"/>
        <c:majorGridlines>
          <c:spPr>
            <a:ln w="9525" cap="flat" cmpd="sng" algn="ctr">
              <a:solidFill>
                <a:schemeClr val="tx1"/>
              </a:solidFill>
              <a:round/>
            </a:ln>
            <a:effectLst/>
          </c:spPr>
        </c:majorGridlines>
        <c:title>
          <c:tx>
            <c:rich>
              <a:bodyPr/>
              <a:lstStyle/>
              <a:p>
                <a:pPr>
                  <a:defRPr sz="1800"/>
                </a:pPr>
                <a:r>
                  <a:rPr lang="en-US" sz="1800"/>
                  <a:t>COST </a:t>
                </a:r>
                <a:r>
                  <a:rPr lang="en-US" sz="1800" b="0"/>
                  <a:t>[USD</a:t>
                </a:r>
                <a:r>
                  <a:rPr lang="en-US" sz="1800" b="0" baseline="0"/>
                  <a:t> (2026) / MJ ]</a:t>
                </a:r>
                <a:endParaRPr lang="en-US" sz="1800" b="0"/>
              </a:p>
            </c:rich>
          </c:tx>
          <c:layout>
            <c:manualLayout>
              <c:xMode val="edge"/>
              <c:yMode val="edge"/>
              <c:x val="2.7056378230682289E-3"/>
              <c:y val="0.28325049749291376"/>
            </c:manualLayout>
          </c:layout>
          <c:overlay val="0"/>
          <c:spPr>
            <a:noFill/>
          </c:spPr>
        </c:title>
        <c:numFmt formatCode="_([$$-45C]* #,##0.00_);_([$$-45C]* \(#,##0.00\);_([$$-45C]* &quot;-&quot;??_);_(@_)" sourceLinked="0"/>
        <c:majorTickMark val="cross"/>
        <c:minorTickMark val="cross"/>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Cond" panose="020B0506020202020204" pitchFamily="34" charset="0"/>
                <a:ea typeface="+mn-ea"/>
                <a:cs typeface="+mn-cs"/>
              </a:defRPr>
            </a:pPr>
            <a:endParaRPr lang="en-US"/>
          </a:p>
        </c:txPr>
        <c:crossAx val="208777487"/>
        <c:crosses val="autoZero"/>
        <c:crossBetween val="between"/>
      </c:valAx>
      <c:valAx>
        <c:axId val="1236262784"/>
        <c:scaling>
          <c:orientation val="minMax"/>
        </c:scaling>
        <c:delete val="1"/>
        <c:axPos val="r"/>
        <c:numFmt formatCode="_(&quot;$&quot;* #,##0_);_(&quot;$&quot;* \(#,##0\);_(&quot;$&quot;* &quot;-&quot;_);_(@_)" sourceLinked="0"/>
        <c:majorTickMark val="none"/>
        <c:minorTickMark val="none"/>
        <c:tickLblPos val="nextTo"/>
        <c:crossAx val="1236251264"/>
        <c:crosses val="max"/>
        <c:crossBetween val="between"/>
      </c:valAx>
      <c:catAx>
        <c:axId val="1236251264"/>
        <c:scaling>
          <c:orientation val="minMax"/>
        </c:scaling>
        <c:delete val="1"/>
        <c:axPos val="b"/>
        <c:numFmt formatCode="General" sourceLinked="1"/>
        <c:majorTickMark val="out"/>
        <c:minorTickMark val="none"/>
        <c:tickLblPos val="nextTo"/>
        <c:crossAx val="1236262784"/>
        <c:crosses val="autoZero"/>
        <c:auto val="1"/>
        <c:lblAlgn val="ctr"/>
        <c:lblOffset val="100"/>
        <c:noMultiLvlLbl val="0"/>
      </c:catAx>
      <c:dTable>
        <c:showHorzBorder val="1"/>
        <c:showVertBorder val="1"/>
        <c:showOutline val="1"/>
        <c:showKeys val="1"/>
      </c:dTable>
      <c:spPr>
        <a:noFill/>
        <a:ln w="19050">
          <a:solidFill>
            <a:schemeClr val="tx1"/>
          </a:solidFill>
          <a:miter lim="800000"/>
        </a:ln>
        <a:effectLst/>
      </c:spPr>
    </c:plotArea>
    <c:legend>
      <c:legendPos val="r"/>
      <c:layout>
        <c:manualLayout>
          <c:xMode val="edge"/>
          <c:yMode val="edge"/>
          <c:x val="0.78824670860191115"/>
          <c:y val="2.0432732807685979E-2"/>
          <c:w val="0.20311238272829774"/>
          <c:h val="0.96020350551173472"/>
        </c:manualLayout>
      </c:layout>
      <c:overlay val="0"/>
    </c:legend>
    <c:plotVisOnly val="1"/>
    <c:dispBlanksAs val="gap"/>
    <c:showDLblsOverMax val="0"/>
  </c:chart>
  <c:spPr>
    <a:solidFill>
      <a:schemeClr val="bg1"/>
    </a:solidFill>
    <a:ln w="22225"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1"/>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0" baseline="0">
                <a:solidFill>
                  <a:sysClr val="windowText" lastClr="000000"/>
                </a:solidFill>
                <a:latin typeface="Arial Nova Cond" panose="020B0506020202020204" pitchFamily="34" charset="0"/>
                <a:ea typeface="+mn-ea"/>
                <a:cs typeface="+mn-cs"/>
              </a:defRPr>
            </a:pPr>
            <a:r>
              <a:rPr lang="en-US" sz="1800" b="1" cap="all" baseline="0"/>
              <a:t>Pure Product Market Values</a:t>
            </a:r>
          </a:p>
        </c:rich>
      </c:tx>
      <c:layout>
        <c:manualLayout>
          <c:xMode val="edge"/>
          <c:yMode val="edge"/>
          <c:x val="8.1908550759410958E-3"/>
          <c:y val="8.9764738740920561E-3"/>
        </c:manualLayout>
      </c:layout>
      <c:overlay val="0"/>
      <c:spPr>
        <a:noFill/>
        <a:ln>
          <a:noFill/>
        </a:ln>
        <a:effectLst/>
      </c:spPr>
      <c:txPr>
        <a:bodyPr rot="0" spcFirstLastPara="1" vertOverflow="ellipsis" vert="horz" wrap="square" anchor="ctr" anchorCtr="1"/>
        <a:lstStyle/>
        <a:p>
          <a:pPr>
            <a:defRPr sz="1800" b="1" i="0" u="none" strike="noStrike" kern="1200" cap="all"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241381918654431"/>
          <c:y val="0.11456128731572104"/>
          <c:w val="0.83939498330448459"/>
          <c:h val="0.50889686283840019"/>
        </c:manualLayout>
      </c:layout>
      <c:scatterChart>
        <c:scatterStyle val="lineMarker"/>
        <c:varyColors val="0"/>
        <c:ser>
          <c:idx val="0"/>
          <c:order val="0"/>
          <c:tx>
            <c:v>Caproic Acid</c:v>
          </c:tx>
          <c:spPr>
            <a:ln w="38100" cap="rnd">
              <a:noFill/>
              <a:round/>
            </a:ln>
            <a:effectLst/>
          </c:spPr>
          <c:marker>
            <c:symbol val="diamond"/>
            <c:size val="8"/>
            <c:spPr>
              <a:solidFill>
                <a:srgbClr val="FF9933"/>
              </a:solidFill>
              <a:ln w="9525">
                <a:solidFill>
                  <a:srgbClr val="FF9933"/>
                </a:solidFill>
              </a:ln>
              <a:effectLst/>
            </c:spPr>
          </c:marker>
          <c:trendline>
            <c:spPr>
              <a:ln w="19050" cap="flat">
                <a:solidFill>
                  <a:srgbClr val="FF9933"/>
                </a:solidFill>
                <a:prstDash val="solid"/>
                <a:miter lim="800000"/>
              </a:ln>
              <a:effectLst/>
            </c:spPr>
            <c:trendlineType val="power"/>
            <c:dispRSqr val="0"/>
            <c:dispEq val="1"/>
            <c:trendlineLbl>
              <c:layout>
                <c:manualLayout>
                  <c:x val="-0.73181257762290042"/>
                  <c:y val="0.22948606157817275"/>
                </c:manualLayout>
              </c:layout>
              <c:numFmt formatCode="General" sourceLinked="0"/>
              <c:spPr>
                <a:solidFill>
                  <a:schemeClr val="bg1"/>
                </a:solidFill>
                <a:ln>
                  <a:noFill/>
                </a:ln>
                <a:effectLst/>
              </c:spPr>
              <c:txPr>
                <a:bodyPr rot="0" spcFirstLastPara="1" vertOverflow="ellipsis" vert="horz" wrap="square" anchor="ctr" anchorCtr="1"/>
                <a:lstStyle/>
                <a:p>
                  <a:pPr>
                    <a:defRPr sz="1200" b="1" i="0" u="none" strike="noStrike" kern="1200" baseline="0">
                      <a:solidFill>
                        <a:srgbClr val="FF9933"/>
                      </a:solidFill>
                      <a:latin typeface="Arial Nova Cond" panose="020B0506020202020204" pitchFamily="34" charset="0"/>
                      <a:ea typeface="+mn-ea"/>
                      <a:cs typeface="+mn-cs"/>
                    </a:defRPr>
                  </a:pPr>
                  <a:endParaRPr lang="en-US"/>
                </a:p>
              </c:txPr>
            </c:trendlineLbl>
          </c:trendline>
          <c:xVal>
            <c:numLit>
              <c:formatCode>General</c:formatCode>
              <c:ptCount val="8"/>
              <c:pt idx="0">
                <c:v>1</c:v>
              </c:pt>
              <c:pt idx="1">
                <c:v>5</c:v>
              </c:pt>
              <c:pt idx="2">
                <c:v>10</c:v>
              </c:pt>
              <c:pt idx="3">
                <c:v>50</c:v>
              </c:pt>
              <c:pt idx="4">
                <c:v>160</c:v>
              </c:pt>
              <c:pt idx="5">
                <c:v>170</c:v>
              </c:pt>
              <c:pt idx="6">
                <c:v>180</c:v>
              </c:pt>
              <c:pt idx="7">
                <c:v>230</c:v>
              </c:pt>
            </c:numLit>
          </c:xVal>
          <c:yVal>
            <c:numLit>
              <c:formatCode>General</c:formatCode>
              <c:ptCount val="8"/>
              <c:pt idx="0">
                <c:v>205</c:v>
              </c:pt>
              <c:pt idx="1">
                <c:v>55</c:v>
              </c:pt>
              <c:pt idx="2">
                <c:v>35</c:v>
              </c:pt>
              <c:pt idx="3">
                <c:v>29</c:v>
              </c:pt>
              <c:pt idx="6">
                <c:v>23</c:v>
              </c:pt>
            </c:numLit>
          </c:yVal>
          <c:smooth val="0"/>
          <c:extLst>
            <c:ext xmlns:c16="http://schemas.microsoft.com/office/drawing/2014/chart" uri="{C3380CC4-5D6E-409C-BE32-E72D297353CC}">
              <c16:uniqueId val="{00000001-F8B7-475C-8FCE-8EA2CD1FAF2A}"/>
            </c:ext>
          </c:extLst>
        </c:ser>
        <c:ser>
          <c:idx val="4"/>
          <c:order val="1"/>
          <c:tx>
            <c:v>Pentanol</c:v>
          </c:tx>
          <c:spPr>
            <a:ln w="25400" cap="rnd">
              <a:noFill/>
              <a:round/>
            </a:ln>
            <a:effectLst/>
          </c:spPr>
          <c:marker>
            <c:symbol val="square"/>
            <c:size val="8"/>
            <c:spPr>
              <a:solidFill>
                <a:srgbClr val="00CC99"/>
              </a:solidFill>
              <a:ln w="9525">
                <a:solidFill>
                  <a:srgbClr val="00CC99"/>
                </a:solidFill>
                <a:miter lim="800000"/>
              </a:ln>
              <a:effectLst/>
            </c:spPr>
          </c:marker>
          <c:trendline>
            <c:spPr>
              <a:ln w="19050" cap="flat">
                <a:solidFill>
                  <a:srgbClr val="00CC99"/>
                </a:solidFill>
                <a:prstDash val="solid"/>
                <a:miter lim="800000"/>
              </a:ln>
              <a:effectLst/>
            </c:spPr>
            <c:trendlineType val="power"/>
            <c:dispRSqr val="0"/>
            <c:dispEq val="1"/>
            <c:trendlineLbl>
              <c:layout>
                <c:manualLayout>
                  <c:x val="-0.50063500054260668"/>
                  <c:y val="0.21247627641844058"/>
                </c:manualLayout>
              </c:layout>
              <c:numFmt formatCode="General" sourceLinked="0"/>
              <c:spPr>
                <a:solidFill>
                  <a:schemeClr val="bg1"/>
                </a:solidFill>
                <a:ln>
                  <a:noFill/>
                </a:ln>
                <a:effectLst/>
              </c:spPr>
              <c:txPr>
                <a:bodyPr rot="0" spcFirstLastPara="1" vertOverflow="ellipsis" vert="horz" wrap="square" anchor="ctr" anchorCtr="1"/>
                <a:lstStyle/>
                <a:p>
                  <a:pPr>
                    <a:defRPr sz="1200" b="1" i="0" u="none" strike="noStrike" kern="1200" baseline="0">
                      <a:solidFill>
                        <a:srgbClr val="00CC99"/>
                      </a:solidFill>
                      <a:latin typeface="Arial Nova Cond" panose="020B0506020202020204" pitchFamily="34" charset="0"/>
                      <a:ea typeface="+mn-ea"/>
                      <a:cs typeface="+mn-cs"/>
                    </a:defRPr>
                  </a:pPr>
                  <a:endParaRPr lang="en-US"/>
                </a:p>
              </c:txPr>
            </c:trendlineLbl>
          </c:trendline>
          <c:xVal>
            <c:numLit>
              <c:formatCode>General</c:formatCode>
              <c:ptCount val="8"/>
              <c:pt idx="0">
                <c:v>1</c:v>
              </c:pt>
              <c:pt idx="1">
                <c:v>5</c:v>
              </c:pt>
              <c:pt idx="2">
                <c:v>10</c:v>
              </c:pt>
              <c:pt idx="3">
                <c:v>50</c:v>
              </c:pt>
              <c:pt idx="4">
                <c:v>160</c:v>
              </c:pt>
              <c:pt idx="5">
                <c:v>170</c:v>
              </c:pt>
              <c:pt idx="6">
                <c:v>180</c:v>
              </c:pt>
              <c:pt idx="7">
                <c:v>230</c:v>
              </c:pt>
            </c:numLit>
          </c:xVal>
          <c:yVal>
            <c:numLit>
              <c:formatCode>General</c:formatCode>
              <c:ptCount val="8"/>
              <c:pt idx="0">
                <c:v>169</c:v>
              </c:pt>
              <c:pt idx="1">
                <c:v>44</c:v>
              </c:pt>
              <c:pt idx="2">
                <c:v>24</c:v>
              </c:pt>
              <c:pt idx="3">
                <c:v>18</c:v>
              </c:pt>
              <c:pt idx="5">
                <c:v>12</c:v>
              </c:pt>
            </c:numLit>
          </c:yVal>
          <c:smooth val="0"/>
          <c:extLst>
            <c:ext xmlns:c16="http://schemas.microsoft.com/office/drawing/2014/chart" uri="{C3380CC4-5D6E-409C-BE32-E72D297353CC}">
              <c16:uniqueId val="{00000003-F8B7-475C-8FCE-8EA2CD1FAF2A}"/>
            </c:ext>
          </c:extLst>
        </c:ser>
        <c:ser>
          <c:idx val="1"/>
          <c:order val="2"/>
          <c:tx>
            <c:v>Hexanol</c:v>
          </c:tx>
          <c:spPr>
            <a:ln w="38100" cap="rnd">
              <a:noFill/>
              <a:round/>
            </a:ln>
            <a:effectLst/>
          </c:spPr>
          <c:marker>
            <c:symbol val="square"/>
            <c:size val="8"/>
            <c:spPr>
              <a:solidFill>
                <a:srgbClr val="0099CC"/>
              </a:solidFill>
              <a:ln w="9525">
                <a:solidFill>
                  <a:srgbClr val="0099CC"/>
                </a:solidFill>
                <a:miter lim="800000"/>
              </a:ln>
              <a:effectLst/>
            </c:spPr>
          </c:marker>
          <c:trendline>
            <c:spPr>
              <a:ln w="19050" cap="rnd">
                <a:solidFill>
                  <a:srgbClr val="0099CC"/>
                </a:solidFill>
                <a:prstDash val="solid"/>
              </a:ln>
              <a:effectLst/>
            </c:spPr>
            <c:trendlineType val="power"/>
            <c:dispRSqr val="0"/>
            <c:dispEq val="1"/>
            <c:trendlineLbl>
              <c:layout>
                <c:manualLayout>
                  <c:x val="-0.26519856390098029"/>
                  <c:y val="0.20881842822056049"/>
                </c:manualLayout>
              </c:layout>
              <c:numFmt formatCode="General" sourceLinked="0"/>
              <c:spPr>
                <a:solidFill>
                  <a:schemeClr val="bg1"/>
                </a:solidFill>
                <a:ln>
                  <a:noFill/>
                </a:ln>
                <a:effectLst/>
              </c:spPr>
              <c:txPr>
                <a:bodyPr rot="0" spcFirstLastPara="1" vertOverflow="ellipsis" vert="horz" wrap="square" anchor="ctr" anchorCtr="1"/>
                <a:lstStyle/>
                <a:p>
                  <a:pPr>
                    <a:defRPr sz="1100" b="1" i="0" u="none" strike="noStrike" kern="1200" baseline="0">
                      <a:solidFill>
                        <a:srgbClr val="0099CC"/>
                      </a:solidFill>
                      <a:latin typeface="Arial Nova Cond" panose="020B0506020202020204" pitchFamily="34" charset="0"/>
                      <a:ea typeface="+mn-ea"/>
                      <a:cs typeface="+mn-cs"/>
                    </a:defRPr>
                  </a:pPr>
                  <a:endParaRPr lang="en-US"/>
                </a:p>
              </c:txPr>
            </c:trendlineLbl>
          </c:trendline>
          <c:xVal>
            <c:numLit>
              <c:formatCode>General</c:formatCode>
              <c:ptCount val="8"/>
              <c:pt idx="0">
                <c:v>1</c:v>
              </c:pt>
              <c:pt idx="1">
                <c:v>5</c:v>
              </c:pt>
              <c:pt idx="2">
                <c:v>10</c:v>
              </c:pt>
              <c:pt idx="3">
                <c:v>50</c:v>
              </c:pt>
              <c:pt idx="4">
                <c:v>160</c:v>
              </c:pt>
              <c:pt idx="5">
                <c:v>170</c:v>
              </c:pt>
              <c:pt idx="6">
                <c:v>180</c:v>
              </c:pt>
              <c:pt idx="7">
                <c:v>230</c:v>
              </c:pt>
            </c:numLit>
          </c:xVal>
          <c:yVal>
            <c:numLit>
              <c:formatCode>General</c:formatCode>
              <c:ptCount val="8"/>
              <c:pt idx="0">
                <c:v>168</c:v>
              </c:pt>
              <c:pt idx="1">
                <c:v>43</c:v>
              </c:pt>
              <c:pt idx="2">
                <c:v>23</c:v>
              </c:pt>
              <c:pt idx="3">
                <c:v>17</c:v>
              </c:pt>
              <c:pt idx="4">
                <c:v>11</c:v>
              </c:pt>
            </c:numLit>
          </c:yVal>
          <c:smooth val="0"/>
          <c:extLst>
            <c:ext xmlns:c16="http://schemas.microsoft.com/office/drawing/2014/chart" uri="{C3380CC4-5D6E-409C-BE32-E72D297353CC}">
              <c16:uniqueId val="{00000005-F8B7-475C-8FCE-8EA2CD1FAF2A}"/>
            </c:ext>
          </c:extLst>
        </c:ser>
        <c:ser>
          <c:idx val="2"/>
          <c:order val="3"/>
          <c:tx>
            <c:v>Ethyl Caproate</c:v>
          </c:tx>
          <c:spPr>
            <a:ln w="38100" cap="rnd">
              <a:noFill/>
              <a:round/>
            </a:ln>
            <a:effectLst/>
          </c:spPr>
          <c:marker>
            <c:symbol val="triangle"/>
            <c:size val="8"/>
            <c:spPr>
              <a:solidFill>
                <a:srgbClr val="CC66FF"/>
              </a:solidFill>
              <a:ln w="9525">
                <a:solidFill>
                  <a:srgbClr val="CC66FF"/>
                </a:solidFill>
              </a:ln>
              <a:effectLst/>
            </c:spPr>
          </c:marker>
          <c:trendline>
            <c:spPr>
              <a:ln w="19050" cap="rnd">
                <a:solidFill>
                  <a:srgbClr val="CC66FF"/>
                </a:solidFill>
                <a:prstDash val="solid"/>
              </a:ln>
              <a:effectLst/>
            </c:spPr>
            <c:trendlineType val="power"/>
            <c:dispRSqr val="0"/>
            <c:dispEq val="1"/>
            <c:trendlineLbl>
              <c:layout>
                <c:manualLayout>
                  <c:x val="-2.9537397658350715E-3"/>
                  <c:y val="0.20688159820827504"/>
                </c:manualLayout>
              </c:layout>
              <c:numFmt formatCode="General" sourceLinked="0"/>
              <c:spPr>
                <a:solidFill>
                  <a:schemeClr val="bg1"/>
                </a:solidFill>
                <a:ln>
                  <a:noFill/>
                </a:ln>
                <a:effectLst/>
              </c:spPr>
              <c:txPr>
                <a:bodyPr rot="0" spcFirstLastPara="1" vertOverflow="ellipsis" vert="horz" wrap="square" anchor="ctr" anchorCtr="1"/>
                <a:lstStyle/>
                <a:p>
                  <a:pPr>
                    <a:defRPr sz="1200" b="1" i="0" u="none" strike="noStrike" kern="1200" baseline="0">
                      <a:solidFill>
                        <a:srgbClr val="CC66FF"/>
                      </a:solidFill>
                      <a:latin typeface="Arial Nova Cond" panose="020B0506020202020204" pitchFamily="34" charset="0"/>
                      <a:ea typeface="+mn-ea"/>
                      <a:cs typeface="+mn-cs"/>
                    </a:defRPr>
                  </a:pPr>
                  <a:endParaRPr lang="en-US"/>
                </a:p>
              </c:txPr>
            </c:trendlineLbl>
          </c:trendline>
          <c:xVal>
            <c:numLit>
              <c:formatCode>General</c:formatCode>
              <c:ptCount val="8"/>
              <c:pt idx="0">
                <c:v>1</c:v>
              </c:pt>
              <c:pt idx="1">
                <c:v>5</c:v>
              </c:pt>
              <c:pt idx="2">
                <c:v>10</c:v>
              </c:pt>
              <c:pt idx="3">
                <c:v>50</c:v>
              </c:pt>
              <c:pt idx="4">
                <c:v>160</c:v>
              </c:pt>
              <c:pt idx="5">
                <c:v>170</c:v>
              </c:pt>
              <c:pt idx="6">
                <c:v>180</c:v>
              </c:pt>
              <c:pt idx="7">
                <c:v>230</c:v>
              </c:pt>
            </c:numLit>
          </c:xVal>
          <c:yVal>
            <c:numLit>
              <c:formatCode>General</c:formatCode>
              <c:ptCount val="8"/>
              <c:pt idx="0">
                <c:v>171</c:v>
              </c:pt>
              <c:pt idx="1">
                <c:v>48</c:v>
              </c:pt>
              <c:pt idx="2">
                <c:v>26</c:v>
              </c:pt>
              <c:pt idx="3">
                <c:v>20</c:v>
              </c:pt>
              <c:pt idx="6">
                <c:v>14</c:v>
              </c:pt>
            </c:numLit>
          </c:yVal>
          <c:smooth val="0"/>
          <c:extLst>
            <c:ext xmlns:c16="http://schemas.microsoft.com/office/drawing/2014/chart" uri="{C3380CC4-5D6E-409C-BE32-E72D297353CC}">
              <c16:uniqueId val="{00000007-F8B7-475C-8FCE-8EA2CD1FAF2A}"/>
            </c:ext>
          </c:extLst>
        </c:ser>
        <c:ser>
          <c:idx val="5"/>
          <c:order val="4"/>
          <c:tx>
            <c:v>Pentyl Caproate</c:v>
          </c:tx>
          <c:spPr>
            <a:ln w="25400" cap="rnd">
              <a:noFill/>
              <a:round/>
            </a:ln>
            <a:effectLst/>
          </c:spPr>
          <c:marker>
            <c:symbol val="triangle"/>
            <c:size val="8"/>
            <c:spPr>
              <a:solidFill>
                <a:srgbClr val="9900FF"/>
              </a:solidFill>
              <a:ln w="9525">
                <a:solidFill>
                  <a:srgbClr val="9900FF"/>
                </a:solidFill>
              </a:ln>
              <a:effectLst/>
            </c:spPr>
          </c:marker>
          <c:trendline>
            <c:spPr>
              <a:ln w="19050" cap="rnd">
                <a:solidFill>
                  <a:schemeClr val="accent5"/>
                </a:solidFill>
                <a:prstDash val="solid"/>
              </a:ln>
              <a:effectLst/>
            </c:spPr>
            <c:trendlineType val="power"/>
            <c:dispRSqr val="0"/>
            <c:dispEq val="1"/>
            <c:trendlineLbl>
              <c:layout>
                <c:manualLayout>
                  <c:x val="-0.73034814247645685"/>
                  <c:y val="0.38933224291568269"/>
                </c:manualLayout>
              </c:layout>
              <c:numFmt formatCode="General" sourceLinked="0"/>
              <c:spPr>
                <a:solidFill>
                  <a:schemeClr val="bg1"/>
                </a:solidFill>
                <a:ln>
                  <a:noFill/>
                </a:ln>
                <a:effectLst/>
              </c:spPr>
              <c:txPr>
                <a:bodyPr rot="0" spcFirstLastPara="1" vertOverflow="ellipsis" vert="horz" wrap="square" anchor="ctr" anchorCtr="1"/>
                <a:lstStyle/>
                <a:p>
                  <a:pPr>
                    <a:defRPr sz="1200" b="1" i="0" u="none" strike="noStrike" kern="1200" baseline="0">
                      <a:solidFill>
                        <a:srgbClr val="9900FF"/>
                      </a:solidFill>
                      <a:latin typeface="Arial Nova Cond" panose="020B0506020202020204" pitchFamily="34" charset="0"/>
                      <a:ea typeface="+mn-ea"/>
                      <a:cs typeface="+mn-cs"/>
                    </a:defRPr>
                  </a:pPr>
                  <a:endParaRPr lang="en-US"/>
                </a:p>
              </c:txPr>
            </c:trendlineLbl>
          </c:trendline>
          <c:xVal>
            <c:numLit>
              <c:formatCode>General</c:formatCode>
              <c:ptCount val="8"/>
              <c:pt idx="0">
                <c:v>1</c:v>
              </c:pt>
              <c:pt idx="1">
                <c:v>5</c:v>
              </c:pt>
              <c:pt idx="2">
                <c:v>10</c:v>
              </c:pt>
              <c:pt idx="3">
                <c:v>50</c:v>
              </c:pt>
              <c:pt idx="4">
                <c:v>160</c:v>
              </c:pt>
              <c:pt idx="5">
                <c:v>170</c:v>
              </c:pt>
              <c:pt idx="6">
                <c:v>180</c:v>
              </c:pt>
              <c:pt idx="7">
                <c:v>230</c:v>
              </c:pt>
            </c:numLit>
          </c:xVal>
          <c:yVal>
            <c:numLit>
              <c:formatCode>General</c:formatCode>
              <c:ptCount val="8"/>
              <c:pt idx="0">
                <c:v>198</c:v>
              </c:pt>
              <c:pt idx="1">
                <c:v>73</c:v>
              </c:pt>
              <c:pt idx="2">
                <c:v>53</c:v>
              </c:pt>
              <c:pt idx="3">
                <c:v>47</c:v>
              </c:pt>
              <c:pt idx="6">
                <c:v>41</c:v>
              </c:pt>
            </c:numLit>
          </c:yVal>
          <c:smooth val="0"/>
          <c:extLst>
            <c:ext xmlns:c16="http://schemas.microsoft.com/office/drawing/2014/chart" uri="{C3380CC4-5D6E-409C-BE32-E72D297353CC}">
              <c16:uniqueId val="{00000009-F8B7-475C-8FCE-8EA2CD1FAF2A}"/>
            </c:ext>
          </c:extLst>
        </c:ser>
        <c:ser>
          <c:idx val="3"/>
          <c:order val="5"/>
          <c:tx>
            <c:v>Hexyl Caproate</c:v>
          </c:tx>
          <c:spPr>
            <a:ln w="38100" cap="rnd">
              <a:noFill/>
              <a:round/>
            </a:ln>
            <a:effectLst/>
          </c:spPr>
          <c:marker>
            <c:symbol val="triangle"/>
            <c:size val="8"/>
            <c:spPr>
              <a:solidFill>
                <a:srgbClr val="6600CC"/>
              </a:solidFill>
              <a:ln w="9525">
                <a:solidFill>
                  <a:srgbClr val="6600CC"/>
                </a:solidFill>
              </a:ln>
              <a:effectLst/>
            </c:spPr>
          </c:marker>
          <c:trendline>
            <c:spPr>
              <a:ln w="19050" cap="rnd">
                <a:solidFill>
                  <a:srgbClr val="6600CC"/>
                </a:solidFill>
                <a:prstDash val="solid"/>
              </a:ln>
              <a:effectLst/>
            </c:spPr>
            <c:trendlineType val="power"/>
            <c:dispRSqr val="0"/>
            <c:dispEq val="1"/>
            <c:trendlineLbl>
              <c:layout>
                <c:manualLayout>
                  <c:x val="-0.49680660894939288"/>
                  <c:y val="0.41064406646274071"/>
                </c:manualLayout>
              </c:layout>
              <c:numFmt formatCode="General" sourceLinked="0"/>
              <c:spPr>
                <a:solidFill>
                  <a:schemeClr val="bg1"/>
                </a:solidFill>
                <a:ln>
                  <a:noFill/>
                </a:ln>
                <a:effectLst/>
              </c:spPr>
              <c:txPr>
                <a:bodyPr rot="0" spcFirstLastPara="1" vertOverflow="ellipsis" vert="horz" wrap="square" anchor="ctr" anchorCtr="0"/>
                <a:lstStyle/>
                <a:p>
                  <a:pPr>
                    <a:defRPr sz="1200" b="1" i="0" u="none" strike="noStrike" kern="1200" baseline="0">
                      <a:solidFill>
                        <a:srgbClr val="6600CC"/>
                      </a:solidFill>
                      <a:latin typeface="Arial Nova Cond" panose="020B0506020202020204" pitchFamily="34" charset="0"/>
                      <a:ea typeface="+mn-ea"/>
                      <a:cs typeface="+mn-cs"/>
                    </a:defRPr>
                  </a:pPr>
                  <a:endParaRPr lang="en-US"/>
                </a:p>
              </c:txPr>
            </c:trendlineLbl>
          </c:trendline>
          <c:xVal>
            <c:numLit>
              <c:formatCode>General</c:formatCode>
              <c:ptCount val="8"/>
              <c:pt idx="0">
                <c:v>1</c:v>
              </c:pt>
              <c:pt idx="1">
                <c:v>5</c:v>
              </c:pt>
              <c:pt idx="2">
                <c:v>10</c:v>
              </c:pt>
              <c:pt idx="3">
                <c:v>50</c:v>
              </c:pt>
              <c:pt idx="4">
                <c:v>160</c:v>
              </c:pt>
              <c:pt idx="5">
                <c:v>170</c:v>
              </c:pt>
              <c:pt idx="6">
                <c:v>180</c:v>
              </c:pt>
              <c:pt idx="7">
                <c:v>230</c:v>
              </c:pt>
            </c:numLit>
          </c:xVal>
          <c:yVal>
            <c:numLit>
              <c:formatCode>General</c:formatCode>
              <c:ptCount val="8"/>
              <c:pt idx="0">
                <c:v>210</c:v>
              </c:pt>
              <c:pt idx="1">
                <c:v>85</c:v>
              </c:pt>
              <c:pt idx="2">
                <c:v>65</c:v>
              </c:pt>
              <c:pt idx="3">
                <c:v>59</c:v>
              </c:pt>
              <c:pt idx="6">
                <c:v>53</c:v>
              </c:pt>
            </c:numLit>
          </c:yVal>
          <c:smooth val="0"/>
          <c:extLst>
            <c:ext xmlns:c16="http://schemas.microsoft.com/office/drawing/2014/chart" uri="{C3380CC4-5D6E-409C-BE32-E72D297353CC}">
              <c16:uniqueId val="{0000000B-F8B7-475C-8FCE-8EA2CD1FAF2A}"/>
            </c:ext>
          </c:extLst>
        </c:ser>
        <c:ser>
          <c:idx val="6"/>
          <c:order val="6"/>
          <c:tx>
            <c:v>Triethanolamine</c:v>
          </c:tx>
          <c:spPr>
            <a:ln w="25400" cap="rnd">
              <a:noFill/>
              <a:round/>
            </a:ln>
            <a:effectLst/>
          </c:spPr>
          <c:marker>
            <c:symbol val="circle"/>
            <c:size val="6"/>
            <c:spPr>
              <a:solidFill>
                <a:schemeClr val="accent6"/>
              </a:solidFill>
              <a:ln w="9525">
                <a:solidFill>
                  <a:schemeClr val="accent6"/>
                </a:solidFill>
              </a:ln>
              <a:effectLst/>
            </c:spPr>
          </c:marker>
          <c:trendline>
            <c:spPr>
              <a:ln w="19050" cap="rnd">
                <a:solidFill>
                  <a:schemeClr val="accent6"/>
                </a:solidFill>
                <a:prstDash val="solid"/>
              </a:ln>
              <a:effectLst/>
            </c:spPr>
            <c:trendlineType val="power"/>
            <c:dispRSqr val="0"/>
            <c:dispEq val="1"/>
            <c:trendlineLbl>
              <c:layout>
                <c:manualLayout>
                  <c:x val="-0.24031401854509069"/>
                  <c:y val="0.34172362658793592"/>
                </c:manualLayout>
              </c:layout>
              <c:numFmt formatCode="General" sourceLinked="0"/>
              <c:spPr>
                <a:solidFill>
                  <a:schemeClr val="bg1"/>
                </a:solidFill>
                <a:ln>
                  <a:noFill/>
                </a:ln>
                <a:effectLst/>
              </c:spPr>
              <c:txPr>
                <a:bodyPr rot="0" spcFirstLastPara="1" vertOverflow="ellipsis" vert="horz" wrap="square" anchor="ctr" anchorCtr="1"/>
                <a:lstStyle/>
                <a:p>
                  <a:pPr>
                    <a:defRPr sz="1200" b="1" i="0" u="none" strike="noStrike" kern="1200" baseline="0">
                      <a:solidFill>
                        <a:schemeClr val="accent6"/>
                      </a:solidFill>
                      <a:latin typeface="Arial Nova Cond" panose="020B0506020202020204" pitchFamily="34" charset="0"/>
                      <a:ea typeface="+mn-ea"/>
                      <a:cs typeface="+mn-cs"/>
                    </a:defRPr>
                  </a:pPr>
                  <a:endParaRPr lang="en-US"/>
                </a:p>
              </c:txPr>
            </c:trendlineLbl>
          </c:trendline>
          <c:xVal>
            <c:numLit>
              <c:formatCode>General</c:formatCode>
              <c:ptCount val="8"/>
              <c:pt idx="0">
                <c:v>1</c:v>
              </c:pt>
              <c:pt idx="1">
                <c:v>5</c:v>
              </c:pt>
              <c:pt idx="2">
                <c:v>10</c:v>
              </c:pt>
              <c:pt idx="3">
                <c:v>50</c:v>
              </c:pt>
              <c:pt idx="4">
                <c:v>160</c:v>
              </c:pt>
              <c:pt idx="5">
                <c:v>170</c:v>
              </c:pt>
              <c:pt idx="6">
                <c:v>180</c:v>
              </c:pt>
              <c:pt idx="7">
                <c:v>230</c:v>
              </c:pt>
            </c:numLit>
          </c:xVal>
          <c:yVal>
            <c:numLit>
              <c:formatCode>General</c:formatCode>
              <c:ptCount val="8"/>
              <c:pt idx="0">
                <c:v>220</c:v>
              </c:pt>
              <c:pt idx="1">
                <c:v>70</c:v>
              </c:pt>
              <c:pt idx="2">
                <c:v>34</c:v>
              </c:pt>
              <c:pt idx="3">
                <c:v>24</c:v>
              </c:pt>
              <c:pt idx="7">
                <c:v>16</c:v>
              </c:pt>
            </c:numLit>
          </c:yVal>
          <c:smooth val="0"/>
          <c:extLst>
            <c:ext xmlns:c16="http://schemas.microsoft.com/office/drawing/2014/chart" uri="{C3380CC4-5D6E-409C-BE32-E72D297353CC}">
              <c16:uniqueId val="{0000000D-F8B7-475C-8FCE-8EA2CD1FAF2A}"/>
            </c:ext>
          </c:extLst>
        </c:ser>
        <c:dLbls>
          <c:showLegendKey val="0"/>
          <c:showVal val="0"/>
          <c:showCatName val="0"/>
          <c:showSerName val="0"/>
          <c:showPercent val="0"/>
          <c:showBubbleSize val="0"/>
        </c:dLbls>
        <c:axId val="260013727"/>
        <c:axId val="260034847"/>
      </c:scatterChart>
      <c:valAx>
        <c:axId val="260013727"/>
        <c:scaling>
          <c:orientation val="minMax"/>
          <c:max val="230"/>
          <c:min val="0"/>
        </c:scaling>
        <c:delete val="0"/>
        <c:axPos val="b"/>
        <c:majorGridlines>
          <c:spPr>
            <a:ln w="9525" cap="flat" cmpd="sng" algn="ctr">
              <a:solidFill>
                <a:schemeClr val="tx1"/>
              </a:solidFill>
              <a:round/>
            </a:ln>
            <a:effectLst/>
          </c:spPr>
        </c:majorGridlines>
        <c:title>
          <c:tx>
            <c:rich>
              <a:bodyPr rot="0" spcFirstLastPara="1" vertOverflow="ellipsis" vert="horz" wrap="square" anchor="ctr" anchorCtr="1"/>
              <a:lstStyle/>
              <a:p>
                <a:pPr>
                  <a:defRPr sz="1100" b="1" i="0" u="none" strike="noStrike" kern="1200" baseline="0">
                    <a:solidFill>
                      <a:sysClr val="windowText" lastClr="000000"/>
                    </a:solidFill>
                    <a:latin typeface="Arial Nova Cond" panose="020B0506020202020204" pitchFamily="34" charset="0"/>
                    <a:ea typeface="+mn-ea"/>
                    <a:cs typeface="+mn-cs"/>
                  </a:defRPr>
                </a:pPr>
                <a:r>
                  <a:rPr lang="en-US" sz="1100" b="1"/>
                  <a:t>Quantity</a:t>
                </a:r>
                <a:r>
                  <a:rPr lang="en-US" sz="1100" b="1" baseline="0"/>
                  <a:t> Purchased </a:t>
                </a:r>
                <a:r>
                  <a:rPr lang="en-US" sz="1100" b="0" baseline="0"/>
                  <a:t>[kg]</a:t>
                </a:r>
                <a:endParaRPr lang="en-US" sz="1100" b="0"/>
              </a:p>
            </c:rich>
          </c:tx>
          <c:layout>
            <c:manualLayout>
              <c:xMode val="edge"/>
              <c:yMode val="edge"/>
              <c:x val="0.40601660376448456"/>
              <c:y val="0.67946893252858243"/>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Nova Cond" panose="020B0506020202020204" pitchFamily="34" charset="0"/>
                <a:ea typeface="+mn-ea"/>
                <a:cs typeface="+mn-cs"/>
              </a:defRPr>
            </a:pPr>
            <a:endParaRPr lang="en-US"/>
          </a:p>
        </c:txPr>
        <c:crossAx val="260034847"/>
        <c:crosses val="autoZero"/>
        <c:crossBetween val="midCat"/>
        <c:majorUnit val="30"/>
      </c:valAx>
      <c:valAx>
        <c:axId val="260034847"/>
        <c:scaling>
          <c:orientation val="minMax"/>
          <c:max val="220"/>
          <c:min val="0"/>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100" b="1" i="0" u="none" strike="noStrike" kern="1200" baseline="0">
                    <a:solidFill>
                      <a:sysClr val="windowText" lastClr="000000"/>
                    </a:solidFill>
                    <a:latin typeface="Arial Nova Cond" panose="020B0506020202020204" pitchFamily="34" charset="0"/>
                    <a:ea typeface="+mn-ea"/>
                    <a:cs typeface="+mn-cs"/>
                  </a:defRPr>
                </a:pPr>
                <a:r>
                  <a:rPr lang="en-US" sz="1100" b="1"/>
                  <a:t>Market Value </a:t>
                </a:r>
                <a:r>
                  <a:rPr lang="en-US" sz="1100" b="0"/>
                  <a:t>[USD]</a:t>
                </a:r>
              </a:p>
            </c:rich>
          </c:tx>
          <c:layout>
            <c:manualLayout>
              <c:xMode val="edge"/>
              <c:yMode val="edge"/>
              <c:x val="1.7053209813323401E-2"/>
              <c:y val="0.22665292286086161"/>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Nova Cond" panose="020B0506020202020204" pitchFamily="34" charset="0"/>
                <a:ea typeface="+mn-ea"/>
                <a:cs typeface="+mn-cs"/>
              </a:defRPr>
            </a:pPr>
            <a:endParaRPr lang="en-US"/>
          </a:p>
        </c:txPr>
        <c:crossAx val="260013727"/>
        <c:crosses val="autoZero"/>
        <c:crossBetween val="midCat"/>
        <c:majorUnit val="20"/>
      </c:valAx>
      <c:spPr>
        <a:solidFill>
          <a:schemeClr val="bg1"/>
        </a:solidFill>
        <a:ln>
          <a:solidFill>
            <a:schemeClr val="tx1"/>
          </a:solidFill>
        </a:ln>
        <a:effectLst/>
      </c:spPr>
    </c:plotArea>
    <c:legend>
      <c:legendPos val="b"/>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ayout>
        <c:manualLayout>
          <c:xMode val="edge"/>
          <c:yMode val="edge"/>
          <c:x val="1.5332256158585845E-2"/>
          <c:y val="0.7069370723949292"/>
          <c:w val="0.96769627934439229"/>
          <c:h val="0.24462229989284456"/>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r>
              <a:rPr lang="en-US" sz="2000" cap="all" baseline="0"/>
              <a:t>Fuel Economies of Scale</a:t>
            </a:r>
          </a:p>
        </c:rich>
      </c:tx>
      <c:layout>
        <c:manualLayout>
          <c:xMode val="edge"/>
          <c:yMode val="edge"/>
          <c:x val="1.2122868075123521E-4"/>
          <c:y val="8.9384430319732981E-3"/>
        </c:manualLayout>
      </c:layout>
      <c:overlay val="0"/>
      <c:spPr>
        <a:noFill/>
        <a:ln>
          <a:noFill/>
        </a:ln>
        <a:effectLst/>
      </c:spPr>
      <c:txPr>
        <a:bodyPr rot="0" spcFirstLastPara="1" vertOverflow="ellipsis" vert="horz" wrap="square" anchor="ctr" anchorCtr="1"/>
        <a:lstStyle/>
        <a:p>
          <a:pPr>
            <a:defRPr sz="2000" b="1" i="0" u="none" strike="noStrike" kern="1200" cap="all" spc="0" baseline="0">
              <a:solidFill>
                <a:schemeClr val="tx1"/>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9184282774319397"/>
          <c:y val="9.2218276079282818E-2"/>
          <c:w val="0.7687846811684631"/>
          <c:h val="0.7819552518202022"/>
        </c:manualLayout>
      </c:layout>
      <c:barChart>
        <c:barDir val="col"/>
        <c:grouping val="clustered"/>
        <c:varyColors val="0"/>
        <c:ser>
          <c:idx val="1"/>
          <c:order val="0"/>
          <c:tx>
            <c:strRef>
              <c:f>'Scale&amp;MVA'!$B$2</c:f>
              <c:strCache>
                <c:ptCount val="1"/>
                <c:pt idx="0">
                  <c:v>Path A - Jet Only</c:v>
                </c:pt>
              </c:strCache>
            </c:strRef>
          </c:tx>
          <c:spPr>
            <a:solidFill>
              <a:srgbClr val="88AED8"/>
            </a:solidFill>
            <a:ln cap="flat">
              <a:noFill/>
              <a:miter lim="800000"/>
            </a:ln>
            <a:effectLst/>
          </c:spPr>
          <c:invertIfNegative val="0"/>
          <c:dPt>
            <c:idx val="0"/>
            <c:invertIfNegative val="0"/>
            <c:bubble3D val="0"/>
            <c:spPr>
              <a:solidFill>
                <a:srgbClr val="88AED8"/>
              </a:solidFill>
              <a:ln cap="flat">
                <a:noFill/>
                <a:miter lim="800000"/>
              </a:ln>
              <a:effectLst/>
            </c:spPr>
            <c:extLst>
              <c:ext xmlns:c16="http://schemas.microsoft.com/office/drawing/2014/chart" uri="{C3380CC4-5D6E-409C-BE32-E72D297353CC}">
                <c16:uniqueId val="{00000001-445C-45A4-A208-AAC05F329919}"/>
              </c:ext>
            </c:extLst>
          </c:dPt>
          <c:cat>
            <c:numRef>
              <c:f>'Scale&amp;MVA'!$A$4:$A$8</c:f>
              <c:numCache>
                <c:formatCode>_(* #,##0_);_(* \(#,##0\);_(* "-"??_);_(@_)</c:formatCode>
                <c:ptCount val="5"/>
                <c:pt idx="0">
                  <c:v>482812</c:v>
                </c:pt>
                <c:pt idx="1">
                  <c:v>724218</c:v>
                </c:pt>
                <c:pt idx="2">
                  <c:v>965624</c:v>
                </c:pt>
                <c:pt idx="3">
                  <c:v>1448437</c:v>
                </c:pt>
                <c:pt idx="4">
                  <c:v>1931249</c:v>
                </c:pt>
              </c:numCache>
            </c:numRef>
          </c:cat>
          <c:val>
            <c:numRef>
              <c:f>'Scale&amp;MVA'!$B$4:$B$8</c:f>
              <c:numCache>
                <c:formatCode>_("$"* #,##0.00_);_("$"* \(#,##0.00\);_("$"* "-"??_);_(@_)</c:formatCode>
                <c:ptCount val="5"/>
                <c:pt idx="0">
                  <c:v>35.877437325905291</c:v>
                </c:pt>
                <c:pt idx="1">
                  <c:v>29.470752089136493</c:v>
                </c:pt>
                <c:pt idx="2">
                  <c:v>26.072423398328691</c:v>
                </c:pt>
                <c:pt idx="3">
                  <c:v>22.395543175487465</c:v>
                </c:pt>
                <c:pt idx="4">
                  <c:v>20.417827298050142</c:v>
                </c:pt>
              </c:numCache>
            </c:numRef>
          </c:val>
          <c:extLst>
            <c:ext xmlns:c16="http://schemas.microsoft.com/office/drawing/2014/chart" uri="{C3380CC4-5D6E-409C-BE32-E72D297353CC}">
              <c16:uniqueId val="{00000002-445C-45A4-A208-AAC05F329919}"/>
            </c:ext>
          </c:extLst>
        </c:ser>
        <c:ser>
          <c:idx val="2"/>
          <c:order val="1"/>
          <c:tx>
            <c:strRef>
              <c:f>'Scale&amp;MVA'!$C$2</c:f>
              <c:strCache>
                <c:ptCount val="1"/>
                <c:pt idx="0">
                  <c:v>Path AB - Jet &amp; Esters</c:v>
                </c:pt>
              </c:strCache>
            </c:strRef>
          </c:tx>
          <c:spPr>
            <a:solidFill>
              <a:srgbClr val="E8D1FF"/>
            </a:solidFill>
            <a:ln>
              <a:noFill/>
            </a:ln>
            <a:effectLst/>
          </c:spPr>
          <c:invertIfNegative val="0"/>
          <c:trendline>
            <c:spPr>
              <a:ln w="38100" cap="rnd">
                <a:solidFill>
                  <a:srgbClr val="E8D1FF"/>
                </a:solidFill>
                <a:prstDash val="sysDot"/>
              </a:ln>
              <a:effectLst/>
            </c:spPr>
            <c:trendlineType val="linear"/>
            <c:dispRSqr val="0"/>
            <c:dispEq val="1"/>
            <c:trendlineLbl>
              <c:layout>
                <c:manualLayout>
                  <c:x val="-0.21713096419636718"/>
                  <c:y val="-0.53361121683975954"/>
                </c:manualLayout>
              </c:layout>
              <c:numFmt formatCode="General" sourceLinked="0"/>
              <c:spPr>
                <a:solidFill>
                  <a:srgbClr val="F3E7FF"/>
                </a:solidFill>
                <a:ln>
                  <a:noFill/>
                </a:ln>
                <a:effectLst/>
              </c:spPr>
              <c:txPr>
                <a:bodyPr rot="0" spcFirstLastPara="1" vertOverflow="ellipsis" vert="horz" wrap="square" anchor="ctr" anchorCtr="1"/>
                <a:lstStyle/>
                <a:p>
                  <a:pPr>
                    <a:defRPr sz="1200" b="1" i="0" u="none" strike="noStrike" kern="1200" baseline="0">
                      <a:solidFill>
                        <a:schemeClr val="tx1"/>
                      </a:solidFill>
                      <a:latin typeface="Arial Nova Cond" panose="020B0506020202020204" pitchFamily="34" charset="0"/>
                      <a:ea typeface="+mn-ea"/>
                      <a:cs typeface="+mn-cs"/>
                    </a:defRPr>
                  </a:pPr>
                  <a:endParaRPr lang="en-US"/>
                </a:p>
              </c:txPr>
            </c:trendlineLbl>
          </c:trendline>
          <c:cat>
            <c:numRef>
              <c:f>'Scale&amp;MVA'!$A$4:$A$8</c:f>
              <c:numCache>
                <c:formatCode>_(* #,##0_);_(* \(#,##0\);_(* "-"??_);_(@_)</c:formatCode>
                <c:ptCount val="5"/>
                <c:pt idx="0">
                  <c:v>482812</c:v>
                </c:pt>
                <c:pt idx="1">
                  <c:v>724218</c:v>
                </c:pt>
                <c:pt idx="2">
                  <c:v>965624</c:v>
                </c:pt>
                <c:pt idx="3">
                  <c:v>1448437</c:v>
                </c:pt>
                <c:pt idx="4">
                  <c:v>1931249</c:v>
                </c:pt>
              </c:numCache>
            </c:numRef>
          </c:cat>
          <c:val>
            <c:numRef>
              <c:f>'Scale&amp;MVA'!$C$4:$C$8</c:f>
              <c:numCache>
                <c:formatCode>_("$"* #,##0.00_);_("$"* \(#,##0.00\);_("$"* "-"??_);_(@_)</c:formatCode>
                <c:ptCount val="5"/>
                <c:pt idx="0">
                  <c:v>95.598885793871915</c:v>
                </c:pt>
                <c:pt idx="1">
                  <c:v>44.902506963788284</c:v>
                </c:pt>
                <c:pt idx="2">
                  <c:v>19.916434540389965</c:v>
                </c:pt>
                <c:pt idx="3">
                  <c:v>-7.6601671309192154</c:v>
                </c:pt>
                <c:pt idx="4">
                  <c:v>-23.286908077994447</c:v>
                </c:pt>
              </c:numCache>
            </c:numRef>
          </c:val>
          <c:extLst>
            <c:ext xmlns:c16="http://schemas.microsoft.com/office/drawing/2014/chart" uri="{C3380CC4-5D6E-409C-BE32-E72D297353CC}">
              <c16:uniqueId val="{00000004-445C-45A4-A208-AAC05F329919}"/>
            </c:ext>
          </c:extLst>
        </c:ser>
        <c:dLbls>
          <c:showLegendKey val="0"/>
          <c:showVal val="0"/>
          <c:showCatName val="0"/>
          <c:showSerName val="0"/>
          <c:showPercent val="0"/>
          <c:showBubbleSize val="0"/>
        </c:dLbls>
        <c:gapWidth val="150"/>
        <c:axId val="396129487"/>
        <c:axId val="396130447"/>
      </c:barChart>
      <c:lineChart>
        <c:grouping val="standard"/>
        <c:varyColors val="0"/>
        <c:ser>
          <c:idx val="3"/>
          <c:order val="2"/>
          <c:tx>
            <c:strRef>
              <c:f>'Scale&amp;MVA'!$D$2</c:f>
              <c:strCache>
                <c:ptCount val="1"/>
                <c:pt idx="0">
                  <c:v>A</c:v>
                </c:pt>
              </c:strCache>
            </c:strRef>
          </c:tx>
          <c:spPr>
            <a:ln w="34925" cap="rnd">
              <a:solidFill>
                <a:srgbClr val="88AED8"/>
              </a:solidFill>
              <a:round/>
            </a:ln>
            <a:effectLst/>
          </c:spPr>
          <c:marker>
            <c:symbol val="none"/>
          </c:marker>
          <c:trendline>
            <c:spPr>
              <a:ln w="38100" cap="rnd">
                <a:solidFill>
                  <a:srgbClr val="88AED8"/>
                </a:solidFill>
                <a:prstDash val="sysDot"/>
              </a:ln>
              <a:effectLst/>
            </c:spPr>
            <c:trendlineType val="linear"/>
            <c:dispRSqr val="0"/>
            <c:dispEq val="1"/>
            <c:trendlineLbl>
              <c:layout>
                <c:manualLayout>
                  <c:x val="5.3072377681196853E-2"/>
                  <c:y val="-5.9692328043085142E-2"/>
                </c:manualLayout>
              </c:layout>
              <c:numFmt formatCode="General" sourceLinked="0"/>
              <c:spPr>
                <a:solidFill>
                  <a:srgbClr val="CDDDEF"/>
                </a:solidFill>
                <a:ln>
                  <a:noFill/>
                </a:ln>
                <a:effectLst/>
              </c:spPr>
              <c:txPr>
                <a:bodyPr rot="0" spcFirstLastPara="1" vertOverflow="ellipsis" vert="horz" wrap="square" anchor="ctr" anchorCtr="1"/>
                <a:lstStyle/>
                <a:p>
                  <a:pPr>
                    <a:defRPr sz="1200" b="1" i="0" u="none" strike="noStrike" kern="1200" baseline="0">
                      <a:solidFill>
                        <a:schemeClr val="tx1"/>
                      </a:solidFill>
                      <a:latin typeface="Arial Nova Cond" panose="020B0506020202020204" pitchFamily="34" charset="0"/>
                      <a:ea typeface="+mn-ea"/>
                      <a:cs typeface="+mn-cs"/>
                    </a:defRPr>
                  </a:pPr>
                  <a:endParaRPr lang="en-US"/>
                </a:p>
              </c:txPr>
            </c:trendlineLbl>
          </c:trendline>
          <c:val>
            <c:numRef>
              <c:f>'Scale&amp;MVA'!$D$4:$D$8</c:f>
              <c:numCache>
                <c:formatCode>_("$"* #,##0.00_);_("$"* \(#,##0.00\);_("$"* "-"??_);_(@_)</c:formatCode>
                <c:ptCount val="5"/>
                <c:pt idx="0">
                  <c:v>35.877437325905291</c:v>
                </c:pt>
                <c:pt idx="1">
                  <c:v>29.470752089136493</c:v>
                </c:pt>
                <c:pt idx="2">
                  <c:v>26.072423398328691</c:v>
                </c:pt>
                <c:pt idx="3">
                  <c:v>24.67966573816156</c:v>
                </c:pt>
                <c:pt idx="4">
                  <c:v>20.417827298050142</c:v>
                </c:pt>
              </c:numCache>
            </c:numRef>
          </c:val>
          <c:smooth val="0"/>
          <c:extLst>
            <c:ext xmlns:c16="http://schemas.microsoft.com/office/drawing/2014/chart" uri="{C3380CC4-5D6E-409C-BE32-E72D297353CC}">
              <c16:uniqueId val="{00000006-445C-45A4-A208-AAC05F329919}"/>
            </c:ext>
          </c:extLst>
        </c:ser>
        <c:ser>
          <c:idx val="4"/>
          <c:order val="3"/>
          <c:tx>
            <c:strRef>
              <c:f>'Scale&amp;MVA'!$E$2</c:f>
              <c:strCache>
                <c:ptCount val="1"/>
                <c:pt idx="0">
                  <c:v>AB</c:v>
                </c:pt>
              </c:strCache>
            </c:strRef>
          </c:tx>
          <c:spPr>
            <a:ln w="38100" cap="rnd">
              <a:solidFill>
                <a:srgbClr val="E8D1FF"/>
              </a:solidFill>
              <a:round/>
            </a:ln>
            <a:effectLst/>
          </c:spPr>
          <c:marker>
            <c:symbol val="none"/>
          </c:marker>
          <c:val>
            <c:numRef>
              <c:f>'Scale&amp;MVA'!$E$4:$E$8</c:f>
              <c:numCache>
                <c:formatCode>_("$"* #,##0.00_);_("$"* \(#,##0.00\);_("$"* "-"??_);_(@_)</c:formatCode>
                <c:ptCount val="5"/>
                <c:pt idx="0">
                  <c:v>95.598885793871915</c:v>
                </c:pt>
                <c:pt idx="1">
                  <c:v>44.902506963788284</c:v>
                </c:pt>
                <c:pt idx="2">
                  <c:v>19.916434540389965</c:v>
                </c:pt>
                <c:pt idx="3">
                  <c:v>-7.6601671309192154</c:v>
                </c:pt>
                <c:pt idx="4">
                  <c:v>-23.286908077994447</c:v>
                </c:pt>
              </c:numCache>
            </c:numRef>
          </c:val>
          <c:smooth val="0"/>
          <c:extLst>
            <c:ext xmlns:c16="http://schemas.microsoft.com/office/drawing/2014/chart" uri="{C3380CC4-5D6E-409C-BE32-E72D297353CC}">
              <c16:uniqueId val="{00000007-445C-45A4-A208-AAC05F329919}"/>
            </c:ext>
          </c:extLst>
        </c:ser>
        <c:dLbls>
          <c:showLegendKey val="0"/>
          <c:showVal val="0"/>
          <c:showCatName val="0"/>
          <c:showSerName val="0"/>
          <c:showPercent val="0"/>
          <c:showBubbleSize val="0"/>
        </c:dLbls>
        <c:marker val="1"/>
        <c:smooth val="0"/>
        <c:axId val="396129487"/>
        <c:axId val="396130447"/>
      </c:lineChart>
      <c:catAx>
        <c:axId val="396129487"/>
        <c:scaling>
          <c:orientation val="minMax"/>
        </c:scaling>
        <c:delete val="0"/>
        <c:axPos val="b"/>
        <c:majorGridlines>
          <c:spPr>
            <a:ln w="3175" cap="flat" cmpd="sng" algn="ctr">
              <a:solidFill>
                <a:schemeClr val="tx1"/>
              </a:solidFill>
              <a:round/>
            </a:ln>
            <a:effectLst/>
          </c:spPr>
        </c:majorGridlines>
        <c:title>
          <c:tx>
            <c:rich>
              <a:bodyPr rot="0" spcFirstLastPara="1" vertOverflow="ellipsis" vert="horz" wrap="square" anchor="ctr" anchorCtr="1"/>
              <a:lstStyle/>
              <a:p>
                <a:pPr>
                  <a:defRPr sz="1200" b="1" i="0" u="none" strike="noStrike" kern="1200" cap="all" baseline="0">
                    <a:solidFill>
                      <a:schemeClr val="tx1"/>
                    </a:solidFill>
                    <a:latin typeface="Arial Nova Cond" panose="020B0506020202020204" pitchFamily="34" charset="0"/>
                    <a:ea typeface="+mn-ea"/>
                    <a:cs typeface="+mn-cs"/>
                  </a:defRPr>
                </a:pPr>
                <a:r>
                  <a:rPr lang="en-US" sz="1200" cap="all" baseline="0"/>
                  <a:t>Plant Flow Rate </a:t>
                </a:r>
                <a:r>
                  <a:rPr lang="en-US" sz="1200" b="0" cap="all" baseline="0"/>
                  <a:t>[TonNE/Year]</a:t>
                </a:r>
              </a:p>
            </c:rich>
          </c:tx>
          <c:layout>
            <c:manualLayout>
              <c:xMode val="edge"/>
              <c:yMode val="edge"/>
              <c:x val="0.33632329422616697"/>
              <c:y val="0.93925785802343709"/>
            </c:manualLayout>
          </c:layout>
          <c:overlay val="0"/>
          <c:spPr>
            <a:noFill/>
            <a:ln>
              <a:noFill/>
            </a:ln>
            <a:effectLst/>
          </c:spPr>
          <c:txPr>
            <a:bodyPr rot="0" spcFirstLastPara="1" vertOverflow="ellipsis" vert="horz" wrap="square" anchor="ctr" anchorCtr="1"/>
            <a:lstStyle/>
            <a:p>
              <a:pPr>
                <a:defRPr sz="1200" b="1" i="0" u="none" strike="noStrike" kern="1200" cap="all" baseline="0">
                  <a:solidFill>
                    <a:schemeClr val="tx1"/>
                  </a:solidFill>
                  <a:latin typeface="Arial Nova Cond" panose="020B0506020202020204" pitchFamily="34" charset="0"/>
                  <a:ea typeface="+mn-ea"/>
                  <a:cs typeface="+mn-cs"/>
                </a:defRPr>
              </a:pPr>
              <a:endParaRPr lang="en-US"/>
            </a:p>
          </c:txPr>
        </c:title>
        <c:numFmt formatCode="_(* #,##0_);_(* \(#,##0\);_(* &quot;-&quot;_);_(@_)" sourceLinked="0"/>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Arial Nova Cond" panose="020B0506020202020204" pitchFamily="34" charset="0"/>
                <a:ea typeface="+mn-ea"/>
                <a:cs typeface="+mn-cs"/>
              </a:defRPr>
            </a:pPr>
            <a:endParaRPr lang="en-US"/>
          </a:p>
        </c:txPr>
        <c:crossAx val="396130447"/>
        <c:crosses val="autoZero"/>
        <c:auto val="1"/>
        <c:lblAlgn val="ctr"/>
        <c:lblOffset val="100"/>
        <c:noMultiLvlLbl val="1"/>
      </c:catAx>
      <c:valAx>
        <c:axId val="396130447"/>
        <c:scaling>
          <c:orientation val="minMax"/>
        </c:scaling>
        <c:delete val="0"/>
        <c:axPos val="l"/>
        <c:majorGridlines>
          <c:spPr>
            <a:ln w="3175" cap="flat" cmpd="sng" algn="ctr">
              <a:solidFill>
                <a:schemeClr val="tx1"/>
              </a:solidFill>
              <a:round/>
            </a:ln>
            <a:effectLst/>
          </c:spPr>
        </c:majorGridlines>
        <c:title>
          <c:tx>
            <c:rich>
              <a:bodyPr rot="-5400000" spcFirstLastPara="1" vertOverflow="ellipsis" vert="horz" wrap="square" anchor="ctr" anchorCtr="1"/>
              <a:lstStyle/>
              <a:p>
                <a:pPr>
                  <a:defRPr sz="1200" b="1" i="0" u="none" strike="noStrike" kern="1200" cap="all" baseline="0">
                    <a:solidFill>
                      <a:schemeClr val="tx1"/>
                    </a:solidFill>
                    <a:latin typeface="Arial Nova Cond" panose="020B0506020202020204" pitchFamily="34" charset="0"/>
                    <a:ea typeface="+mn-ea"/>
                    <a:cs typeface="+mn-cs"/>
                  </a:defRPr>
                </a:pPr>
                <a:r>
                  <a:rPr lang="en-US" sz="1200" cap="all" baseline="0"/>
                  <a:t>Minimum Selling Price </a:t>
                </a:r>
                <a:r>
                  <a:rPr lang="en-US" sz="1200" b="0" cap="all" baseline="0"/>
                  <a:t>[USD (2026) / GGE]</a:t>
                </a:r>
              </a:p>
            </c:rich>
          </c:tx>
          <c:layout>
            <c:manualLayout>
              <c:xMode val="edge"/>
              <c:yMode val="edge"/>
              <c:x val="2.1464130554347777E-2"/>
              <c:y val="0.26767790951726372"/>
            </c:manualLayout>
          </c:layout>
          <c:overlay val="0"/>
          <c:spPr>
            <a:noFill/>
            <a:ln>
              <a:noFill/>
            </a:ln>
            <a:effectLst/>
          </c:spPr>
          <c:txPr>
            <a:bodyPr rot="-5400000" spcFirstLastPara="1" vertOverflow="ellipsis" vert="horz" wrap="square" anchor="ctr" anchorCtr="1"/>
            <a:lstStyle/>
            <a:p>
              <a:pPr>
                <a:defRPr sz="1200" b="1" i="0" u="none" strike="noStrike" kern="1200" cap="all" baseline="0">
                  <a:solidFill>
                    <a:schemeClr val="tx1"/>
                  </a:solidFill>
                  <a:latin typeface="Arial Nova Cond" panose="020B0506020202020204" pitchFamily="34" charset="0"/>
                  <a:ea typeface="+mn-ea"/>
                  <a:cs typeface="+mn-cs"/>
                </a:defRPr>
              </a:pPr>
              <a:endParaRPr lang="en-US"/>
            </a:p>
          </c:txPr>
        </c:title>
        <c:numFmt formatCode="&quot;$&quot;#,##0" sourceLinked="0"/>
        <c:majorTickMark val="cross"/>
        <c:minorTickMark val="none"/>
        <c:tickLblPos val="nextTo"/>
        <c:spPr>
          <a:noFill/>
          <a:ln w="9525" cap="flat" cmpd="sng" algn="ctr">
            <a:solidFill>
              <a:srgbClr val="000000"/>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Arial Nova Cond" panose="020B0506020202020204" pitchFamily="34" charset="0"/>
                <a:ea typeface="+mn-ea"/>
                <a:cs typeface="+mn-cs"/>
              </a:defRPr>
            </a:pPr>
            <a:endParaRPr lang="en-US"/>
          </a:p>
        </c:txPr>
        <c:crossAx val="396129487"/>
        <c:crosses val="autoZero"/>
        <c:crossBetween val="between"/>
      </c:valAx>
      <c:spPr>
        <a:noFill/>
        <a:ln>
          <a:solidFill>
            <a:schemeClr val="tx1"/>
          </a:solidFill>
        </a:ln>
        <a:effectLst/>
      </c:spPr>
    </c:plotArea>
    <c:legend>
      <c:legendPos val="b"/>
      <c:legendEntry>
        <c:idx val="2"/>
        <c:delete val="1"/>
      </c:legendEntry>
      <c:legendEntry>
        <c:idx val="3"/>
        <c:delete val="1"/>
      </c:legendEntry>
      <c:legendEntry>
        <c:idx val="4"/>
        <c:delete val="1"/>
      </c:legendEntry>
      <c:legendEntry>
        <c:idx val="5"/>
        <c:delete val="1"/>
      </c:legendEntry>
      <c:layout>
        <c:manualLayout>
          <c:xMode val="edge"/>
          <c:yMode val="edge"/>
          <c:x val="0.4746152756871202"/>
          <c:y val="0.12237494844734698"/>
          <c:w val="0.45257889585416627"/>
          <c:h val="0.11293171074040897"/>
        </c:manualLayout>
      </c:layout>
      <c:overlay val="0"/>
      <c:spPr>
        <a:solidFill>
          <a:schemeClr val="bg1"/>
        </a:solidFill>
        <a:ln>
          <a:solidFill>
            <a:schemeClr val="bg1"/>
          </a:solidFill>
        </a:ln>
        <a:effectLst/>
      </c:spPr>
      <c:txPr>
        <a:bodyPr rot="0" spcFirstLastPara="1" vertOverflow="ellipsis" vert="horz" wrap="square" anchor="ctr" anchorCtr="1"/>
        <a:lstStyle/>
        <a:p>
          <a:pPr>
            <a:defRPr sz="1400" b="1" i="0" u="none" strike="noStrike" kern="1200" cap="all"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5875" cap="flat" cmpd="sng" algn="ctr">
      <a:noFill/>
      <a:round/>
    </a:ln>
    <a:effectLst/>
  </c:spPr>
  <c:txPr>
    <a:bodyPr/>
    <a:lstStyle/>
    <a:p>
      <a:pPr>
        <a:defRPr b="1">
          <a:solidFill>
            <a:schemeClr val="tx1"/>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scatterChart>
        <c:scatterStyle val="lineMarker"/>
        <c:varyColors val="0"/>
        <c:ser>
          <c:idx val="0"/>
          <c:order val="0"/>
          <c:tx>
            <c:strRef>
              <c:f>BM_Flow!$F$64:$F$65</c:f>
              <c:strCache>
                <c:ptCount val="2"/>
                <c:pt idx="0">
                  <c:v>Specific Cost</c:v>
                </c:pt>
                <c:pt idx="1">
                  <c:v>USD/m3/hr</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0.12908136482939633"/>
                  <c:y val="-0.326183289588801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trendlineLbl>
          </c:trendline>
          <c:xVal>
            <c:numRef>
              <c:f>BM_Flow!$E$66:$E$69</c:f>
              <c:numCache>
                <c:formatCode>General</c:formatCode>
                <c:ptCount val="4"/>
                <c:pt idx="0">
                  <c:v>300</c:v>
                </c:pt>
                <c:pt idx="1">
                  <c:v>700</c:v>
                </c:pt>
                <c:pt idx="2">
                  <c:v>1200</c:v>
                </c:pt>
                <c:pt idx="3">
                  <c:v>1400</c:v>
                </c:pt>
              </c:numCache>
            </c:numRef>
          </c:xVal>
          <c:yVal>
            <c:numRef>
              <c:f>BM_Flow!$F$66:$F$69</c:f>
              <c:numCache>
                <c:formatCode>General</c:formatCode>
                <c:ptCount val="4"/>
                <c:pt idx="0">
                  <c:v>4.0232400000000001E-2</c:v>
                </c:pt>
                <c:pt idx="1">
                  <c:v>1.3263428571428572E-2</c:v>
                </c:pt>
                <c:pt idx="2">
                  <c:v>6.1896E-3</c:v>
                </c:pt>
                <c:pt idx="3">
                  <c:v>5.0843142857142851E-3</c:v>
                </c:pt>
              </c:numCache>
            </c:numRef>
          </c:yVal>
          <c:smooth val="0"/>
          <c:extLst>
            <c:ext xmlns:c16="http://schemas.microsoft.com/office/drawing/2014/chart" uri="{C3380CC4-5D6E-409C-BE32-E72D297353CC}">
              <c16:uniqueId val="{00000000-19AA-46CA-8255-4665771E6584}"/>
            </c:ext>
          </c:extLst>
        </c:ser>
        <c:dLbls>
          <c:showLegendKey val="0"/>
          <c:showVal val="0"/>
          <c:showCatName val="0"/>
          <c:showSerName val="0"/>
          <c:showPercent val="0"/>
          <c:showBubbleSize val="0"/>
        </c:dLbls>
        <c:axId val="329258735"/>
        <c:axId val="329239055"/>
      </c:scatterChart>
      <c:valAx>
        <c:axId val="32925873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Arial Nova Cond" panose="020B0506020202020204" pitchFamily="34" charset="0"/>
                    <a:ea typeface="+mn-ea"/>
                    <a:cs typeface="+mn-cs"/>
                  </a:defRPr>
                </a:pPr>
                <a:r>
                  <a:rPr lang="en-US"/>
                  <a:t>Upgrade Capacity m3/hr raw biogas</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crossAx val="329239055"/>
        <c:crosses val="autoZero"/>
        <c:crossBetween val="midCat"/>
      </c:valAx>
      <c:valAx>
        <c:axId val="329239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Arial Nova Cond" panose="020B0506020202020204" pitchFamily="34" charset="0"/>
                    <a:ea typeface="+mn-ea"/>
                    <a:cs typeface="+mn-cs"/>
                  </a:defRPr>
                </a:pPr>
                <a:r>
                  <a:rPr lang="en-US"/>
                  <a:t>Specific Cost</a:t>
                </a:r>
              </a:p>
            </c:rich>
          </c:tx>
          <c:layout>
            <c:manualLayout>
              <c:xMode val="edge"/>
              <c:yMode val="edge"/>
              <c:x val="2.0923282396215576E-2"/>
              <c:y val="0.3467707527330548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crossAx val="3292587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0" baseline="0">
                <a:solidFill>
                  <a:sysClr val="windowText" lastClr="000000"/>
                </a:solidFill>
                <a:latin typeface="Arial Nova Cond" panose="020B0506020202020204" pitchFamily="34" charset="0"/>
                <a:ea typeface="+mn-ea"/>
                <a:cs typeface="+mn-cs"/>
              </a:defRPr>
            </a:pPr>
            <a:r>
              <a:rPr lang="en-US" sz="1800" b="1" cap="all" baseline="0"/>
              <a:t>Benchmark Biogas </a:t>
            </a:r>
          </a:p>
        </c:rich>
      </c:tx>
      <c:layout>
        <c:manualLayout>
          <c:xMode val="edge"/>
          <c:yMode val="edge"/>
          <c:x val="3.2989360200942626E-2"/>
          <c:y val="2.5455434934538508E-2"/>
        </c:manualLayout>
      </c:layout>
      <c:overlay val="0"/>
      <c:spPr>
        <a:noFill/>
        <a:ln>
          <a:noFill/>
        </a:ln>
        <a:effectLst/>
      </c:spPr>
      <c:txPr>
        <a:bodyPr rot="0" spcFirstLastPara="1" vertOverflow="ellipsis" vert="horz" wrap="square" anchor="ctr" anchorCtr="1"/>
        <a:lstStyle/>
        <a:p>
          <a:pPr>
            <a:defRPr sz="1800" b="1" i="0" u="none" strike="noStrike" kern="1200" cap="all"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4971896254903622"/>
          <c:y val="0.14482352941176471"/>
          <c:w val="0.72005305788389351"/>
          <c:h val="0.68366374691329268"/>
        </c:manualLayout>
      </c:layout>
      <c:barChart>
        <c:barDir val="col"/>
        <c:grouping val="stacked"/>
        <c:varyColors val="0"/>
        <c:ser>
          <c:idx val="0"/>
          <c:order val="0"/>
          <c:tx>
            <c:strRef>
              <c:f>BM_Flow!$G$24</c:f>
              <c:strCache>
                <c:ptCount val="1"/>
                <c:pt idx="0">
                  <c:v>Methane Yield</c:v>
                </c:pt>
              </c:strCache>
            </c:strRef>
          </c:tx>
          <c:spPr>
            <a:solidFill>
              <a:srgbClr val="669900"/>
            </a:solidFill>
            <a:ln>
              <a:noFill/>
            </a:ln>
            <a:effectLst/>
          </c:spPr>
          <c:invertIfNegative val="0"/>
          <c:cat>
            <c:strRef>
              <c:f>BM_Flow!$H$23</c:f>
              <c:strCache>
                <c:ptCount val="1"/>
                <c:pt idx="0">
                  <c:v>L/ g VS</c:v>
                </c:pt>
              </c:strCache>
            </c:strRef>
          </c:cat>
          <c:val>
            <c:numRef>
              <c:f>BM_Flow!$H$24</c:f>
              <c:numCache>
                <c:formatCode>General</c:formatCode>
                <c:ptCount val="1"/>
                <c:pt idx="0">
                  <c:v>0.168846</c:v>
                </c:pt>
              </c:numCache>
            </c:numRef>
          </c:val>
          <c:extLst>
            <c:ext xmlns:c16="http://schemas.microsoft.com/office/drawing/2014/chart" uri="{C3380CC4-5D6E-409C-BE32-E72D297353CC}">
              <c16:uniqueId val="{00000000-9376-440A-B005-471B51B30677}"/>
            </c:ext>
          </c:extLst>
        </c:ser>
        <c:ser>
          <c:idx val="1"/>
          <c:order val="1"/>
          <c:tx>
            <c:strRef>
              <c:f>BM_Flow!$G$25</c:f>
              <c:strCache>
                <c:ptCount val="1"/>
                <c:pt idx="0">
                  <c:v>Carbon Dioxide Yield</c:v>
                </c:pt>
              </c:strCache>
            </c:strRef>
          </c:tx>
          <c:spPr>
            <a:solidFill>
              <a:srgbClr val="728E9E"/>
            </a:solidFill>
            <a:ln>
              <a:noFill/>
            </a:ln>
            <a:effectLst/>
          </c:spPr>
          <c:invertIfNegative val="0"/>
          <c:cat>
            <c:strRef>
              <c:f>BM_Flow!$H$23</c:f>
              <c:strCache>
                <c:ptCount val="1"/>
                <c:pt idx="0">
                  <c:v>L/ g VS</c:v>
                </c:pt>
              </c:strCache>
            </c:strRef>
          </c:cat>
          <c:val>
            <c:numRef>
              <c:f>BM_Flow!$H$25</c:f>
              <c:numCache>
                <c:formatCode>General</c:formatCode>
                <c:ptCount val="1"/>
                <c:pt idx="0">
                  <c:v>8.9869645161290326E-2</c:v>
                </c:pt>
              </c:numCache>
            </c:numRef>
          </c:val>
          <c:extLst>
            <c:ext xmlns:c16="http://schemas.microsoft.com/office/drawing/2014/chart" uri="{C3380CC4-5D6E-409C-BE32-E72D297353CC}">
              <c16:uniqueId val="{00000001-9376-440A-B005-471B51B30677}"/>
            </c:ext>
          </c:extLst>
        </c:ser>
        <c:ser>
          <c:idx val="2"/>
          <c:order val="2"/>
          <c:tx>
            <c:strRef>
              <c:f>BM_Flow!$G$26</c:f>
              <c:strCache>
                <c:ptCount val="1"/>
                <c:pt idx="0">
                  <c:v>Nitrogen Yield</c:v>
                </c:pt>
              </c:strCache>
            </c:strRef>
          </c:tx>
          <c:spPr>
            <a:solidFill>
              <a:srgbClr val="C4AE7E"/>
            </a:solidFill>
            <a:ln>
              <a:noFill/>
            </a:ln>
            <a:effectLst/>
          </c:spPr>
          <c:invertIfNegative val="0"/>
          <c:cat>
            <c:strRef>
              <c:f>BM_Flow!$H$23</c:f>
              <c:strCache>
                <c:ptCount val="1"/>
                <c:pt idx="0">
                  <c:v>L/ g VS</c:v>
                </c:pt>
              </c:strCache>
            </c:strRef>
          </c:cat>
          <c:val>
            <c:numRef>
              <c:f>BM_Flow!$H$26</c:f>
              <c:numCache>
                <c:formatCode>General</c:formatCode>
                <c:ptCount val="1"/>
                <c:pt idx="0">
                  <c:v>1.3616612903225809E-2</c:v>
                </c:pt>
              </c:numCache>
            </c:numRef>
          </c:val>
          <c:extLst>
            <c:ext xmlns:c16="http://schemas.microsoft.com/office/drawing/2014/chart" uri="{C3380CC4-5D6E-409C-BE32-E72D297353CC}">
              <c16:uniqueId val="{00000002-9376-440A-B005-471B51B30677}"/>
            </c:ext>
          </c:extLst>
        </c:ser>
        <c:ser>
          <c:idx val="3"/>
          <c:order val="3"/>
          <c:tx>
            <c:strRef>
              <c:f>BM_Flow!$G$27</c:f>
              <c:strCache>
                <c:ptCount val="1"/>
                <c:pt idx="0">
                  <c:v>Hydrogen Sulfide Yield</c:v>
                </c:pt>
              </c:strCache>
            </c:strRef>
          </c:tx>
          <c:spPr>
            <a:solidFill>
              <a:srgbClr val="AEB75D"/>
            </a:solidFill>
            <a:ln>
              <a:noFill/>
            </a:ln>
            <a:effectLst/>
          </c:spPr>
          <c:invertIfNegative val="0"/>
          <c:cat>
            <c:strRef>
              <c:f>BM_Flow!$H$23</c:f>
              <c:strCache>
                <c:ptCount val="1"/>
                <c:pt idx="0">
                  <c:v>L/ g VS</c:v>
                </c:pt>
              </c:strCache>
            </c:strRef>
          </c:cat>
          <c:val>
            <c:numRef>
              <c:f>BM_Flow!$H$27</c:f>
              <c:numCache>
                <c:formatCode>General</c:formatCode>
                <c:ptCount val="1"/>
                <c:pt idx="0">
                  <c:v>3.0589448554838709E-3</c:v>
                </c:pt>
              </c:numCache>
            </c:numRef>
          </c:val>
          <c:extLst>
            <c:ext xmlns:c16="http://schemas.microsoft.com/office/drawing/2014/chart" uri="{C3380CC4-5D6E-409C-BE32-E72D297353CC}">
              <c16:uniqueId val="{00000003-9376-440A-B005-471B51B30677}"/>
            </c:ext>
          </c:extLst>
        </c:ser>
        <c:dLbls>
          <c:showLegendKey val="0"/>
          <c:showVal val="0"/>
          <c:showCatName val="0"/>
          <c:showSerName val="0"/>
          <c:showPercent val="0"/>
          <c:showBubbleSize val="0"/>
        </c:dLbls>
        <c:gapWidth val="63"/>
        <c:overlap val="100"/>
        <c:axId val="1915451695"/>
        <c:axId val="1915443055"/>
      </c:barChart>
      <c:barChart>
        <c:barDir val="col"/>
        <c:grouping val="stacked"/>
        <c:varyColors val="0"/>
        <c:ser>
          <c:idx val="4"/>
          <c:order val="4"/>
          <c:tx>
            <c:strRef>
              <c:f>BM_Flow!$G$28</c:f>
              <c:strCache>
                <c:ptCount val="1"/>
                <c:pt idx="0">
                  <c:v>Total Flow Rate</c:v>
                </c:pt>
              </c:strCache>
            </c:strRef>
          </c:tx>
          <c:spPr>
            <a:solidFill>
              <a:schemeClr val="tx1">
                <a:alpha val="40000"/>
              </a:schemeClr>
            </a:solidFill>
            <a:ln>
              <a:noFill/>
            </a:ln>
            <a:effectLst/>
          </c:spPr>
          <c:invertIfNegative val="0"/>
          <c:cat>
            <c:strRef>
              <c:f>BM_Flow!$H$23</c:f>
              <c:strCache>
                <c:ptCount val="1"/>
                <c:pt idx="0">
                  <c:v>L/ g VS</c:v>
                </c:pt>
              </c:strCache>
            </c:strRef>
          </c:cat>
          <c:val>
            <c:numRef>
              <c:f>BM_Flow!$H$28</c:f>
              <c:numCache>
                <c:formatCode>_(* #,##0.00_);_(* \(#,##0.00\);_(* "-"??_);_(@_)</c:formatCode>
                <c:ptCount val="1"/>
                <c:pt idx="0">
                  <c:v>1561.5333447886708</c:v>
                </c:pt>
              </c:numCache>
            </c:numRef>
          </c:val>
          <c:extLst>
            <c:ext xmlns:c16="http://schemas.microsoft.com/office/drawing/2014/chart" uri="{C3380CC4-5D6E-409C-BE32-E72D297353CC}">
              <c16:uniqueId val="{00000004-9376-440A-B005-471B51B30677}"/>
            </c:ext>
          </c:extLst>
        </c:ser>
        <c:dLbls>
          <c:showLegendKey val="0"/>
          <c:showVal val="0"/>
          <c:showCatName val="0"/>
          <c:showSerName val="0"/>
          <c:showPercent val="0"/>
          <c:showBubbleSize val="0"/>
        </c:dLbls>
        <c:gapWidth val="500"/>
        <c:overlap val="100"/>
        <c:axId val="1915456015"/>
        <c:axId val="1915465615"/>
      </c:barChart>
      <c:catAx>
        <c:axId val="1915451695"/>
        <c:scaling>
          <c:orientation val="minMax"/>
        </c:scaling>
        <c:delete val="1"/>
        <c:axPos val="b"/>
        <c:numFmt formatCode="General" sourceLinked="1"/>
        <c:majorTickMark val="none"/>
        <c:minorTickMark val="none"/>
        <c:tickLblPos val="nextTo"/>
        <c:crossAx val="1915443055"/>
        <c:crosses val="autoZero"/>
        <c:auto val="1"/>
        <c:lblAlgn val="ctr"/>
        <c:lblOffset val="100"/>
        <c:noMultiLvlLbl val="0"/>
      </c:catAx>
      <c:valAx>
        <c:axId val="1915443055"/>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t>Specific Yield </a:t>
                </a:r>
                <a:r>
                  <a:rPr lang="en-US" b="0"/>
                  <a:t>[L</a:t>
                </a:r>
                <a:r>
                  <a:rPr lang="en-US" b="0" baseline="0"/>
                  <a:t>/g  VS]</a:t>
                </a:r>
                <a:endParaRPr lang="en-US" b="0"/>
              </a:p>
            </c:rich>
          </c:tx>
          <c:layout>
            <c:manualLayout>
              <c:xMode val="edge"/>
              <c:yMode val="edge"/>
              <c:x val="1.4507831682330032E-2"/>
              <c:y val="0.31428108838466196"/>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Nova Cond" panose="020B0506020202020204" pitchFamily="34" charset="0"/>
                <a:ea typeface="+mn-ea"/>
                <a:cs typeface="+mn-cs"/>
              </a:defRPr>
            </a:pPr>
            <a:endParaRPr lang="en-US"/>
          </a:p>
        </c:txPr>
        <c:crossAx val="1915451695"/>
        <c:crosses val="autoZero"/>
        <c:crossBetween val="between"/>
      </c:valAx>
      <c:valAx>
        <c:axId val="1915465615"/>
        <c:scaling>
          <c:orientation val="minMax"/>
        </c:scaling>
        <c:delete val="0"/>
        <c:axPos val="r"/>
        <c:title>
          <c:tx>
            <c:rich>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r>
                  <a:rPr lang="en-US" b="1"/>
                  <a:t>Biogas Flow Rate </a:t>
                </a:r>
                <a:r>
                  <a:rPr lang="en-US" b="0"/>
                  <a:t>[ 1E3 L/hr]</a:t>
                </a:r>
              </a:p>
            </c:rich>
          </c:tx>
          <c:layout>
            <c:manualLayout>
              <c:xMode val="edge"/>
              <c:yMode val="edge"/>
              <c:x val="0.936439815990743"/>
              <c:y val="0.28021618599450215"/>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Nova Cond" panose="020B0506020202020204" pitchFamily="34" charset="0"/>
                <a:ea typeface="+mn-ea"/>
                <a:cs typeface="+mn-cs"/>
              </a:defRPr>
            </a:pPr>
            <a:endParaRPr lang="en-US"/>
          </a:p>
        </c:txPr>
        <c:crossAx val="1915456015"/>
        <c:crosses val="max"/>
        <c:crossBetween val="between"/>
        <c:dispUnits>
          <c:builtInUnit val="thousands"/>
        </c:dispUnits>
      </c:valAx>
      <c:catAx>
        <c:axId val="1915456015"/>
        <c:scaling>
          <c:orientation val="minMax"/>
        </c:scaling>
        <c:delete val="1"/>
        <c:axPos val="b"/>
        <c:numFmt formatCode="General" sourceLinked="1"/>
        <c:majorTickMark val="out"/>
        <c:minorTickMark val="none"/>
        <c:tickLblPos val="nextTo"/>
        <c:crossAx val="1915465615"/>
        <c:crosses val="autoZero"/>
        <c:auto val="1"/>
        <c:lblAlgn val="ctr"/>
        <c:lblOffset val="100"/>
        <c:noMultiLvlLbl val="0"/>
      </c:catAx>
      <c:spPr>
        <a:noFill/>
        <a:ln w="15875">
          <a:solidFill>
            <a:schemeClr val="tx1"/>
          </a:solidFill>
        </a:ln>
        <a:effectLst/>
      </c:spPr>
    </c:plotArea>
    <c:legend>
      <c:legendPos val="b"/>
      <c:layout>
        <c:manualLayout>
          <c:xMode val="edge"/>
          <c:yMode val="edge"/>
          <c:x val="8.7484548302430003E-3"/>
          <c:y val="0.87167870288403304"/>
          <c:w val="0.97820201507069682"/>
          <c:h val="0.12047803196198108"/>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1" i="0" u="none" strike="noStrike" kern="1200" cap="all" spc="0" baseline="0">
                <a:solidFill>
                  <a:sysClr val="windowText" lastClr="000000"/>
                </a:solidFill>
                <a:latin typeface="Arial Nova Cond" panose="020B0506020202020204" pitchFamily="34" charset="0"/>
                <a:ea typeface="+mn-ea"/>
                <a:cs typeface="+mn-cs"/>
              </a:defRPr>
            </a:pPr>
            <a:r>
              <a:rPr lang="en-US" b="1" cap="all" baseline="0"/>
              <a:t>Capital Expenses: </a:t>
            </a:r>
          </a:p>
          <a:p>
            <a:pPr algn="l">
              <a:defRPr b="1" cap="all"/>
            </a:pPr>
            <a:r>
              <a:rPr lang="en-US" b="1" cap="all" baseline="0"/>
              <a:t>Bio-Methane Production </a:t>
            </a:r>
          </a:p>
        </c:rich>
      </c:tx>
      <c:layout>
        <c:manualLayout>
          <c:xMode val="edge"/>
          <c:yMode val="edge"/>
          <c:x val="7.3673193069729692E-4"/>
          <c:y val="7.5187969924812026E-3"/>
        </c:manualLayout>
      </c:layout>
      <c:overlay val="0"/>
      <c:spPr>
        <a:noFill/>
        <a:ln>
          <a:noFill/>
        </a:ln>
        <a:effectLst/>
      </c:spPr>
      <c:txPr>
        <a:bodyPr rot="0" spcFirstLastPara="1" vertOverflow="ellipsis" vert="horz" wrap="square" anchor="ctr" anchorCtr="1"/>
        <a:lstStyle/>
        <a:p>
          <a:pPr algn="l">
            <a:defRPr sz="1400" b="1" i="0" u="none" strike="noStrike" kern="1200" cap="all"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8839938312380466"/>
          <c:y val="0.18902255639097745"/>
          <c:w val="0.78102383413156917"/>
          <c:h val="0.6515703629151619"/>
        </c:manualLayout>
      </c:layout>
      <c:barChart>
        <c:barDir val="col"/>
        <c:grouping val="stacked"/>
        <c:varyColors val="0"/>
        <c:ser>
          <c:idx val="0"/>
          <c:order val="0"/>
          <c:tx>
            <c:strRef>
              <c:f>BM_CAPEX!$A$74</c:f>
              <c:strCache>
                <c:ptCount val="1"/>
                <c:pt idx="0">
                  <c:v>Transportation</c:v>
                </c:pt>
              </c:strCache>
            </c:strRef>
          </c:tx>
          <c:spPr>
            <a:solidFill>
              <a:schemeClr val="accent1"/>
            </a:solidFill>
            <a:ln>
              <a:noFill/>
            </a:ln>
            <a:effectLst/>
          </c:spPr>
          <c:invertIfNegative val="0"/>
          <c:dPt>
            <c:idx val="0"/>
            <c:invertIfNegative val="0"/>
            <c:bubble3D val="0"/>
            <c:spPr>
              <a:solidFill>
                <a:srgbClr val="CCFF99"/>
              </a:solidFill>
              <a:ln>
                <a:noFill/>
              </a:ln>
              <a:effectLst/>
            </c:spPr>
            <c:extLst>
              <c:ext xmlns:c16="http://schemas.microsoft.com/office/drawing/2014/chart" uri="{C3380CC4-5D6E-409C-BE32-E72D297353CC}">
                <c16:uniqueId val="{00000004-1C69-4C9F-AE5A-9C5BF52661B2}"/>
              </c:ext>
            </c:extLst>
          </c:dPt>
          <c:dLbls>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1C69-4C9F-AE5A-9C5BF52661B2}"/>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Arial Nova Cond" panose="020B0506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BM_CAPEX!$B$74</c:f>
              <c:numCache>
                <c:formatCode>_("$"* #,##0.00_);_("$"* \(#,##0.00\);_("$"* "-"??_);_(@_)</c:formatCode>
                <c:ptCount val="1"/>
                <c:pt idx="0">
                  <c:v>57645199.919117436</c:v>
                </c:pt>
              </c:numCache>
            </c:numRef>
          </c:val>
          <c:extLst>
            <c:ext xmlns:c16="http://schemas.microsoft.com/office/drawing/2014/chart" uri="{C3380CC4-5D6E-409C-BE32-E72D297353CC}">
              <c16:uniqueId val="{00000000-1C69-4C9F-AE5A-9C5BF52661B2}"/>
            </c:ext>
          </c:extLst>
        </c:ser>
        <c:ser>
          <c:idx val="1"/>
          <c:order val="1"/>
          <c:tx>
            <c:strRef>
              <c:f>BM_CAPEX!$A$75</c:f>
              <c:strCache>
                <c:ptCount val="1"/>
                <c:pt idx="0">
                  <c:v>Feedstock Preparation</c:v>
                </c:pt>
              </c:strCache>
            </c:strRef>
          </c:tx>
          <c:spPr>
            <a:solidFill>
              <a:schemeClr val="tx1">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BM_CAPEX!$B$75</c:f>
              <c:numCache>
                <c:formatCode>"$"#,##0</c:formatCode>
                <c:ptCount val="1"/>
                <c:pt idx="0">
                  <c:v>55407807.705917627</c:v>
                </c:pt>
              </c:numCache>
            </c:numRef>
          </c:val>
          <c:extLst>
            <c:ext xmlns:c16="http://schemas.microsoft.com/office/drawing/2014/chart" uri="{C3380CC4-5D6E-409C-BE32-E72D297353CC}">
              <c16:uniqueId val="{00000001-1C69-4C9F-AE5A-9C5BF52661B2}"/>
            </c:ext>
          </c:extLst>
        </c:ser>
        <c:ser>
          <c:idx val="2"/>
          <c:order val="2"/>
          <c:tx>
            <c:strRef>
              <c:f>BM_CAPEX!$A$76</c:f>
              <c:strCache>
                <c:ptCount val="1"/>
                <c:pt idx="0">
                  <c:v>Anaerobic Digestion</c:v>
                </c:pt>
              </c:strCache>
            </c:strRef>
          </c:tx>
          <c:spPr>
            <a:solidFill>
              <a:srgbClr val="996633"/>
            </a:solidFill>
            <a:ln>
              <a:noFill/>
            </a:ln>
            <a:effectLst/>
          </c:spPr>
          <c:invertIfNegative val="0"/>
          <c:dLbls>
            <c:dLbl>
              <c:idx val="0"/>
              <c:showLegendKey val="0"/>
              <c:showVal val="0"/>
              <c:showCatName val="0"/>
              <c:showSerName val="1"/>
              <c:showPercent val="0"/>
              <c:showBubbleSize val="0"/>
              <c:extLst>
                <c:ext xmlns:c15="http://schemas.microsoft.com/office/drawing/2012/chart" uri="{CE6537A1-D6FC-4f65-9D91-7224C49458BB}">
                  <c15:layout>
                    <c:manualLayout>
                      <c:w val="0.2620349432723974"/>
                      <c:h val="9.3276157804459692E-2"/>
                    </c:manualLayout>
                  </c15:layout>
                </c:ext>
                <c:ext xmlns:c16="http://schemas.microsoft.com/office/drawing/2014/chart" uri="{C3380CC4-5D6E-409C-BE32-E72D297353CC}">
                  <c16:uniqueId val="{00000002-6A09-4F43-BFDB-C6AA1A65432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BM_CAPEX!$B$76</c:f>
              <c:numCache>
                <c:formatCode>_("$"* #,##0.00_);_("$"* \(#,##0.00\);_("$"* "-"??_);_(@_)</c:formatCode>
                <c:ptCount val="1"/>
                <c:pt idx="0">
                  <c:v>9946670.3420815878</c:v>
                </c:pt>
              </c:numCache>
            </c:numRef>
          </c:val>
          <c:extLst>
            <c:ext xmlns:c16="http://schemas.microsoft.com/office/drawing/2014/chart" uri="{C3380CC4-5D6E-409C-BE32-E72D297353CC}">
              <c16:uniqueId val="{00000002-1C69-4C9F-AE5A-9C5BF52661B2}"/>
            </c:ext>
          </c:extLst>
        </c:ser>
        <c:ser>
          <c:idx val="4"/>
          <c:order val="3"/>
          <c:tx>
            <c:strRef>
              <c:f>BM_CAPEX!$A$77</c:f>
              <c:strCache>
                <c:ptCount val="1"/>
                <c:pt idx="0">
                  <c:v>Solid-Liquid Separation</c:v>
                </c:pt>
              </c:strCache>
            </c:strRef>
          </c:tx>
          <c:spPr>
            <a:solidFill>
              <a:schemeClr val="accent5"/>
            </a:solidFill>
            <a:ln>
              <a:noFill/>
            </a:ln>
            <a:effectLst/>
          </c:spPr>
          <c:invertIfNegative val="0"/>
          <c:dPt>
            <c:idx val="0"/>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3-6A09-4F43-BFDB-C6AA1A654328}"/>
              </c:ext>
            </c:extLst>
          </c:dPt>
          <c:dLbls>
            <c:dLbl>
              <c:idx val="0"/>
              <c:showLegendKey val="0"/>
              <c:showVal val="0"/>
              <c:showCatName val="0"/>
              <c:showSerName val="1"/>
              <c:showPercent val="0"/>
              <c:showBubbleSize val="0"/>
              <c:extLst>
                <c:ext xmlns:c15="http://schemas.microsoft.com/office/drawing/2012/chart" uri="{CE6537A1-D6FC-4f65-9D91-7224C49458BB}">
                  <c15:layout>
                    <c:manualLayout>
                      <c:w val="0.29158775642341966"/>
                      <c:h val="8.4974271012006858E-2"/>
                    </c:manualLayout>
                  </c15:layout>
                </c:ext>
                <c:ext xmlns:c16="http://schemas.microsoft.com/office/drawing/2014/chart" uri="{C3380CC4-5D6E-409C-BE32-E72D297353CC}">
                  <c16:uniqueId val="{00000003-6A09-4F43-BFDB-C6AA1A65432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Nova Cond" panose="020B0506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BM_CAPEX!$B$77</c:f>
              <c:numCache>
                <c:formatCode>"$"#,##0</c:formatCode>
                <c:ptCount val="1"/>
                <c:pt idx="0">
                  <c:v>41684581.289818138</c:v>
                </c:pt>
              </c:numCache>
            </c:numRef>
          </c:val>
          <c:extLst>
            <c:ext xmlns:c16="http://schemas.microsoft.com/office/drawing/2014/chart" uri="{C3380CC4-5D6E-409C-BE32-E72D297353CC}">
              <c16:uniqueId val="{00000005-1C69-4C9F-AE5A-9C5BF52661B2}"/>
            </c:ext>
          </c:extLst>
        </c:ser>
        <c:ser>
          <c:idx val="3"/>
          <c:order val="4"/>
          <c:tx>
            <c:strRef>
              <c:f>BM_CAPEX!$A$78</c:f>
              <c:strCache>
                <c:ptCount val="1"/>
                <c:pt idx="0">
                  <c:v>Bio-Methane Purification</c:v>
                </c:pt>
              </c:strCache>
            </c:strRef>
          </c:tx>
          <c:spPr>
            <a:solidFill>
              <a:srgbClr val="00B8B4"/>
            </a:solidFill>
            <a:ln>
              <a:noFill/>
            </a:ln>
            <a:effectLst/>
          </c:spPr>
          <c:invertIfNegative val="0"/>
          <c:val>
            <c:numRef>
              <c:f>BM_CAPEX!$B$78</c:f>
              <c:numCache>
                <c:formatCode>"$"#,##0</c:formatCode>
                <c:ptCount val="1"/>
                <c:pt idx="0">
                  <c:v>158433.46645447923</c:v>
                </c:pt>
              </c:numCache>
            </c:numRef>
          </c:val>
          <c:extLst>
            <c:ext xmlns:c16="http://schemas.microsoft.com/office/drawing/2014/chart" uri="{C3380CC4-5D6E-409C-BE32-E72D297353CC}">
              <c16:uniqueId val="{00000003-1C69-4C9F-AE5A-9C5BF52661B2}"/>
            </c:ext>
          </c:extLst>
        </c:ser>
        <c:dLbls>
          <c:showLegendKey val="0"/>
          <c:showVal val="0"/>
          <c:showCatName val="0"/>
          <c:showSerName val="0"/>
          <c:showPercent val="0"/>
          <c:showBubbleSize val="0"/>
        </c:dLbls>
        <c:gapWidth val="130"/>
        <c:overlap val="100"/>
        <c:axId val="1216278544"/>
        <c:axId val="727066415"/>
      </c:barChart>
      <c:catAx>
        <c:axId val="1216278544"/>
        <c:scaling>
          <c:orientation val="minMax"/>
        </c:scaling>
        <c:delete val="1"/>
        <c:axPos val="b"/>
        <c:numFmt formatCode="General" sourceLinked="1"/>
        <c:majorTickMark val="none"/>
        <c:minorTickMark val="none"/>
        <c:tickLblPos val="nextTo"/>
        <c:crossAx val="727066415"/>
        <c:crosses val="autoZero"/>
        <c:auto val="1"/>
        <c:lblAlgn val="ctr"/>
        <c:lblOffset val="100"/>
        <c:noMultiLvlLbl val="0"/>
      </c:catAx>
      <c:valAx>
        <c:axId val="727066415"/>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50" b="1" i="0" u="none" strike="noStrike" kern="1200" baseline="0">
                    <a:solidFill>
                      <a:sysClr val="windowText" lastClr="000000"/>
                    </a:solidFill>
                    <a:latin typeface="Arial Nova Cond" panose="020B0506020202020204" pitchFamily="34" charset="0"/>
                    <a:ea typeface="+mn-ea"/>
                    <a:cs typeface="+mn-cs"/>
                  </a:defRPr>
                </a:pPr>
                <a:r>
                  <a:rPr lang="en-US" sz="1050" b="1"/>
                  <a:t> COST</a:t>
                </a:r>
                <a:r>
                  <a:rPr lang="en-US" sz="1050" b="1" baseline="0"/>
                  <a:t> </a:t>
                </a:r>
                <a:r>
                  <a:rPr lang="en-US" sz="1050" b="0"/>
                  <a:t>[1E6 USD (2026)]</a:t>
                </a:r>
              </a:p>
            </c:rich>
          </c:tx>
          <c:layout>
            <c:manualLayout>
              <c:xMode val="edge"/>
              <c:yMode val="edge"/>
              <c:x val="2.3331157719729313E-2"/>
              <c:y val="0.27867503404179739"/>
            </c:manualLayout>
          </c:layout>
          <c:overlay val="0"/>
          <c:spPr>
            <a:noFill/>
            <a:ln>
              <a:noFill/>
            </a:ln>
            <a:effectLst/>
          </c:spPr>
          <c:txPr>
            <a:bodyPr rot="-5400000" spcFirstLastPara="1" vertOverflow="ellipsis" vert="horz" wrap="square" anchor="ctr" anchorCtr="1"/>
            <a:lstStyle/>
            <a:p>
              <a:pPr>
                <a:defRPr sz="105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Arial Nova Cond" panose="020B0506020202020204" pitchFamily="34" charset="0"/>
                <a:ea typeface="+mn-ea"/>
                <a:cs typeface="+mn-cs"/>
              </a:defRPr>
            </a:pPr>
            <a:endParaRPr lang="en-US"/>
          </a:p>
        </c:txPr>
        <c:crossAx val="1216278544"/>
        <c:crosses val="autoZero"/>
        <c:crossBetween val="between"/>
        <c:dispUnits>
          <c:builtInUnit val="millions"/>
        </c:dispUnits>
      </c:valAx>
      <c:spPr>
        <a:noFill/>
        <a:ln>
          <a:solidFill>
            <a:schemeClr val="tx1"/>
          </a:solidFill>
        </a:ln>
        <a:effectLst/>
      </c:spPr>
    </c:plotArea>
    <c:legend>
      <c:legendPos val="b"/>
      <c:layout>
        <c:manualLayout>
          <c:xMode val="edge"/>
          <c:yMode val="edge"/>
          <c:x val="6.7448403892732309E-2"/>
          <c:y val="0.86946043408381846"/>
          <c:w val="0.91737429898244416"/>
          <c:h val="0.1099563755216704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25400"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1" i="0" u="none" strike="noStrike" kern="1200" cap="all" spc="0" baseline="0">
                <a:solidFill>
                  <a:schemeClr val="tx1"/>
                </a:solidFill>
                <a:latin typeface="Arial Nova Cond" panose="020B0506020202020204" pitchFamily="34" charset="0"/>
                <a:ea typeface="+mn-ea"/>
                <a:cs typeface="+mn-cs"/>
              </a:defRPr>
            </a:pPr>
            <a:r>
              <a:rPr lang="en-US" b="1" cap="all" baseline="0"/>
              <a:t>Operational Expenses:</a:t>
            </a:r>
          </a:p>
          <a:p>
            <a:pPr algn="l">
              <a:defRPr b="1" cap="all"/>
            </a:pPr>
            <a:r>
              <a:rPr lang="en-US" b="1" cap="all" baseline="0"/>
              <a:t>Bio-Methane Production</a:t>
            </a:r>
          </a:p>
        </c:rich>
      </c:tx>
      <c:layout>
        <c:manualLayout>
          <c:xMode val="edge"/>
          <c:yMode val="edge"/>
          <c:x val="6.4347902270213446E-3"/>
          <c:y val="7.5970164746355867E-3"/>
        </c:manualLayout>
      </c:layout>
      <c:overlay val="0"/>
      <c:spPr>
        <a:noFill/>
        <a:ln>
          <a:noFill/>
        </a:ln>
        <a:effectLst/>
      </c:spPr>
      <c:txPr>
        <a:bodyPr rot="0" spcFirstLastPara="1" vertOverflow="ellipsis" vert="horz" wrap="square" anchor="ctr" anchorCtr="1"/>
        <a:lstStyle/>
        <a:p>
          <a:pPr algn="l">
            <a:defRPr sz="1400" b="1" i="0" u="none" strike="noStrike" kern="1200" cap="all" spc="0" baseline="0">
              <a:solidFill>
                <a:schemeClr val="tx1"/>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7511329833770778"/>
          <c:y val="0.20304135711849577"/>
          <c:w val="0.79433114610673661"/>
          <c:h val="0.594036211575248"/>
        </c:manualLayout>
      </c:layout>
      <c:barChart>
        <c:barDir val="col"/>
        <c:grouping val="stacked"/>
        <c:varyColors val="0"/>
        <c:ser>
          <c:idx val="0"/>
          <c:order val="0"/>
          <c:tx>
            <c:strRef>
              <c:f>BM_OPEX!$A$123</c:f>
              <c:strCache>
                <c:ptCount val="1"/>
                <c:pt idx="0">
                  <c:v>Transportation</c:v>
                </c:pt>
              </c:strCache>
            </c:strRef>
          </c:tx>
          <c:spPr>
            <a:solidFill>
              <a:srgbClr val="CCFF99"/>
            </a:solidFill>
            <a:ln>
              <a:noFill/>
            </a:ln>
            <a:effectLst/>
          </c:spPr>
          <c:invertIfNegative val="0"/>
          <c:cat>
            <c:strRef>
              <c:f>BM_OPEX!$B$122</c:f>
              <c:strCache>
                <c:ptCount val="1"/>
                <c:pt idx="0">
                  <c:v>COST</c:v>
                </c:pt>
              </c:strCache>
            </c:strRef>
          </c:cat>
          <c:val>
            <c:numRef>
              <c:f>BM_OPEX!$B$123</c:f>
              <c:numCache>
                <c:formatCode>_("$"* #,##0.00_);_("$"* \(#,##0.00\);_("$"* "-"??_);_(@_)</c:formatCode>
                <c:ptCount val="1"/>
                <c:pt idx="0">
                  <c:v>2681788.8950499385</c:v>
                </c:pt>
              </c:numCache>
            </c:numRef>
          </c:val>
          <c:extLst>
            <c:ext xmlns:c16="http://schemas.microsoft.com/office/drawing/2014/chart" uri="{C3380CC4-5D6E-409C-BE32-E72D297353CC}">
              <c16:uniqueId val="{00000000-DBE7-410F-9D29-6C7DEF98B45D}"/>
            </c:ext>
          </c:extLst>
        </c:ser>
        <c:ser>
          <c:idx val="1"/>
          <c:order val="1"/>
          <c:tx>
            <c:strRef>
              <c:f>BM_OPEX!$A$124</c:f>
              <c:strCache>
                <c:ptCount val="1"/>
                <c:pt idx="0">
                  <c:v>Feedstock Preparation</c:v>
                </c:pt>
              </c:strCache>
            </c:strRef>
          </c:tx>
          <c:spPr>
            <a:solidFill>
              <a:schemeClr val="tx1">
                <a:lumMod val="75000"/>
                <a:lumOff val="25000"/>
              </a:schemeClr>
            </a:solidFill>
            <a:ln>
              <a:noFill/>
            </a:ln>
            <a:effectLst/>
          </c:spPr>
          <c:invertIfNegative val="0"/>
          <c:cat>
            <c:strRef>
              <c:f>BM_OPEX!$B$122</c:f>
              <c:strCache>
                <c:ptCount val="1"/>
                <c:pt idx="0">
                  <c:v>COST</c:v>
                </c:pt>
              </c:strCache>
            </c:strRef>
          </c:cat>
          <c:val>
            <c:numRef>
              <c:f>BM_OPEX!$B$124</c:f>
              <c:numCache>
                <c:formatCode>_("$"* #,##0.00_);_("$"* \(#,##0.00\);_("$"* "-"??_);_(@_)</c:formatCode>
                <c:ptCount val="1"/>
                <c:pt idx="0">
                  <c:v>81162.684322968693</c:v>
                </c:pt>
              </c:numCache>
            </c:numRef>
          </c:val>
          <c:extLst>
            <c:ext xmlns:c16="http://schemas.microsoft.com/office/drawing/2014/chart" uri="{C3380CC4-5D6E-409C-BE32-E72D297353CC}">
              <c16:uniqueId val="{00000001-DBE7-410F-9D29-6C7DEF98B45D}"/>
            </c:ext>
          </c:extLst>
        </c:ser>
        <c:ser>
          <c:idx val="2"/>
          <c:order val="2"/>
          <c:tx>
            <c:strRef>
              <c:f>BM_OPEX!$A$125</c:f>
              <c:strCache>
                <c:ptCount val="1"/>
                <c:pt idx="0">
                  <c:v>Anaerobic Digestion</c:v>
                </c:pt>
              </c:strCache>
            </c:strRef>
          </c:tx>
          <c:spPr>
            <a:solidFill>
              <a:srgbClr val="996633"/>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30241666666666667"/>
                      <c:h val="8.4339622641509418E-2"/>
                    </c:manualLayout>
                  </c15:layout>
                </c:ext>
                <c:ext xmlns:c16="http://schemas.microsoft.com/office/drawing/2014/chart" uri="{C3380CC4-5D6E-409C-BE32-E72D297353CC}">
                  <c16:uniqueId val="{00000002-DBE7-410F-9D29-6C7DEF98B45D}"/>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BM_OPEX!$B$122</c:f>
              <c:strCache>
                <c:ptCount val="1"/>
                <c:pt idx="0">
                  <c:v>COST</c:v>
                </c:pt>
              </c:strCache>
            </c:strRef>
          </c:cat>
          <c:val>
            <c:numRef>
              <c:f>BM_OPEX!$B$125</c:f>
              <c:numCache>
                <c:formatCode>_("$"* #,##0.00_);_("$"* \(#,##0.00\);_("$"* "-"??_);_(@_)</c:formatCode>
                <c:ptCount val="1"/>
                <c:pt idx="0">
                  <c:v>7349410.9483939474</c:v>
                </c:pt>
              </c:numCache>
            </c:numRef>
          </c:val>
          <c:extLst>
            <c:ext xmlns:c16="http://schemas.microsoft.com/office/drawing/2014/chart" uri="{C3380CC4-5D6E-409C-BE32-E72D297353CC}">
              <c16:uniqueId val="{00000003-DBE7-410F-9D29-6C7DEF98B45D}"/>
            </c:ext>
          </c:extLst>
        </c:ser>
        <c:ser>
          <c:idx val="3"/>
          <c:order val="3"/>
          <c:tx>
            <c:strRef>
              <c:f>BM_OPEX!$A$126</c:f>
              <c:strCache>
                <c:ptCount val="1"/>
                <c:pt idx="0">
                  <c:v>Solid-Liquid Separation</c:v>
                </c:pt>
              </c:strCache>
            </c:strRef>
          </c:tx>
          <c:spPr>
            <a:solidFill>
              <a:schemeClr val="tx2">
                <a:lumMod val="25000"/>
                <a:lumOff val="75000"/>
              </a:schemeClr>
            </a:solidFill>
            <a:ln>
              <a:noFill/>
            </a:ln>
            <a:effectLst/>
          </c:spPr>
          <c:invertIfNegative val="0"/>
          <c:cat>
            <c:strRef>
              <c:f>BM_OPEX!$B$122</c:f>
              <c:strCache>
                <c:ptCount val="1"/>
                <c:pt idx="0">
                  <c:v>COST</c:v>
                </c:pt>
              </c:strCache>
            </c:strRef>
          </c:cat>
          <c:val>
            <c:numRef>
              <c:f>BM_OPEX!$B$126</c:f>
              <c:numCache>
                <c:formatCode>_("$"* #,##0.00_);_("$"* \(#,##0.00\);_("$"* "-"??_);_(@_)</c:formatCode>
                <c:ptCount val="1"/>
                <c:pt idx="0">
                  <c:v>354594.94805011206</c:v>
                </c:pt>
              </c:numCache>
            </c:numRef>
          </c:val>
          <c:extLst>
            <c:ext xmlns:c16="http://schemas.microsoft.com/office/drawing/2014/chart" uri="{C3380CC4-5D6E-409C-BE32-E72D297353CC}">
              <c16:uniqueId val="{00000004-DBE7-410F-9D29-6C7DEF98B45D}"/>
            </c:ext>
          </c:extLst>
        </c:ser>
        <c:ser>
          <c:idx val="4"/>
          <c:order val="4"/>
          <c:tx>
            <c:strRef>
              <c:f>BM_OPEX!$A$127</c:f>
              <c:strCache>
                <c:ptCount val="1"/>
                <c:pt idx="0">
                  <c:v>Bio-Methane Purification</c:v>
                </c:pt>
              </c:strCache>
            </c:strRef>
          </c:tx>
          <c:spPr>
            <a:solidFill>
              <a:srgbClr val="00B8B4"/>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2872777777777778"/>
                      <c:h val="9.3471698113207546E-2"/>
                    </c:manualLayout>
                  </c15:layout>
                </c:ext>
                <c:ext xmlns:c16="http://schemas.microsoft.com/office/drawing/2014/chart" uri="{C3380CC4-5D6E-409C-BE32-E72D297353CC}">
                  <c16:uniqueId val="{00000005-DBE7-410F-9D29-6C7DEF98B4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BM_OPEX!$B$122</c:f>
              <c:strCache>
                <c:ptCount val="1"/>
                <c:pt idx="0">
                  <c:v>COST</c:v>
                </c:pt>
              </c:strCache>
            </c:strRef>
          </c:cat>
          <c:val>
            <c:numRef>
              <c:f>BM_OPEX!$B$127</c:f>
              <c:numCache>
                <c:formatCode>_("$"* #,##0.00_);_("$"* \(#,##0.00\);_("$"* "-"??_);_(@_)</c:formatCode>
                <c:ptCount val="1"/>
                <c:pt idx="0">
                  <c:v>14889587.630765401</c:v>
                </c:pt>
              </c:numCache>
            </c:numRef>
          </c:val>
          <c:extLst>
            <c:ext xmlns:c16="http://schemas.microsoft.com/office/drawing/2014/chart" uri="{C3380CC4-5D6E-409C-BE32-E72D297353CC}">
              <c16:uniqueId val="{00000006-DBE7-410F-9D29-6C7DEF98B45D}"/>
            </c:ext>
          </c:extLst>
        </c:ser>
        <c:ser>
          <c:idx val="5"/>
          <c:order val="5"/>
          <c:tx>
            <c:strRef>
              <c:f>BM_OPEX!$A$128</c:f>
              <c:strCache>
                <c:ptCount val="1"/>
                <c:pt idx="0">
                  <c:v>Labor</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BM_OPEX!$B$122</c:f>
              <c:strCache>
                <c:ptCount val="1"/>
                <c:pt idx="0">
                  <c:v>COST</c:v>
                </c:pt>
              </c:strCache>
            </c:strRef>
          </c:cat>
          <c:val>
            <c:numRef>
              <c:f>BM_OPEX!$B$128</c:f>
              <c:numCache>
                <c:formatCode>_("$"* #,##0.00_);_("$"* \(#,##0.00\);_("$"* "-"??_);_(@_)</c:formatCode>
                <c:ptCount val="1"/>
                <c:pt idx="0">
                  <c:v>9767120</c:v>
                </c:pt>
              </c:numCache>
            </c:numRef>
          </c:val>
          <c:extLst>
            <c:ext xmlns:c16="http://schemas.microsoft.com/office/drawing/2014/chart" uri="{C3380CC4-5D6E-409C-BE32-E72D297353CC}">
              <c16:uniqueId val="{00000007-DBE7-410F-9D29-6C7DEF98B45D}"/>
            </c:ext>
          </c:extLst>
        </c:ser>
        <c:ser>
          <c:idx val="6"/>
          <c:order val="6"/>
          <c:tx>
            <c:strRef>
              <c:f>BM_OPEX!$A$129</c:f>
              <c:strCache>
                <c:ptCount val="1"/>
                <c:pt idx="0">
                  <c:v>Overhead and Benefits</c:v>
                </c:pt>
              </c:strCache>
            </c:strRef>
          </c:tx>
          <c:spPr>
            <a:solidFill>
              <a:srgbClr val="006666"/>
            </a:solidFill>
            <a:ln>
              <a:noFill/>
            </a:ln>
            <a:effectLst/>
          </c:spPr>
          <c:invertIfNegative val="0"/>
          <c:cat>
            <c:strRef>
              <c:f>BM_OPEX!$B$122</c:f>
              <c:strCache>
                <c:ptCount val="1"/>
                <c:pt idx="0">
                  <c:v>COST</c:v>
                </c:pt>
              </c:strCache>
            </c:strRef>
          </c:cat>
          <c:val>
            <c:numRef>
              <c:f>BM_OPEX!$B$129</c:f>
              <c:numCache>
                <c:formatCode>_("$"* #,##0.00_);_("$"* \(#,##0.00\);_("$"* "-"??_);_(@_)</c:formatCode>
                <c:ptCount val="1"/>
                <c:pt idx="0">
                  <c:v>8790408</c:v>
                </c:pt>
              </c:numCache>
            </c:numRef>
          </c:val>
          <c:extLst>
            <c:ext xmlns:c16="http://schemas.microsoft.com/office/drawing/2014/chart" uri="{C3380CC4-5D6E-409C-BE32-E72D297353CC}">
              <c16:uniqueId val="{00000009-DBE7-410F-9D29-6C7DEF98B45D}"/>
            </c:ext>
          </c:extLst>
        </c:ser>
        <c:ser>
          <c:idx val="7"/>
          <c:order val="7"/>
          <c:tx>
            <c:strRef>
              <c:f>BM_OPEX!$A$130</c:f>
              <c:strCache>
                <c:ptCount val="1"/>
                <c:pt idx="0">
                  <c:v>Plant Maintenance</c:v>
                </c:pt>
              </c:strCache>
            </c:strRef>
          </c:tx>
          <c:spPr>
            <a:solidFill>
              <a:srgbClr val="339933"/>
            </a:solidFill>
            <a:ln>
              <a:noFill/>
            </a:ln>
            <a:effectLst/>
          </c:spPr>
          <c:invertIfNegative val="0"/>
          <c:dLbls>
            <c:dLbl>
              <c:idx val="0"/>
              <c:showLegendKey val="0"/>
              <c:showVal val="0"/>
              <c:showCatName val="0"/>
              <c:showSerName val="1"/>
              <c:showPercent val="0"/>
              <c:showBubbleSize val="0"/>
              <c:extLst>
                <c:ext xmlns:c15="http://schemas.microsoft.com/office/drawing/2012/chart" uri="{CE6537A1-D6FC-4f65-9D91-7224C49458BB}">
                  <c15:layout>
                    <c:manualLayout>
                      <c:w val="0.23516666666666666"/>
                      <c:h val="9.3471698113207546E-2"/>
                    </c:manualLayout>
                  </c15:layout>
                </c:ext>
                <c:ext xmlns:c16="http://schemas.microsoft.com/office/drawing/2014/chart" uri="{C3380CC4-5D6E-409C-BE32-E72D297353CC}">
                  <c16:uniqueId val="{0000000A-DBE7-410F-9D29-6C7DEF98B45D}"/>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BM_OPEX!$B$122</c:f>
              <c:strCache>
                <c:ptCount val="1"/>
                <c:pt idx="0">
                  <c:v>COST</c:v>
                </c:pt>
              </c:strCache>
            </c:strRef>
          </c:cat>
          <c:val>
            <c:numRef>
              <c:f>BM_OPEX!$B$130</c:f>
              <c:numCache>
                <c:formatCode>_("$"* #,##0.00_);_("$"* \(#,##0.00\);_("$"* "-"??_);_(@_)</c:formatCode>
                <c:ptCount val="1"/>
                <c:pt idx="0">
                  <c:v>4945280.7817016775</c:v>
                </c:pt>
              </c:numCache>
            </c:numRef>
          </c:val>
          <c:extLst>
            <c:ext xmlns:c16="http://schemas.microsoft.com/office/drawing/2014/chart" uri="{C3380CC4-5D6E-409C-BE32-E72D297353CC}">
              <c16:uniqueId val="{0000000B-DBE7-410F-9D29-6C7DEF98B45D}"/>
            </c:ext>
          </c:extLst>
        </c:ser>
        <c:ser>
          <c:idx val="8"/>
          <c:order val="8"/>
          <c:tx>
            <c:strRef>
              <c:f>BM_OPEX!$A$131</c:f>
              <c:strCache>
                <c:ptCount val="1"/>
                <c:pt idx="0">
                  <c:v>Insurance and Taxes</c:v>
                </c:pt>
              </c:strCache>
            </c:strRef>
          </c:tx>
          <c:spPr>
            <a:solidFill>
              <a:srgbClr val="3366CC"/>
            </a:solidFill>
            <a:ln>
              <a:noFill/>
            </a:ln>
            <a:effectLst/>
          </c:spPr>
          <c:invertIfNegative val="0"/>
          <c:cat>
            <c:strRef>
              <c:f>BM_OPEX!$B$122</c:f>
              <c:strCache>
                <c:ptCount val="1"/>
                <c:pt idx="0">
                  <c:v>COST</c:v>
                </c:pt>
              </c:strCache>
            </c:strRef>
          </c:cat>
          <c:val>
            <c:numRef>
              <c:f>BM_OPEX!$B$131</c:f>
              <c:numCache>
                <c:formatCode>_("$"* #,##0.00_);_("$"* \(#,##0.00\);_("$"* "-"??_);_(@_)</c:formatCode>
                <c:ptCount val="1"/>
                <c:pt idx="0">
                  <c:v>1153898.849063725</c:v>
                </c:pt>
              </c:numCache>
            </c:numRef>
          </c:val>
          <c:extLst>
            <c:ext xmlns:c16="http://schemas.microsoft.com/office/drawing/2014/chart" uri="{C3380CC4-5D6E-409C-BE32-E72D297353CC}">
              <c16:uniqueId val="{0000000C-DBE7-410F-9D29-6C7DEF98B45D}"/>
            </c:ext>
          </c:extLst>
        </c:ser>
        <c:dLbls>
          <c:showLegendKey val="0"/>
          <c:showVal val="0"/>
          <c:showCatName val="0"/>
          <c:showSerName val="0"/>
          <c:showPercent val="0"/>
          <c:showBubbleSize val="0"/>
        </c:dLbls>
        <c:gapWidth val="150"/>
        <c:overlap val="100"/>
        <c:axId val="1761356303"/>
        <c:axId val="1761354863"/>
      </c:barChart>
      <c:catAx>
        <c:axId val="1761356303"/>
        <c:scaling>
          <c:orientation val="minMax"/>
        </c:scaling>
        <c:delete val="1"/>
        <c:axPos val="b"/>
        <c:numFmt formatCode="General" sourceLinked="1"/>
        <c:majorTickMark val="none"/>
        <c:minorTickMark val="none"/>
        <c:tickLblPos val="nextTo"/>
        <c:crossAx val="1761354863"/>
        <c:crosses val="autoZero"/>
        <c:auto val="1"/>
        <c:lblAlgn val="ctr"/>
        <c:lblOffset val="100"/>
        <c:noMultiLvlLbl val="0"/>
      </c:catAx>
      <c:valAx>
        <c:axId val="1761354863"/>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50" b="1" i="0" u="none" strike="noStrike" kern="1200" baseline="0">
                    <a:solidFill>
                      <a:schemeClr val="tx1"/>
                    </a:solidFill>
                    <a:latin typeface="Arial Nova Cond" panose="020B0506020202020204" pitchFamily="34" charset="0"/>
                    <a:ea typeface="+mn-ea"/>
                    <a:cs typeface="+mn-cs"/>
                  </a:defRPr>
                </a:pPr>
                <a:r>
                  <a:rPr lang="en-US" sz="1050" b="1"/>
                  <a:t>COST </a:t>
                </a:r>
                <a:r>
                  <a:rPr lang="en-US" sz="1050" b="0"/>
                  <a:t>[1E6 USD (2026) / yr]</a:t>
                </a:r>
              </a:p>
            </c:rich>
          </c:tx>
          <c:layout>
            <c:manualLayout>
              <c:xMode val="edge"/>
              <c:yMode val="edge"/>
              <c:x val="2.5003887726829696E-2"/>
              <c:y val="0.2344060382282723"/>
            </c:manualLayout>
          </c:layout>
          <c:overlay val="0"/>
          <c:spPr>
            <a:noFill/>
            <a:ln>
              <a:noFill/>
            </a:ln>
            <a:effectLst/>
          </c:spPr>
          <c:txPr>
            <a:bodyPr rot="-5400000" spcFirstLastPara="1" vertOverflow="ellipsis" vert="horz" wrap="square" anchor="ctr" anchorCtr="1"/>
            <a:lstStyle/>
            <a:p>
              <a:pPr>
                <a:defRPr sz="105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rial Nova Cond" panose="020B0506020202020204" pitchFamily="34" charset="0"/>
                <a:ea typeface="+mn-ea"/>
                <a:cs typeface="+mn-cs"/>
              </a:defRPr>
            </a:pPr>
            <a:endParaRPr lang="en-US"/>
          </a:p>
        </c:txPr>
        <c:crossAx val="1761356303"/>
        <c:crosses val="autoZero"/>
        <c:crossBetween val="between"/>
        <c:dispUnits>
          <c:builtInUnit val="millions"/>
        </c:dispUnits>
      </c:valAx>
      <c:spPr>
        <a:noFill/>
        <a:ln w="19050">
          <a:solidFill>
            <a:schemeClr val="tx1"/>
          </a:solidFill>
        </a:ln>
        <a:effectLst/>
      </c:spPr>
    </c:plotArea>
    <c:legend>
      <c:legendPos val="b"/>
      <c:layout>
        <c:manualLayout>
          <c:xMode val="edge"/>
          <c:yMode val="edge"/>
          <c:x val="2.0058261145729527E-2"/>
          <c:y val="0.81193261859216748"/>
          <c:w val="0.95987554680664933"/>
          <c:h val="0.16542580482524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25400" cap="flat" cmpd="sng" algn="ctr">
      <a:noFill/>
      <a:round/>
    </a:ln>
    <a:effectLst/>
  </c:spPr>
  <c:txPr>
    <a:bodyPr/>
    <a:lstStyle/>
    <a:p>
      <a:pPr>
        <a:defRPr>
          <a:solidFill>
            <a:schemeClr val="tx1"/>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 of NaOH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0.14396587926509186"/>
                  <c:y val="-0.28738589967920675"/>
                </c:manualLayout>
              </c:layout>
              <c:numFmt formatCode="General" sourceLinked="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trendlineLbl>
          </c:trendline>
          <c:xVal>
            <c:numRef>
              <c:f>BM_OPEX!$M$41:$M$43</c:f>
              <c:numCache>
                <c:formatCode>General</c:formatCode>
                <c:ptCount val="3"/>
                <c:pt idx="0">
                  <c:v>1</c:v>
                </c:pt>
                <c:pt idx="1">
                  <c:v>25</c:v>
                </c:pt>
                <c:pt idx="2">
                  <c:v>40</c:v>
                </c:pt>
              </c:numCache>
            </c:numRef>
          </c:xVal>
          <c:yVal>
            <c:numRef>
              <c:f>BM_OPEX!$N$41:$N$43</c:f>
              <c:numCache>
                <c:formatCode>General</c:formatCode>
                <c:ptCount val="3"/>
                <c:pt idx="0">
                  <c:v>55</c:v>
                </c:pt>
                <c:pt idx="1">
                  <c:v>15.2</c:v>
                </c:pt>
                <c:pt idx="2">
                  <c:v>12</c:v>
                </c:pt>
              </c:numCache>
            </c:numRef>
          </c:yVal>
          <c:smooth val="0"/>
          <c:extLst>
            <c:ext xmlns:c16="http://schemas.microsoft.com/office/drawing/2014/chart" uri="{C3380CC4-5D6E-409C-BE32-E72D297353CC}">
              <c16:uniqueId val="{00000000-D0E0-413B-BE30-CF23E7D8421C}"/>
            </c:ext>
          </c:extLst>
        </c:ser>
        <c:dLbls>
          <c:showLegendKey val="0"/>
          <c:showVal val="0"/>
          <c:showCatName val="0"/>
          <c:showSerName val="0"/>
          <c:showPercent val="0"/>
          <c:showBubbleSize val="0"/>
        </c:dLbls>
        <c:axId val="568165312"/>
        <c:axId val="568167232"/>
      </c:scatterChart>
      <c:valAx>
        <c:axId val="568165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Kilos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167232"/>
        <c:crosses val="autoZero"/>
        <c:crossBetween val="midCat"/>
      </c:valAx>
      <c:valAx>
        <c:axId val="568167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Cost USD</a:t>
                </a:r>
                <a:r>
                  <a:rPr lang="en-US" baseline="0"/>
                  <a:t> 2024</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16531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1" i="0" u="none" strike="noStrike" kern="1200" cap="all" spc="0" baseline="0">
                <a:solidFill>
                  <a:schemeClr val="tx1"/>
                </a:solidFill>
                <a:latin typeface="Arial Nova Cond" panose="020B0506020202020204" pitchFamily="34" charset="0"/>
                <a:ea typeface="+mn-ea"/>
                <a:cs typeface="+mn-cs"/>
              </a:defRPr>
            </a:pPr>
            <a:r>
              <a:rPr lang="en-US" b="1" cap="all" baseline="0"/>
              <a:t>Operational Expenses:</a:t>
            </a:r>
          </a:p>
          <a:p>
            <a:pPr algn="l">
              <a:defRPr b="1" cap="all"/>
            </a:pPr>
            <a:r>
              <a:rPr lang="en-US" b="1" cap="all" baseline="0"/>
              <a:t>Bio-Methane Production</a:t>
            </a:r>
          </a:p>
        </c:rich>
      </c:tx>
      <c:layout>
        <c:manualLayout>
          <c:xMode val="edge"/>
          <c:yMode val="edge"/>
          <c:x val="6.4347902270213446E-3"/>
          <c:y val="7.5970164746355867E-3"/>
        </c:manualLayout>
      </c:layout>
      <c:overlay val="0"/>
      <c:spPr>
        <a:noFill/>
        <a:ln>
          <a:noFill/>
        </a:ln>
        <a:effectLst/>
      </c:spPr>
      <c:txPr>
        <a:bodyPr rot="0" spcFirstLastPara="1" vertOverflow="ellipsis" vert="horz" wrap="square" anchor="ctr" anchorCtr="1"/>
        <a:lstStyle/>
        <a:p>
          <a:pPr algn="l">
            <a:defRPr sz="1400" b="1" i="0" u="none" strike="noStrike" kern="1200" cap="all" spc="0" baseline="0">
              <a:solidFill>
                <a:schemeClr val="tx1"/>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7511329833770778"/>
          <c:y val="0.20304135711849577"/>
          <c:w val="0.79433114610673661"/>
          <c:h val="0.594036211575248"/>
        </c:manualLayout>
      </c:layout>
      <c:barChart>
        <c:barDir val="col"/>
        <c:grouping val="stacked"/>
        <c:varyColors val="0"/>
        <c:ser>
          <c:idx val="0"/>
          <c:order val="0"/>
          <c:tx>
            <c:strRef>
              <c:f>BM_OPEX!$A$123</c:f>
              <c:strCache>
                <c:ptCount val="1"/>
                <c:pt idx="0">
                  <c:v>Transportation</c:v>
                </c:pt>
              </c:strCache>
            </c:strRef>
          </c:tx>
          <c:spPr>
            <a:solidFill>
              <a:srgbClr val="CCFF99"/>
            </a:solidFill>
            <a:ln>
              <a:noFill/>
            </a:ln>
            <a:effectLst/>
          </c:spPr>
          <c:invertIfNegative val="0"/>
          <c:cat>
            <c:strRef>
              <c:f>BM_OPEX!$B$122</c:f>
              <c:strCache>
                <c:ptCount val="1"/>
                <c:pt idx="0">
                  <c:v>COST</c:v>
                </c:pt>
              </c:strCache>
            </c:strRef>
          </c:cat>
          <c:val>
            <c:numRef>
              <c:f>BM_OPEX!$B$123</c:f>
              <c:numCache>
                <c:formatCode>_("$"* #,##0.00_);_("$"* \(#,##0.00\);_("$"* "-"??_);_(@_)</c:formatCode>
                <c:ptCount val="1"/>
                <c:pt idx="0">
                  <c:v>2681788.8950499385</c:v>
                </c:pt>
              </c:numCache>
            </c:numRef>
          </c:val>
          <c:extLst>
            <c:ext xmlns:c16="http://schemas.microsoft.com/office/drawing/2014/chart" uri="{C3380CC4-5D6E-409C-BE32-E72D297353CC}">
              <c16:uniqueId val="{00000000-D77A-4340-B973-EBC2516119E2}"/>
            </c:ext>
          </c:extLst>
        </c:ser>
        <c:ser>
          <c:idx val="1"/>
          <c:order val="1"/>
          <c:tx>
            <c:strRef>
              <c:f>BM_OPEX!$A$124</c:f>
              <c:strCache>
                <c:ptCount val="1"/>
                <c:pt idx="0">
                  <c:v>Feedstock Preparation</c:v>
                </c:pt>
              </c:strCache>
            </c:strRef>
          </c:tx>
          <c:spPr>
            <a:solidFill>
              <a:schemeClr val="tx1">
                <a:lumMod val="75000"/>
                <a:lumOff val="25000"/>
              </a:schemeClr>
            </a:solidFill>
            <a:ln>
              <a:noFill/>
            </a:ln>
            <a:effectLst/>
          </c:spPr>
          <c:invertIfNegative val="0"/>
          <c:cat>
            <c:strRef>
              <c:f>BM_OPEX!$B$122</c:f>
              <c:strCache>
                <c:ptCount val="1"/>
                <c:pt idx="0">
                  <c:v>COST</c:v>
                </c:pt>
              </c:strCache>
            </c:strRef>
          </c:cat>
          <c:val>
            <c:numRef>
              <c:f>BM_OPEX!$B$124</c:f>
              <c:numCache>
                <c:formatCode>_("$"* #,##0.00_);_("$"* \(#,##0.00\);_("$"* "-"??_);_(@_)</c:formatCode>
                <c:ptCount val="1"/>
                <c:pt idx="0">
                  <c:v>81162.684322968693</c:v>
                </c:pt>
              </c:numCache>
            </c:numRef>
          </c:val>
          <c:extLst>
            <c:ext xmlns:c16="http://schemas.microsoft.com/office/drawing/2014/chart" uri="{C3380CC4-5D6E-409C-BE32-E72D297353CC}">
              <c16:uniqueId val="{00000001-D77A-4340-B973-EBC2516119E2}"/>
            </c:ext>
          </c:extLst>
        </c:ser>
        <c:ser>
          <c:idx val="2"/>
          <c:order val="2"/>
          <c:tx>
            <c:strRef>
              <c:f>BM_OPEX!$A$125</c:f>
              <c:strCache>
                <c:ptCount val="1"/>
                <c:pt idx="0">
                  <c:v>Anaerobic Digestion</c:v>
                </c:pt>
              </c:strCache>
            </c:strRef>
          </c:tx>
          <c:spPr>
            <a:solidFill>
              <a:srgbClr val="996633"/>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30241666666666667"/>
                      <c:h val="8.4339622641509418E-2"/>
                    </c:manualLayout>
                  </c15:layout>
                </c:ext>
                <c:ext xmlns:c16="http://schemas.microsoft.com/office/drawing/2014/chart" uri="{C3380CC4-5D6E-409C-BE32-E72D297353CC}">
                  <c16:uniqueId val="{00000002-D77A-4340-B973-EBC2516119E2}"/>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BM_OPEX!$B$122</c:f>
              <c:strCache>
                <c:ptCount val="1"/>
                <c:pt idx="0">
                  <c:v>COST</c:v>
                </c:pt>
              </c:strCache>
            </c:strRef>
          </c:cat>
          <c:val>
            <c:numRef>
              <c:f>BM_OPEX!$B$125</c:f>
              <c:numCache>
                <c:formatCode>_("$"* #,##0.00_);_("$"* \(#,##0.00\);_("$"* "-"??_);_(@_)</c:formatCode>
                <c:ptCount val="1"/>
                <c:pt idx="0">
                  <c:v>7349410.9483939474</c:v>
                </c:pt>
              </c:numCache>
            </c:numRef>
          </c:val>
          <c:extLst>
            <c:ext xmlns:c16="http://schemas.microsoft.com/office/drawing/2014/chart" uri="{C3380CC4-5D6E-409C-BE32-E72D297353CC}">
              <c16:uniqueId val="{00000003-D77A-4340-B973-EBC2516119E2}"/>
            </c:ext>
          </c:extLst>
        </c:ser>
        <c:ser>
          <c:idx val="3"/>
          <c:order val="3"/>
          <c:tx>
            <c:strRef>
              <c:f>BM_OPEX!$A$126</c:f>
              <c:strCache>
                <c:ptCount val="1"/>
                <c:pt idx="0">
                  <c:v>Solid-Liquid Separation</c:v>
                </c:pt>
              </c:strCache>
            </c:strRef>
          </c:tx>
          <c:spPr>
            <a:solidFill>
              <a:schemeClr val="tx2">
                <a:lumMod val="25000"/>
                <a:lumOff val="75000"/>
              </a:schemeClr>
            </a:solidFill>
            <a:ln>
              <a:noFill/>
            </a:ln>
            <a:effectLst/>
          </c:spPr>
          <c:invertIfNegative val="0"/>
          <c:cat>
            <c:strRef>
              <c:f>BM_OPEX!$B$122</c:f>
              <c:strCache>
                <c:ptCount val="1"/>
                <c:pt idx="0">
                  <c:v>COST</c:v>
                </c:pt>
              </c:strCache>
            </c:strRef>
          </c:cat>
          <c:val>
            <c:numRef>
              <c:f>BM_OPEX!$B$126</c:f>
              <c:numCache>
                <c:formatCode>_("$"* #,##0.00_);_("$"* \(#,##0.00\);_("$"* "-"??_);_(@_)</c:formatCode>
                <c:ptCount val="1"/>
                <c:pt idx="0">
                  <c:v>354594.94805011206</c:v>
                </c:pt>
              </c:numCache>
            </c:numRef>
          </c:val>
          <c:extLst>
            <c:ext xmlns:c16="http://schemas.microsoft.com/office/drawing/2014/chart" uri="{C3380CC4-5D6E-409C-BE32-E72D297353CC}">
              <c16:uniqueId val="{00000004-D77A-4340-B973-EBC2516119E2}"/>
            </c:ext>
          </c:extLst>
        </c:ser>
        <c:ser>
          <c:idx val="4"/>
          <c:order val="4"/>
          <c:tx>
            <c:strRef>
              <c:f>BM_OPEX!$A$127</c:f>
              <c:strCache>
                <c:ptCount val="1"/>
                <c:pt idx="0">
                  <c:v>Bio-Methane Purification</c:v>
                </c:pt>
              </c:strCache>
            </c:strRef>
          </c:tx>
          <c:spPr>
            <a:solidFill>
              <a:srgbClr val="00B8B4"/>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2872777777777778"/>
                      <c:h val="9.3471698113207546E-2"/>
                    </c:manualLayout>
                  </c15:layout>
                </c:ext>
                <c:ext xmlns:c16="http://schemas.microsoft.com/office/drawing/2014/chart" uri="{C3380CC4-5D6E-409C-BE32-E72D297353CC}">
                  <c16:uniqueId val="{00000005-D77A-4340-B973-EBC2516119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BM_OPEX!$B$122</c:f>
              <c:strCache>
                <c:ptCount val="1"/>
                <c:pt idx="0">
                  <c:v>COST</c:v>
                </c:pt>
              </c:strCache>
            </c:strRef>
          </c:cat>
          <c:val>
            <c:numRef>
              <c:f>BM_OPEX!$B$127</c:f>
              <c:numCache>
                <c:formatCode>_("$"* #,##0.00_);_("$"* \(#,##0.00\);_("$"* "-"??_);_(@_)</c:formatCode>
                <c:ptCount val="1"/>
                <c:pt idx="0">
                  <c:v>14889587.630765401</c:v>
                </c:pt>
              </c:numCache>
            </c:numRef>
          </c:val>
          <c:extLst>
            <c:ext xmlns:c16="http://schemas.microsoft.com/office/drawing/2014/chart" uri="{C3380CC4-5D6E-409C-BE32-E72D297353CC}">
              <c16:uniqueId val="{00000006-D77A-4340-B973-EBC2516119E2}"/>
            </c:ext>
          </c:extLst>
        </c:ser>
        <c:ser>
          <c:idx val="5"/>
          <c:order val="5"/>
          <c:tx>
            <c:strRef>
              <c:f>BM_OPEX!$A$128</c:f>
              <c:strCache>
                <c:ptCount val="1"/>
                <c:pt idx="0">
                  <c:v>Labor</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BM_OPEX!$B$122</c:f>
              <c:strCache>
                <c:ptCount val="1"/>
                <c:pt idx="0">
                  <c:v>COST</c:v>
                </c:pt>
              </c:strCache>
            </c:strRef>
          </c:cat>
          <c:val>
            <c:numRef>
              <c:f>BM_OPEX!$B$128</c:f>
              <c:numCache>
                <c:formatCode>_("$"* #,##0.00_);_("$"* \(#,##0.00\);_("$"* "-"??_);_(@_)</c:formatCode>
                <c:ptCount val="1"/>
                <c:pt idx="0">
                  <c:v>9767120</c:v>
                </c:pt>
              </c:numCache>
            </c:numRef>
          </c:val>
          <c:extLst>
            <c:ext xmlns:c16="http://schemas.microsoft.com/office/drawing/2014/chart" uri="{C3380CC4-5D6E-409C-BE32-E72D297353CC}">
              <c16:uniqueId val="{00000007-D77A-4340-B973-EBC2516119E2}"/>
            </c:ext>
          </c:extLst>
        </c:ser>
        <c:ser>
          <c:idx val="6"/>
          <c:order val="6"/>
          <c:tx>
            <c:strRef>
              <c:f>BM_OPEX!$A$129</c:f>
              <c:strCache>
                <c:ptCount val="1"/>
                <c:pt idx="0">
                  <c:v>Overhead and Benefits</c:v>
                </c:pt>
              </c:strCache>
            </c:strRef>
          </c:tx>
          <c:spPr>
            <a:solidFill>
              <a:srgbClr val="006666"/>
            </a:solidFill>
            <a:ln>
              <a:noFill/>
            </a:ln>
            <a:effectLst/>
          </c:spPr>
          <c:invertIfNegative val="0"/>
          <c:cat>
            <c:strRef>
              <c:f>BM_OPEX!$B$122</c:f>
              <c:strCache>
                <c:ptCount val="1"/>
                <c:pt idx="0">
                  <c:v>COST</c:v>
                </c:pt>
              </c:strCache>
            </c:strRef>
          </c:cat>
          <c:val>
            <c:numRef>
              <c:f>BM_OPEX!$B$129</c:f>
              <c:numCache>
                <c:formatCode>_("$"* #,##0.00_);_("$"* \(#,##0.00\);_("$"* "-"??_);_(@_)</c:formatCode>
                <c:ptCount val="1"/>
                <c:pt idx="0">
                  <c:v>8790408</c:v>
                </c:pt>
              </c:numCache>
            </c:numRef>
          </c:val>
          <c:extLst>
            <c:ext xmlns:c16="http://schemas.microsoft.com/office/drawing/2014/chart" uri="{C3380CC4-5D6E-409C-BE32-E72D297353CC}">
              <c16:uniqueId val="{00000008-D77A-4340-B973-EBC2516119E2}"/>
            </c:ext>
          </c:extLst>
        </c:ser>
        <c:ser>
          <c:idx val="7"/>
          <c:order val="7"/>
          <c:tx>
            <c:strRef>
              <c:f>BM_OPEX!$A$130</c:f>
              <c:strCache>
                <c:ptCount val="1"/>
                <c:pt idx="0">
                  <c:v>Plant Maintenance</c:v>
                </c:pt>
              </c:strCache>
            </c:strRef>
          </c:tx>
          <c:spPr>
            <a:solidFill>
              <a:srgbClr val="339933"/>
            </a:solidFill>
            <a:ln>
              <a:noFill/>
            </a:ln>
            <a:effectLst/>
          </c:spPr>
          <c:invertIfNegative val="0"/>
          <c:dLbls>
            <c:dLbl>
              <c:idx val="0"/>
              <c:showLegendKey val="0"/>
              <c:showVal val="0"/>
              <c:showCatName val="0"/>
              <c:showSerName val="1"/>
              <c:showPercent val="0"/>
              <c:showBubbleSize val="0"/>
              <c:extLst>
                <c:ext xmlns:c15="http://schemas.microsoft.com/office/drawing/2012/chart" uri="{CE6537A1-D6FC-4f65-9D91-7224C49458BB}">
                  <c15:layout>
                    <c:manualLayout>
                      <c:w val="0.23516666666666666"/>
                      <c:h val="9.3471698113207546E-2"/>
                    </c:manualLayout>
                  </c15:layout>
                </c:ext>
                <c:ext xmlns:c16="http://schemas.microsoft.com/office/drawing/2014/chart" uri="{C3380CC4-5D6E-409C-BE32-E72D297353CC}">
                  <c16:uniqueId val="{00000009-D77A-4340-B973-EBC2516119E2}"/>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Nova Cond" panose="020B0506020202020204" pitchFamily="34" charset="0"/>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BM_OPEX!$B$122</c:f>
              <c:strCache>
                <c:ptCount val="1"/>
                <c:pt idx="0">
                  <c:v>COST</c:v>
                </c:pt>
              </c:strCache>
            </c:strRef>
          </c:cat>
          <c:val>
            <c:numRef>
              <c:f>BM_OPEX!$B$130</c:f>
              <c:numCache>
                <c:formatCode>_("$"* #,##0.00_);_("$"* \(#,##0.00\);_("$"* "-"??_);_(@_)</c:formatCode>
                <c:ptCount val="1"/>
                <c:pt idx="0">
                  <c:v>4945280.7817016775</c:v>
                </c:pt>
              </c:numCache>
            </c:numRef>
          </c:val>
          <c:extLst>
            <c:ext xmlns:c16="http://schemas.microsoft.com/office/drawing/2014/chart" uri="{C3380CC4-5D6E-409C-BE32-E72D297353CC}">
              <c16:uniqueId val="{0000000A-D77A-4340-B973-EBC2516119E2}"/>
            </c:ext>
          </c:extLst>
        </c:ser>
        <c:ser>
          <c:idx val="8"/>
          <c:order val="8"/>
          <c:tx>
            <c:strRef>
              <c:f>BM_OPEX!$A$131</c:f>
              <c:strCache>
                <c:ptCount val="1"/>
                <c:pt idx="0">
                  <c:v>Insurance and Taxes</c:v>
                </c:pt>
              </c:strCache>
            </c:strRef>
          </c:tx>
          <c:spPr>
            <a:solidFill>
              <a:srgbClr val="3366CC"/>
            </a:solidFill>
            <a:ln>
              <a:noFill/>
            </a:ln>
            <a:effectLst/>
          </c:spPr>
          <c:invertIfNegative val="0"/>
          <c:cat>
            <c:strRef>
              <c:f>BM_OPEX!$B$122</c:f>
              <c:strCache>
                <c:ptCount val="1"/>
                <c:pt idx="0">
                  <c:v>COST</c:v>
                </c:pt>
              </c:strCache>
            </c:strRef>
          </c:cat>
          <c:val>
            <c:numRef>
              <c:f>BM_OPEX!$B$131</c:f>
              <c:numCache>
                <c:formatCode>_("$"* #,##0.00_);_("$"* \(#,##0.00\);_("$"* "-"??_);_(@_)</c:formatCode>
                <c:ptCount val="1"/>
                <c:pt idx="0">
                  <c:v>1153898.849063725</c:v>
                </c:pt>
              </c:numCache>
            </c:numRef>
          </c:val>
          <c:extLst>
            <c:ext xmlns:c16="http://schemas.microsoft.com/office/drawing/2014/chart" uri="{C3380CC4-5D6E-409C-BE32-E72D297353CC}">
              <c16:uniqueId val="{0000000B-D77A-4340-B973-EBC2516119E2}"/>
            </c:ext>
          </c:extLst>
        </c:ser>
        <c:dLbls>
          <c:showLegendKey val="0"/>
          <c:showVal val="0"/>
          <c:showCatName val="0"/>
          <c:showSerName val="0"/>
          <c:showPercent val="0"/>
          <c:showBubbleSize val="0"/>
        </c:dLbls>
        <c:gapWidth val="150"/>
        <c:overlap val="100"/>
        <c:axId val="1761356303"/>
        <c:axId val="1761354863"/>
      </c:barChart>
      <c:catAx>
        <c:axId val="1761356303"/>
        <c:scaling>
          <c:orientation val="minMax"/>
        </c:scaling>
        <c:delete val="1"/>
        <c:axPos val="b"/>
        <c:numFmt formatCode="General" sourceLinked="1"/>
        <c:majorTickMark val="none"/>
        <c:minorTickMark val="none"/>
        <c:tickLblPos val="nextTo"/>
        <c:crossAx val="1761354863"/>
        <c:crosses val="autoZero"/>
        <c:auto val="1"/>
        <c:lblAlgn val="ctr"/>
        <c:lblOffset val="100"/>
        <c:noMultiLvlLbl val="0"/>
      </c:catAx>
      <c:valAx>
        <c:axId val="1761354863"/>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50" b="1" i="0" u="none" strike="noStrike" kern="1200" baseline="0">
                    <a:solidFill>
                      <a:schemeClr val="tx1"/>
                    </a:solidFill>
                    <a:latin typeface="Arial Nova Cond" panose="020B0506020202020204" pitchFamily="34" charset="0"/>
                    <a:ea typeface="+mn-ea"/>
                    <a:cs typeface="+mn-cs"/>
                  </a:defRPr>
                </a:pPr>
                <a:r>
                  <a:rPr lang="en-US" sz="1050" b="1"/>
                  <a:t>COST </a:t>
                </a:r>
                <a:r>
                  <a:rPr lang="en-US" sz="1050" b="0"/>
                  <a:t>[1E6 USD (2026) / yr]</a:t>
                </a:r>
              </a:p>
            </c:rich>
          </c:tx>
          <c:layout>
            <c:manualLayout>
              <c:xMode val="edge"/>
              <c:yMode val="edge"/>
              <c:x val="2.5003887726829696E-2"/>
              <c:y val="0.2344060382282723"/>
            </c:manualLayout>
          </c:layout>
          <c:overlay val="0"/>
          <c:spPr>
            <a:noFill/>
            <a:ln>
              <a:noFill/>
            </a:ln>
            <a:effectLst/>
          </c:spPr>
          <c:txPr>
            <a:bodyPr rot="-5400000" spcFirstLastPara="1" vertOverflow="ellipsis" vert="horz" wrap="square" anchor="ctr" anchorCtr="1"/>
            <a:lstStyle/>
            <a:p>
              <a:pPr>
                <a:defRPr sz="105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rial Nova Cond" panose="020B0506020202020204" pitchFamily="34" charset="0"/>
                <a:ea typeface="+mn-ea"/>
                <a:cs typeface="+mn-cs"/>
              </a:defRPr>
            </a:pPr>
            <a:endParaRPr lang="en-US"/>
          </a:p>
        </c:txPr>
        <c:crossAx val="1761356303"/>
        <c:crosses val="autoZero"/>
        <c:crossBetween val="between"/>
        <c:dispUnits>
          <c:builtInUnit val="millions"/>
        </c:dispUnits>
      </c:valAx>
      <c:spPr>
        <a:noFill/>
        <a:ln w="19050">
          <a:solidFill>
            <a:schemeClr val="tx1"/>
          </a:solidFill>
        </a:ln>
        <a:effectLst/>
      </c:spPr>
    </c:plotArea>
    <c:legend>
      <c:legendPos val="b"/>
      <c:layout>
        <c:manualLayout>
          <c:xMode val="edge"/>
          <c:yMode val="edge"/>
          <c:x val="2.0058261145729527E-2"/>
          <c:y val="0.81193261859216748"/>
          <c:w val="0.95987554680664933"/>
          <c:h val="0.16542580482524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25400" cap="flat" cmpd="sng" algn="ctr">
      <a:noFill/>
      <a:round/>
    </a:ln>
    <a:effectLst/>
  </c:spPr>
  <c:txPr>
    <a:bodyPr/>
    <a:lstStyle/>
    <a:p>
      <a:pPr>
        <a:defRPr>
          <a:solidFill>
            <a:schemeClr val="tx1"/>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ysClr val="windowText" lastClr="000000"/>
                </a:solidFill>
                <a:latin typeface="Arial Nova Cond" panose="020B0506020202020204" pitchFamily="34" charset="0"/>
                <a:ea typeface="+mn-ea"/>
                <a:cs typeface="+mn-cs"/>
              </a:defRPr>
            </a:pPr>
            <a:r>
              <a:rPr lang="en-US" sz="2000" b="1"/>
              <a:t>Discounted Cash Flow Rate of Return </a:t>
            </a:r>
          </a:p>
        </c:rich>
      </c:tx>
      <c:layout>
        <c:manualLayout>
          <c:xMode val="edge"/>
          <c:yMode val="edge"/>
          <c:x val="0.30322306673242444"/>
          <c:y val="1.9141710859769467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0460370013497163"/>
          <c:y val="9.7924679816825996E-2"/>
          <c:w val="0.81476259060935829"/>
          <c:h val="0.66437939593470263"/>
        </c:manualLayout>
      </c:layout>
      <c:barChart>
        <c:barDir val="col"/>
        <c:grouping val="stacked"/>
        <c:varyColors val="0"/>
        <c:ser>
          <c:idx val="0"/>
          <c:order val="0"/>
          <c:tx>
            <c:strRef>
              <c:f>BM_DCFROR!$B$105</c:f>
              <c:strCache>
                <c:ptCount val="1"/>
                <c:pt idx="0">
                  <c:v>Capital Investment</c:v>
                </c:pt>
              </c:strCache>
            </c:strRef>
          </c:tx>
          <c:spPr>
            <a:solidFill>
              <a:schemeClr val="accent1"/>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BM_DCFROR!$C$105:$AI$105</c:f>
              <c:numCache>
                <c:formatCode>_("$"* #,##0_);_("$"* \(#,##0\);_("$"* "-"??_);_(@_)</c:formatCode>
                <c:ptCount val="33"/>
                <c:pt idx="0">
                  <c:v>31.32011161744396</c:v>
                </c:pt>
                <c:pt idx="1">
                  <c:v>32.968538544677855</c:v>
                </c:pt>
                <c:pt idx="2">
                  <c:v>34.61696547191174</c:v>
                </c:pt>
              </c:numCache>
            </c:numRef>
          </c:val>
          <c:extLst>
            <c:ext xmlns:c16="http://schemas.microsoft.com/office/drawing/2014/chart" uri="{C3380CC4-5D6E-409C-BE32-E72D297353CC}">
              <c16:uniqueId val="{00000000-1531-4816-8C49-CC94D9045321}"/>
            </c:ext>
          </c:extLst>
        </c:ser>
        <c:ser>
          <c:idx val="1"/>
          <c:order val="1"/>
          <c:tx>
            <c:strRef>
              <c:f>BM_DCFROR!$B$106</c:f>
              <c:strCache>
                <c:ptCount val="1"/>
                <c:pt idx="0">
                  <c:v>Tax</c:v>
                </c:pt>
              </c:strCache>
            </c:strRef>
          </c:tx>
          <c:spPr>
            <a:solidFill>
              <a:schemeClr val="accent2">
                <a:lumMod val="75000"/>
              </a:schemeClr>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BM_DCFROR!$C$106:$AI$106</c:f>
              <c:numCache>
                <c:formatCode>General</c:formatCode>
                <c:ptCount val="33"/>
                <c:pt idx="3">
                  <c:v>0</c:v>
                </c:pt>
                <c:pt idx="4">
                  <c:v>0</c:v>
                </c:pt>
                <c:pt idx="5">
                  <c:v>0</c:v>
                </c:pt>
                <c:pt idx="6">
                  <c:v>0</c:v>
                </c:pt>
                <c:pt idx="7">
                  <c:v>0</c:v>
                </c:pt>
                <c:pt idx="8">
                  <c:v>0</c:v>
                </c:pt>
                <c:pt idx="9">
                  <c:v>0</c:v>
                </c:pt>
                <c:pt idx="10">
                  <c:v>0</c:v>
                </c:pt>
                <c:pt idx="11">
                  <c:v>0</c:v>
                </c:pt>
                <c:pt idx="12">
                  <c:v>0</c:v>
                </c:pt>
                <c:pt idx="13">
                  <c:v>0</c:v>
                </c:pt>
                <c:pt idx="14">
                  <c:v>0</c:v>
                </c:pt>
                <c:pt idx="15">
                  <c:v>-0.65263365221922165</c:v>
                </c:pt>
                <c:pt idx="16">
                  <c:v>-8.6225147255402881</c:v>
                </c:pt>
                <c:pt idx="17">
                  <c:v>-8.6225147255402881</c:v>
                </c:pt>
                <c:pt idx="18">
                  <c:v>-8.6225147255402881</c:v>
                </c:pt>
                <c:pt idx="19">
                  <c:v>-8.6225147255402881</c:v>
                </c:pt>
                <c:pt idx="20">
                  <c:v>-8.6225147255402881</c:v>
                </c:pt>
                <c:pt idx="21">
                  <c:v>-8.6225147255402881</c:v>
                </c:pt>
                <c:pt idx="22">
                  <c:v>-8.6225147255402881</c:v>
                </c:pt>
                <c:pt idx="23">
                  <c:v>-8.6225147255402881</c:v>
                </c:pt>
                <c:pt idx="24">
                  <c:v>-8.6225147255402881</c:v>
                </c:pt>
                <c:pt idx="25">
                  <c:v>-8.6225147255402881</c:v>
                </c:pt>
                <c:pt idx="26">
                  <c:v>-8.6225147255402881</c:v>
                </c:pt>
                <c:pt idx="27">
                  <c:v>-8.6225147255402881</c:v>
                </c:pt>
                <c:pt idx="28">
                  <c:v>-8.6225147255402881</c:v>
                </c:pt>
                <c:pt idx="29">
                  <c:v>-8.6225147255402881</c:v>
                </c:pt>
                <c:pt idx="30">
                  <c:v>-8.6225147255402881</c:v>
                </c:pt>
                <c:pt idx="31">
                  <c:v>-8.6225147255402881</c:v>
                </c:pt>
                <c:pt idx="32">
                  <c:v>-8.6225147255402881</c:v>
                </c:pt>
              </c:numCache>
            </c:numRef>
          </c:val>
          <c:extLst>
            <c:ext xmlns:c16="http://schemas.microsoft.com/office/drawing/2014/chart" uri="{C3380CC4-5D6E-409C-BE32-E72D297353CC}">
              <c16:uniqueId val="{00000001-1531-4816-8C49-CC94D9045321}"/>
            </c:ext>
          </c:extLst>
        </c:ser>
        <c:ser>
          <c:idx val="2"/>
          <c:order val="2"/>
          <c:tx>
            <c:strRef>
              <c:f>BM_DCFROR!$B$107</c:f>
              <c:strCache>
                <c:ptCount val="1"/>
                <c:pt idx="0">
                  <c:v>Depreciation</c:v>
                </c:pt>
              </c:strCache>
            </c:strRef>
          </c:tx>
          <c:spPr>
            <a:solidFill>
              <a:schemeClr val="accent5">
                <a:lumMod val="75000"/>
              </a:schemeClr>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BM_DCFROR!$C$107:$AI$107</c:f>
              <c:numCache>
                <c:formatCode>General</c:formatCode>
                <c:ptCount val="33"/>
                <c:pt idx="2" formatCode="_(&quot;$&quot;* #,##0_);_(&quot;$&quot;* \(#,##0\);_(&quot;$&quot;* &quot;-&quot;??_);_(@_)">
                  <c:v>-23.556020790172326</c:v>
                </c:pt>
                <c:pt idx="3" formatCode="_(&quot;$&quot;* #,##0_);_(&quot;$&quot;* \(#,##0\);_(&quot;$&quot;* &quot;-&quot;??_);_(@_)">
                  <c:v>-40.369975447958026</c:v>
                </c:pt>
                <c:pt idx="4" formatCode="_(&quot;$&quot;* #,##0_);_(&quot;$&quot;* \(#,##0\);_(&quot;$&quot;* &quot;-&quot;??_);_(@_)">
                  <c:v>-28.830986957320782</c:v>
                </c:pt>
                <c:pt idx="5" formatCode="_(&quot;$&quot;* #,##0_);_(&quot;$&quot;* \(#,##0\);_(&quot;$&quot;* &quot;-&quot;??_);_(@_)">
                  <c:v>-20.588852321151318</c:v>
                </c:pt>
                <c:pt idx="6" formatCode="_(&quot;$&quot;* #,##0_);_(&quot;$&quot;* \(#,##0\);_(&quot;$&quot;* &quot;-&quot;??_);_(@_)">
                  <c:v>-14.720452460198663</c:v>
                </c:pt>
                <c:pt idx="7" formatCode="_(&quot;$&quot;* #,##0_);_(&quot;$&quot;* \(#,##0\);_(&quot;$&quot;* &quot;-&quot;??_);_(@_)">
                  <c:v>-14.703968190926323</c:v>
                </c:pt>
                <c:pt idx="8" formatCode="_(&quot;$&quot;* #,##0_);_(&quot;$&quot;* \(#,##0\);_(&quot;$&quot;* &quot;-&quot;??_);_(@_)">
                  <c:v>-14.720452460198663</c:v>
                </c:pt>
                <c:pt idx="9" formatCode="_(&quot;$&quot;* #,##0_);_(&quot;$&quot;* \(#,##0\);_(&quot;$&quot;* &quot;-&quot;??_);_(@_)">
                  <c:v>-7.3519840954631617</c:v>
                </c:pt>
                <c:pt idx="10" formatCode="_(&quot;$&quot;* #,##0_);_(&quot;$&quot;* \(#,##0\);_(&quot;$&quot;* &quot;-&quot;??_);_(@_)">
                  <c:v>0</c:v>
                </c:pt>
                <c:pt idx="11" formatCode="_(&quot;$&quot;* #,##0_);_(&quot;$&quot;* \(#,##0\);_(&quot;$&quot;* &quot;-&quot;??_);_(@_)">
                  <c:v>0</c:v>
                </c:pt>
                <c:pt idx="12" formatCode="_(&quot;$&quot;* #,##0_);_(&quot;$&quot;* \(#,##0\);_(&quot;$&quot;* &quot;-&quot;??_);_(@_)">
                  <c:v>0</c:v>
                </c:pt>
                <c:pt idx="13" formatCode="_(&quot;$&quot;* #,##0_);_(&quot;$&quot;* \(#,##0\);_(&quot;$&quot;* &quot;-&quot;??_);_(@_)">
                  <c:v>0</c:v>
                </c:pt>
                <c:pt idx="14" formatCode="_(&quot;$&quot;* #,##0_);_(&quot;$&quot;* \(#,##0\);_(&quot;$&quot;* &quot;-&quot;??_);_(@_)">
                  <c:v>0</c:v>
                </c:pt>
                <c:pt idx="15" formatCode="_(&quot;$&quot;* #,##0_);_(&quot;$&quot;* \(#,##0\);_(&quot;$&quot;* &quot;-&quot;??_);_(@_)">
                  <c:v>0</c:v>
                </c:pt>
                <c:pt idx="16" formatCode="_(&quot;$&quot;* #,##0_);_(&quot;$&quot;* \(#,##0\);_(&quot;$&quot;* &quot;-&quot;??_);_(@_)">
                  <c:v>0</c:v>
                </c:pt>
                <c:pt idx="17" formatCode="_(&quot;$&quot;* #,##0_);_(&quot;$&quot;* \(#,##0\);_(&quot;$&quot;* &quot;-&quot;??_);_(@_)">
                  <c:v>0</c:v>
                </c:pt>
                <c:pt idx="18" formatCode="_(&quot;$&quot;* #,##0_);_(&quot;$&quot;* \(#,##0\);_(&quot;$&quot;* &quot;-&quot;??_);_(@_)">
                  <c:v>0</c:v>
                </c:pt>
                <c:pt idx="19" formatCode="_(&quot;$&quot;* #,##0_);_(&quot;$&quot;* \(#,##0\);_(&quot;$&quot;* &quot;-&quot;??_);_(@_)">
                  <c:v>0</c:v>
                </c:pt>
                <c:pt idx="20" formatCode="_(&quot;$&quot;* #,##0_);_(&quot;$&quot;* \(#,##0\);_(&quot;$&quot;* &quot;-&quot;??_);_(@_)">
                  <c:v>0</c:v>
                </c:pt>
                <c:pt idx="21" formatCode="_(&quot;$&quot;* #,##0_);_(&quot;$&quot;* \(#,##0\);_(&quot;$&quot;* &quot;-&quot;??_);_(@_)">
                  <c:v>0</c:v>
                </c:pt>
                <c:pt idx="22" formatCode="_(&quot;$&quot;* #,##0_);_(&quot;$&quot;* \(#,##0\);_(&quot;$&quot;* &quot;-&quot;??_);_(@_)">
                  <c:v>0</c:v>
                </c:pt>
                <c:pt idx="23" formatCode="_(&quot;$&quot;* #,##0_);_(&quot;$&quot;* \(#,##0\);_(&quot;$&quot;* &quot;-&quot;??_);_(@_)">
                  <c:v>0</c:v>
                </c:pt>
                <c:pt idx="24" formatCode="_(&quot;$&quot;* #,##0_);_(&quot;$&quot;* \(#,##0\);_(&quot;$&quot;* &quot;-&quot;??_);_(@_)">
                  <c:v>0</c:v>
                </c:pt>
                <c:pt idx="25" formatCode="_(&quot;$&quot;* #,##0_);_(&quot;$&quot;* \(#,##0\);_(&quot;$&quot;* &quot;-&quot;??_);_(@_)">
                  <c:v>0</c:v>
                </c:pt>
                <c:pt idx="26" formatCode="_(&quot;$&quot;* #,##0_);_(&quot;$&quot;* \(#,##0\);_(&quot;$&quot;* &quot;-&quot;??_);_(@_)">
                  <c:v>0</c:v>
                </c:pt>
                <c:pt idx="27" formatCode="_(&quot;$&quot;* #,##0_);_(&quot;$&quot;* \(#,##0\);_(&quot;$&quot;* &quot;-&quot;??_);_(@_)">
                  <c:v>0</c:v>
                </c:pt>
                <c:pt idx="28" formatCode="_(&quot;$&quot;* #,##0_);_(&quot;$&quot;* \(#,##0\);_(&quot;$&quot;* &quot;-&quot;??_);_(@_)">
                  <c:v>0</c:v>
                </c:pt>
                <c:pt idx="29" formatCode="_(&quot;$&quot;* #,##0_);_(&quot;$&quot;* \(#,##0\);_(&quot;$&quot;* &quot;-&quot;??_);_(@_)">
                  <c:v>0</c:v>
                </c:pt>
                <c:pt idx="30" formatCode="_(&quot;$&quot;* #,##0_);_(&quot;$&quot;* \(#,##0\);_(&quot;$&quot;* &quot;-&quot;??_);_(@_)">
                  <c:v>0</c:v>
                </c:pt>
                <c:pt idx="31" formatCode="_(&quot;$&quot;* #,##0_);_(&quot;$&quot;* \(#,##0\);_(&quot;$&quot;* &quot;-&quot;??_);_(@_)">
                  <c:v>0</c:v>
                </c:pt>
                <c:pt idx="32" formatCode="_(&quot;$&quot;* #,##0_);_(&quot;$&quot;* \(#,##0\);_(&quot;$&quot;* &quot;-&quot;??_);_(@_)">
                  <c:v>0</c:v>
                </c:pt>
              </c:numCache>
            </c:numRef>
          </c:val>
          <c:extLst>
            <c:ext xmlns:c16="http://schemas.microsoft.com/office/drawing/2014/chart" uri="{C3380CC4-5D6E-409C-BE32-E72D297353CC}">
              <c16:uniqueId val="{00000002-1531-4816-8C49-CC94D9045321}"/>
            </c:ext>
          </c:extLst>
        </c:ser>
        <c:ser>
          <c:idx val="3"/>
          <c:order val="3"/>
          <c:tx>
            <c:strRef>
              <c:f>BM_DCFROR!$B$108</c:f>
              <c:strCache>
                <c:ptCount val="1"/>
                <c:pt idx="0">
                  <c:v>Loan Payment</c:v>
                </c:pt>
              </c:strCache>
            </c:strRef>
          </c:tx>
          <c:spPr>
            <a:solidFill>
              <a:schemeClr val="bg2">
                <a:lumMod val="50000"/>
              </a:schemeClr>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BM_DCFROR!$C$108:$AI$108</c:f>
              <c:numCache>
                <c:formatCode>_("$"* #,##0_);_("$"* \(#,##0\);_("$"* "-"??_);_(@_)</c:formatCode>
                <c:ptCount val="33"/>
                <c:pt idx="0">
                  <c:v>-0.79124492507226862</c:v>
                </c:pt>
                <c:pt idx="1">
                  <c:v>-4.7474695504336104</c:v>
                </c:pt>
                <c:pt idx="2">
                  <c:v>-7.9124492507226849</c:v>
                </c:pt>
                <c:pt idx="3">
                  <c:v>-7.9124492507226849</c:v>
                </c:pt>
                <c:pt idx="4">
                  <c:v>-7.3662569246037419</c:v>
                </c:pt>
                <c:pt idx="5">
                  <c:v>-6.7763692123952817</c:v>
                </c:pt>
                <c:pt idx="6">
                  <c:v>-6.1392904832101456</c:v>
                </c:pt>
                <c:pt idx="7">
                  <c:v>-5.4512454556901977</c:v>
                </c:pt>
                <c:pt idx="8">
                  <c:v>-4.708156825968655</c:v>
                </c:pt>
                <c:pt idx="9">
                  <c:v>-3.9056211058693884</c:v>
                </c:pt>
                <c:pt idx="10">
                  <c:v>-3.0388825281621803</c:v>
                </c:pt>
                <c:pt idx="11">
                  <c:v>-2.1028048642383959</c:v>
                </c:pt>
                <c:pt idx="12">
                  <c:v>-1.0918409872007084</c:v>
                </c:pt>
                <c:pt idx="13">
                  <c:v>-5.7555735111236573E-15</c:v>
                </c:pt>
                <c:pt idx="14">
                  <c:v>-6.2160193920135498E-15</c:v>
                </c:pt>
                <c:pt idx="15">
                  <c:v>-6.7133009433746352E-15</c:v>
                </c:pt>
                <c:pt idx="16">
                  <c:v>-7.2503650188446055E-15</c:v>
                </c:pt>
                <c:pt idx="17">
                  <c:v>-7.8303942203521742E-15</c:v>
                </c:pt>
                <c:pt idx="18">
                  <c:v>-8.4568257579803486E-15</c:v>
                </c:pt>
                <c:pt idx="19">
                  <c:v>-9.1333718186187756E-15</c:v>
                </c:pt>
                <c:pt idx="20">
                  <c:v>-9.8640415641082769E-15</c:v>
                </c:pt>
                <c:pt idx="21">
                  <c:v>-1.065316488923694E-14</c:v>
                </c:pt>
                <c:pt idx="22">
                  <c:v>-1.1505418080375895E-14</c:v>
                </c:pt>
                <c:pt idx="23">
                  <c:v>-1.2425851526805966E-14</c:v>
                </c:pt>
                <c:pt idx="24">
                  <c:v>-1.3419919648950444E-14</c:v>
                </c:pt>
                <c:pt idx="25">
                  <c:v>-1.449351322086648E-14</c:v>
                </c:pt>
                <c:pt idx="26">
                  <c:v>-1.56529942785358E-14</c:v>
                </c:pt>
                <c:pt idx="27">
                  <c:v>-1.6905233820818665E-14</c:v>
                </c:pt>
                <c:pt idx="28">
                  <c:v>-1.8257652526484155E-14</c:v>
                </c:pt>
                <c:pt idx="29">
                  <c:v>-1.9718264728602888E-14</c:v>
                </c:pt>
                <c:pt idx="30">
                  <c:v>-2.1295725906891121E-14</c:v>
                </c:pt>
                <c:pt idx="31">
                  <c:v>-2.2999383979442411E-14</c:v>
                </c:pt>
                <c:pt idx="32">
                  <c:v>-2.4839334697797804E-14</c:v>
                </c:pt>
              </c:numCache>
            </c:numRef>
          </c:val>
          <c:extLst>
            <c:ext xmlns:c16="http://schemas.microsoft.com/office/drawing/2014/chart" uri="{C3380CC4-5D6E-409C-BE32-E72D297353CC}">
              <c16:uniqueId val="{00000003-1531-4816-8C49-CC94D9045321}"/>
            </c:ext>
          </c:extLst>
        </c:ser>
        <c:ser>
          <c:idx val="4"/>
          <c:order val="4"/>
          <c:tx>
            <c:strRef>
              <c:f>BM_DCFROR!$B$109</c:f>
              <c:strCache>
                <c:ptCount val="1"/>
                <c:pt idx="0">
                  <c:v>OPEX</c:v>
                </c:pt>
              </c:strCache>
            </c:strRef>
          </c:tx>
          <c:spPr>
            <a:solidFill>
              <a:srgbClr val="CCCC00"/>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BM_DCFROR!$C$109:$AI$109</c:f>
              <c:numCache>
                <c:formatCode>General</c:formatCode>
                <c:ptCount val="33"/>
                <c:pt idx="3" formatCode="_(&quot;$&quot;* #,##0.00_);_(&quot;$&quot;* \(#,##0.00\);_(&quot;$&quot;* &quot;-&quot;??_);_(@_)">
                  <c:v>-26.405480681425576</c:v>
                </c:pt>
                <c:pt idx="4" formatCode="_(&quot;$&quot;* #,##0.00_);_(&quot;$&quot;* \(#,##0.00\);_(&quot;$&quot;* &quot;-&quot;??_);_(@_)">
                  <c:v>-35.207307575234097</c:v>
                </c:pt>
                <c:pt idx="5" formatCode="_(&quot;$&quot;* #,##0.00_);_(&quot;$&quot;* \(#,##0.00\);_(&quot;$&quot;* &quot;-&quot;??_);_(@_)">
                  <c:v>-35.207307575234097</c:v>
                </c:pt>
                <c:pt idx="6" formatCode="_(&quot;$&quot;* #,##0.00_);_(&quot;$&quot;* \(#,##0.00\);_(&quot;$&quot;* &quot;-&quot;??_);_(@_)">
                  <c:v>-35.207307575234097</c:v>
                </c:pt>
                <c:pt idx="7" formatCode="_(&quot;$&quot;* #,##0.00_);_(&quot;$&quot;* \(#,##0.00\);_(&quot;$&quot;* &quot;-&quot;??_);_(@_)">
                  <c:v>-35.207307575234097</c:v>
                </c:pt>
                <c:pt idx="8" formatCode="_(&quot;$&quot;* #,##0.00_);_(&quot;$&quot;* \(#,##0.00\);_(&quot;$&quot;* &quot;-&quot;??_);_(@_)">
                  <c:v>-35.207307575234097</c:v>
                </c:pt>
                <c:pt idx="9" formatCode="_(&quot;$&quot;* #,##0.00_);_(&quot;$&quot;* \(#,##0.00\);_(&quot;$&quot;* &quot;-&quot;??_);_(@_)">
                  <c:v>-35.207307575234097</c:v>
                </c:pt>
                <c:pt idx="10" formatCode="_(&quot;$&quot;* #,##0.00_);_(&quot;$&quot;* \(#,##0.00\);_(&quot;$&quot;* &quot;-&quot;??_);_(@_)">
                  <c:v>-35.207307575234097</c:v>
                </c:pt>
                <c:pt idx="11" formatCode="_(&quot;$&quot;* #,##0.00_);_(&quot;$&quot;* \(#,##0.00\);_(&quot;$&quot;* &quot;-&quot;??_);_(@_)">
                  <c:v>-35.207307575234097</c:v>
                </c:pt>
                <c:pt idx="12" formatCode="_(&quot;$&quot;* #,##0.00_);_(&quot;$&quot;* \(#,##0.00\);_(&quot;$&quot;* &quot;-&quot;??_);_(@_)">
                  <c:v>-35.207307575234097</c:v>
                </c:pt>
                <c:pt idx="13" formatCode="_(&quot;$&quot;* #,##0.00_);_(&quot;$&quot;* \(#,##0.00\);_(&quot;$&quot;* &quot;-&quot;??_);_(@_)">
                  <c:v>-35.207307575234097</c:v>
                </c:pt>
                <c:pt idx="14" formatCode="_(&quot;$&quot;* #,##0.00_);_(&quot;$&quot;* \(#,##0.00\);_(&quot;$&quot;* &quot;-&quot;??_);_(@_)">
                  <c:v>-35.207307575234097</c:v>
                </c:pt>
                <c:pt idx="15" formatCode="_(&quot;$&quot;* #,##0.00_);_(&quot;$&quot;* \(#,##0.00\);_(&quot;$&quot;* &quot;-&quot;??_);_(@_)">
                  <c:v>-35.207307575234097</c:v>
                </c:pt>
                <c:pt idx="16" formatCode="_(&quot;$&quot;* #,##0.00_);_(&quot;$&quot;* \(#,##0.00\);_(&quot;$&quot;* &quot;-&quot;??_);_(@_)">
                  <c:v>-35.207307575234097</c:v>
                </c:pt>
                <c:pt idx="17" formatCode="_(&quot;$&quot;* #,##0.00_);_(&quot;$&quot;* \(#,##0.00\);_(&quot;$&quot;* &quot;-&quot;??_);_(@_)">
                  <c:v>-35.207307575234097</c:v>
                </c:pt>
                <c:pt idx="18" formatCode="_(&quot;$&quot;* #,##0.00_);_(&quot;$&quot;* \(#,##0.00\);_(&quot;$&quot;* &quot;-&quot;??_);_(@_)">
                  <c:v>-35.207307575234097</c:v>
                </c:pt>
                <c:pt idx="19" formatCode="_(&quot;$&quot;* #,##0.00_);_(&quot;$&quot;* \(#,##0.00\);_(&quot;$&quot;* &quot;-&quot;??_);_(@_)">
                  <c:v>-35.207307575234097</c:v>
                </c:pt>
                <c:pt idx="20" formatCode="_(&quot;$&quot;* #,##0.00_);_(&quot;$&quot;* \(#,##0.00\);_(&quot;$&quot;* &quot;-&quot;??_);_(@_)">
                  <c:v>-35.207307575234097</c:v>
                </c:pt>
                <c:pt idx="21" formatCode="_(&quot;$&quot;* #,##0.00_);_(&quot;$&quot;* \(#,##0.00\);_(&quot;$&quot;* &quot;-&quot;??_);_(@_)">
                  <c:v>-35.207307575234097</c:v>
                </c:pt>
                <c:pt idx="22" formatCode="_(&quot;$&quot;* #,##0.00_);_(&quot;$&quot;* \(#,##0.00\);_(&quot;$&quot;* &quot;-&quot;??_);_(@_)">
                  <c:v>-35.207307575234097</c:v>
                </c:pt>
                <c:pt idx="23" formatCode="_(&quot;$&quot;* #,##0.00_);_(&quot;$&quot;* \(#,##0.00\);_(&quot;$&quot;* &quot;-&quot;??_);_(@_)">
                  <c:v>-35.207307575234097</c:v>
                </c:pt>
                <c:pt idx="24" formatCode="_(&quot;$&quot;* #,##0.00_);_(&quot;$&quot;* \(#,##0.00\);_(&quot;$&quot;* &quot;-&quot;??_);_(@_)">
                  <c:v>-35.207307575234097</c:v>
                </c:pt>
                <c:pt idx="25" formatCode="_(&quot;$&quot;* #,##0.00_);_(&quot;$&quot;* \(#,##0.00\);_(&quot;$&quot;* &quot;-&quot;??_);_(@_)">
                  <c:v>-35.207307575234097</c:v>
                </c:pt>
                <c:pt idx="26" formatCode="_(&quot;$&quot;* #,##0.00_);_(&quot;$&quot;* \(#,##0.00\);_(&quot;$&quot;* &quot;-&quot;??_);_(@_)">
                  <c:v>-35.207307575234097</c:v>
                </c:pt>
                <c:pt idx="27" formatCode="_(&quot;$&quot;* #,##0.00_);_(&quot;$&quot;* \(#,##0.00\);_(&quot;$&quot;* &quot;-&quot;??_);_(@_)">
                  <c:v>-35.207307575234097</c:v>
                </c:pt>
                <c:pt idx="28" formatCode="_(&quot;$&quot;* #,##0.00_);_(&quot;$&quot;* \(#,##0.00\);_(&quot;$&quot;* &quot;-&quot;??_);_(@_)">
                  <c:v>-35.207307575234097</c:v>
                </c:pt>
                <c:pt idx="29" formatCode="_(&quot;$&quot;* #,##0.00_);_(&quot;$&quot;* \(#,##0.00\);_(&quot;$&quot;* &quot;-&quot;??_);_(@_)">
                  <c:v>-35.207307575234097</c:v>
                </c:pt>
                <c:pt idx="30" formatCode="_(&quot;$&quot;* #,##0.00_);_(&quot;$&quot;* \(#,##0.00\);_(&quot;$&quot;* &quot;-&quot;??_);_(@_)">
                  <c:v>-35.207307575234097</c:v>
                </c:pt>
                <c:pt idx="31" formatCode="_(&quot;$&quot;* #,##0.00_);_(&quot;$&quot;* \(#,##0.00\);_(&quot;$&quot;* &quot;-&quot;??_);_(@_)">
                  <c:v>-35.207307575234097</c:v>
                </c:pt>
                <c:pt idx="32" formatCode="_(&quot;$&quot;* #,##0.00_);_(&quot;$&quot;* \(#,##0.00\);_(&quot;$&quot;* &quot;-&quot;??_);_(@_)">
                  <c:v>-35.207307575234097</c:v>
                </c:pt>
              </c:numCache>
            </c:numRef>
          </c:val>
          <c:extLst>
            <c:ext xmlns:c16="http://schemas.microsoft.com/office/drawing/2014/chart" uri="{C3380CC4-5D6E-409C-BE32-E72D297353CC}">
              <c16:uniqueId val="{00000004-1531-4816-8C49-CC94D9045321}"/>
            </c:ext>
          </c:extLst>
        </c:ser>
        <c:ser>
          <c:idx val="5"/>
          <c:order val="5"/>
          <c:tx>
            <c:strRef>
              <c:f>BM_DCFROR!$B$110</c:f>
              <c:strCache>
                <c:ptCount val="1"/>
                <c:pt idx="0">
                  <c:v>Revenue</c:v>
                </c:pt>
              </c:strCache>
            </c:strRef>
          </c:tx>
          <c:spPr>
            <a:solidFill>
              <a:schemeClr val="accent6"/>
            </a:solidFill>
            <a:ln>
              <a:noFill/>
            </a:ln>
            <a:effectLst/>
          </c:spPr>
          <c:invertIfNegative val="0"/>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BM_DCFROR!$C$110:$AI$110</c:f>
              <c:numCache>
                <c:formatCode>General</c:formatCode>
                <c:ptCount val="33"/>
                <c:pt idx="3" formatCode="_(&quot;$&quot;* #,##0_);_(&quot;$&quot;* \(#,##0\);_(&quot;$&quot;* &quot;-&quot;??_);_(@_)">
                  <c:v>3.397239947095835</c:v>
                </c:pt>
                <c:pt idx="4" formatCode="_(&quot;$&quot;* #,##0_);_(&quot;$&quot;* \(#,##0\);_(&quot;$&quot;* &quot;-&quot;??_);_(@_)">
                  <c:v>8.1784322574190487</c:v>
                </c:pt>
                <c:pt idx="5" formatCode="_(&quot;$&quot;* #,##0_);_(&quot;$&quot;* \(#,##0\);_(&quot;$&quot;* &quot;-&quot;??_);_(@_)">
                  <c:v>7.4349384158354965</c:v>
                </c:pt>
                <c:pt idx="6" formatCode="_(&quot;$&quot;* #,##0_);_(&quot;$&quot;* \(#,##0\);_(&quot;$&quot;* &quot;-&quot;??_);_(@_)">
                  <c:v>6.7590349234868157</c:v>
                </c:pt>
                <c:pt idx="7" formatCode="_(&quot;$&quot;* #,##0_);_(&quot;$&quot;* \(#,##0\);_(&quot;$&quot;* &quot;-&quot;??_);_(@_)">
                  <c:v>6.1445772031698311</c:v>
                </c:pt>
                <c:pt idx="8" formatCode="_(&quot;$&quot;* #,##0_);_(&quot;$&quot;* \(#,##0\);_(&quot;$&quot;* &quot;-&quot;??_);_(@_)">
                  <c:v>5.5859792756089375</c:v>
                </c:pt>
                <c:pt idx="9" formatCode="_(&quot;$&quot;* #,##0_);_(&quot;$&quot;* \(#,##0\);_(&quot;$&quot;* &quot;-&quot;??_);_(@_)">
                  <c:v>5.078162977826306</c:v>
                </c:pt>
                <c:pt idx="10" formatCode="_(&quot;$&quot;* #,##0_);_(&quot;$&quot;* \(#,##0\);_(&quot;$&quot;* &quot;-&quot;??_);_(@_)">
                  <c:v>4.6165117980239145</c:v>
                </c:pt>
                <c:pt idx="11" formatCode="_(&quot;$&quot;* #,##0_);_(&quot;$&quot;* \(#,##0\);_(&quot;$&quot;* &quot;-&quot;??_);_(@_)">
                  <c:v>4.196828907294468</c:v>
                </c:pt>
                <c:pt idx="12" formatCode="_(&quot;$&quot;* #,##0_);_(&quot;$&quot;* \(#,##0\);_(&quot;$&quot;* &quot;-&quot;??_);_(@_)">
                  <c:v>3.8152990066313337</c:v>
                </c:pt>
                <c:pt idx="13" formatCode="_(&quot;$&quot;* #,##0_);_(&quot;$&quot;* \(#,##0\);_(&quot;$&quot;* &quot;-&quot;??_);_(@_)">
                  <c:v>8.6346823128295487</c:v>
                </c:pt>
                <c:pt idx="14" formatCode="_(&quot;$&quot;* #,##0_);_(&quot;$&quot;* \(#,##0\);_(&quot;$&quot;* &quot;-&quot;??_);_(@_)">
                  <c:v>7.849711193481407</c:v>
                </c:pt>
                <c:pt idx="15" formatCode="_(&quot;$&quot;* #,##0_);_(&quot;$&quot;* \(#,##0\);_(&quot;$&quot;* &quot;-&quot;??_);_(@_)">
                  <c:v>6.9470563629177278</c:v>
                </c:pt>
                <c:pt idx="16" formatCode="_(&quot;$&quot;* #,##0_);_(&quot;$&quot;* \(#,##0\);_(&quot;$&quot;* &quot;-&quot;??_);_(@_)">
                  <c:v>4.2167870047627378</c:v>
                </c:pt>
                <c:pt idx="17" formatCode="_(&quot;$&quot;* #,##0_);_(&quot;$&quot;* \(#,##0\);_(&quot;$&quot;* &quot;-&quot;??_);_(@_)">
                  <c:v>3.8334427316024895</c:v>
                </c:pt>
                <c:pt idx="18" formatCode="_(&quot;$&quot;* #,##0_);_(&quot;$&quot;* \(#,##0\);_(&quot;$&quot;* &quot;-&quot;??_);_(@_)">
                  <c:v>3.4849479378204449</c:v>
                </c:pt>
                <c:pt idx="19" formatCode="_(&quot;$&quot;* #,##0_);_(&quot;$&quot;* \(#,##0\);_(&quot;$&quot;* &quot;-&quot;??_);_(@_)">
                  <c:v>3.1681344889276768</c:v>
                </c:pt>
                <c:pt idx="20" formatCode="_(&quot;$&quot;* #,##0_);_(&quot;$&quot;* \(#,##0\);_(&quot;$&quot;* &quot;-&quot;??_);_(@_)">
                  <c:v>2.8801222626615242</c:v>
                </c:pt>
                <c:pt idx="21" formatCode="_(&quot;$&quot;* #,##0_);_(&quot;$&quot;* \(#,##0\);_(&quot;$&quot;* &quot;-&quot;??_);_(@_)">
                  <c:v>2.6182929660559306</c:v>
                </c:pt>
                <c:pt idx="22" formatCode="_(&quot;$&quot;* #,##0_);_(&quot;$&quot;* \(#,##0\);_(&quot;$&quot;* &quot;-&quot;??_);_(@_)">
                  <c:v>2.3802663327781191</c:v>
                </c:pt>
                <c:pt idx="23" formatCode="_(&quot;$&quot;* #,##0_);_(&quot;$&quot;* \(#,##0\);_(&quot;$&quot;* &quot;-&quot;??_);_(@_)">
                  <c:v>2.1638784843437442</c:v>
                </c:pt>
                <c:pt idx="24" formatCode="_(&quot;$&quot;* #,##0_);_(&quot;$&quot;* \(#,##0\);_(&quot;$&quot;* &quot;-&quot;??_);_(@_)">
                  <c:v>1.9671622584943127</c:v>
                </c:pt>
                <c:pt idx="25" formatCode="_(&quot;$&quot;* #,##0_);_(&quot;$&quot;* \(#,##0\);_(&quot;$&quot;* &quot;-&quot;??_);_(@_)">
                  <c:v>1.7883293259039204</c:v>
                </c:pt>
                <c:pt idx="26" formatCode="_(&quot;$&quot;* #,##0_);_(&quot;$&quot;* \(#,##0\);_(&quot;$&quot;* &quot;-&quot;??_);_(@_)">
                  <c:v>1.6257539326399282</c:v>
                </c:pt>
                <c:pt idx="27" formatCode="_(&quot;$&quot;* #,##0_);_(&quot;$&quot;* \(#,##0\);_(&quot;$&quot;* &quot;-&quot;??_);_(@_)">
                  <c:v>1.4779581205817525</c:v>
                </c:pt>
                <c:pt idx="28" formatCode="_(&quot;$&quot;* #,##0_);_(&quot;$&quot;* \(#,##0\);_(&quot;$&quot;* &quot;-&quot;??_);_(@_)">
                  <c:v>1.3435982914379565</c:v>
                </c:pt>
                <c:pt idx="29" formatCode="_(&quot;$&quot;* #,##0_);_(&quot;$&quot;* \(#,##0\);_(&quot;$&quot;* &quot;-&quot;??_);_(@_)">
                  <c:v>1.221452992216324</c:v>
                </c:pt>
                <c:pt idx="30" formatCode="_(&quot;$&quot;* #,##0_);_(&quot;$&quot;* \(#,##0\);_(&quot;$&quot;* &quot;-&quot;??_);_(@_)">
                  <c:v>1.110411811105749</c:v>
                </c:pt>
                <c:pt idx="31" formatCode="_(&quot;$&quot;* #,##0_);_(&quot;$&quot;* \(#,##0\);_(&quot;$&quot;* &quot;-&quot;??_);_(@_)">
                  <c:v>1.0094652828234081</c:v>
                </c:pt>
                <c:pt idx="32" formatCode="_(&quot;$&quot;* #,##0_);_(&quot;$&quot;* \(#,##0\);_(&quot;$&quot;* &quot;-&quot;??_);_(@_)">
                  <c:v>0.91769571165764374</c:v>
                </c:pt>
              </c:numCache>
            </c:numRef>
          </c:val>
          <c:extLst>
            <c:ext xmlns:c16="http://schemas.microsoft.com/office/drawing/2014/chart" uri="{C3380CC4-5D6E-409C-BE32-E72D297353CC}">
              <c16:uniqueId val="{00000005-1531-4816-8C49-CC94D9045321}"/>
            </c:ext>
          </c:extLst>
        </c:ser>
        <c:dLbls>
          <c:showLegendKey val="0"/>
          <c:showVal val="0"/>
          <c:showCatName val="0"/>
          <c:showSerName val="0"/>
          <c:showPercent val="0"/>
          <c:showBubbleSize val="0"/>
        </c:dLbls>
        <c:gapWidth val="70"/>
        <c:overlap val="100"/>
        <c:axId val="409926112"/>
        <c:axId val="1100436719"/>
      </c:barChart>
      <c:lineChart>
        <c:grouping val="standard"/>
        <c:varyColors val="0"/>
        <c:ser>
          <c:idx val="6"/>
          <c:order val="6"/>
          <c:tx>
            <c:strRef>
              <c:f>BM_DCFROR!$B$111</c:f>
              <c:strCache>
                <c:ptCount val="1"/>
                <c:pt idx="0">
                  <c:v>Net Present Value</c:v>
                </c:pt>
              </c:strCache>
            </c:strRef>
          </c:tx>
          <c:spPr>
            <a:ln w="28575" cap="rnd">
              <a:solidFill>
                <a:schemeClr val="accent1">
                  <a:lumMod val="60000"/>
                </a:schemeClr>
              </a:solidFill>
              <a:round/>
            </a:ln>
            <a:effectLst/>
          </c:spPr>
          <c:marker>
            <c:symbol val="none"/>
          </c:marker>
          <c:cat>
            <c:numLit>
              <c:formatCode>General</c:formatCode>
              <c:ptCount val="33"/>
              <c:pt idx="0">
                <c:v>-2</c:v>
              </c:pt>
              <c:pt idx="1">
                <c:v>-1</c:v>
              </c:pt>
              <c:pt idx="2">
                <c:v>0</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numLit>
          </c:cat>
          <c:val>
            <c:numRef>
              <c:f>BM_DCFROR!$C$111:$AI$111</c:f>
              <c:numCache>
                <c:formatCode>General</c:formatCode>
                <c:ptCount val="33"/>
                <c:pt idx="3" formatCode="_(&quot;$&quot;* #,##0_);_(&quot;$&quot;* \(#,##0\);_(&quot;$&quot;* &quot;-&quot;??_);_(@_)">
                  <c:v>-119.47452509660586</c:v>
                </c:pt>
                <c:pt idx="4" formatCode="_(&quot;$&quot;* #,##0_);_(&quot;$&quot;* \(#,##0\);_(&quot;$&quot;* &quot;-&quot;??_);_(@_)">
                  <c:v>-111.29609283918681</c:v>
                </c:pt>
                <c:pt idx="5" formatCode="_(&quot;$&quot;* #,##0_);_(&quot;$&quot;* \(#,##0\);_(&quot;$&quot;* &quot;-&quot;??_);_(@_)">
                  <c:v>-103.86115442335132</c:v>
                </c:pt>
                <c:pt idx="6" formatCode="_(&quot;$&quot;* #,##0_);_(&quot;$&quot;* \(#,##0\);_(&quot;$&quot;* &quot;-&quot;??_);_(@_)">
                  <c:v>-97.102119499864486</c:v>
                </c:pt>
                <c:pt idx="7" formatCode="_(&quot;$&quot;* #,##0_);_(&quot;$&quot;* \(#,##0\);_(&quot;$&quot;* &quot;-&quot;??_);_(@_)">
                  <c:v>-90.957542296694669</c:v>
                </c:pt>
                <c:pt idx="8" formatCode="_(&quot;$&quot;* #,##0_);_(&quot;$&quot;* \(#,##0\);_(&quot;$&quot;* &quot;-&quot;??_);_(@_)">
                  <c:v>-85.371563021085734</c:v>
                </c:pt>
                <c:pt idx="9" formatCode="_(&quot;$&quot;* #,##0_);_(&quot;$&quot;* \(#,##0\);_(&quot;$&quot;* &quot;-&quot;??_);_(@_)">
                  <c:v>-80.293400043259425</c:v>
                </c:pt>
                <c:pt idx="10" formatCode="_(&quot;$&quot;* #,##0_);_(&quot;$&quot;* \(#,##0\);_(&quot;$&quot;* &quot;-&quot;??_);_(@_)">
                  <c:v>-75.676888245235503</c:v>
                </c:pt>
                <c:pt idx="11" formatCode="_(&quot;$&quot;* #,##0_);_(&quot;$&quot;* \(#,##0\);_(&quot;$&quot;* &quot;-&quot;??_);_(@_)">
                  <c:v>-71.480059337941057</c:v>
                </c:pt>
                <c:pt idx="12" formatCode="_(&quot;$&quot;* #,##0_);_(&quot;$&quot;* \(#,##0\);_(&quot;$&quot;* &quot;-&quot;??_);_(@_)">
                  <c:v>-67.664760331309708</c:v>
                </c:pt>
                <c:pt idx="13" formatCode="_(&quot;$&quot;* #,##0_);_(&quot;$&quot;* \(#,##0\);_(&quot;$&quot;* &quot;-&quot;??_);_(@_)">
                  <c:v>-59.030078018480161</c:v>
                </c:pt>
                <c:pt idx="14" formatCode="_(&quot;$&quot;* #,##0_);_(&quot;$&quot;* \(#,##0\);_(&quot;$&quot;* &quot;-&quot;??_);_(@_)">
                  <c:v>-51.18036682499875</c:v>
                </c:pt>
                <c:pt idx="15" formatCode="_(&quot;$&quot;* #,##0_);_(&quot;$&quot;* \(#,##0\);_(&quot;$&quot;* &quot;-&quot;??_);_(@_)">
                  <c:v>-44.233310462081029</c:v>
                </c:pt>
                <c:pt idx="16" formatCode="_(&quot;$&quot;* #,##0_);_(&quot;$&quot;* \(#,##0\);_(&quot;$&quot;* &quot;-&quot;??_);_(@_)">
                  <c:v>-40.016523457318293</c:v>
                </c:pt>
                <c:pt idx="17" formatCode="_(&quot;$&quot;* #,##0_);_(&quot;$&quot;* \(#,##0\);_(&quot;$&quot;* &quot;-&quot;??_);_(@_)">
                  <c:v>-36.183080725715804</c:v>
                </c:pt>
                <c:pt idx="18" formatCode="_(&quot;$&quot;* #,##0_);_(&quot;$&quot;* \(#,##0\);_(&quot;$&quot;* &quot;-&quot;??_);_(@_)">
                  <c:v>-32.698132787895354</c:v>
                </c:pt>
                <c:pt idx="19" formatCode="_(&quot;$&quot;* #,##0_);_(&quot;$&quot;* \(#,##0\);_(&quot;$&quot;* &quot;-&quot;??_);_(@_)">
                  <c:v>-29.529998298967673</c:v>
                </c:pt>
                <c:pt idx="20" formatCode="_(&quot;$&quot;* #,##0_);_(&quot;$&quot;* \(#,##0\);_(&quot;$&quot;* &quot;-&quot;??_);_(@_)">
                  <c:v>-26.649876036306157</c:v>
                </c:pt>
                <c:pt idx="21" formatCode="_(&quot;$&quot;* #,##0_);_(&quot;$&quot;* \(#,##0\);_(&quot;$&quot;* &quot;-&quot;??_);_(@_)">
                  <c:v>-24.031583070250228</c:v>
                </c:pt>
                <c:pt idx="22" formatCode="_(&quot;$&quot;* #,##0_);_(&quot;$&quot;* \(#,##0\);_(&quot;$&quot;* &quot;-&quot;??_);_(@_)">
                  <c:v>-21.651316737472101</c:v>
                </c:pt>
                <c:pt idx="23" formatCode="_(&quot;$&quot;* #,##0_);_(&quot;$&quot;* \(#,##0\);_(&quot;$&quot;* &quot;-&quot;??_);_(@_)">
                  <c:v>-19.487438253128364</c:v>
                </c:pt>
                <c:pt idx="24" formatCode="_(&quot;$&quot;* #,##0_);_(&quot;$&quot;* \(#,##0\);_(&quot;$&quot;* &quot;-&quot;??_);_(@_)">
                  <c:v>-17.520275994634048</c:v>
                </c:pt>
                <c:pt idx="25" formatCode="_(&quot;$&quot;* #,##0_);_(&quot;$&quot;* \(#,##0\);_(&quot;$&quot;* &quot;-&quot;??_);_(@_)">
                  <c:v>-15.731946668730124</c:v>
                </c:pt>
                <c:pt idx="26" formatCode="_(&quot;$&quot;* #,##0_);_(&quot;$&quot;* \(#,##0\);_(&quot;$&quot;* &quot;-&quot;??_);_(@_)">
                  <c:v>-14.106192736090199</c:v>
                </c:pt>
                <c:pt idx="27" formatCode="_(&quot;$&quot;* #,##0_);_(&quot;$&quot;* \(#,##0\);_(&quot;$&quot;* &quot;-&quot;??_);_(@_)">
                  <c:v>-12.628234615508452</c:v>
                </c:pt>
                <c:pt idx="28" formatCode="_(&quot;$&quot;* #,##0_);_(&quot;$&quot;* \(#,##0\);_(&quot;$&quot;* &quot;-&quot;??_);_(@_)">
                  <c:v>-11.284636324070499</c:v>
                </c:pt>
                <c:pt idx="29" formatCode="_(&quot;$&quot;* #,##0_);_(&quot;$&quot;* \(#,##0\);_(&quot;$&quot;* &quot;-&quot;??_);_(@_)">
                  <c:v>-10.06318333185418</c:v>
                </c:pt>
                <c:pt idx="30" formatCode="_(&quot;$&quot;* #,##0_);_(&quot;$&quot;* \(#,##0\);_(&quot;$&quot;* &quot;-&quot;??_);_(@_)">
                  <c:v>-8.9527715207484366</c:v>
                </c:pt>
                <c:pt idx="31" formatCode="_(&quot;$&quot;* #,##0_);_(&quot;$&quot;* \(#,##0\);_(&quot;$&quot;* &quot;-&quot;??_);_(@_)">
                  <c:v>-7.9433062379250226</c:v>
                </c:pt>
                <c:pt idx="32" formatCode="_(&quot;$&quot;* #,##0_);_(&quot;$&quot;* \(#,##0\);_(&quot;$&quot;* &quot;-&quot;??_);_(@_)">
                  <c:v>-7.0256105262673794</c:v>
                </c:pt>
              </c:numCache>
            </c:numRef>
          </c:val>
          <c:smooth val="0"/>
          <c:extLst>
            <c:ext xmlns:c16="http://schemas.microsoft.com/office/drawing/2014/chart" uri="{C3380CC4-5D6E-409C-BE32-E72D297353CC}">
              <c16:uniqueId val="{00000006-1531-4816-8C49-CC94D9045321}"/>
            </c:ext>
          </c:extLst>
        </c:ser>
        <c:dLbls>
          <c:showLegendKey val="0"/>
          <c:showVal val="0"/>
          <c:showCatName val="0"/>
          <c:showSerName val="0"/>
          <c:showPercent val="0"/>
          <c:showBubbleSize val="0"/>
        </c:dLbls>
        <c:marker val="1"/>
        <c:smooth val="0"/>
        <c:axId val="1815470032"/>
        <c:axId val="1815446032"/>
      </c:lineChart>
      <c:catAx>
        <c:axId val="409926112"/>
        <c:scaling>
          <c:orientation val="minMax"/>
        </c:scaling>
        <c:delete val="0"/>
        <c:axPos val="b"/>
        <c:title>
          <c:tx>
            <c:rich>
              <a:bodyPr rot="0" spcFirstLastPara="1" vertOverflow="ellipsis" vert="horz" wrap="square" anchor="ctr" anchorCtr="1"/>
              <a:lstStyle/>
              <a:p>
                <a:pPr>
                  <a:defRPr sz="1200" b="1" i="0" u="none" strike="noStrike" kern="1200" baseline="0">
                    <a:solidFill>
                      <a:sysClr val="windowText" lastClr="000000"/>
                    </a:solidFill>
                    <a:latin typeface="Arial Nova Cond" panose="020B0506020202020204" pitchFamily="34" charset="0"/>
                    <a:ea typeface="+mn-ea"/>
                    <a:cs typeface="+mn-cs"/>
                  </a:defRPr>
                </a:pPr>
                <a:r>
                  <a:rPr lang="en-US" sz="1200" b="1"/>
                  <a:t>Year</a:t>
                </a:r>
              </a:p>
            </c:rich>
          </c:tx>
          <c:layout>
            <c:manualLayout>
              <c:xMode val="edge"/>
              <c:yMode val="edge"/>
              <c:x val="0.50900232246817867"/>
              <c:y val="0.8322824853263294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Nova Cond" panose="020B0506020202020204" pitchFamily="34" charset="0"/>
                <a:ea typeface="+mn-ea"/>
                <a:cs typeface="+mn-cs"/>
              </a:defRPr>
            </a:pPr>
            <a:endParaRPr lang="en-US"/>
          </a:p>
        </c:txPr>
        <c:crossAx val="1100436719"/>
        <c:crosses val="autoZero"/>
        <c:auto val="1"/>
        <c:lblAlgn val="ctr"/>
        <c:lblOffset val="100"/>
        <c:tickLblSkip val="2"/>
        <c:tickMarkSkip val="1"/>
        <c:noMultiLvlLbl val="0"/>
      </c:catAx>
      <c:valAx>
        <c:axId val="1100436719"/>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600" b="1" i="0" u="none" strike="noStrike" kern="1200" baseline="0">
                    <a:solidFill>
                      <a:sysClr val="windowText" lastClr="000000"/>
                    </a:solidFill>
                    <a:latin typeface="Arial Nova Cond" panose="020B0506020202020204" pitchFamily="34" charset="0"/>
                    <a:ea typeface="+mn-ea"/>
                    <a:cs typeface="+mn-cs"/>
                  </a:defRPr>
                </a:pPr>
                <a:r>
                  <a:rPr lang="en-US" sz="1600" b="1"/>
                  <a:t>Cash Flow [1E6</a:t>
                </a:r>
                <a:r>
                  <a:rPr lang="en-US" sz="1600" b="1" baseline="0"/>
                  <a:t> USD(2024</a:t>
                </a:r>
                <a:r>
                  <a:rPr lang="en-US" sz="1600" b="1"/>
                  <a:t>)]</a:t>
                </a:r>
              </a:p>
            </c:rich>
          </c:tx>
          <c:layout>
            <c:manualLayout>
              <c:xMode val="edge"/>
              <c:yMode val="edge"/>
              <c:x val="1.5533486819729953E-2"/>
              <c:y val="0.1916353780051909"/>
            </c:manualLayout>
          </c:layout>
          <c:overlay val="0"/>
          <c:spPr>
            <a:noFill/>
            <a:ln>
              <a:solidFill>
                <a:schemeClr val="tx1"/>
              </a:solidFill>
            </a:ln>
            <a:effectLst/>
          </c:spPr>
          <c:txPr>
            <a:bodyPr rot="-5400000" spcFirstLastPara="1" vertOverflow="ellipsis" vert="horz" wrap="square" anchor="ctr" anchorCtr="1"/>
            <a:lstStyle/>
            <a:p>
              <a:pPr>
                <a:defRPr sz="16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Arial Nova Cond" panose="020B0506020202020204" pitchFamily="34" charset="0"/>
                <a:ea typeface="+mn-ea"/>
                <a:cs typeface="+mn-cs"/>
              </a:defRPr>
            </a:pPr>
            <a:endParaRPr lang="en-US"/>
          </a:p>
        </c:txPr>
        <c:crossAx val="409926112"/>
        <c:crosses val="autoZero"/>
        <c:crossBetween val="between"/>
      </c:valAx>
      <c:valAx>
        <c:axId val="1815446032"/>
        <c:scaling>
          <c:orientation val="minMax"/>
          <c:max val="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Arial Nova Cond" panose="020B0506020202020204" pitchFamily="34" charset="0"/>
                <a:ea typeface="+mn-ea"/>
                <a:cs typeface="+mn-cs"/>
              </a:defRPr>
            </a:pPr>
            <a:endParaRPr lang="en-US"/>
          </a:p>
        </c:txPr>
        <c:crossAx val="1815470032"/>
        <c:crosses val="max"/>
        <c:crossBetween val="between"/>
      </c:valAx>
      <c:catAx>
        <c:axId val="1815470032"/>
        <c:scaling>
          <c:orientation val="minMax"/>
        </c:scaling>
        <c:delete val="1"/>
        <c:axPos val="b"/>
        <c:numFmt formatCode="General" sourceLinked="1"/>
        <c:majorTickMark val="out"/>
        <c:minorTickMark val="none"/>
        <c:tickLblPos val="nextTo"/>
        <c:crossAx val="1815446032"/>
        <c:crosses val="autoZero"/>
        <c:auto val="1"/>
        <c:lblAlgn val="ctr"/>
        <c:lblOffset val="100"/>
        <c:noMultiLvlLbl val="0"/>
      </c:catAx>
      <c:spPr>
        <a:noFill/>
        <a:ln w="22225">
          <a:solidFill>
            <a:schemeClr val="tx1"/>
          </a:solidFill>
        </a:ln>
        <a:effectLst/>
      </c:spPr>
    </c:plotArea>
    <c:legend>
      <c:legendPos val="b"/>
      <c:layout>
        <c:manualLayout>
          <c:xMode val="edge"/>
          <c:yMode val="edge"/>
          <c:x val="3.1936420897403131E-2"/>
          <c:y val="0.87247475520414364"/>
          <c:w val="0.96136308928003777"/>
          <c:h val="0.10420163677449398"/>
        </c:manualLayout>
      </c:layout>
      <c:overlay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9050" cap="flat" cmpd="sng" algn="ctr">
      <a:solidFill>
        <a:schemeClr val="tx1"/>
      </a:solid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800" b="1" i="0" u="none" strike="noStrike" kern="1200" cap="all" spc="0" baseline="0">
                <a:solidFill>
                  <a:schemeClr val="tx1"/>
                </a:solidFill>
                <a:latin typeface="Arial Nova Cond" panose="020B0506020202020204" pitchFamily="34" charset="0"/>
                <a:ea typeface="+mn-ea"/>
                <a:cs typeface="+mn-cs"/>
              </a:defRPr>
            </a:pPr>
            <a:r>
              <a:rPr lang="en-US" sz="1800" b="1" cap="all" baseline="0"/>
              <a:t>Bio-MethanE Minimum Selling Price</a:t>
            </a:r>
          </a:p>
          <a:p>
            <a:pPr algn="l">
              <a:defRPr sz="1800" b="1" cap="all"/>
            </a:pPr>
            <a:r>
              <a:rPr lang="en-US" sz="1800" b="1" cap="all" baseline="0"/>
              <a:t>AS NET PRESENT VALUE</a:t>
            </a:r>
          </a:p>
        </c:rich>
      </c:tx>
      <c:layout>
        <c:manualLayout>
          <c:xMode val="edge"/>
          <c:yMode val="edge"/>
          <c:x val="6.8305086789136821E-3"/>
          <c:y val="1.5839123050795122E-2"/>
        </c:manualLayout>
      </c:layout>
      <c:overlay val="0"/>
      <c:spPr>
        <a:noFill/>
        <a:ln>
          <a:noFill/>
        </a:ln>
        <a:effectLst/>
      </c:spPr>
      <c:txPr>
        <a:bodyPr rot="0" spcFirstLastPara="1" vertOverflow="ellipsis" vert="horz" wrap="square" anchor="ctr" anchorCtr="1"/>
        <a:lstStyle/>
        <a:p>
          <a:pPr algn="l">
            <a:defRPr sz="1800" b="1" i="0" u="none" strike="noStrike" kern="1200" cap="all" spc="0" baseline="0">
              <a:solidFill>
                <a:schemeClr val="tx1"/>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0.13028765117732685"/>
          <c:y val="0.16535962416462652"/>
          <c:w val="0.8377464457859124"/>
          <c:h val="0.61468669357506778"/>
        </c:manualLayout>
      </c:layout>
      <c:barChart>
        <c:barDir val="col"/>
        <c:grouping val="stacked"/>
        <c:varyColors val="0"/>
        <c:ser>
          <c:idx val="0"/>
          <c:order val="0"/>
          <c:tx>
            <c:strRef>
              <c:f>BM_DCFROR!$B$140</c:f>
              <c:strCache>
                <c:ptCount val="1"/>
                <c:pt idx="0">
                  <c:v>Transportation</c:v>
                </c:pt>
              </c:strCache>
            </c:strRef>
          </c:tx>
          <c:spPr>
            <a:solidFill>
              <a:srgbClr val="CCFF99"/>
            </a:solidFill>
            <a:ln>
              <a:noFill/>
            </a:ln>
            <a:effectLst/>
          </c:spPr>
          <c:invertIfNegative val="0"/>
          <c:cat>
            <c:strRef>
              <c:f>BM_DCFROR!$C$139</c:f>
              <c:strCache>
                <c:ptCount val="1"/>
                <c:pt idx="0">
                  <c:v> Price</c:v>
                </c:pt>
              </c:strCache>
            </c:strRef>
          </c:cat>
          <c:val>
            <c:numRef>
              <c:f>BM_DCFROR!$C$140</c:f>
              <c:numCache>
                <c:formatCode>_("$"* #,##0.0000_);_("$"* \(#,##0.0000\);_("$"* "-"??_);_(@_)</c:formatCode>
                <c:ptCount val="1"/>
                <c:pt idx="0">
                  <c:v>0.66643946321457348</c:v>
                </c:pt>
              </c:numCache>
            </c:numRef>
          </c:val>
          <c:extLst>
            <c:ext xmlns:c16="http://schemas.microsoft.com/office/drawing/2014/chart" uri="{C3380CC4-5D6E-409C-BE32-E72D297353CC}">
              <c16:uniqueId val="{00000000-02CB-4CE6-B643-AC042DF878D8}"/>
            </c:ext>
          </c:extLst>
        </c:ser>
        <c:ser>
          <c:idx val="1"/>
          <c:order val="1"/>
          <c:tx>
            <c:strRef>
              <c:f>BM_DCFROR!$B$141</c:f>
              <c:strCache>
                <c:ptCount val="1"/>
                <c:pt idx="0">
                  <c:v>Feedstock Preparation</c:v>
                </c:pt>
              </c:strCache>
            </c:strRef>
          </c:tx>
          <c:spPr>
            <a:solidFill>
              <a:schemeClr val="tx1">
                <a:lumMod val="75000"/>
                <a:lumOff val="25000"/>
              </a:schemeClr>
            </a:solidFill>
            <a:ln>
              <a:noFill/>
            </a:ln>
            <a:effectLst/>
          </c:spPr>
          <c:invertIfNegative val="0"/>
          <c:cat>
            <c:strRef>
              <c:f>BM_DCFROR!$C$139</c:f>
              <c:strCache>
                <c:ptCount val="1"/>
                <c:pt idx="0">
                  <c:v> Price</c:v>
                </c:pt>
              </c:strCache>
            </c:strRef>
          </c:cat>
          <c:val>
            <c:numRef>
              <c:f>BM_DCFROR!$C$141</c:f>
              <c:numCache>
                <c:formatCode>_("$"* #,##0.0000_);_("$"* \(#,##0.0000\);_("$"* "-"??_);_(@_)</c:formatCode>
                <c:ptCount val="1"/>
                <c:pt idx="0">
                  <c:v>0.40083636903468645</c:v>
                </c:pt>
              </c:numCache>
            </c:numRef>
          </c:val>
          <c:extLst>
            <c:ext xmlns:c16="http://schemas.microsoft.com/office/drawing/2014/chart" uri="{C3380CC4-5D6E-409C-BE32-E72D297353CC}">
              <c16:uniqueId val="{00000001-02CB-4CE6-B643-AC042DF878D8}"/>
            </c:ext>
          </c:extLst>
        </c:ser>
        <c:ser>
          <c:idx val="2"/>
          <c:order val="2"/>
          <c:tx>
            <c:strRef>
              <c:f>BM_DCFROR!$B$142</c:f>
              <c:strCache>
                <c:ptCount val="1"/>
                <c:pt idx="0">
                  <c:v>Anaerobic Digestion</c:v>
                </c:pt>
              </c:strCache>
            </c:strRef>
          </c:tx>
          <c:spPr>
            <a:solidFill>
              <a:srgbClr val="996633"/>
            </a:solidFill>
            <a:ln>
              <a:noFill/>
            </a:ln>
            <a:effectLst/>
          </c:spPr>
          <c:invertIfNegative val="0"/>
          <c:cat>
            <c:strRef>
              <c:f>BM_DCFROR!$C$139</c:f>
              <c:strCache>
                <c:ptCount val="1"/>
                <c:pt idx="0">
                  <c:v> Price</c:v>
                </c:pt>
              </c:strCache>
            </c:strRef>
          </c:cat>
          <c:val>
            <c:numRef>
              <c:f>BM_DCFROR!$C$142</c:f>
              <c:numCache>
                <c:formatCode>_("$"* #,##0.0000_);_("$"* \(#,##0.0000\);_("$"* "-"??_);_(@_)</c:formatCode>
                <c:ptCount val="1"/>
                <c:pt idx="0">
                  <c:v>0.77630420554826185</c:v>
                </c:pt>
              </c:numCache>
            </c:numRef>
          </c:val>
          <c:extLst>
            <c:ext xmlns:c16="http://schemas.microsoft.com/office/drawing/2014/chart" uri="{C3380CC4-5D6E-409C-BE32-E72D297353CC}">
              <c16:uniqueId val="{00000002-02CB-4CE6-B643-AC042DF878D8}"/>
            </c:ext>
          </c:extLst>
        </c:ser>
        <c:ser>
          <c:idx val="3"/>
          <c:order val="3"/>
          <c:tx>
            <c:strRef>
              <c:f>BM_DCFROR!$B$143</c:f>
              <c:strCache>
                <c:ptCount val="1"/>
                <c:pt idx="0">
                  <c:v>Solid-Liquid Separation</c:v>
                </c:pt>
              </c:strCache>
            </c:strRef>
          </c:tx>
          <c:spPr>
            <a:solidFill>
              <a:schemeClr val="tx2">
                <a:lumMod val="25000"/>
                <a:lumOff val="75000"/>
              </a:schemeClr>
            </a:solidFill>
            <a:ln>
              <a:noFill/>
            </a:ln>
            <a:effectLst/>
          </c:spPr>
          <c:invertIfNegative val="0"/>
          <c:cat>
            <c:strRef>
              <c:f>BM_DCFROR!$C$139</c:f>
              <c:strCache>
                <c:ptCount val="1"/>
                <c:pt idx="0">
                  <c:v> Price</c:v>
                </c:pt>
              </c:strCache>
            </c:strRef>
          </c:cat>
          <c:val>
            <c:numRef>
              <c:f>BM_DCFROR!$C$143</c:f>
              <c:numCache>
                <c:formatCode>_("$"* #,##0.0000_);_("$"* \(#,##0.0000\);_("$"* "-"??_);_(@_)</c:formatCode>
                <c:ptCount val="1"/>
                <c:pt idx="0">
                  <c:v>0.32974591275794857</c:v>
                </c:pt>
              </c:numCache>
            </c:numRef>
          </c:val>
          <c:extLst>
            <c:ext xmlns:c16="http://schemas.microsoft.com/office/drawing/2014/chart" uri="{C3380CC4-5D6E-409C-BE32-E72D297353CC}">
              <c16:uniqueId val="{00000003-02CB-4CE6-B643-AC042DF878D8}"/>
            </c:ext>
          </c:extLst>
        </c:ser>
        <c:ser>
          <c:idx val="4"/>
          <c:order val="4"/>
          <c:tx>
            <c:strRef>
              <c:f>BM_DCFROR!$B$144</c:f>
              <c:strCache>
                <c:ptCount val="1"/>
                <c:pt idx="0">
                  <c:v>Bio-Methane Purification</c:v>
                </c:pt>
              </c:strCache>
            </c:strRef>
          </c:tx>
          <c:spPr>
            <a:solidFill>
              <a:srgbClr val="00B8B4"/>
            </a:solidFill>
            <a:ln>
              <a:noFill/>
            </a:ln>
            <a:effectLst/>
          </c:spPr>
          <c:invertIfNegative val="0"/>
          <c:cat>
            <c:strRef>
              <c:f>BM_DCFROR!$C$139</c:f>
              <c:strCache>
                <c:ptCount val="1"/>
                <c:pt idx="0">
                  <c:v> Price</c:v>
                </c:pt>
              </c:strCache>
            </c:strRef>
          </c:cat>
          <c:val>
            <c:numRef>
              <c:f>BM_DCFROR!$C$144</c:f>
              <c:numCache>
                <c:formatCode>_("$"* #,##0.0000_);_("$"* \(#,##0.0000\);_("$"* "-"??_);_(@_)</c:formatCode>
                <c:ptCount val="1"/>
                <c:pt idx="0">
                  <c:v>1.4309350453831575</c:v>
                </c:pt>
              </c:numCache>
            </c:numRef>
          </c:val>
          <c:extLst>
            <c:ext xmlns:c16="http://schemas.microsoft.com/office/drawing/2014/chart" uri="{C3380CC4-5D6E-409C-BE32-E72D297353CC}">
              <c16:uniqueId val="{00000004-02CB-4CE6-B643-AC042DF878D8}"/>
            </c:ext>
          </c:extLst>
        </c:ser>
        <c:ser>
          <c:idx val="5"/>
          <c:order val="5"/>
          <c:tx>
            <c:strRef>
              <c:f>BM_DCFROR!$B$145</c:f>
              <c:strCache>
                <c:ptCount val="1"/>
                <c:pt idx="0">
                  <c:v>Labor</c:v>
                </c:pt>
              </c:strCache>
            </c:strRef>
          </c:tx>
          <c:spPr>
            <a:solidFill>
              <a:schemeClr val="bg2">
                <a:lumMod val="90000"/>
              </a:schemeClr>
            </a:solidFill>
            <a:ln>
              <a:noFill/>
            </a:ln>
            <a:effectLst/>
          </c:spPr>
          <c:invertIfNegative val="0"/>
          <c:cat>
            <c:strRef>
              <c:f>BM_DCFROR!$C$139</c:f>
              <c:strCache>
                <c:ptCount val="1"/>
                <c:pt idx="0">
                  <c:v> Price</c:v>
                </c:pt>
              </c:strCache>
            </c:strRef>
          </c:cat>
          <c:val>
            <c:numRef>
              <c:f>BM_DCFROR!$C$145</c:f>
              <c:numCache>
                <c:formatCode>_("$"* #,##0.0000_);_("$"* \(#,##0.0000\);_("$"* "-"??_);_(@_)</c:formatCode>
                <c:ptCount val="1"/>
                <c:pt idx="0">
                  <c:v>0.93791296902442667</c:v>
                </c:pt>
              </c:numCache>
            </c:numRef>
          </c:val>
          <c:extLst>
            <c:ext xmlns:c16="http://schemas.microsoft.com/office/drawing/2014/chart" uri="{C3380CC4-5D6E-409C-BE32-E72D297353CC}">
              <c16:uniqueId val="{00000005-02CB-4CE6-B643-AC042DF878D8}"/>
            </c:ext>
          </c:extLst>
        </c:ser>
        <c:ser>
          <c:idx val="6"/>
          <c:order val="6"/>
          <c:tx>
            <c:strRef>
              <c:f>BM_DCFROR!$B$146</c:f>
              <c:strCache>
                <c:ptCount val="1"/>
                <c:pt idx="0">
                  <c:v>Overhead and Benefits</c:v>
                </c:pt>
              </c:strCache>
            </c:strRef>
          </c:tx>
          <c:spPr>
            <a:solidFill>
              <a:srgbClr val="006666"/>
            </a:solidFill>
            <a:ln>
              <a:noFill/>
            </a:ln>
            <a:effectLst/>
          </c:spPr>
          <c:invertIfNegative val="0"/>
          <c:cat>
            <c:strRef>
              <c:f>BM_DCFROR!$C$139</c:f>
              <c:strCache>
                <c:ptCount val="1"/>
                <c:pt idx="0">
                  <c:v> Price</c:v>
                </c:pt>
              </c:strCache>
            </c:strRef>
          </c:cat>
          <c:val>
            <c:numRef>
              <c:f>BM_DCFROR!$C$146</c:f>
              <c:numCache>
                <c:formatCode>_("$"* #,##0.0000_);_("$"* \(#,##0.0000\);_("$"* "-"??_);_(@_)</c:formatCode>
                <c:ptCount val="1"/>
                <c:pt idx="0">
                  <c:v>0.84412167212198397</c:v>
                </c:pt>
              </c:numCache>
            </c:numRef>
          </c:val>
          <c:extLst>
            <c:ext xmlns:c16="http://schemas.microsoft.com/office/drawing/2014/chart" uri="{C3380CC4-5D6E-409C-BE32-E72D297353CC}">
              <c16:uniqueId val="{00000006-02CB-4CE6-B643-AC042DF878D8}"/>
            </c:ext>
          </c:extLst>
        </c:ser>
        <c:ser>
          <c:idx val="7"/>
          <c:order val="7"/>
          <c:tx>
            <c:strRef>
              <c:f>BM_DCFROR!$B$147</c:f>
              <c:strCache>
                <c:ptCount val="1"/>
                <c:pt idx="0">
                  <c:v>Plant Maintenance</c:v>
                </c:pt>
              </c:strCache>
            </c:strRef>
          </c:tx>
          <c:spPr>
            <a:solidFill>
              <a:srgbClr val="339933"/>
            </a:solidFill>
            <a:ln>
              <a:noFill/>
            </a:ln>
            <a:effectLst/>
          </c:spPr>
          <c:invertIfNegative val="0"/>
          <c:cat>
            <c:strRef>
              <c:f>BM_DCFROR!$C$139</c:f>
              <c:strCache>
                <c:ptCount val="1"/>
                <c:pt idx="0">
                  <c:v> Price</c:v>
                </c:pt>
              </c:strCache>
            </c:strRef>
          </c:cat>
          <c:val>
            <c:numRef>
              <c:f>BM_DCFROR!$C$147</c:f>
              <c:numCache>
                <c:formatCode>_("$"* #,##0.0000_);_("$"* \(#,##0.0000\);_("$"* "-"??_);_(@_)</c:formatCode>
                <c:ptCount val="1"/>
                <c:pt idx="0">
                  <c:v>0.47488338226880161</c:v>
                </c:pt>
              </c:numCache>
            </c:numRef>
          </c:val>
          <c:extLst>
            <c:ext xmlns:c16="http://schemas.microsoft.com/office/drawing/2014/chart" uri="{C3380CC4-5D6E-409C-BE32-E72D297353CC}">
              <c16:uniqueId val="{00000007-02CB-4CE6-B643-AC042DF878D8}"/>
            </c:ext>
          </c:extLst>
        </c:ser>
        <c:ser>
          <c:idx val="8"/>
          <c:order val="8"/>
          <c:tx>
            <c:strRef>
              <c:f>BM_DCFROR!$B$148</c:f>
              <c:strCache>
                <c:ptCount val="1"/>
                <c:pt idx="0">
                  <c:v>Insurance</c:v>
                </c:pt>
              </c:strCache>
            </c:strRef>
          </c:tx>
          <c:spPr>
            <a:solidFill>
              <a:srgbClr val="3366CC"/>
            </a:solidFill>
            <a:ln>
              <a:noFill/>
            </a:ln>
            <a:effectLst/>
          </c:spPr>
          <c:invertIfNegative val="0"/>
          <c:cat>
            <c:strRef>
              <c:f>BM_DCFROR!$C$139</c:f>
              <c:strCache>
                <c:ptCount val="1"/>
                <c:pt idx="0">
                  <c:v> Price</c:v>
                </c:pt>
              </c:strCache>
            </c:strRef>
          </c:cat>
          <c:val>
            <c:numRef>
              <c:f>BM_DCFROR!$C$148</c:f>
              <c:numCache>
                <c:formatCode>_("$"* #,##0.0000_);_("$"* \(#,##0.0000\);_("$"* "-"??_);_(@_)</c:formatCode>
                <c:ptCount val="1"/>
                <c:pt idx="0">
                  <c:v>0.11080612252938707</c:v>
                </c:pt>
              </c:numCache>
            </c:numRef>
          </c:val>
          <c:extLst>
            <c:ext xmlns:c16="http://schemas.microsoft.com/office/drawing/2014/chart" uri="{C3380CC4-5D6E-409C-BE32-E72D297353CC}">
              <c16:uniqueId val="{00000008-02CB-4CE6-B643-AC042DF878D8}"/>
            </c:ext>
          </c:extLst>
        </c:ser>
        <c:ser>
          <c:idx val="9"/>
          <c:order val="9"/>
          <c:tx>
            <c:strRef>
              <c:f>BM_DCFROR!$B$149</c:f>
              <c:strCache>
                <c:ptCount val="1"/>
                <c:pt idx="0">
                  <c:v>Tax</c:v>
                </c:pt>
              </c:strCache>
            </c:strRef>
          </c:tx>
          <c:spPr>
            <a:solidFill>
              <a:srgbClr val="9966FF"/>
            </a:solidFill>
            <a:ln>
              <a:noFill/>
            </a:ln>
            <a:effectLst/>
          </c:spPr>
          <c:invertIfNegative val="0"/>
          <c:cat>
            <c:strRef>
              <c:f>BM_DCFROR!$C$139</c:f>
              <c:strCache>
                <c:ptCount val="1"/>
                <c:pt idx="0">
                  <c:v> Price</c:v>
                </c:pt>
              </c:strCache>
            </c:strRef>
          </c:cat>
          <c:val>
            <c:numRef>
              <c:f>BM_DCFROR!$C$149</c:f>
              <c:numCache>
                <c:formatCode>_("$"* #,##0.0000_);_("$"* \(#,##0.0000\);_("$"* "-"??_);_(@_)</c:formatCode>
                <c:ptCount val="1"/>
                <c:pt idx="0">
                  <c:v>0.29987729749269376</c:v>
                </c:pt>
              </c:numCache>
            </c:numRef>
          </c:val>
          <c:extLst>
            <c:ext xmlns:c16="http://schemas.microsoft.com/office/drawing/2014/chart" uri="{C3380CC4-5D6E-409C-BE32-E72D297353CC}">
              <c16:uniqueId val="{00000009-02CB-4CE6-B643-AC042DF878D8}"/>
            </c:ext>
          </c:extLst>
        </c:ser>
        <c:ser>
          <c:idx val="10"/>
          <c:order val="10"/>
          <c:tx>
            <c:strRef>
              <c:f>BM_DCFROR!$B$150</c:f>
              <c:strCache>
                <c:ptCount val="1"/>
                <c:pt idx="0">
                  <c:v>Waste Collection</c:v>
                </c:pt>
              </c:strCache>
            </c:strRef>
          </c:tx>
          <c:spPr>
            <a:solidFill>
              <a:srgbClr val="998155"/>
            </a:solidFill>
            <a:ln>
              <a:noFill/>
            </a:ln>
            <a:effectLst/>
          </c:spPr>
          <c:invertIfNegative val="0"/>
          <c:cat>
            <c:strRef>
              <c:f>BM_DCFROR!$C$139</c:f>
              <c:strCache>
                <c:ptCount val="1"/>
                <c:pt idx="0">
                  <c:v> Price</c:v>
                </c:pt>
              </c:strCache>
            </c:strRef>
          </c:cat>
          <c:val>
            <c:numRef>
              <c:f>BM_DCFROR!$C$150</c:f>
              <c:numCache>
                <c:formatCode>_("$"* #,##0.000_);_("$"* \(#,##0.000\);_("$"* "-"??_);_(@_)</c:formatCode>
                <c:ptCount val="1"/>
                <c:pt idx="0">
                  <c:v>-1.4193624393759208</c:v>
                </c:pt>
              </c:numCache>
            </c:numRef>
          </c:val>
          <c:extLst>
            <c:ext xmlns:c16="http://schemas.microsoft.com/office/drawing/2014/chart" uri="{C3380CC4-5D6E-409C-BE32-E72D297353CC}">
              <c16:uniqueId val="{0000000A-02CB-4CE6-B643-AC042DF878D8}"/>
            </c:ext>
          </c:extLst>
        </c:ser>
        <c:dLbls>
          <c:showLegendKey val="0"/>
          <c:showVal val="0"/>
          <c:showCatName val="0"/>
          <c:showSerName val="0"/>
          <c:showPercent val="0"/>
          <c:showBubbleSize val="0"/>
        </c:dLbls>
        <c:gapWidth val="66"/>
        <c:overlap val="100"/>
        <c:axId val="421543343"/>
        <c:axId val="421557263"/>
      </c:barChart>
      <c:barChart>
        <c:barDir val="col"/>
        <c:grouping val="clustered"/>
        <c:varyColors val="0"/>
        <c:ser>
          <c:idx val="11"/>
          <c:order val="11"/>
          <c:tx>
            <c:strRef>
              <c:f>BM_DCFROR!$B$151</c:f>
              <c:strCache>
                <c:ptCount val="1"/>
                <c:pt idx="0">
                  <c:v>Minimum Selling Price</c:v>
                </c:pt>
              </c:strCache>
            </c:strRef>
          </c:tx>
          <c:spPr>
            <a:solidFill>
              <a:schemeClr val="tx1"/>
            </a:solidFill>
            <a:ln w="25400">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Arial Nova Cond" panose="020B0506020202020204" pitchFamily="34" charset="0"/>
                      <a:ea typeface="+mn-ea"/>
                      <a:cs typeface="+mn-cs"/>
                    </a:defRPr>
                  </a:pPr>
                  <a:endParaRPr lang="en-US"/>
                </a:p>
              </c:txPr>
              <c:dLblPos val="ctr"/>
              <c:showLegendKey val="0"/>
              <c:showVal val="1"/>
              <c:showCatName val="0"/>
              <c:showSerName val="1"/>
              <c:showPercent val="0"/>
              <c:showBubbleSize val="0"/>
              <c:separator> </c:separator>
              <c:extLst>
                <c:ext xmlns:c15="http://schemas.microsoft.com/office/drawing/2012/chart" uri="{CE6537A1-D6FC-4f65-9D91-7224C49458BB}">
                  <c15:layout>
                    <c:manualLayout>
                      <c:w val="0.13559936068193926"/>
                      <c:h val="0.17843951324266286"/>
                    </c:manualLayout>
                  </c15:layout>
                </c:ext>
                <c:ext xmlns:c16="http://schemas.microsoft.com/office/drawing/2014/chart" uri="{C3380CC4-5D6E-409C-BE32-E72D297353CC}">
                  <c16:uniqueId val="{0000000C-02CB-4CE6-B643-AC042DF878D8}"/>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rial Nova Cond" panose="020B0506020202020204" pitchFamily="34" charset="0"/>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BM_DCFROR!$C$139</c:f>
              <c:strCache>
                <c:ptCount val="1"/>
                <c:pt idx="0">
                  <c:v> Price</c:v>
                </c:pt>
              </c:strCache>
            </c:strRef>
          </c:cat>
          <c:val>
            <c:numRef>
              <c:f>BM_DCFROR!$C$151</c:f>
              <c:numCache>
                <c:formatCode>_("$"* #,##0.00_);_("$"* \(#,##0.00\);_("$"* "-"??_);_(@_)</c:formatCode>
                <c:ptCount val="1"/>
                <c:pt idx="0">
                  <c:v>4.8525</c:v>
                </c:pt>
              </c:numCache>
            </c:numRef>
          </c:val>
          <c:extLst>
            <c:ext xmlns:c16="http://schemas.microsoft.com/office/drawing/2014/chart" uri="{C3380CC4-5D6E-409C-BE32-E72D297353CC}">
              <c16:uniqueId val="{0000000B-02CB-4CE6-B643-AC042DF878D8}"/>
            </c:ext>
          </c:extLst>
        </c:ser>
        <c:dLbls>
          <c:showLegendKey val="0"/>
          <c:showVal val="0"/>
          <c:showCatName val="0"/>
          <c:showSerName val="0"/>
          <c:showPercent val="0"/>
          <c:showBubbleSize val="0"/>
        </c:dLbls>
        <c:gapWidth val="500"/>
        <c:axId val="261520271"/>
        <c:axId val="261522671"/>
      </c:barChart>
      <c:catAx>
        <c:axId val="421543343"/>
        <c:scaling>
          <c:orientation val="minMax"/>
        </c:scaling>
        <c:delete val="1"/>
        <c:axPos val="b"/>
        <c:numFmt formatCode="General" sourceLinked="1"/>
        <c:majorTickMark val="none"/>
        <c:minorTickMark val="none"/>
        <c:tickLblPos val="nextTo"/>
        <c:crossAx val="421557263"/>
        <c:crosses val="autoZero"/>
        <c:auto val="1"/>
        <c:lblAlgn val="ctr"/>
        <c:lblOffset val="100"/>
        <c:noMultiLvlLbl val="0"/>
      </c:catAx>
      <c:valAx>
        <c:axId val="421557263"/>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solidFill>
                    <a:latin typeface="Arial Nova Cond" panose="020B0506020202020204" pitchFamily="34" charset="0"/>
                    <a:ea typeface="+mn-ea"/>
                    <a:cs typeface="+mn-cs"/>
                  </a:defRPr>
                </a:pPr>
                <a:r>
                  <a:rPr lang="en-US" sz="1100" b="1"/>
                  <a:t> COST </a:t>
                </a:r>
                <a:r>
                  <a:rPr lang="en-US" sz="1100" b="1" baseline="0"/>
                  <a:t> </a:t>
                </a:r>
                <a:r>
                  <a:rPr lang="en-US" sz="1100" b="0"/>
                  <a:t>[USD (2026) per m</a:t>
                </a:r>
                <a:r>
                  <a:rPr lang="en-US" sz="1100" b="0" baseline="30000"/>
                  <a:t>3</a:t>
                </a:r>
                <a:r>
                  <a:rPr lang="en-US" sz="1100" b="0"/>
                  <a:t>]</a:t>
                </a:r>
                <a:r>
                  <a:rPr lang="en-US" sz="1100" b="0" baseline="0"/>
                  <a:t> </a:t>
                </a:r>
                <a:endParaRPr lang="en-US" sz="1100" b="0"/>
              </a:p>
            </c:rich>
          </c:tx>
          <c:layout>
            <c:manualLayout>
              <c:xMode val="edge"/>
              <c:yMode val="edge"/>
              <c:x val="2.5379191771977248E-2"/>
              <c:y val="0.22994177198438429"/>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chemeClr val="tx1"/>
                  </a:solidFill>
                  <a:latin typeface="Arial Nova Cond" panose="020B0506020202020204" pitchFamily="34" charset="0"/>
                  <a:ea typeface="+mn-ea"/>
                  <a:cs typeface="+mn-cs"/>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rial Nova Cond" panose="020B0506020202020204" pitchFamily="34" charset="0"/>
                <a:ea typeface="+mn-ea"/>
                <a:cs typeface="+mn-cs"/>
              </a:defRPr>
            </a:pPr>
            <a:endParaRPr lang="en-US"/>
          </a:p>
        </c:txPr>
        <c:crossAx val="421543343"/>
        <c:crosses val="autoZero"/>
        <c:crossBetween val="between"/>
      </c:valAx>
      <c:valAx>
        <c:axId val="261522671"/>
        <c:scaling>
          <c:orientation val="minMax"/>
          <c:max val="3.0000000000000009E-3"/>
          <c:min val="-1.0000000000000002E-3"/>
        </c:scaling>
        <c:delete val="1"/>
        <c:axPos val="r"/>
        <c:numFmt formatCode="_(&quot;$&quot;* #,##0.00_);_(&quot;$&quot;* \(#,##0.00\);_(&quot;$&quot;* &quot;-&quot;??_);_(@_)" sourceLinked="1"/>
        <c:majorTickMark val="out"/>
        <c:minorTickMark val="none"/>
        <c:tickLblPos val="nextTo"/>
        <c:crossAx val="261520271"/>
        <c:crosses val="max"/>
        <c:crossBetween val="between"/>
      </c:valAx>
      <c:catAx>
        <c:axId val="261520271"/>
        <c:scaling>
          <c:orientation val="minMax"/>
        </c:scaling>
        <c:delete val="1"/>
        <c:axPos val="b"/>
        <c:numFmt formatCode="General" sourceLinked="1"/>
        <c:majorTickMark val="out"/>
        <c:minorTickMark val="none"/>
        <c:tickLblPos val="nextTo"/>
        <c:crossAx val="261522671"/>
        <c:crosses val="autoZero"/>
        <c:auto val="1"/>
        <c:lblAlgn val="ctr"/>
        <c:lblOffset val="100"/>
        <c:noMultiLvlLbl val="0"/>
      </c:catAx>
      <c:spPr>
        <a:solidFill>
          <a:schemeClr val="bg1"/>
        </a:solidFill>
        <a:ln w="19050">
          <a:solidFill>
            <a:schemeClr val="tx1"/>
          </a:solidFill>
        </a:ln>
        <a:effectLst/>
      </c:spPr>
    </c:plotArea>
    <c:legend>
      <c:legendPos val="b"/>
      <c:layout>
        <c:manualLayout>
          <c:xMode val="edge"/>
          <c:yMode val="edge"/>
          <c:x val="5.2303600568842055E-2"/>
          <c:y val="0.81354396876860979"/>
          <c:w val="0.91670340088682289"/>
          <c:h val="0.1713046163347228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25400" cap="flat" cmpd="sng" algn="ctr">
      <a:noFill/>
      <a:round/>
    </a:ln>
    <a:effectLst/>
  </c:spPr>
  <c:txPr>
    <a:bodyPr/>
    <a:lstStyle/>
    <a:p>
      <a:pPr>
        <a:defRPr>
          <a:solidFill>
            <a:schemeClr val="tx1"/>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2000" b="1" i="0" u="none" strike="noStrike" kern="1200" cap="all" spc="0" baseline="0">
                <a:solidFill>
                  <a:sysClr val="windowText" lastClr="000000"/>
                </a:solidFill>
                <a:latin typeface="Arial Nova Cond" panose="020B0506020202020204" pitchFamily="34" charset="0"/>
                <a:ea typeface="+mn-ea"/>
                <a:cs typeface="+mn-cs"/>
              </a:defRPr>
            </a:pPr>
            <a:r>
              <a:rPr lang="en-US" sz="2000" b="1" cap="all" baseline="0"/>
              <a:t>Net Levelized Cost of Energy and Disposal</a:t>
            </a:r>
          </a:p>
        </c:rich>
      </c:tx>
      <c:layout>
        <c:manualLayout>
          <c:xMode val="edge"/>
          <c:yMode val="edge"/>
          <c:x val="7.0845050618672661E-3"/>
          <c:y val="1.0488419998844884E-3"/>
        </c:manualLayout>
      </c:layout>
      <c:overlay val="0"/>
      <c:spPr>
        <a:noFill/>
        <a:ln>
          <a:noFill/>
        </a:ln>
        <a:effectLst/>
      </c:spPr>
      <c:txPr>
        <a:bodyPr rot="0" spcFirstLastPara="1" vertOverflow="ellipsis" vert="horz" wrap="square" anchor="ctr" anchorCtr="1"/>
        <a:lstStyle/>
        <a:p>
          <a:pPr algn="ctr">
            <a:defRPr sz="2000" b="1" i="0" u="none" strike="noStrike" kern="1200" cap="all" spc="0" baseline="0">
              <a:solidFill>
                <a:sysClr val="windowText" lastClr="000000"/>
              </a:solidFill>
              <a:latin typeface="Arial Nova Cond" panose="020B0506020202020204" pitchFamily="34" charset="0"/>
              <a:ea typeface="+mn-ea"/>
              <a:cs typeface="+mn-cs"/>
            </a:defRPr>
          </a:pPr>
          <a:endParaRPr lang="en-US"/>
        </a:p>
      </c:txPr>
    </c:title>
    <c:autoTitleDeleted val="0"/>
    <c:plotArea>
      <c:layout>
        <c:manualLayout>
          <c:layoutTarget val="inner"/>
          <c:xMode val="edge"/>
          <c:yMode val="edge"/>
          <c:x val="7.9149090738657668E-2"/>
          <c:y val="0.10686962516782174"/>
          <c:w val="0.90695327146606686"/>
          <c:h val="0.60546560653023496"/>
        </c:manualLayout>
      </c:layout>
      <c:barChart>
        <c:barDir val="col"/>
        <c:grouping val="stacked"/>
        <c:varyColors val="0"/>
        <c:ser>
          <c:idx val="0"/>
          <c:order val="0"/>
          <c:tx>
            <c:strRef>
              <c:f>'LCOE&amp;D'!$A$84</c:f>
              <c:strCache>
                <c:ptCount val="1"/>
                <c:pt idx="0">
                  <c:v> Capital Cost </c:v>
                </c:pt>
              </c:strCache>
            </c:strRef>
          </c:tx>
          <c:spPr>
            <a:solidFill>
              <a:srgbClr val="336699"/>
            </a:solidFill>
            <a:ln w="25400">
              <a:noFill/>
            </a:ln>
            <a:effectLst/>
          </c:spPr>
          <c:invertIfNegative val="0"/>
          <c:cat>
            <c:strRef>
              <c:f>'LCOE&amp;D'!$B$83:$I$83</c:f>
              <c:strCache>
                <c:ptCount val="8"/>
                <c:pt idx="0">
                  <c:v> BM  </c:v>
                </c:pt>
                <c:pt idx="1">
                  <c:v> SAF  </c:v>
                </c:pt>
                <c:pt idx="2">
                  <c:v> BM </c:v>
                </c:pt>
                <c:pt idx="3">
                  <c:v> SAF </c:v>
                </c:pt>
                <c:pt idx="4">
                  <c:v> BM  </c:v>
                </c:pt>
                <c:pt idx="5">
                  <c:v> SAF </c:v>
                </c:pt>
                <c:pt idx="6">
                  <c:v> BM </c:v>
                </c:pt>
                <c:pt idx="7">
                  <c:v> SAF </c:v>
                </c:pt>
              </c:strCache>
            </c:strRef>
          </c:cat>
          <c:val>
            <c:numRef>
              <c:f>'LCOE&amp;D'!$B$84:$I$84</c:f>
              <c:numCache>
                <c:formatCode>_("$"* #,##0.00_);_("$"* \(#,##0.00\);_("$"* "-"??_);_(@_)</c:formatCode>
                <c:ptCount val="8"/>
                <c:pt idx="0">
                  <c:v>0.2095750329088733</c:v>
                </c:pt>
                <c:pt idx="1">
                  <c:v>0.63976759080067402</c:v>
                </c:pt>
                <c:pt idx="2">
                  <c:v>8.7128718296374613E-2</c:v>
                </c:pt>
                <c:pt idx="3">
                  <c:v>0.19382100636231284</c:v>
                </c:pt>
                <c:pt idx="4">
                  <c:v>0.1935409639223821</c:v>
                </c:pt>
                <c:pt idx="5">
                  <c:v>3.4091098023842941</c:v>
                </c:pt>
                <c:pt idx="6">
                  <c:v>8.054287352948096E-2</c:v>
                </c:pt>
                <c:pt idx="7">
                  <c:v>1.0255147215092784</c:v>
                </c:pt>
              </c:numCache>
            </c:numRef>
          </c:val>
          <c:extLst>
            <c:ext xmlns:c16="http://schemas.microsoft.com/office/drawing/2014/chart" uri="{C3380CC4-5D6E-409C-BE32-E72D297353CC}">
              <c16:uniqueId val="{00000000-AB94-4C46-8623-3C8F4BCFAA8A}"/>
            </c:ext>
          </c:extLst>
        </c:ser>
        <c:ser>
          <c:idx val="1"/>
          <c:order val="1"/>
          <c:tx>
            <c:strRef>
              <c:f>'LCOE&amp;D'!$A$85</c:f>
              <c:strCache>
                <c:ptCount val="1"/>
                <c:pt idx="0">
                  <c:v> Operation Cost </c:v>
                </c:pt>
              </c:strCache>
            </c:strRef>
          </c:tx>
          <c:spPr>
            <a:solidFill>
              <a:schemeClr val="accent6"/>
            </a:solidFill>
            <a:ln w="25400">
              <a:noFill/>
            </a:ln>
            <a:effectLst/>
          </c:spPr>
          <c:invertIfNegative val="0"/>
          <c:cat>
            <c:strRef>
              <c:f>'LCOE&amp;D'!$B$83:$I$83</c:f>
              <c:strCache>
                <c:ptCount val="8"/>
                <c:pt idx="0">
                  <c:v> BM  </c:v>
                </c:pt>
                <c:pt idx="1">
                  <c:v> SAF  </c:v>
                </c:pt>
                <c:pt idx="2">
                  <c:v> BM </c:v>
                </c:pt>
                <c:pt idx="3">
                  <c:v> SAF </c:v>
                </c:pt>
                <c:pt idx="4">
                  <c:v> BM  </c:v>
                </c:pt>
                <c:pt idx="5">
                  <c:v> SAF </c:v>
                </c:pt>
                <c:pt idx="6">
                  <c:v> BM </c:v>
                </c:pt>
                <c:pt idx="7">
                  <c:v> SAF </c:v>
                </c:pt>
              </c:strCache>
            </c:strRef>
          </c:cat>
          <c:val>
            <c:numRef>
              <c:f>'LCOE&amp;D'!$B$85:$I$85</c:f>
              <c:numCache>
                <c:formatCode>_("$"* #,##0.00_);_("$"* \(#,##0.00\);_("$"* "-"??_);_(@_)</c:formatCode>
                <c:ptCount val="8"/>
                <c:pt idx="0">
                  <c:v>0.25485856450746741</c:v>
                </c:pt>
                <c:pt idx="1">
                  <c:v>0.61127366093619617</c:v>
                </c:pt>
                <c:pt idx="2">
                  <c:v>0.10595489245154914</c:v>
                </c:pt>
                <c:pt idx="3">
                  <c:v>0.18518861822486665</c:v>
                </c:pt>
                <c:pt idx="4">
                  <c:v>0.21250768293242742</c:v>
                </c:pt>
                <c:pt idx="5">
                  <c:v>1.6524069966106254</c:v>
                </c:pt>
                <c:pt idx="6">
                  <c:v>8.8435952180819746E-2</c:v>
                </c:pt>
                <c:pt idx="7">
                  <c:v>0.49707043749777913</c:v>
                </c:pt>
              </c:numCache>
            </c:numRef>
          </c:val>
          <c:extLst>
            <c:ext xmlns:c16="http://schemas.microsoft.com/office/drawing/2014/chart" uri="{C3380CC4-5D6E-409C-BE32-E72D297353CC}">
              <c16:uniqueId val="{00000001-AB94-4C46-8623-3C8F4BCFAA8A}"/>
            </c:ext>
          </c:extLst>
        </c:ser>
        <c:ser>
          <c:idx val="2"/>
          <c:order val="2"/>
          <c:tx>
            <c:strRef>
              <c:f>'LCOE&amp;D'!$A$86</c:f>
              <c:strCache>
                <c:ptCount val="1"/>
                <c:pt idx="0">
                  <c:v> Tax Credits </c:v>
                </c:pt>
              </c:strCache>
            </c:strRef>
          </c:tx>
          <c:spPr>
            <a:solidFill>
              <a:schemeClr val="bg2">
                <a:lumMod val="75000"/>
              </a:schemeClr>
            </a:solidFill>
            <a:ln w="25400">
              <a:noFill/>
            </a:ln>
            <a:effectLst/>
          </c:spPr>
          <c:invertIfNegative val="0"/>
          <c:cat>
            <c:strRef>
              <c:f>'LCOE&amp;D'!$B$83:$I$83</c:f>
              <c:strCache>
                <c:ptCount val="8"/>
                <c:pt idx="0">
                  <c:v> BM  </c:v>
                </c:pt>
                <c:pt idx="1">
                  <c:v> SAF  </c:v>
                </c:pt>
                <c:pt idx="2">
                  <c:v> BM </c:v>
                </c:pt>
                <c:pt idx="3">
                  <c:v> SAF </c:v>
                </c:pt>
                <c:pt idx="4">
                  <c:v> BM  </c:v>
                </c:pt>
                <c:pt idx="5">
                  <c:v> SAF </c:v>
                </c:pt>
                <c:pt idx="6">
                  <c:v> BM </c:v>
                </c:pt>
                <c:pt idx="7">
                  <c:v> SAF </c:v>
                </c:pt>
              </c:strCache>
            </c:strRef>
          </c:cat>
          <c:val>
            <c:numRef>
              <c:f>'LCOE&amp;D'!$B$86:$I$86</c:f>
              <c:numCache>
                <c:formatCode>_("$"* #,##0.00_);_("$"* \(#,##0.00\);_("$"* "-"??_);_(@_)</c:formatCode>
                <c:ptCount val="8"/>
                <c:pt idx="1">
                  <c:v>-2.7665630378266862E-2</c:v>
                </c:pt>
                <c:pt idx="3">
                  <c:v>-8.3814503870892343E-3</c:v>
                </c:pt>
                <c:pt idx="5">
                  <c:v>-2.7665627482114711E-2</c:v>
                </c:pt>
                <c:pt idx="7">
                  <c:v>-8.3222629681383633E-3</c:v>
                </c:pt>
              </c:numCache>
            </c:numRef>
          </c:val>
          <c:extLst>
            <c:ext xmlns:c16="http://schemas.microsoft.com/office/drawing/2014/chart" uri="{C3380CC4-5D6E-409C-BE32-E72D297353CC}">
              <c16:uniqueId val="{00000002-AB94-4C46-8623-3C8F4BCFAA8A}"/>
            </c:ext>
          </c:extLst>
        </c:ser>
        <c:ser>
          <c:idx val="5"/>
          <c:order val="4"/>
          <c:tx>
            <c:strRef>
              <c:f>'LCOE&amp;D'!$A$89</c:f>
              <c:strCache>
                <c:ptCount val="1"/>
                <c:pt idx="0">
                  <c:v> Coproducts </c:v>
                </c:pt>
              </c:strCache>
            </c:strRef>
          </c:tx>
          <c:spPr>
            <a:solidFill>
              <a:srgbClr val="69CD9B"/>
            </a:solidFill>
            <a:ln>
              <a:noFill/>
            </a:ln>
            <a:effectLst/>
          </c:spPr>
          <c:invertIfNegative val="0"/>
          <c:cat>
            <c:strRef>
              <c:f>'LCOE&amp;D'!$B$83:$I$83</c:f>
              <c:strCache>
                <c:ptCount val="8"/>
                <c:pt idx="0">
                  <c:v> BM  </c:v>
                </c:pt>
                <c:pt idx="1">
                  <c:v> SAF  </c:v>
                </c:pt>
                <c:pt idx="2">
                  <c:v> BM </c:v>
                </c:pt>
                <c:pt idx="3">
                  <c:v> SAF </c:v>
                </c:pt>
                <c:pt idx="4">
                  <c:v> BM  </c:v>
                </c:pt>
                <c:pt idx="5">
                  <c:v> SAF </c:v>
                </c:pt>
                <c:pt idx="6">
                  <c:v> BM </c:v>
                </c:pt>
                <c:pt idx="7">
                  <c:v> SAF </c:v>
                </c:pt>
              </c:strCache>
            </c:strRef>
          </c:cat>
          <c:val>
            <c:numRef>
              <c:f>'LCOE&amp;D'!$B$89:$I$89</c:f>
              <c:numCache>
                <c:formatCode>General</c:formatCode>
                <c:ptCount val="8"/>
                <c:pt idx="4" formatCode="_(&quot;$&quot;* #,##0.00_);_(&quot;$&quot;* \(#,##0.00\);_(&quot;$&quot;* &quot;-&quot;??_);_(@_)">
                  <c:v>0</c:v>
                </c:pt>
                <c:pt idx="5" formatCode="_(&quot;$&quot;* #,##0.00_);_(&quot;$&quot;* \(#,##0.00\);_(&quot;$&quot;* &quot;-&quot;??_);_(@_)">
                  <c:v>-5.4019952187211553</c:v>
                </c:pt>
                <c:pt idx="6" formatCode="_(&quot;$&quot;* #,##0.00_);_(&quot;$&quot;* \(#,##0.00\);_(&quot;$&quot;* &quot;-&quot;??_);_(@_)">
                  <c:v>0</c:v>
                </c:pt>
                <c:pt idx="7" formatCode="_(&quot;$&quot;* #,##0.00_);_(&quot;$&quot;* \(#,##0.00\);_(&quot;$&quot;* &quot;-&quot;??_);_(@_)">
                  <c:v>-1.6250065100416506</c:v>
                </c:pt>
              </c:numCache>
            </c:numRef>
          </c:val>
          <c:extLst>
            <c:ext xmlns:c16="http://schemas.microsoft.com/office/drawing/2014/chart" uri="{C3380CC4-5D6E-409C-BE32-E72D297353CC}">
              <c16:uniqueId val="{00000003-AB94-4C46-8623-3C8F4BCFAA8A}"/>
            </c:ext>
          </c:extLst>
        </c:ser>
        <c:dLbls>
          <c:showLegendKey val="0"/>
          <c:showVal val="0"/>
          <c:showCatName val="0"/>
          <c:showSerName val="0"/>
          <c:showPercent val="0"/>
          <c:showBubbleSize val="0"/>
        </c:dLbls>
        <c:gapWidth val="80"/>
        <c:overlap val="100"/>
        <c:axId val="1358851055"/>
        <c:axId val="1358871695"/>
      </c:barChart>
      <c:barChart>
        <c:barDir val="col"/>
        <c:grouping val="stacked"/>
        <c:varyColors val="0"/>
        <c:ser>
          <c:idx val="3"/>
          <c:order val="3"/>
          <c:tx>
            <c:strRef>
              <c:f>'LCOE&amp;D'!$A$87</c:f>
              <c:strCache>
                <c:ptCount val="1"/>
                <c:pt idx="0">
                  <c:v> Total Cost </c:v>
                </c:pt>
              </c:strCache>
            </c:strRef>
          </c:tx>
          <c:spPr>
            <a:solidFill>
              <a:srgbClr val="B1CAE5"/>
            </a:solidFill>
            <a:ln>
              <a:noFill/>
            </a:ln>
            <a:effectLst/>
          </c:spPr>
          <c:invertIfNegative val="0"/>
          <c:dLbls>
            <c:dLbl>
              <c:idx val="0"/>
              <c:layout>
                <c:manualLayout>
                  <c:x val="0"/>
                  <c:y val="-3.215255183566601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B94-4C46-8623-3C8F4BCFAA8A}"/>
                </c:ext>
              </c:extLst>
            </c:dLbl>
            <c:dLbl>
              <c:idx val="1"/>
              <c:layout>
                <c:manualLayout>
                  <c:x val="0"/>
                  <c:y val="-5.457097202702963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B94-4C46-8623-3C8F4BCFAA8A}"/>
                </c:ext>
              </c:extLst>
            </c:dLbl>
            <c:dLbl>
              <c:idx val="2"/>
              <c:layout>
                <c:manualLayout>
                  <c:x val="0"/>
                  <c:y val="-2.677319369308669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B94-4C46-8623-3C8F4BCFAA8A}"/>
                </c:ext>
              </c:extLst>
            </c:dLbl>
            <c:dLbl>
              <c:idx val="3"/>
              <c:layout>
                <c:manualLayout>
                  <c:x val="-5.3371532889516127E-17"/>
                  <c:y val="-2.962901642184702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B94-4C46-8623-3C8F4BCFAA8A}"/>
                </c:ext>
              </c:extLst>
            </c:dLbl>
            <c:dLbl>
              <c:idx val="4"/>
              <c:layout>
                <c:manualLayout>
                  <c:x val="0"/>
                  <c:y val="-3.118052480603738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B94-4C46-8623-3C8F4BCFAA8A}"/>
                </c:ext>
              </c:extLst>
            </c:dLbl>
            <c:dLbl>
              <c:idx val="5"/>
              <c:layout>
                <c:manualLayout>
                  <c:x val="0"/>
                  <c:y val="-3.458175307548658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B94-4C46-8623-3C8F4BCFAA8A}"/>
                </c:ext>
              </c:extLst>
            </c:dLbl>
            <c:dLbl>
              <c:idx val="6"/>
              <c:layout>
                <c:manualLayout>
                  <c:x val="1.0674306577903225E-16"/>
                  <c:y val="-3.227133588741504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B94-4C46-8623-3C8F4BCFAA8A}"/>
                </c:ext>
              </c:extLst>
            </c:dLbl>
            <c:dLbl>
              <c:idx val="7"/>
              <c:layout>
                <c:manualLayout>
                  <c:x val="1.4556040756913051E-3"/>
                  <c:y val="-2.885027818955393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B94-4C46-8623-3C8F4BCFAA8A}"/>
                </c:ext>
              </c:extLst>
            </c:dLbl>
            <c:numFmt formatCode="&quot;$&quot;#,##0.00" sourceLinked="0"/>
            <c:spPr>
              <a:solidFill>
                <a:srgbClr val="CDDDE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Nova Cond" panose="020B0506020202020204" pitchFamily="34" charset="0"/>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BM </c:v>
              </c:pt>
              <c:pt idx="1">
                <c:v>SAF </c:v>
              </c:pt>
              <c:pt idx="2">
                <c:v>BM</c:v>
              </c:pt>
              <c:pt idx="3">
                <c:v>SAF</c:v>
              </c:pt>
              <c:pt idx="4">
                <c:v>BM </c:v>
              </c:pt>
              <c:pt idx="5">
                <c:v>SAF</c:v>
              </c:pt>
              <c:pt idx="6">
                <c:v>BM</c:v>
              </c:pt>
              <c:pt idx="7">
                <c:v>SAF</c:v>
              </c:pt>
            </c:strLit>
          </c:cat>
          <c:val>
            <c:numRef>
              <c:f>'LCOE&amp;D'!$B$87:$I$87</c:f>
              <c:numCache>
                <c:formatCode>_("$"* #,##0.00_);_("$"* \(#,##0.00\);_("$"* "-"??_);_(@_)</c:formatCode>
                <c:ptCount val="8"/>
                <c:pt idx="0">
                  <c:v>0.46443359741634072</c:v>
                </c:pt>
                <c:pt idx="1">
                  <c:v>1.2233756213586033</c:v>
                </c:pt>
                <c:pt idx="2">
                  <c:v>0.19308361074792374</c:v>
                </c:pt>
                <c:pt idx="3">
                  <c:v>0.3706281742000902</c:v>
                </c:pt>
                <c:pt idx="4">
                  <c:v>0.40604864685480951</c:v>
                </c:pt>
                <c:pt idx="5">
                  <c:v>-0.36814404720836402</c:v>
                </c:pt>
                <c:pt idx="6">
                  <c:v>0.16897882571030071</c:v>
                </c:pt>
                <c:pt idx="7">
                  <c:v>-0.11074361400273025</c:v>
                </c:pt>
              </c:numCache>
            </c:numRef>
          </c:val>
          <c:extLst>
            <c:ext xmlns:c16="http://schemas.microsoft.com/office/drawing/2014/chart" uri="{C3380CC4-5D6E-409C-BE32-E72D297353CC}">
              <c16:uniqueId val="{0000000C-AB94-4C46-8623-3C8F4BCFAA8A}"/>
            </c:ext>
          </c:extLst>
        </c:ser>
        <c:dLbls>
          <c:showLegendKey val="0"/>
          <c:showVal val="0"/>
          <c:showCatName val="0"/>
          <c:showSerName val="0"/>
          <c:showPercent val="0"/>
          <c:showBubbleSize val="0"/>
        </c:dLbls>
        <c:gapWidth val="500"/>
        <c:overlap val="100"/>
        <c:axId val="1626926783"/>
        <c:axId val="1626934463"/>
      </c:barChart>
      <c:catAx>
        <c:axId val="1358851055"/>
        <c:scaling>
          <c:orientation val="minMax"/>
        </c:scaling>
        <c:delete val="0"/>
        <c:axPos val="b"/>
        <c:numFmt formatCode="General" sourceLinked="1"/>
        <c:majorTickMark val="none"/>
        <c:minorTickMark val="none"/>
        <c:tickLblPos val="low"/>
        <c:spPr>
          <a:noFill/>
          <a:ln w="19050" cap="flat" cmpd="sng" algn="ctr">
            <a:solidFill>
              <a:schemeClr val="tx1"/>
            </a:solidFill>
            <a:round/>
          </a:ln>
          <a:effectLst/>
        </c:spPr>
        <c:txPr>
          <a:bodyPr rot="0" spcFirstLastPara="1" vertOverflow="ellipsis" wrap="square" anchor="ctr" anchorCtr="1"/>
          <a:lstStyle/>
          <a:p>
            <a:pPr>
              <a:defRPr sz="1200" b="1" i="0" u="none" strike="noStrike" kern="1200" baseline="0">
                <a:solidFill>
                  <a:sysClr val="windowText" lastClr="000000"/>
                </a:solidFill>
                <a:latin typeface="Arial Nova Cond" panose="020B0506020202020204" pitchFamily="34" charset="0"/>
                <a:ea typeface="+mn-ea"/>
                <a:cs typeface="+mn-cs"/>
              </a:defRPr>
            </a:pPr>
            <a:endParaRPr lang="en-US"/>
          </a:p>
        </c:txPr>
        <c:crossAx val="1358871695"/>
        <c:crosses val="autoZero"/>
        <c:auto val="1"/>
        <c:lblAlgn val="ctr"/>
        <c:lblOffset val="100"/>
        <c:noMultiLvlLbl val="0"/>
      </c:catAx>
      <c:valAx>
        <c:axId val="1358871695"/>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200" b="1" i="0" u="none" strike="noStrike" kern="1200" baseline="0">
                    <a:solidFill>
                      <a:sysClr val="windowText" lastClr="000000"/>
                    </a:solidFill>
                    <a:latin typeface="Arial Nova Cond" panose="020B0506020202020204" pitchFamily="34" charset="0"/>
                    <a:ea typeface="+mn-ea"/>
                    <a:cs typeface="+mn-cs"/>
                  </a:defRPr>
                </a:pPr>
                <a:r>
                  <a:rPr lang="en-US" sz="1200" b="1"/>
                  <a:t> USD</a:t>
                </a:r>
                <a:r>
                  <a:rPr lang="en-US" sz="1200" b="1" baseline="0"/>
                  <a:t> (2026) per kWh or kg Waste </a:t>
                </a:r>
                <a:endParaRPr lang="en-US" sz="1200" b="1"/>
              </a:p>
            </c:rich>
          </c:tx>
          <c:layout>
            <c:manualLayout>
              <c:xMode val="edge"/>
              <c:yMode val="edge"/>
              <c:x val="7.8318241030319972E-3"/>
              <c:y val="0.20383146255654214"/>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quot;$&quot;#,##0"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Cond" panose="020B0506020202020204" pitchFamily="34" charset="0"/>
                <a:ea typeface="+mn-ea"/>
                <a:cs typeface="+mn-cs"/>
              </a:defRPr>
            </a:pPr>
            <a:endParaRPr lang="en-US"/>
          </a:p>
        </c:txPr>
        <c:crossAx val="1358851055"/>
        <c:crosses val="autoZero"/>
        <c:crossBetween val="between"/>
      </c:valAx>
      <c:valAx>
        <c:axId val="1626934463"/>
        <c:scaling>
          <c:orientation val="minMax"/>
          <c:min val="-0.1"/>
        </c:scaling>
        <c:delete val="1"/>
        <c:axPos val="r"/>
        <c:numFmt formatCode="_(&quot;$&quot;* #,##0.00_);_(&quot;$&quot;* \(#,##0.00\);_(&quot;$&quot;* &quot;-&quot;??_);_(@_)" sourceLinked="1"/>
        <c:majorTickMark val="out"/>
        <c:minorTickMark val="none"/>
        <c:tickLblPos val="nextTo"/>
        <c:crossAx val="1626926783"/>
        <c:crosses val="max"/>
        <c:crossBetween val="between"/>
      </c:valAx>
      <c:catAx>
        <c:axId val="1626926783"/>
        <c:scaling>
          <c:orientation val="minMax"/>
        </c:scaling>
        <c:delete val="1"/>
        <c:axPos val="b"/>
        <c:numFmt formatCode="General" sourceLinked="1"/>
        <c:majorTickMark val="out"/>
        <c:minorTickMark val="none"/>
        <c:tickLblPos val="nextTo"/>
        <c:crossAx val="1626934463"/>
        <c:crosses val="autoZero"/>
        <c:auto val="1"/>
        <c:lblAlgn val="ctr"/>
        <c:lblOffset val="100"/>
        <c:noMultiLvlLbl val="0"/>
      </c:catAx>
      <c:spPr>
        <a:noFill/>
        <a:ln>
          <a:noFill/>
        </a:ln>
        <a:effectLst/>
      </c:spPr>
    </c:plotArea>
    <c:legend>
      <c:legendPos val="b"/>
      <c:layout>
        <c:manualLayout>
          <c:xMode val="edge"/>
          <c:yMode val="edge"/>
          <c:x val="0.12210266685414323"/>
          <c:y val="0.94335791155689885"/>
          <c:w val="0.79802396734915682"/>
          <c:h val="4.4174861206865271E-2"/>
        </c:manualLayout>
      </c:layout>
      <c:overlay val="0"/>
      <c:spPr>
        <a:solidFill>
          <a:schemeClr val="bg1"/>
        </a:solid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chart>
  <c:spPr>
    <a:solidFill>
      <a:schemeClr val="bg1"/>
    </a:solidFill>
    <a:ln w="19050"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652174921433791E-2"/>
          <c:y val="0.32233654807931472"/>
          <c:w val="0.93264724641378594"/>
          <c:h val="0.33483339172552085"/>
        </c:manualLayout>
      </c:layout>
      <c:barChart>
        <c:barDir val="col"/>
        <c:grouping val="percentStacked"/>
        <c:varyColors val="0"/>
        <c:ser>
          <c:idx val="0"/>
          <c:order val="0"/>
          <c:tx>
            <c:strRef>
              <c:f>LCA!$D$5</c:f>
              <c:strCache>
                <c:ptCount val="1"/>
                <c:pt idx="0">
                  <c:v>Feed Pump</c:v>
                </c:pt>
              </c:strCache>
            </c:strRef>
          </c:tx>
          <c:spPr>
            <a:solidFill>
              <a:schemeClr val="accent1"/>
            </a:solidFill>
            <a:ln>
              <a:noFill/>
            </a:ln>
            <a:effectLst/>
          </c:spPr>
          <c:invertIfNegative val="0"/>
          <c:val>
            <c:numRef>
              <c:f>LCA!$D$6:$D$15</c:f>
              <c:numCache>
                <c:formatCode>0%</c:formatCode>
                <c:ptCount val="10"/>
                <c:pt idx="0">
                  <c:v>3.6870437764180777E-4</c:v>
                </c:pt>
                <c:pt idx="1">
                  <c:v>3.5657182054524089E-2</c:v>
                </c:pt>
                <c:pt idx="2">
                  <c:v>3.4680632740594665E-2</c:v>
                </c:pt>
                <c:pt idx="3">
                  <c:v>2.6011768723772184E-3</c:v>
                </c:pt>
                <c:pt idx="4">
                  <c:v>3.039617194612038E-3</c:v>
                </c:pt>
                <c:pt idx="5">
                  <c:v>1.1306292580350421E-3</c:v>
                </c:pt>
                <c:pt idx="6">
                  <c:v>1.8896140317867228E-2</c:v>
                </c:pt>
                <c:pt idx="7">
                  <c:v>2.2485841394233996E-3</c:v>
                </c:pt>
                <c:pt idx="8">
                  <c:v>1.8116505918292086E-3</c:v>
                </c:pt>
                <c:pt idx="9">
                  <c:v>2.9461281196816592E-3</c:v>
                </c:pt>
              </c:numCache>
            </c:numRef>
          </c:val>
          <c:extLst>
            <c:ext xmlns:c16="http://schemas.microsoft.com/office/drawing/2014/chart" uri="{C3380CC4-5D6E-409C-BE32-E72D297353CC}">
              <c16:uniqueId val="{00000000-B8A7-4B34-8247-34C91C9B522A}"/>
            </c:ext>
          </c:extLst>
        </c:ser>
        <c:ser>
          <c:idx val="1"/>
          <c:order val="1"/>
          <c:tx>
            <c:strRef>
              <c:f>LCA!$E$5</c:f>
              <c:strCache>
                <c:ptCount val="1"/>
                <c:pt idx="0">
                  <c:v>Decanter</c:v>
                </c:pt>
              </c:strCache>
            </c:strRef>
          </c:tx>
          <c:spPr>
            <a:solidFill>
              <a:schemeClr val="accent2"/>
            </a:solidFill>
            <a:ln>
              <a:noFill/>
            </a:ln>
            <a:effectLst/>
          </c:spPr>
          <c:invertIfNegative val="0"/>
          <c:val>
            <c:numRef>
              <c:f>LCA!$E$6:$E$15</c:f>
              <c:numCache>
                <c:formatCode>0%</c:formatCode>
                <c:ptCount val="10"/>
                <c:pt idx="0">
                  <c:v>8.647890413940017E-5</c:v>
                </c:pt>
                <c:pt idx="1">
                  <c:v>5.7524403642117178E-4</c:v>
                </c:pt>
                <c:pt idx="2">
                  <c:v>2.0374563953177058E-4</c:v>
                </c:pt>
                <c:pt idx="3">
                  <c:v>4.3882138785956839E-5</c:v>
                </c:pt>
                <c:pt idx="4">
                  <c:v>9.5047055073085605E-5</c:v>
                </c:pt>
                <c:pt idx="5">
                  <c:v>6.1785489328620841E-5</c:v>
                </c:pt>
                <c:pt idx="6">
                  <c:v>5.1082553011166601E-5</c:v>
                </c:pt>
                <c:pt idx="7">
                  <c:v>1.8691403248518944E-4</c:v>
                </c:pt>
                <c:pt idx="8">
                  <c:v>4.716708829680678E-5</c:v>
                </c:pt>
                <c:pt idx="9">
                  <c:v>9.8232660118687527E-5</c:v>
                </c:pt>
              </c:numCache>
            </c:numRef>
          </c:val>
          <c:extLst>
            <c:ext xmlns:c16="http://schemas.microsoft.com/office/drawing/2014/chart" uri="{C3380CC4-5D6E-409C-BE32-E72D297353CC}">
              <c16:uniqueId val="{00000001-B8A7-4B34-8247-34C91C9B522A}"/>
            </c:ext>
          </c:extLst>
        </c:ser>
        <c:ser>
          <c:idx val="2"/>
          <c:order val="2"/>
          <c:tx>
            <c:strRef>
              <c:f>LCA!$F$5</c:f>
              <c:strCache>
                <c:ptCount val="1"/>
                <c:pt idx="0">
                  <c:v>Microfiltration</c:v>
                </c:pt>
              </c:strCache>
            </c:strRef>
          </c:tx>
          <c:spPr>
            <a:solidFill>
              <a:schemeClr val="accent3"/>
            </a:solidFill>
            <a:ln>
              <a:noFill/>
            </a:ln>
            <a:effectLst/>
          </c:spPr>
          <c:invertIfNegative val="0"/>
          <c:val>
            <c:numRef>
              <c:f>LCA!$F$6:$F$15</c:f>
              <c:numCache>
                <c:formatCode>0%</c:formatCode>
                <c:ptCount val="10"/>
                <c:pt idx="0">
                  <c:v>1.0079504139641733E-3</c:v>
                </c:pt>
                <c:pt idx="1">
                  <c:v>4.9568457881331957E-4</c:v>
                </c:pt>
                <c:pt idx="2">
                  <c:v>8.8650414718351969E-4</c:v>
                </c:pt>
                <c:pt idx="3">
                  <c:v>2.3804065648709496E-4</c:v>
                </c:pt>
                <c:pt idx="4">
                  <c:v>7.2621876271117714E-4</c:v>
                </c:pt>
                <c:pt idx="5">
                  <c:v>6.9790848252025695E-4</c:v>
                </c:pt>
                <c:pt idx="6">
                  <c:v>7.2606643780255802E-4</c:v>
                </c:pt>
                <c:pt idx="7">
                  <c:v>7.8375331122080693E-4</c:v>
                </c:pt>
                <c:pt idx="8">
                  <c:v>2.5669176039886554E-4</c:v>
                </c:pt>
                <c:pt idx="9">
                  <c:v>7.3816805880378496E-4</c:v>
                </c:pt>
              </c:numCache>
            </c:numRef>
          </c:val>
          <c:extLst>
            <c:ext xmlns:c16="http://schemas.microsoft.com/office/drawing/2014/chart" uri="{C3380CC4-5D6E-409C-BE32-E72D297353CC}">
              <c16:uniqueId val="{00000002-B8A7-4B34-8247-34C91C9B522A}"/>
            </c:ext>
          </c:extLst>
        </c:ser>
        <c:ser>
          <c:idx val="3"/>
          <c:order val="3"/>
          <c:tx>
            <c:strRef>
              <c:f>LCA!$G$5</c:f>
              <c:strCache>
                <c:ptCount val="1"/>
                <c:pt idx="0">
                  <c:v>Anion-Exchange Membrane</c:v>
                </c:pt>
              </c:strCache>
            </c:strRef>
          </c:tx>
          <c:spPr>
            <a:solidFill>
              <a:srgbClr val="C00000"/>
            </a:solidFill>
            <a:ln>
              <a:noFill/>
            </a:ln>
            <a:effectLst/>
          </c:spPr>
          <c:invertIfNegative val="0"/>
          <c:val>
            <c:numRef>
              <c:f>LCA!$G$6:$G$15</c:f>
              <c:numCache>
                <c:formatCode>0%</c:formatCode>
                <c:ptCount val="10"/>
                <c:pt idx="0">
                  <c:v>5.9298275437541854E-2</c:v>
                </c:pt>
                <c:pt idx="1">
                  <c:v>2.9161395518469326E-2</c:v>
                </c:pt>
                <c:pt idx="2">
                  <c:v>5.2153524982906527E-2</c:v>
                </c:pt>
                <c:pt idx="3">
                  <c:v>1.4004062321072432E-2</c:v>
                </c:pt>
                <c:pt idx="4">
                  <c:v>4.2723847941877911E-2</c:v>
                </c:pt>
                <c:pt idx="5">
                  <c:v>4.10583386378311E-2</c:v>
                </c:pt>
                <c:pt idx="6">
                  <c:v>4.271488658399545E-2</c:v>
                </c:pt>
                <c:pt idx="7">
                  <c:v>4.6108636972600904E-2</c:v>
                </c:pt>
                <c:pt idx="8">
                  <c:v>1.5101316989210994E-2</c:v>
                </c:pt>
                <c:pt idx="9">
                  <c:v>4.342683158191378E-2</c:v>
                </c:pt>
              </c:numCache>
            </c:numRef>
          </c:val>
          <c:extLst>
            <c:ext xmlns:c16="http://schemas.microsoft.com/office/drawing/2014/chart" uri="{C3380CC4-5D6E-409C-BE32-E72D297353CC}">
              <c16:uniqueId val="{00000003-B8A7-4B34-8247-34C91C9B522A}"/>
            </c:ext>
          </c:extLst>
        </c:ser>
        <c:ser>
          <c:idx val="4"/>
          <c:order val="4"/>
          <c:tx>
            <c:strRef>
              <c:f>LCA!$H$5</c:f>
              <c:strCache>
                <c:ptCount val="1"/>
                <c:pt idx="0">
                  <c:v>Cation-Exchange Membrane</c:v>
                </c:pt>
              </c:strCache>
            </c:strRef>
          </c:tx>
          <c:spPr>
            <a:solidFill>
              <a:srgbClr val="92D050"/>
            </a:solidFill>
            <a:ln>
              <a:noFill/>
            </a:ln>
            <a:effectLst/>
          </c:spPr>
          <c:invertIfNegative val="0"/>
          <c:val>
            <c:numRef>
              <c:f>LCA!$H$6:$H$15</c:f>
              <c:numCache>
                <c:formatCode>0%</c:formatCode>
                <c:ptCount val="10"/>
                <c:pt idx="0">
                  <c:v>5.9298275437541854E-2</c:v>
                </c:pt>
                <c:pt idx="1">
                  <c:v>2.9161395518469326E-2</c:v>
                </c:pt>
                <c:pt idx="2">
                  <c:v>5.2153524982906527E-2</c:v>
                </c:pt>
                <c:pt idx="3">
                  <c:v>1.4004062321072432E-2</c:v>
                </c:pt>
                <c:pt idx="4">
                  <c:v>4.2723847941877911E-2</c:v>
                </c:pt>
                <c:pt idx="5">
                  <c:v>4.10583386378311E-2</c:v>
                </c:pt>
                <c:pt idx="6">
                  <c:v>4.271488658399545E-2</c:v>
                </c:pt>
                <c:pt idx="7">
                  <c:v>4.6108636972600904E-2</c:v>
                </c:pt>
                <c:pt idx="8">
                  <c:v>1.5101316989210993E-2</c:v>
                </c:pt>
                <c:pt idx="9">
                  <c:v>4.3426831581913773E-2</c:v>
                </c:pt>
              </c:numCache>
            </c:numRef>
          </c:val>
          <c:extLst>
            <c:ext xmlns:c16="http://schemas.microsoft.com/office/drawing/2014/chart" uri="{C3380CC4-5D6E-409C-BE32-E72D297353CC}">
              <c16:uniqueId val="{00000004-B8A7-4B34-8247-34C91C9B522A}"/>
            </c:ext>
          </c:extLst>
        </c:ser>
        <c:ser>
          <c:idx val="5"/>
          <c:order val="5"/>
          <c:tx>
            <c:strRef>
              <c:f>LCA!$I$5</c:f>
              <c:strCache>
                <c:ptCount val="1"/>
                <c:pt idx="0">
                  <c:v>Bipolar-Exchange Membrane</c:v>
                </c:pt>
              </c:strCache>
            </c:strRef>
          </c:tx>
          <c:spPr>
            <a:solidFill>
              <a:srgbClr val="7030A0"/>
            </a:solidFill>
            <a:ln>
              <a:noFill/>
            </a:ln>
            <a:effectLst/>
          </c:spPr>
          <c:invertIfNegative val="0"/>
          <c:val>
            <c:numRef>
              <c:f>LCA!$I$6:$I$15</c:f>
              <c:numCache>
                <c:formatCode>0%</c:formatCode>
                <c:ptCount val="10"/>
                <c:pt idx="0">
                  <c:v>0.11859655087508371</c:v>
                </c:pt>
                <c:pt idx="1">
                  <c:v>5.8322791036938652E-2</c:v>
                </c:pt>
                <c:pt idx="2">
                  <c:v>0.10430704996581305</c:v>
                </c:pt>
                <c:pt idx="3">
                  <c:v>2.8008124642144864E-2</c:v>
                </c:pt>
                <c:pt idx="4">
                  <c:v>8.5447695883755823E-2</c:v>
                </c:pt>
                <c:pt idx="5">
                  <c:v>8.21166772756622E-2</c:v>
                </c:pt>
                <c:pt idx="6">
                  <c:v>8.5429773167990899E-2</c:v>
                </c:pt>
                <c:pt idx="7">
                  <c:v>9.2217273945201808E-2</c:v>
                </c:pt>
                <c:pt idx="8">
                  <c:v>3.0202633978421989E-2</c:v>
                </c:pt>
                <c:pt idx="9">
                  <c:v>8.685366316382756E-2</c:v>
                </c:pt>
              </c:numCache>
            </c:numRef>
          </c:val>
          <c:extLst>
            <c:ext xmlns:c16="http://schemas.microsoft.com/office/drawing/2014/chart" uri="{C3380CC4-5D6E-409C-BE32-E72D297353CC}">
              <c16:uniqueId val="{00000005-B8A7-4B34-8247-34C91C9B522A}"/>
            </c:ext>
          </c:extLst>
        </c:ser>
        <c:ser>
          <c:idx val="6"/>
          <c:order val="6"/>
          <c:tx>
            <c:strRef>
              <c:f>LCA!$J$5</c:f>
              <c:strCache>
                <c:ptCount val="1"/>
                <c:pt idx="0">
                  <c:v>Electrodes</c:v>
                </c:pt>
              </c:strCache>
            </c:strRef>
          </c:tx>
          <c:spPr>
            <a:solidFill>
              <a:srgbClr val="002060"/>
            </a:solidFill>
            <a:ln>
              <a:noFill/>
            </a:ln>
            <a:effectLst/>
          </c:spPr>
          <c:invertIfNegative val="0"/>
          <c:val>
            <c:numRef>
              <c:f>LCA!$J$6:$J$15</c:f>
              <c:numCache>
                <c:formatCode>0%</c:formatCode>
                <c:ptCount val="10"/>
                <c:pt idx="0">
                  <c:v>0.15001174568931566</c:v>
                </c:pt>
                <c:pt idx="1">
                  <c:v>5.9158178821342236E-2</c:v>
                </c:pt>
                <c:pt idx="2">
                  <c:v>5.5867699826246356E-2</c:v>
                </c:pt>
                <c:pt idx="3">
                  <c:v>7.9833923379146656E-3</c:v>
                </c:pt>
                <c:pt idx="4">
                  <c:v>0.11610751439775455</c:v>
                </c:pt>
                <c:pt idx="5">
                  <c:v>0.10230623513597106</c:v>
                </c:pt>
                <c:pt idx="6">
                  <c:v>3.8760751642457486E-2</c:v>
                </c:pt>
                <c:pt idx="7">
                  <c:v>0.43243023128800112</c:v>
                </c:pt>
                <c:pt idx="8">
                  <c:v>3.7404432321174234E-2</c:v>
                </c:pt>
                <c:pt idx="9">
                  <c:v>0.11927401706037058</c:v>
                </c:pt>
              </c:numCache>
            </c:numRef>
          </c:val>
          <c:extLst>
            <c:ext xmlns:c16="http://schemas.microsoft.com/office/drawing/2014/chart" uri="{C3380CC4-5D6E-409C-BE32-E72D297353CC}">
              <c16:uniqueId val="{00000006-B8A7-4B34-8247-34C91C9B522A}"/>
            </c:ext>
          </c:extLst>
        </c:ser>
        <c:ser>
          <c:idx val="7"/>
          <c:order val="7"/>
          <c:tx>
            <c:strRef>
              <c:f>LCA!$K$5</c:f>
              <c:strCache>
                <c:ptCount val="1"/>
                <c:pt idx="0">
                  <c:v>Diluate Tank Wall</c:v>
                </c:pt>
              </c:strCache>
            </c:strRef>
          </c:tx>
          <c:spPr>
            <a:solidFill>
              <a:schemeClr val="accent2">
                <a:lumMod val="60000"/>
              </a:schemeClr>
            </a:solidFill>
            <a:ln>
              <a:noFill/>
            </a:ln>
            <a:effectLst/>
          </c:spPr>
          <c:invertIfNegative val="0"/>
          <c:val>
            <c:numRef>
              <c:f>LCA!$K$6:$K$15</c:f>
              <c:numCache>
                <c:formatCode>0%</c:formatCode>
                <c:ptCount val="10"/>
                <c:pt idx="0">
                  <c:v>6.6029964839079544E-3</c:v>
                </c:pt>
                <c:pt idx="1">
                  <c:v>2.8221099518873478E-3</c:v>
                </c:pt>
                <c:pt idx="2">
                  <c:v>2.7036433172453879E-3</c:v>
                </c:pt>
                <c:pt idx="3">
                  <c:v>9.4107501433066468E-4</c:v>
                </c:pt>
                <c:pt idx="4">
                  <c:v>8.6986481326710424E-3</c:v>
                </c:pt>
                <c:pt idx="5">
                  <c:v>4.7258256520955151E-3</c:v>
                </c:pt>
                <c:pt idx="6">
                  <c:v>2.9250691743010677E-3</c:v>
                </c:pt>
                <c:pt idx="7">
                  <c:v>3.1474621972259302E-3</c:v>
                </c:pt>
                <c:pt idx="8">
                  <c:v>1.1051016375516107E-3</c:v>
                </c:pt>
                <c:pt idx="9">
                  <c:v>8.9903926583075142E-3</c:v>
                </c:pt>
              </c:numCache>
            </c:numRef>
          </c:val>
          <c:extLst>
            <c:ext xmlns:c16="http://schemas.microsoft.com/office/drawing/2014/chart" uri="{C3380CC4-5D6E-409C-BE32-E72D297353CC}">
              <c16:uniqueId val="{00000007-B8A7-4B34-8247-34C91C9B522A}"/>
            </c:ext>
          </c:extLst>
        </c:ser>
        <c:ser>
          <c:idx val="8"/>
          <c:order val="8"/>
          <c:tx>
            <c:strRef>
              <c:f>LCA!$L$5</c:f>
              <c:strCache>
                <c:ptCount val="1"/>
                <c:pt idx="0">
                  <c:v>Electrolyte Tank Wall</c:v>
                </c:pt>
              </c:strCache>
            </c:strRef>
          </c:tx>
          <c:spPr>
            <a:solidFill>
              <a:schemeClr val="accent3">
                <a:lumMod val="60000"/>
              </a:schemeClr>
            </a:solidFill>
            <a:ln>
              <a:noFill/>
            </a:ln>
            <a:effectLst/>
          </c:spPr>
          <c:invertIfNegative val="0"/>
          <c:val>
            <c:numRef>
              <c:f>LCA!$L$6:$L$15</c:f>
              <c:numCache>
                <c:formatCode>0%</c:formatCode>
                <c:ptCount val="10"/>
                <c:pt idx="0">
                  <c:v>2.8000983885836188E-3</c:v>
                </c:pt>
                <c:pt idx="1">
                  <c:v>1.1967574945623298E-3</c:v>
                </c:pt>
                <c:pt idx="2">
                  <c:v>1.1465199647423001E-3</c:v>
                </c:pt>
                <c:pt idx="3">
                  <c:v>3.9907678848316244E-4</c:v>
                </c:pt>
                <c:pt idx="4">
                  <c:v>3.6887904875473245E-3</c:v>
                </c:pt>
                <c:pt idx="5">
                  <c:v>2.0040563137371263E-3</c:v>
                </c:pt>
                <c:pt idx="6">
                  <c:v>1.2404188767049797E-3</c:v>
                </c:pt>
                <c:pt idx="7">
                  <c:v>1.3347279296693079E-3</c:v>
                </c:pt>
                <c:pt idx="8">
                  <c:v>4.6863470578405956E-4</c:v>
                </c:pt>
                <c:pt idx="9">
                  <c:v>3.812509071693729E-3</c:v>
                </c:pt>
              </c:numCache>
            </c:numRef>
          </c:val>
          <c:extLst>
            <c:ext xmlns:c16="http://schemas.microsoft.com/office/drawing/2014/chart" uri="{C3380CC4-5D6E-409C-BE32-E72D297353CC}">
              <c16:uniqueId val="{00000008-B8A7-4B34-8247-34C91C9B522A}"/>
            </c:ext>
          </c:extLst>
        </c:ser>
        <c:ser>
          <c:idx val="9"/>
          <c:order val="9"/>
          <c:tx>
            <c:strRef>
              <c:f>LCA!$M$5</c:f>
              <c:strCache>
                <c:ptCount val="1"/>
                <c:pt idx="0">
                  <c:v>Concentrate Tank 1 Wall</c:v>
                </c:pt>
              </c:strCache>
            </c:strRef>
          </c:tx>
          <c:spPr>
            <a:solidFill>
              <a:schemeClr val="accent4">
                <a:lumMod val="60000"/>
              </a:schemeClr>
            </a:solidFill>
            <a:ln>
              <a:noFill/>
            </a:ln>
            <a:effectLst/>
          </c:spPr>
          <c:invertIfNegative val="0"/>
          <c:val>
            <c:numRef>
              <c:f>LCA!$M$6:$M$15</c:f>
              <c:numCache>
                <c:formatCode>0%</c:formatCode>
                <c:ptCount val="10"/>
                <c:pt idx="0">
                  <c:v>2.8000983885836188E-3</c:v>
                </c:pt>
                <c:pt idx="1">
                  <c:v>1.1967574945623298E-3</c:v>
                </c:pt>
                <c:pt idx="2">
                  <c:v>1.1465199647423001E-3</c:v>
                </c:pt>
                <c:pt idx="3">
                  <c:v>3.9907678848316244E-4</c:v>
                </c:pt>
                <c:pt idx="4">
                  <c:v>3.6887904875473245E-3</c:v>
                </c:pt>
                <c:pt idx="5">
                  <c:v>2.0040563137371263E-3</c:v>
                </c:pt>
                <c:pt idx="6">
                  <c:v>1.2404188767049797E-3</c:v>
                </c:pt>
                <c:pt idx="7">
                  <c:v>1.3347279296693079E-3</c:v>
                </c:pt>
                <c:pt idx="8">
                  <c:v>4.6863470578405956E-4</c:v>
                </c:pt>
                <c:pt idx="9">
                  <c:v>3.812509071693729E-3</c:v>
                </c:pt>
              </c:numCache>
            </c:numRef>
          </c:val>
          <c:extLst>
            <c:ext xmlns:c16="http://schemas.microsoft.com/office/drawing/2014/chart" uri="{C3380CC4-5D6E-409C-BE32-E72D297353CC}">
              <c16:uniqueId val="{00000009-B8A7-4B34-8247-34C91C9B522A}"/>
            </c:ext>
          </c:extLst>
        </c:ser>
        <c:ser>
          <c:idx val="10"/>
          <c:order val="10"/>
          <c:tx>
            <c:strRef>
              <c:f>LCA!$N$5</c:f>
              <c:strCache>
                <c:ptCount val="1"/>
                <c:pt idx="0">
                  <c:v>Concentrate Tank 2 Wall</c:v>
                </c:pt>
              </c:strCache>
            </c:strRef>
          </c:tx>
          <c:spPr>
            <a:solidFill>
              <a:schemeClr val="accent5">
                <a:lumMod val="60000"/>
              </a:schemeClr>
            </a:solidFill>
            <a:ln>
              <a:noFill/>
            </a:ln>
            <a:effectLst/>
          </c:spPr>
          <c:invertIfNegative val="0"/>
          <c:val>
            <c:numRef>
              <c:f>LCA!$N$6:$N$15</c:f>
              <c:numCache>
                <c:formatCode>0%</c:formatCode>
                <c:ptCount val="10"/>
                <c:pt idx="0">
                  <c:v>2.8000983885836188E-3</c:v>
                </c:pt>
                <c:pt idx="1">
                  <c:v>1.1967574945623298E-3</c:v>
                </c:pt>
                <c:pt idx="2">
                  <c:v>1.1465199647423001E-3</c:v>
                </c:pt>
                <c:pt idx="3">
                  <c:v>3.9907678848316244E-4</c:v>
                </c:pt>
                <c:pt idx="4">
                  <c:v>3.6887904875473245E-3</c:v>
                </c:pt>
                <c:pt idx="5">
                  <c:v>2.0040563137371263E-3</c:v>
                </c:pt>
                <c:pt idx="6">
                  <c:v>1.2404188767049797E-3</c:v>
                </c:pt>
                <c:pt idx="7">
                  <c:v>1.3347279296693079E-3</c:v>
                </c:pt>
                <c:pt idx="8">
                  <c:v>4.6863470578405956E-4</c:v>
                </c:pt>
                <c:pt idx="9">
                  <c:v>3.812509071693729E-3</c:v>
                </c:pt>
              </c:numCache>
            </c:numRef>
          </c:val>
          <c:extLst>
            <c:ext xmlns:c16="http://schemas.microsoft.com/office/drawing/2014/chart" uri="{C3380CC4-5D6E-409C-BE32-E72D297353CC}">
              <c16:uniqueId val="{0000000A-B8A7-4B34-8247-34C91C9B522A}"/>
            </c:ext>
          </c:extLst>
        </c:ser>
        <c:ser>
          <c:idx val="11"/>
          <c:order val="11"/>
          <c:tx>
            <c:strRef>
              <c:f>LCA!$O$5</c:f>
              <c:strCache>
                <c:ptCount val="1"/>
                <c:pt idx="0">
                  <c:v>Peristaltic Pump</c:v>
                </c:pt>
              </c:strCache>
            </c:strRef>
          </c:tx>
          <c:spPr>
            <a:solidFill>
              <a:schemeClr val="accent6">
                <a:lumMod val="60000"/>
              </a:schemeClr>
            </a:solidFill>
            <a:ln>
              <a:noFill/>
            </a:ln>
            <a:effectLst/>
          </c:spPr>
          <c:invertIfNegative val="0"/>
          <c:val>
            <c:numRef>
              <c:f>LCA!$O$6:$O$15</c:f>
              <c:numCache>
                <c:formatCode>0%</c:formatCode>
                <c:ptCount val="10"/>
                <c:pt idx="0">
                  <c:v>1.4635306418639105E-3</c:v>
                </c:pt>
                <c:pt idx="1">
                  <c:v>7.1485639012587466E-3</c:v>
                </c:pt>
                <c:pt idx="2">
                  <c:v>6.9527849649793664E-3</c:v>
                </c:pt>
                <c:pt idx="3">
                  <c:v>5.2148481790376556E-4</c:v>
                </c:pt>
                <c:pt idx="4">
                  <c:v>6.0938348178560253E-4</c:v>
                </c:pt>
                <c:pt idx="5">
                  <c:v>2.2666893551311337E-4</c:v>
                </c:pt>
                <c:pt idx="6">
                  <c:v>3.7883045929673234E-3</c:v>
                </c:pt>
                <c:pt idx="7">
                  <c:v>4.5079690771541585E-4</c:v>
                </c:pt>
                <c:pt idx="8">
                  <c:v>3.632003225224348E-4</c:v>
                </c:pt>
                <c:pt idx="9">
                  <c:v>5.9064076046826889E-4</c:v>
                </c:pt>
              </c:numCache>
            </c:numRef>
          </c:val>
          <c:extLst>
            <c:ext xmlns:c16="http://schemas.microsoft.com/office/drawing/2014/chart" uri="{C3380CC4-5D6E-409C-BE32-E72D297353CC}">
              <c16:uniqueId val="{0000000B-B8A7-4B34-8247-34C91C9B522A}"/>
            </c:ext>
          </c:extLst>
        </c:ser>
        <c:ser>
          <c:idx val="12"/>
          <c:order val="12"/>
          <c:tx>
            <c:strRef>
              <c:f>LCA!$P$5</c:f>
              <c:strCache>
                <c:ptCount val="1"/>
                <c:pt idx="0">
                  <c:v>Boat Transport</c:v>
                </c:pt>
              </c:strCache>
            </c:strRef>
          </c:tx>
          <c:spPr>
            <a:solidFill>
              <a:schemeClr val="accent1">
                <a:lumMod val="80000"/>
                <a:lumOff val="20000"/>
              </a:schemeClr>
            </a:solidFill>
            <a:ln>
              <a:noFill/>
            </a:ln>
            <a:effectLst/>
          </c:spPr>
          <c:invertIfNegative val="0"/>
          <c:val>
            <c:numRef>
              <c:f>LCA!$P$6:$P$15</c:f>
              <c:numCache>
                <c:formatCode>0%</c:formatCode>
                <c:ptCount val="10"/>
                <c:pt idx="0">
                  <c:v>9.2563913065946517E-3</c:v>
                </c:pt>
                <c:pt idx="1">
                  <c:v>8.4425555813520865E-4</c:v>
                </c:pt>
                <c:pt idx="2">
                  <c:v>3.1928967416464083E-4</c:v>
                </c:pt>
                <c:pt idx="3">
                  <c:v>5.3330434577732218E-5</c:v>
                </c:pt>
                <c:pt idx="4">
                  <c:v>1.0821938572856606E-2</c:v>
                </c:pt>
                <c:pt idx="5">
                  <c:v>9.5642191645312828E-4</c:v>
                </c:pt>
                <c:pt idx="6">
                  <c:v>2.0998406095238938E-4</c:v>
                </c:pt>
                <c:pt idx="7">
                  <c:v>1.6161610120621779E-3</c:v>
                </c:pt>
                <c:pt idx="8">
                  <c:v>6.843332675012569E-4</c:v>
                </c:pt>
                <c:pt idx="9">
                  <c:v>1.0971071466099628E-2</c:v>
                </c:pt>
              </c:numCache>
            </c:numRef>
          </c:val>
          <c:extLst>
            <c:ext xmlns:c16="http://schemas.microsoft.com/office/drawing/2014/chart" uri="{C3380CC4-5D6E-409C-BE32-E72D297353CC}">
              <c16:uniqueId val="{0000000C-B8A7-4B34-8247-34C91C9B522A}"/>
            </c:ext>
          </c:extLst>
        </c:ser>
        <c:ser>
          <c:idx val="13"/>
          <c:order val="13"/>
          <c:tx>
            <c:strRef>
              <c:f>LCA!$Q$5</c:f>
              <c:strCache>
                <c:ptCount val="1"/>
                <c:pt idx="0">
                  <c:v>Truck Transport</c:v>
                </c:pt>
              </c:strCache>
            </c:strRef>
          </c:tx>
          <c:spPr>
            <a:solidFill>
              <a:schemeClr val="accent2">
                <a:lumMod val="80000"/>
                <a:lumOff val="20000"/>
              </a:schemeClr>
            </a:solidFill>
            <a:ln>
              <a:noFill/>
            </a:ln>
            <a:effectLst/>
          </c:spPr>
          <c:invertIfNegative val="0"/>
          <c:val>
            <c:numRef>
              <c:f>LCA!$Q$6:$Q$15</c:f>
              <c:numCache>
                <c:formatCode>0%</c:formatCode>
                <c:ptCount val="10"/>
                <c:pt idx="0">
                  <c:v>3.7512743716199372E-2</c:v>
                </c:pt>
                <c:pt idx="1">
                  <c:v>1.8609995594883001E-2</c:v>
                </c:pt>
                <c:pt idx="2">
                  <c:v>3.9174458113227249E-2</c:v>
                </c:pt>
                <c:pt idx="3">
                  <c:v>2.6588197946564806E-3</c:v>
                </c:pt>
                <c:pt idx="4">
                  <c:v>6.3385640212445832E-2</c:v>
                </c:pt>
                <c:pt idx="5">
                  <c:v>2.2776131841689015E-2</c:v>
                </c:pt>
                <c:pt idx="6">
                  <c:v>1.904431521827752E-2</c:v>
                </c:pt>
                <c:pt idx="7">
                  <c:v>9.2055427499753636E-2</c:v>
                </c:pt>
                <c:pt idx="8">
                  <c:v>8.7890532930217143E-3</c:v>
                </c:pt>
                <c:pt idx="9">
                  <c:v>6.4666345711058532E-2</c:v>
                </c:pt>
              </c:numCache>
            </c:numRef>
          </c:val>
          <c:extLst>
            <c:ext xmlns:c16="http://schemas.microsoft.com/office/drawing/2014/chart" uri="{C3380CC4-5D6E-409C-BE32-E72D297353CC}">
              <c16:uniqueId val="{0000000D-B8A7-4B34-8247-34C91C9B522A}"/>
            </c:ext>
          </c:extLst>
        </c:ser>
        <c:ser>
          <c:idx val="14"/>
          <c:order val="14"/>
          <c:tx>
            <c:strRef>
              <c:f>LCA!$R$5</c:f>
              <c:strCache>
                <c:ptCount val="1"/>
                <c:pt idx="0">
                  <c:v>Electrolyte Storage Tank</c:v>
                </c:pt>
              </c:strCache>
            </c:strRef>
          </c:tx>
          <c:spPr>
            <a:solidFill>
              <a:schemeClr val="accent3">
                <a:lumMod val="80000"/>
                <a:lumOff val="20000"/>
              </a:schemeClr>
            </a:solidFill>
            <a:ln>
              <a:noFill/>
            </a:ln>
            <a:effectLst/>
          </c:spPr>
          <c:invertIfNegative val="0"/>
          <c:val>
            <c:numRef>
              <c:f>LCA!$R$6:$R$15</c:f>
              <c:numCache>
                <c:formatCode>0%</c:formatCode>
                <c:ptCount val="10"/>
                <c:pt idx="0">
                  <c:v>2.0709765706204962E-6</c:v>
                </c:pt>
                <c:pt idx="1">
                  <c:v>2.8506943458114612E-6</c:v>
                </c:pt>
                <c:pt idx="2">
                  <c:v>2.4452797298239845E-6</c:v>
                </c:pt>
                <c:pt idx="3">
                  <c:v>3.5054782408622567E-6</c:v>
                </c:pt>
                <c:pt idx="4">
                  <c:v>2.322088222913844E-6</c:v>
                </c:pt>
                <c:pt idx="5">
                  <c:v>2.6331285467838323E-6</c:v>
                </c:pt>
                <c:pt idx="6">
                  <c:v>2.7999286136943167E-6</c:v>
                </c:pt>
                <c:pt idx="7">
                  <c:v>1.0528463266430397E-6</c:v>
                </c:pt>
                <c:pt idx="8">
                  <c:v>3.3542700931323087E-6</c:v>
                </c:pt>
                <c:pt idx="9">
                  <c:v>2.291958229405859E-6</c:v>
                </c:pt>
              </c:numCache>
            </c:numRef>
          </c:val>
          <c:extLst>
            <c:ext xmlns:c16="http://schemas.microsoft.com/office/drawing/2014/chart" uri="{C3380CC4-5D6E-409C-BE32-E72D297353CC}">
              <c16:uniqueId val="{0000000E-B8A7-4B34-8247-34C91C9B522A}"/>
            </c:ext>
          </c:extLst>
        </c:ser>
        <c:ser>
          <c:idx val="15"/>
          <c:order val="15"/>
          <c:tx>
            <c:strRef>
              <c:f>LCA!$S$5</c:f>
              <c:strCache>
                <c:ptCount val="1"/>
                <c:pt idx="0">
                  <c:v>Acid Storage Tank</c:v>
                </c:pt>
              </c:strCache>
            </c:strRef>
          </c:tx>
          <c:spPr>
            <a:solidFill>
              <a:schemeClr val="accent4">
                <a:lumMod val="80000"/>
                <a:lumOff val="20000"/>
              </a:schemeClr>
            </a:solidFill>
            <a:ln>
              <a:noFill/>
            </a:ln>
            <a:effectLst/>
          </c:spPr>
          <c:invertIfNegative val="0"/>
          <c:val>
            <c:numRef>
              <c:f>LCA!$S$6:$S$15</c:f>
              <c:numCache>
                <c:formatCode>0%</c:formatCode>
                <c:ptCount val="10"/>
                <c:pt idx="0">
                  <c:v>2.0709765706204962E-6</c:v>
                </c:pt>
                <c:pt idx="1">
                  <c:v>2.8506943458114612E-6</c:v>
                </c:pt>
                <c:pt idx="2">
                  <c:v>2.4452797298239845E-6</c:v>
                </c:pt>
                <c:pt idx="3">
                  <c:v>3.5054782408622567E-6</c:v>
                </c:pt>
                <c:pt idx="4">
                  <c:v>2.322088222913844E-6</c:v>
                </c:pt>
                <c:pt idx="5">
                  <c:v>2.6331285467838323E-6</c:v>
                </c:pt>
                <c:pt idx="6">
                  <c:v>2.7999286136943167E-6</c:v>
                </c:pt>
                <c:pt idx="7">
                  <c:v>1.0528463266430397E-6</c:v>
                </c:pt>
                <c:pt idx="8">
                  <c:v>3.3542700931323087E-6</c:v>
                </c:pt>
                <c:pt idx="9">
                  <c:v>2.291958229405859E-6</c:v>
                </c:pt>
              </c:numCache>
            </c:numRef>
          </c:val>
          <c:extLst>
            <c:ext xmlns:c16="http://schemas.microsoft.com/office/drawing/2014/chart" uri="{C3380CC4-5D6E-409C-BE32-E72D297353CC}">
              <c16:uniqueId val="{0000000F-B8A7-4B34-8247-34C91C9B522A}"/>
            </c:ext>
          </c:extLst>
        </c:ser>
        <c:ser>
          <c:idx val="16"/>
          <c:order val="16"/>
          <c:tx>
            <c:strRef>
              <c:f>LCA!$T$5</c:f>
              <c:strCache>
                <c:ptCount val="1"/>
                <c:pt idx="0">
                  <c:v>Base Storage Tank</c:v>
                </c:pt>
              </c:strCache>
            </c:strRef>
          </c:tx>
          <c:spPr>
            <a:solidFill>
              <a:schemeClr val="accent5">
                <a:lumMod val="80000"/>
                <a:lumOff val="20000"/>
              </a:schemeClr>
            </a:solidFill>
            <a:ln>
              <a:noFill/>
            </a:ln>
            <a:effectLst/>
          </c:spPr>
          <c:invertIfNegative val="0"/>
          <c:val>
            <c:numRef>
              <c:f>LCA!$T$6:$T$15</c:f>
              <c:numCache>
                <c:formatCode>0%</c:formatCode>
                <c:ptCount val="10"/>
                <c:pt idx="0">
                  <c:v>2.0709765706204962E-6</c:v>
                </c:pt>
                <c:pt idx="1">
                  <c:v>2.8506943458114612E-6</c:v>
                </c:pt>
                <c:pt idx="2">
                  <c:v>2.4452797298239845E-6</c:v>
                </c:pt>
                <c:pt idx="3">
                  <c:v>3.5054782408622567E-6</c:v>
                </c:pt>
                <c:pt idx="4">
                  <c:v>2.322088222913844E-6</c:v>
                </c:pt>
                <c:pt idx="5">
                  <c:v>2.6331285467838323E-6</c:v>
                </c:pt>
                <c:pt idx="6">
                  <c:v>2.7999286136943167E-6</c:v>
                </c:pt>
                <c:pt idx="7">
                  <c:v>1.0528463266430397E-6</c:v>
                </c:pt>
                <c:pt idx="8">
                  <c:v>3.3542700931323087E-6</c:v>
                </c:pt>
                <c:pt idx="9">
                  <c:v>2.291958229405859E-6</c:v>
                </c:pt>
              </c:numCache>
            </c:numRef>
          </c:val>
          <c:extLst>
            <c:ext xmlns:c16="http://schemas.microsoft.com/office/drawing/2014/chart" uri="{C3380CC4-5D6E-409C-BE32-E72D297353CC}">
              <c16:uniqueId val="{00000010-B8A7-4B34-8247-34C91C9B522A}"/>
            </c:ext>
          </c:extLst>
        </c:ser>
        <c:ser>
          <c:idx val="17"/>
          <c:order val="17"/>
          <c:tx>
            <c:strRef>
              <c:f>LCA!$U$5</c:f>
              <c:strCache>
                <c:ptCount val="1"/>
                <c:pt idx="0">
                  <c:v>Desalinated Water Storage Tank</c:v>
                </c:pt>
              </c:strCache>
            </c:strRef>
          </c:tx>
          <c:spPr>
            <a:solidFill>
              <a:schemeClr val="accent6">
                <a:lumMod val="80000"/>
                <a:lumOff val="20000"/>
              </a:schemeClr>
            </a:solidFill>
            <a:ln>
              <a:noFill/>
            </a:ln>
            <a:effectLst/>
          </c:spPr>
          <c:invertIfNegative val="0"/>
          <c:val>
            <c:numRef>
              <c:f>LCA!$U$6:$U$15</c:f>
              <c:numCache>
                <c:formatCode>0%</c:formatCode>
                <c:ptCount val="10"/>
                <c:pt idx="0">
                  <c:v>3.2321849553762521E-5</c:v>
                </c:pt>
                <c:pt idx="1">
                  <c:v>4.4490949379245292E-5</c:v>
                </c:pt>
                <c:pt idx="2">
                  <c:v>3.816362032553342E-5</c:v>
                </c:pt>
                <c:pt idx="3">
                  <c:v>5.4710199005868259E-5</c:v>
                </c:pt>
                <c:pt idx="4">
                  <c:v>3.624096344513335E-5</c:v>
                </c:pt>
                <c:pt idx="5">
                  <c:v>4.1095387534666702E-5</c:v>
                </c:pt>
                <c:pt idx="6">
                  <c:v>4.3698645700268692E-5</c:v>
                </c:pt>
                <c:pt idx="7">
                  <c:v>1.6431832718798913E-5</c:v>
                </c:pt>
                <c:pt idx="8">
                  <c:v>5.2350284812939392E-5</c:v>
                </c:pt>
                <c:pt idx="9">
                  <c:v>3.5770722916565143E-5</c:v>
                </c:pt>
              </c:numCache>
            </c:numRef>
          </c:val>
          <c:extLst>
            <c:ext xmlns:c16="http://schemas.microsoft.com/office/drawing/2014/chart" uri="{C3380CC4-5D6E-409C-BE32-E72D297353CC}">
              <c16:uniqueId val="{00000011-B8A7-4B34-8247-34C91C9B522A}"/>
            </c:ext>
          </c:extLst>
        </c:ser>
        <c:ser>
          <c:idx val="18"/>
          <c:order val="18"/>
          <c:tx>
            <c:strRef>
              <c:f>LCA!$V$5</c:f>
              <c:strCache>
                <c:ptCount val="1"/>
                <c:pt idx="0">
                  <c:v>Electricity</c:v>
                </c:pt>
              </c:strCache>
            </c:strRef>
          </c:tx>
          <c:spPr>
            <a:solidFill>
              <a:srgbClr val="CCCC00"/>
            </a:solidFill>
            <a:ln>
              <a:noFill/>
            </a:ln>
            <a:effectLst/>
          </c:spPr>
          <c:invertIfNegative val="0"/>
          <c:val>
            <c:numRef>
              <c:f>LCA!$V$6:$V$15</c:f>
              <c:numCache>
                <c:formatCode>0%</c:formatCode>
                <c:ptCount val="10"/>
                <c:pt idx="0">
                  <c:v>0.54805752677118902</c:v>
                </c:pt>
                <c:pt idx="1">
                  <c:v>0.75439988791275403</c:v>
                </c:pt>
                <c:pt idx="2">
                  <c:v>0.647112082291459</c:v>
                </c:pt>
                <c:pt idx="3">
                  <c:v>0.92768009164949872</c:v>
                </c:pt>
                <c:pt idx="4">
                  <c:v>0.61451102173182237</c:v>
                </c:pt>
                <c:pt idx="5">
                  <c:v>0.69682387502268339</c:v>
                </c:pt>
                <c:pt idx="6">
                  <c:v>0.74096538460472516</c:v>
                </c:pt>
                <c:pt idx="7">
                  <c:v>0.2786223475610019</c:v>
                </c:pt>
                <c:pt idx="8">
                  <c:v>0.88766478454841546</c:v>
                </c:pt>
                <c:pt idx="9">
                  <c:v>0.60653750336475032</c:v>
                </c:pt>
              </c:numCache>
            </c:numRef>
          </c:val>
          <c:extLst>
            <c:ext xmlns:c16="http://schemas.microsoft.com/office/drawing/2014/chart" uri="{C3380CC4-5D6E-409C-BE32-E72D297353CC}">
              <c16:uniqueId val="{00000012-B8A7-4B34-8247-34C91C9B522A}"/>
            </c:ext>
          </c:extLst>
        </c:ser>
        <c:dLbls>
          <c:showLegendKey val="0"/>
          <c:showVal val="0"/>
          <c:showCatName val="0"/>
          <c:showSerName val="0"/>
          <c:showPercent val="0"/>
          <c:showBubbleSize val="0"/>
        </c:dLbls>
        <c:gapWidth val="150"/>
        <c:overlap val="100"/>
        <c:axId val="1873054144"/>
        <c:axId val="1873049344"/>
      </c:barChart>
      <c:catAx>
        <c:axId val="1873054144"/>
        <c:scaling>
          <c:orientation val="minMax"/>
        </c:scaling>
        <c:delete val="1"/>
        <c:axPos val="b"/>
        <c:numFmt formatCode="General" sourceLinked="1"/>
        <c:majorTickMark val="none"/>
        <c:minorTickMark val="none"/>
        <c:tickLblPos val="nextTo"/>
        <c:crossAx val="1873049344"/>
        <c:crosses val="autoZero"/>
        <c:auto val="1"/>
        <c:lblAlgn val="ctr"/>
        <c:lblOffset val="100"/>
        <c:noMultiLvlLbl val="0"/>
      </c:catAx>
      <c:valAx>
        <c:axId val="1873049344"/>
        <c:scaling>
          <c:orientation val="minMax"/>
          <c:max val="1"/>
        </c:scaling>
        <c:delete val="0"/>
        <c:axPos val="l"/>
        <c:majorGridlines>
          <c:spPr>
            <a:ln w="9525" cap="flat" cmpd="sng" algn="ctr">
              <a:solidFill>
                <a:schemeClr val="tx1"/>
              </a:solidFill>
              <a:round/>
            </a:ln>
            <a:effectLst/>
          </c:spPr>
        </c:majorGridlines>
        <c:numFmt formatCode="0%" sourceLinked="1"/>
        <c:majorTickMark val="cross"/>
        <c:minorTickMark val="none"/>
        <c:tickLblPos val="nextTo"/>
        <c:spPr>
          <a:noFill/>
          <a:ln>
            <a:solidFill>
              <a:schemeClr val="accent1">
                <a:shade val="15000"/>
              </a:schemeClr>
            </a:solid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Cond" panose="020B0506020202020204" pitchFamily="34" charset="0"/>
                <a:ea typeface="+mn-ea"/>
                <a:cs typeface="+mn-cs"/>
              </a:defRPr>
            </a:pPr>
            <a:endParaRPr lang="en-US"/>
          </a:p>
        </c:txPr>
        <c:crossAx val="1873054144"/>
        <c:crosses val="autoZero"/>
        <c:crossBetween val="between"/>
      </c:valAx>
      <c:spPr>
        <a:noFill/>
        <a:ln>
          <a:noFill/>
        </a:ln>
        <a:effectLst/>
      </c:spPr>
    </c:plotArea>
    <c:legend>
      <c:legendPos val="b"/>
      <c:layout>
        <c:manualLayout>
          <c:xMode val="edge"/>
          <c:yMode val="edge"/>
          <c:x val="1.1395200417109803E-2"/>
          <c:y val="0.83738911209129652"/>
          <c:w val="0.97575354386846647"/>
          <c:h val="0.14966106817868857"/>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noFill/>
      <a:round/>
    </a:ln>
    <a:effectLst/>
  </c:spPr>
  <c:txPr>
    <a:bodyPr/>
    <a:lstStyle/>
    <a:p>
      <a:pPr>
        <a:defRPr>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652174921433791E-2"/>
          <c:y val="0.32233654807931472"/>
          <c:w val="0.93264724641378594"/>
          <c:h val="0.33483339172552085"/>
        </c:manualLayout>
      </c:layout>
      <c:barChart>
        <c:barDir val="col"/>
        <c:grouping val="percentStacked"/>
        <c:varyColors val="0"/>
        <c:ser>
          <c:idx val="0"/>
          <c:order val="0"/>
          <c:tx>
            <c:strRef>
              <c:f>LCA!$D$65</c:f>
              <c:strCache>
                <c:ptCount val="1"/>
                <c:pt idx="0">
                  <c:v>Feed Pump</c:v>
                </c:pt>
              </c:strCache>
            </c:strRef>
          </c:tx>
          <c:spPr>
            <a:solidFill>
              <a:schemeClr val="accent1"/>
            </a:solidFill>
            <a:ln>
              <a:noFill/>
            </a:ln>
            <a:effectLst/>
          </c:spPr>
          <c:invertIfNegative val="0"/>
          <c:val>
            <c:numRef>
              <c:f>LCA!$D$66:$D$75</c:f>
              <c:numCache>
                <c:formatCode>0%</c:formatCode>
                <c:ptCount val="10"/>
                <c:pt idx="0">
                  <c:v>1.3957017077384661E-5</c:v>
                </c:pt>
                <c:pt idx="1">
                  <c:v>1.4321316922669331E-4</c:v>
                </c:pt>
                <c:pt idx="2">
                  <c:v>8.908486182696727E-5</c:v>
                </c:pt>
                <c:pt idx="3">
                  <c:v>1.646341017189585E-5</c:v>
                </c:pt>
                <c:pt idx="4">
                  <c:v>6.017093371938854E-6</c:v>
                </c:pt>
                <c:pt idx="5">
                  <c:v>3.7947798186832675E-6</c:v>
                </c:pt>
                <c:pt idx="6">
                  <c:v>4.7418488140280976E-5</c:v>
                </c:pt>
                <c:pt idx="7">
                  <c:v>1.1064430247442348E-6</c:v>
                </c:pt>
                <c:pt idx="8">
                  <c:v>1.1441770629223306E-5</c:v>
                </c:pt>
                <c:pt idx="9">
                  <c:v>8.4349374214518027E-6</c:v>
                </c:pt>
              </c:numCache>
            </c:numRef>
          </c:val>
          <c:extLst>
            <c:ext xmlns:c16="http://schemas.microsoft.com/office/drawing/2014/chart" uri="{C3380CC4-5D6E-409C-BE32-E72D297353CC}">
              <c16:uniqueId val="{00000000-B806-4BD6-A447-75451847D980}"/>
            </c:ext>
          </c:extLst>
        </c:ser>
        <c:ser>
          <c:idx val="1"/>
          <c:order val="1"/>
          <c:tx>
            <c:strRef>
              <c:f>LCA!$E$65</c:f>
              <c:strCache>
                <c:ptCount val="1"/>
                <c:pt idx="0">
                  <c:v>Tank Walls</c:v>
                </c:pt>
              </c:strCache>
            </c:strRef>
          </c:tx>
          <c:spPr>
            <a:solidFill>
              <a:schemeClr val="accent2"/>
            </a:solidFill>
            <a:ln>
              <a:noFill/>
            </a:ln>
            <a:effectLst/>
          </c:spPr>
          <c:invertIfNegative val="0"/>
          <c:val>
            <c:numRef>
              <c:f>LCA!$E$66:$E$75</c:f>
              <c:numCache>
                <c:formatCode>0%</c:formatCode>
                <c:ptCount val="10"/>
                <c:pt idx="0">
                  <c:v>1.0426346343518798E-6</c:v>
                </c:pt>
                <c:pt idx="1">
                  <c:v>3.0149559937030842E-6</c:v>
                </c:pt>
                <c:pt idx="2">
                  <c:v>1.6540164790136816E-6</c:v>
                </c:pt>
                <c:pt idx="3">
                  <c:v>5.8424038828141821E-6</c:v>
                </c:pt>
                <c:pt idx="4">
                  <c:v>1.2104335709387966E-6</c:v>
                </c:pt>
                <c:pt idx="5">
                  <c:v>2.3271951868489591E-6</c:v>
                </c:pt>
                <c:pt idx="6">
                  <c:v>1.8501883532055843E-6</c:v>
                </c:pt>
                <c:pt idx="7">
                  <c:v>1.3642038931022747E-7</c:v>
                </c:pt>
                <c:pt idx="8">
                  <c:v>5.5784200508416004E-6</c:v>
                </c:pt>
                <c:pt idx="9">
                  <c:v>1.7279505911396241E-6</c:v>
                </c:pt>
              </c:numCache>
            </c:numRef>
          </c:val>
          <c:extLst>
            <c:ext xmlns:c16="http://schemas.microsoft.com/office/drawing/2014/chart" uri="{C3380CC4-5D6E-409C-BE32-E72D297353CC}">
              <c16:uniqueId val="{00000001-B806-4BD6-A447-75451847D980}"/>
            </c:ext>
          </c:extLst>
        </c:ser>
        <c:ser>
          <c:idx val="2"/>
          <c:order val="2"/>
          <c:tx>
            <c:strRef>
              <c:f>LCA!$F$65</c:f>
              <c:strCache>
                <c:ptCount val="1"/>
                <c:pt idx="0">
                  <c:v>Insulation </c:v>
                </c:pt>
              </c:strCache>
            </c:strRef>
          </c:tx>
          <c:spPr>
            <a:solidFill>
              <a:schemeClr val="accent3"/>
            </a:solidFill>
            <a:ln>
              <a:noFill/>
            </a:ln>
            <a:effectLst/>
          </c:spPr>
          <c:invertIfNegative val="0"/>
          <c:val>
            <c:numRef>
              <c:f>LCA!$F$66:$F$75</c:f>
              <c:numCache>
                <c:formatCode>0%</c:formatCode>
                <c:ptCount val="10"/>
                <c:pt idx="0">
                  <c:v>1.2845258695215159E-3</c:v>
                </c:pt>
                <c:pt idx="1">
                  <c:v>7.8686315857065601E-4</c:v>
                </c:pt>
                <c:pt idx="2">
                  <c:v>6.4113992054539153E-4</c:v>
                </c:pt>
                <c:pt idx="3">
                  <c:v>7.1204297321797851E-4</c:v>
                </c:pt>
                <c:pt idx="4">
                  <c:v>8.2218129346786205E-4</c:v>
                </c:pt>
                <c:pt idx="5">
                  <c:v>7.7451909084462836E-4</c:v>
                </c:pt>
                <c:pt idx="6">
                  <c:v>4.8999724732163067E-4</c:v>
                </c:pt>
                <c:pt idx="7">
                  <c:v>3.1994189555245079E-4</c:v>
                </c:pt>
                <c:pt idx="8">
                  <c:v>8.5609416621826545E-4</c:v>
                </c:pt>
                <c:pt idx="9">
                  <c:v>1.0387532488047545E-3</c:v>
                </c:pt>
              </c:numCache>
            </c:numRef>
          </c:val>
          <c:extLst>
            <c:ext xmlns:c16="http://schemas.microsoft.com/office/drawing/2014/chart" uri="{C3380CC4-5D6E-409C-BE32-E72D297353CC}">
              <c16:uniqueId val="{00000002-B806-4BD6-A447-75451847D980}"/>
            </c:ext>
          </c:extLst>
        </c:ser>
        <c:ser>
          <c:idx val="3"/>
          <c:order val="3"/>
          <c:tx>
            <c:strRef>
              <c:f>LCA!$G$65</c:f>
              <c:strCache>
                <c:ptCount val="1"/>
                <c:pt idx="0">
                  <c:v> Agitators</c:v>
                </c:pt>
              </c:strCache>
            </c:strRef>
          </c:tx>
          <c:spPr>
            <a:solidFill>
              <a:schemeClr val="accent4"/>
            </a:solidFill>
            <a:ln>
              <a:noFill/>
            </a:ln>
            <a:effectLst/>
          </c:spPr>
          <c:invertIfNegative val="0"/>
          <c:val>
            <c:numRef>
              <c:f>LCA!$G$66:$G$75</c:f>
              <c:numCache>
                <c:formatCode>0%</c:formatCode>
                <c:ptCount val="10"/>
                <c:pt idx="0">
                  <c:v>1.8941077707815186E-5</c:v>
                </c:pt>
                <c:pt idx="1">
                  <c:v>2.646793106397434E-4</c:v>
                </c:pt>
                <c:pt idx="2">
                  <c:v>5.9956621654791188E-5</c:v>
                </c:pt>
                <c:pt idx="3">
                  <c:v>3.1817762355162509E-5</c:v>
                </c:pt>
                <c:pt idx="4">
                  <c:v>2.1554524977624334E-5</c:v>
                </c:pt>
                <c:pt idx="5">
                  <c:v>2.375662737136663E-5</c:v>
                </c:pt>
                <c:pt idx="6">
                  <c:v>1.4685174954456785E-5</c:v>
                </c:pt>
                <c:pt idx="7">
                  <c:v>1.0536436448408021E-5</c:v>
                </c:pt>
                <c:pt idx="8">
                  <c:v>3.4126346586547898E-5</c:v>
                </c:pt>
                <c:pt idx="9">
                  <c:v>3.2219446334218036E-5</c:v>
                </c:pt>
              </c:numCache>
            </c:numRef>
          </c:val>
          <c:extLst>
            <c:ext xmlns:c16="http://schemas.microsoft.com/office/drawing/2014/chart" uri="{C3380CC4-5D6E-409C-BE32-E72D297353CC}">
              <c16:uniqueId val="{00000003-B806-4BD6-A447-75451847D980}"/>
            </c:ext>
          </c:extLst>
        </c:ser>
        <c:ser>
          <c:idx val="4"/>
          <c:order val="4"/>
          <c:tx>
            <c:strRef>
              <c:f>LCA!$H$65</c:f>
              <c:strCache>
                <c:ptCount val="1"/>
                <c:pt idx="0">
                  <c:v>Centrifuge Separator</c:v>
                </c:pt>
              </c:strCache>
            </c:strRef>
          </c:tx>
          <c:spPr>
            <a:solidFill>
              <a:schemeClr val="accent5"/>
            </a:solidFill>
            <a:ln>
              <a:noFill/>
            </a:ln>
            <a:effectLst/>
          </c:spPr>
          <c:invertIfNegative val="0"/>
          <c:val>
            <c:numRef>
              <c:f>LCA!$H$66:$H$75</c:f>
              <c:numCache>
                <c:formatCode>0%</c:formatCode>
                <c:ptCount val="10"/>
                <c:pt idx="0">
                  <c:v>6.9880823275621925E-5</c:v>
                </c:pt>
                <c:pt idx="1">
                  <c:v>9.7650241537723052E-4</c:v>
                </c:pt>
                <c:pt idx="2">
                  <c:v>2.2120272915268434E-4</c:v>
                </c:pt>
                <c:pt idx="3">
                  <c:v>1.173877992829014E-4</c:v>
                </c:pt>
                <c:pt idx="4">
                  <c:v>7.9522821984403735E-5</c:v>
                </c:pt>
                <c:pt idx="5">
                  <c:v>8.7647213351450164E-5</c:v>
                </c:pt>
                <c:pt idx="6">
                  <c:v>5.4179183021912402E-5</c:v>
                </c:pt>
                <c:pt idx="7">
                  <c:v>3.8872912342375506E-5</c:v>
                </c:pt>
                <c:pt idx="8">
                  <c:v>1.2590504255590514E-4</c:v>
                </c:pt>
                <c:pt idx="9">
                  <c:v>1.1886976390952065E-4</c:v>
                </c:pt>
              </c:numCache>
            </c:numRef>
          </c:val>
          <c:extLst>
            <c:ext xmlns:c16="http://schemas.microsoft.com/office/drawing/2014/chart" uri="{C3380CC4-5D6E-409C-BE32-E72D297353CC}">
              <c16:uniqueId val="{00000004-B806-4BD6-A447-75451847D980}"/>
            </c:ext>
          </c:extLst>
        </c:ser>
        <c:ser>
          <c:idx val="5"/>
          <c:order val="5"/>
          <c:tx>
            <c:strRef>
              <c:f>LCA!$I$65</c:f>
              <c:strCache>
                <c:ptCount val="1"/>
                <c:pt idx="0">
                  <c:v>Microfiltration</c:v>
                </c:pt>
              </c:strCache>
            </c:strRef>
          </c:tx>
          <c:spPr>
            <a:solidFill>
              <a:srgbClr val="FFC000"/>
            </a:solidFill>
            <a:ln>
              <a:noFill/>
            </a:ln>
            <a:effectLst/>
          </c:spPr>
          <c:invertIfNegative val="0"/>
          <c:val>
            <c:numRef>
              <c:f>LCA!$I$66:$I$75</c:f>
              <c:numCache>
                <c:formatCode>0%</c:formatCode>
                <c:ptCount val="10"/>
                <c:pt idx="0">
                  <c:v>0.50308664194374741</c:v>
                </c:pt>
                <c:pt idx="1">
                  <c:v>0.51973550720269734</c:v>
                </c:pt>
                <c:pt idx="2">
                  <c:v>0.5944820046885011</c:v>
                </c:pt>
                <c:pt idx="3">
                  <c:v>0.39331643738084981</c:v>
                </c:pt>
                <c:pt idx="4">
                  <c:v>0.37529810058414997</c:v>
                </c:pt>
                <c:pt idx="5">
                  <c:v>0.61151326504775294</c:v>
                </c:pt>
                <c:pt idx="6">
                  <c:v>0.47565493051870095</c:v>
                </c:pt>
                <c:pt idx="7">
                  <c:v>0.10067933628056148</c:v>
                </c:pt>
                <c:pt idx="8">
                  <c:v>0.42322544316778998</c:v>
                </c:pt>
                <c:pt idx="9">
                  <c:v>0.55172990904909214</c:v>
                </c:pt>
              </c:numCache>
            </c:numRef>
          </c:val>
          <c:extLst>
            <c:ext xmlns:c16="http://schemas.microsoft.com/office/drawing/2014/chart" uri="{C3380CC4-5D6E-409C-BE32-E72D297353CC}">
              <c16:uniqueId val="{00000005-B806-4BD6-A447-75451847D980}"/>
            </c:ext>
          </c:extLst>
        </c:ser>
        <c:ser>
          <c:idx val="6"/>
          <c:order val="6"/>
          <c:tx>
            <c:strRef>
              <c:f>LCA!$J$65</c:f>
              <c:strCache>
                <c:ptCount val="1"/>
                <c:pt idx="0">
                  <c:v>Reverse Osmosis</c:v>
                </c:pt>
              </c:strCache>
            </c:strRef>
          </c:tx>
          <c:spPr>
            <a:solidFill>
              <a:schemeClr val="accent1">
                <a:lumMod val="60000"/>
              </a:schemeClr>
            </a:solidFill>
            <a:ln>
              <a:noFill/>
            </a:ln>
            <a:effectLst/>
          </c:spPr>
          <c:invertIfNegative val="0"/>
          <c:dPt>
            <c:idx val="7"/>
            <c:invertIfNegative val="0"/>
            <c:bubble3D val="0"/>
            <c:spPr>
              <a:solidFill>
                <a:srgbClr val="CDDDEF"/>
              </a:solidFill>
              <a:ln>
                <a:noFill/>
              </a:ln>
              <a:effectLst/>
            </c:spPr>
            <c:extLst>
              <c:ext xmlns:c16="http://schemas.microsoft.com/office/drawing/2014/chart" uri="{C3380CC4-5D6E-409C-BE32-E72D297353CC}">
                <c16:uniqueId val="{0000000A-B806-4BD6-A447-75451847D980}"/>
              </c:ext>
            </c:extLst>
          </c:dPt>
          <c:val>
            <c:numRef>
              <c:f>LCA!$J$66:$J$75</c:f>
              <c:numCache>
                <c:formatCode>0%</c:formatCode>
                <c:ptCount val="10"/>
                <c:pt idx="0">
                  <c:v>8.9955013674916256E-6</c:v>
                </c:pt>
                <c:pt idx="1">
                  <c:v>1.0089879338304721E-5</c:v>
                </c:pt>
                <c:pt idx="2">
                  <c:v>7.8166801321579407E-6</c:v>
                </c:pt>
                <c:pt idx="3">
                  <c:v>6.4832795677180869E-6</c:v>
                </c:pt>
                <c:pt idx="4">
                  <c:v>8.5454856373215321E-6</c:v>
                </c:pt>
                <c:pt idx="5">
                  <c:v>3.4212461189616478E-4</c:v>
                </c:pt>
                <c:pt idx="6">
                  <c:v>6.908740646669222E-6</c:v>
                </c:pt>
                <c:pt idx="7">
                  <c:v>0.82546967068355726</c:v>
                </c:pt>
                <c:pt idx="8">
                  <c:v>6.1381279292744214E-6</c:v>
                </c:pt>
                <c:pt idx="9">
                  <c:v>1.3303022243974611E-5</c:v>
                </c:pt>
              </c:numCache>
            </c:numRef>
          </c:val>
          <c:extLst>
            <c:ext xmlns:c16="http://schemas.microsoft.com/office/drawing/2014/chart" uri="{C3380CC4-5D6E-409C-BE32-E72D297353CC}">
              <c16:uniqueId val="{00000006-B806-4BD6-A447-75451847D980}"/>
            </c:ext>
          </c:extLst>
        </c:ser>
        <c:ser>
          <c:idx val="7"/>
          <c:order val="7"/>
          <c:tx>
            <c:strRef>
              <c:f>LCA!$K$65</c:f>
              <c:strCache>
                <c:ptCount val="1"/>
                <c:pt idx="0">
                  <c:v>Electricity</c:v>
                </c:pt>
              </c:strCache>
            </c:strRef>
          </c:tx>
          <c:spPr>
            <a:solidFill>
              <a:srgbClr val="CCCC00"/>
            </a:solidFill>
            <a:ln>
              <a:noFill/>
            </a:ln>
            <a:effectLst/>
          </c:spPr>
          <c:invertIfNegative val="0"/>
          <c:val>
            <c:numRef>
              <c:f>LCA!$K$66:$K$75</c:f>
              <c:numCache>
                <c:formatCode>0%</c:formatCode>
                <c:ptCount val="10"/>
                <c:pt idx="0">
                  <c:v>7.2785222397703728E-2</c:v>
                </c:pt>
                <c:pt idx="1">
                  <c:v>0.21047089295799121</c:v>
                </c:pt>
                <c:pt idx="2">
                  <c:v>0.11546514311728476</c:v>
                </c:pt>
                <c:pt idx="3">
                  <c:v>0.40785204321567076</c:v>
                </c:pt>
                <c:pt idx="4">
                  <c:v>8.4499088900104075E-2</c:v>
                </c:pt>
                <c:pt idx="5">
                  <c:v>0.16245903757356014</c:v>
                </c:pt>
                <c:pt idx="6">
                  <c:v>0.12915969442106695</c:v>
                </c:pt>
                <c:pt idx="7">
                  <c:v>9.5233632649259856E-3</c:v>
                </c:pt>
                <c:pt idx="8">
                  <c:v>0.38942361077493731</c:v>
                </c:pt>
                <c:pt idx="9">
                  <c:v>0.12062640538171031</c:v>
                </c:pt>
              </c:numCache>
            </c:numRef>
          </c:val>
          <c:extLst>
            <c:ext xmlns:c16="http://schemas.microsoft.com/office/drawing/2014/chart" uri="{C3380CC4-5D6E-409C-BE32-E72D297353CC}">
              <c16:uniqueId val="{00000007-B806-4BD6-A447-75451847D980}"/>
            </c:ext>
          </c:extLst>
        </c:ser>
        <c:ser>
          <c:idx val="8"/>
          <c:order val="8"/>
          <c:tx>
            <c:strRef>
              <c:f>LCA!$L$65</c:f>
              <c:strCache>
                <c:ptCount val="1"/>
                <c:pt idx="0">
                  <c:v>Cheese Whey</c:v>
                </c:pt>
              </c:strCache>
            </c:strRef>
          </c:tx>
          <c:spPr>
            <a:solidFill>
              <a:srgbClr val="E1C8A3"/>
            </a:solidFill>
            <a:ln>
              <a:noFill/>
            </a:ln>
            <a:effectLst/>
          </c:spPr>
          <c:invertIfNegative val="0"/>
          <c:val>
            <c:numRef>
              <c:f>LCA!$L$66:$L$75</c:f>
              <c:numCache>
                <c:formatCode>0%</c:formatCode>
                <c:ptCount val="10"/>
                <c:pt idx="0">
                  <c:v>0.24570933745054788</c:v>
                </c:pt>
                <c:pt idx="1">
                  <c:v>0.13989633199331805</c:v>
                </c:pt>
                <c:pt idx="2">
                  <c:v>0.15704442131656512</c:v>
                </c:pt>
                <c:pt idx="3">
                  <c:v>7.8656768383179712E-2</c:v>
                </c:pt>
                <c:pt idx="4">
                  <c:v>0.30988051227595698</c:v>
                </c:pt>
                <c:pt idx="5">
                  <c:v>0.13771807089843044</c:v>
                </c:pt>
                <c:pt idx="6">
                  <c:v>4.668367216224506E-2</c:v>
                </c:pt>
                <c:pt idx="7">
                  <c:v>2.5324846117066469E-2</c:v>
                </c:pt>
                <c:pt idx="8">
                  <c:v>9.7090989393754684E-2</c:v>
                </c:pt>
                <c:pt idx="9">
                  <c:v>0.16158012136863442</c:v>
                </c:pt>
              </c:numCache>
            </c:numRef>
          </c:val>
          <c:extLst>
            <c:ext xmlns:c16="http://schemas.microsoft.com/office/drawing/2014/chart" uri="{C3380CC4-5D6E-409C-BE32-E72D297353CC}">
              <c16:uniqueId val="{00000008-B806-4BD6-A447-75451847D980}"/>
            </c:ext>
          </c:extLst>
        </c:ser>
        <c:ser>
          <c:idx val="9"/>
          <c:order val="9"/>
          <c:tx>
            <c:strRef>
              <c:f>LCA!$M$65</c:f>
              <c:strCache>
                <c:ptCount val="1"/>
                <c:pt idx="0">
                  <c:v>Lactase Enzyme</c:v>
                </c:pt>
              </c:strCache>
            </c:strRef>
          </c:tx>
          <c:spPr>
            <a:solidFill>
              <a:srgbClr val="C3731B"/>
            </a:solidFill>
            <a:ln>
              <a:noFill/>
            </a:ln>
            <a:effectLst/>
          </c:spPr>
          <c:invertIfNegative val="0"/>
          <c:val>
            <c:numRef>
              <c:f>LCA!$M$66:$M$75</c:f>
              <c:numCache>
                <c:formatCode>0%</c:formatCode>
                <c:ptCount val="10"/>
                <c:pt idx="0">
                  <c:v>0.17702116807062221</c:v>
                </c:pt>
                <c:pt idx="1">
                  <c:v>0.12771207442914098</c:v>
                </c:pt>
                <c:pt idx="2">
                  <c:v>0.13198712041715699</c:v>
                </c:pt>
                <c:pt idx="3">
                  <c:v>0.11928310398912863</c:v>
                </c:pt>
                <c:pt idx="4">
                  <c:v>0.22938293314953487</c:v>
                </c:pt>
                <c:pt idx="5">
                  <c:v>8.7074815891043905E-2</c:v>
                </c:pt>
                <c:pt idx="6">
                  <c:v>0.34788615420552649</c:v>
                </c:pt>
                <c:pt idx="7">
                  <c:v>3.863215196650744E-2</c:v>
                </c:pt>
                <c:pt idx="8">
                  <c:v>8.9219136106286762E-2</c:v>
                </c:pt>
                <c:pt idx="9">
                  <c:v>0.16484977983398205</c:v>
                </c:pt>
              </c:numCache>
            </c:numRef>
          </c:val>
          <c:extLst>
            <c:ext xmlns:c16="http://schemas.microsoft.com/office/drawing/2014/chart" uri="{C3380CC4-5D6E-409C-BE32-E72D297353CC}">
              <c16:uniqueId val="{00000009-B806-4BD6-A447-75451847D980}"/>
            </c:ext>
          </c:extLst>
        </c:ser>
        <c:dLbls>
          <c:showLegendKey val="0"/>
          <c:showVal val="0"/>
          <c:showCatName val="0"/>
          <c:showSerName val="0"/>
          <c:showPercent val="0"/>
          <c:showBubbleSize val="0"/>
        </c:dLbls>
        <c:gapWidth val="150"/>
        <c:overlap val="100"/>
        <c:axId val="1873054144"/>
        <c:axId val="1873049344"/>
      </c:barChart>
      <c:catAx>
        <c:axId val="1873054144"/>
        <c:scaling>
          <c:orientation val="minMax"/>
        </c:scaling>
        <c:delete val="1"/>
        <c:axPos val="b"/>
        <c:numFmt formatCode="General" sourceLinked="1"/>
        <c:majorTickMark val="none"/>
        <c:minorTickMark val="none"/>
        <c:tickLblPos val="nextTo"/>
        <c:crossAx val="1873049344"/>
        <c:crosses val="autoZero"/>
        <c:auto val="1"/>
        <c:lblAlgn val="ctr"/>
        <c:lblOffset val="100"/>
        <c:noMultiLvlLbl val="0"/>
      </c:catAx>
      <c:valAx>
        <c:axId val="1873049344"/>
        <c:scaling>
          <c:orientation val="minMax"/>
          <c:max val="1"/>
        </c:scaling>
        <c:delete val="0"/>
        <c:axPos val="l"/>
        <c:majorGridlines>
          <c:spPr>
            <a:ln w="9525" cap="flat" cmpd="sng" algn="ctr">
              <a:solidFill>
                <a:schemeClr val="tx1"/>
              </a:solidFill>
              <a:round/>
            </a:ln>
            <a:effectLst/>
          </c:spPr>
        </c:majorGridlines>
        <c:numFmt formatCode="0%" sourceLinked="1"/>
        <c:majorTickMark val="cross"/>
        <c:minorTickMark val="none"/>
        <c:tickLblPos val="nextTo"/>
        <c:spPr>
          <a:noFill/>
          <a:ln>
            <a:solidFill>
              <a:schemeClr val="accent1">
                <a:shade val="15000"/>
              </a:schemeClr>
            </a:solid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Cond" panose="020B0506020202020204" pitchFamily="34" charset="0"/>
                <a:ea typeface="+mn-ea"/>
                <a:cs typeface="+mn-cs"/>
              </a:defRPr>
            </a:pPr>
            <a:endParaRPr lang="en-US"/>
          </a:p>
        </c:txPr>
        <c:crossAx val="1873054144"/>
        <c:crosses val="autoZero"/>
        <c:crossBetween val="between"/>
      </c:valAx>
      <c:spPr>
        <a:noFill/>
        <a:ln>
          <a:noFill/>
        </a:ln>
        <a:effectLst/>
      </c:spPr>
    </c:plotArea>
    <c:legend>
      <c:legendPos val="b"/>
      <c:layout>
        <c:manualLayout>
          <c:xMode val="edge"/>
          <c:yMode val="edge"/>
          <c:x val="1.1395200417109803E-2"/>
          <c:y val="0.83738911209129652"/>
          <c:w val="0.98860477717632589"/>
          <c:h val="0.16131713884376431"/>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noFill/>
      <a:round/>
    </a:ln>
    <a:effectLst/>
  </c:spPr>
  <c:txPr>
    <a:bodyPr/>
    <a:lstStyle/>
    <a:p>
      <a:pPr>
        <a:defRPr>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652174921433791E-2"/>
          <c:y val="0.32233654807931472"/>
          <c:w val="0.93264724641378594"/>
          <c:h val="0.33483339172552085"/>
        </c:manualLayout>
      </c:layout>
      <c:barChart>
        <c:barDir val="col"/>
        <c:grouping val="percentStacked"/>
        <c:varyColors val="0"/>
        <c:ser>
          <c:idx val="0"/>
          <c:order val="0"/>
          <c:tx>
            <c:strRef>
              <c:f>LCA!$D$114</c:f>
              <c:strCache>
                <c:ptCount val="1"/>
                <c:pt idx="0">
                  <c:v>Grinders &amp; Feed Pumps</c:v>
                </c:pt>
              </c:strCache>
            </c:strRef>
          </c:tx>
          <c:spPr>
            <a:solidFill>
              <a:schemeClr val="accent1"/>
            </a:solidFill>
            <a:ln>
              <a:noFill/>
            </a:ln>
            <a:effectLst/>
          </c:spPr>
          <c:invertIfNegative val="0"/>
          <c:val>
            <c:numRef>
              <c:f>LCA!$D$115:$D$124</c:f>
              <c:numCache>
                <c:formatCode>0%</c:formatCode>
                <c:ptCount val="10"/>
                <c:pt idx="0">
                  <c:v>4.6262767790547E-4</c:v>
                </c:pt>
                <c:pt idx="1">
                  <c:v>7.5881397342157371E-4</c:v>
                </c:pt>
                <c:pt idx="2">
                  <c:v>1.0137946783321172E-3</c:v>
                </c:pt>
                <c:pt idx="3">
                  <c:v>2.7517738166183211E-4</c:v>
                </c:pt>
                <c:pt idx="4">
                  <c:v>3.3008247706939477E-4</c:v>
                </c:pt>
                <c:pt idx="5">
                  <c:v>3.5273935029702047E-4</c:v>
                </c:pt>
                <c:pt idx="6">
                  <c:v>5.13573593398871E-5</c:v>
                </c:pt>
                <c:pt idx="7">
                  <c:v>1.6553042647505889E-3</c:v>
                </c:pt>
                <c:pt idx="8">
                  <c:v>6.9767310883070505E-5</c:v>
                </c:pt>
                <c:pt idx="9">
                  <c:v>5.5638952670494964E-4</c:v>
                </c:pt>
              </c:numCache>
            </c:numRef>
          </c:val>
          <c:extLst>
            <c:ext xmlns:c16="http://schemas.microsoft.com/office/drawing/2014/chart" uri="{C3380CC4-5D6E-409C-BE32-E72D297353CC}">
              <c16:uniqueId val="{00000000-079A-4653-B8E6-379B90B6C687}"/>
            </c:ext>
          </c:extLst>
        </c:ser>
        <c:ser>
          <c:idx val="1"/>
          <c:order val="1"/>
          <c:tx>
            <c:strRef>
              <c:f>LCA!$E$114</c:f>
              <c:strCache>
                <c:ptCount val="1"/>
                <c:pt idx="0">
                  <c:v>Bioconversion Equipment</c:v>
                </c:pt>
              </c:strCache>
            </c:strRef>
          </c:tx>
          <c:spPr>
            <a:solidFill>
              <a:schemeClr val="accent2"/>
            </a:solidFill>
            <a:ln>
              <a:noFill/>
            </a:ln>
            <a:effectLst/>
          </c:spPr>
          <c:invertIfNegative val="0"/>
          <c:val>
            <c:numRef>
              <c:f>LCA!$E$115:$E$124</c:f>
              <c:numCache>
                <c:formatCode>0%</c:formatCode>
                <c:ptCount val="10"/>
                <c:pt idx="0">
                  <c:v>9.6757210204783464E-2</c:v>
                </c:pt>
                <c:pt idx="1">
                  <c:v>0.11970892400887834</c:v>
                </c:pt>
                <c:pt idx="2">
                  <c:v>7.9184385762628298E-14</c:v>
                </c:pt>
                <c:pt idx="3">
                  <c:v>2.3638997304157777E-2</c:v>
                </c:pt>
                <c:pt idx="4">
                  <c:v>9.5949767502534519E-2</c:v>
                </c:pt>
                <c:pt idx="5">
                  <c:v>9.72346807947327E-2</c:v>
                </c:pt>
                <c:pt idx="6">
                  <c:v>4.3217478477626707E-3</c:v>
                </c:pt>
                <c:pt idx="7">
                  <c:v>0.14175040297501121</c:v>
                </c:pt>
                <c:pt idx="8">
                  <c:v>1.688814843453848E-2</c:v>
                </c:pt>
                <c:pt idx="9">
                  <c:v>0.16637107437938944</c:v>
                </c:pt>
              </c:numCache>
            </c:numRef>
          </c:val>
          <c:extLst>
            <c:ext xmlns:c16="http://schemas.microsoft.com/office/drawing/2014/chart" uri="{C3380CC4-5D6E-409C-BE32-E72D297353CC}">
              <c16:uniqueId val="{00000001-079A-4653-B8E6-379B90B6C687}"/>
            </c:ext>
          </c:extLst>
        </c:ser>
        <c:ser>
          <c:idx val="2"/>
          <c:order val="2"/>
          <c:tx>
            <c:strRef>
              <c:f>LCA!$F$114</c:f>
              <c:strCache>
                <c:ptCount val="1"/>
                <c:pt idx="0">
                  <c:v>Filtration</c:v>
                </c:pt>
              </c:strCache>
            </c:strRef>
          </c:tx>
          <c:spPr>
            <a:solidFill>
              <a:schemeClr val="accent3"/>
            </a:solidFill>
            <a:ln>
              <a:noFill/>
            </a:ln>
            <a:effectLst/>
          </c:spPr>
          <c:invertIfNegative val="0"/>
          <c:val>
            <c:numRef>
              <c:f>LCA!$F$115:$F$124</c:f>
              <c:numCache>
                <c:formatCode>0%</c:formatCode>
                <c:ptCount val="10"/>
                <c:pt idx="0">
                  <c:v>4.698420878394418E-3</c:v>
                </c:pt>
                <c:pt idx="1">
                  <c:v>4.013302887161431E-3</c:v>
                </c:pt>
                <c:pt idx="2">
                  <c:v>6.148773576110626E-3</c:v>
                </c:pt>
                <c:pt idx="3">
                  <c:v>2.1208782912304517E-3</c:v>
                </c:pt>
                <c:pt idx="4">
                  <c:v>3.5322265704574047E-3</c:v>
                </c:pt>
                <c:pt idx="5">
                  <c:v>5.6552080034594282E-3</c:v>
                </c:pt>
                <c:pt idx="6">
                  <c:v>3.3336309017242875E-4</c:v>
                </c:pt>
                <c:pt idx="7">
                  <c:v>1.4593150925783265E-2</c:v>
                </c:pt>
                <c:pt idx="8">
                  <c:v>6.7272350123502003E-4</c:v>
                </c:pt>
                <c:pt idx="9">
                  <c:v>6.0165164347670674E-3</c:v>
                </c:pt>
              </c:numCache>
            </c:numRef>
          </c:val>
          <c:extLst>
            <c:ext xmlns:c16="http://schemas.microsoft.com/office/drawing/2014/chart" uri="{C3380CC4-5D6E-409C-BE32-E72D297353CC}">
              <c16:uniqueId val="{00000002-079A-4653-B8E6-379B90B6C687}"/>
            </c:ext>
          </c:extLst>
        </c:ser>
        <c:ser>
          <c:idx val="3"/>
          <c:order val="3"/>
          <c:tx>
            <c:strRef>
              <c:f>LCA!$G$114</c:f>
              <c:strCache>
                <c:ptCount val="1"/>
                <c:pt idx="0">
                  <c:v>Electrodes</c:v>
                </c:pt>
              </c:strCache>
            </c:strRef>
          </c:tx>
          <c:spPr>
            <a:solidFill>
              <a:schemeClr val="accent4"/>
            </a:solidFill>
            <a:ln>
              <a:noFill/>
            </a:ln>
            <a:effectLst/>
          </c:spPr>
          <c:invertIfNegative val="0"/>
          <c:val>
            <c:numRef>
              <c:f>LCA!$G$115:$G$124</c:f>
              <c:numCache>
                <c:formatCode>0%</c:formatCode>
                <c:ptCount val="10"/>
                <c:pt idx="0">
                  <c:v>4.8727361095951549E-2</c:v>
                </c:pt>
                <c:pt idx="1">
                  <c:v>7.5346253535531205E-3</c:v>
                </c:pt>
                <c:pt idx="2">
                  <c:v>7.4313856681953137E-3</c:v>
                </c:pt>
                <c:pt idx="3">
                  <c:v>2.4707740782428079E-3</c:v>
                </c:pt>
                <c:pt idx="4">
                  <c:v>3.5652673143692352E-2</c:v>
                </c:pt>
                <c:pt idx="5">
                  <c:v>7.1385080272738877E-2</c:v>
                </c:pt>
                <c:pt idx="6">
                  <c:v>4.8716448194802083E-4</c:v>
                </c:pt>
                <c:pt idx="7">
                  <c:v>0.2977221543323984</c:v>
                </c:pt>
                <c:pt idx="8">
                  <c:v>6.0799226249014871E-3</c:v>
                </c:pt>
                <c:pt idx="9">
                  <c:v>6.1801100476532443E-2</c:v>
                </c:pt>
              </c:numCache>
            </c:numRef>
          </c:val>
          <c:extLst>
            <c:ext xmlns:c16="http://schemas.microsoft.com/office/drawing/2014/chart" uri="{C3380CC4-5D6E-409C-BE32-E72D297353CC}">
              <c16:uniqueId val="{00000003-079A-4653-B8E6-379B90B6C687}"/>
            </c:ext>
          </c:extLst>
        </c:ser>
        <c:ser>
          <c:idx val="4"/>
          <c:order val="4"/>
          <c:tx>
            <c:strRef>
              <c:f>LCA!$H$114</c:f>
              <c:strCache>
                <c:ptCount val="1"/>
                <c:pt idx="0">
                  <c:v>Separation Columns and Equipment</c:v>
                </c:pt>
              </c:strCache>
            </c:strRef>
          </c:tx>
          <c:spPr>
            <a:solidFill>
              <a:srgbClr val="CC9900"/>
            </a:solidFill>
            <a:ln>
              <a:noFill/>
            </a:ln>
            <a:effectLst/>
          </c:spPr>
          <c:invertIfNegative val="0"/>
          <c:val>
            <c:numRef>
              <c:f>LCA!$H$115:$H$124</c:f>
              <c:numCache>
                <c:formatCode>0%</c:formatCode>
                <c:ptCount val="10"/>
                <c:pt idx="0">
                  <c:v>0.37235382726591665</c:v>
                </c:pt>
                <c:pt idx="1">
                  <c:v>0.65541090350014308</c:v>
                </c:pt>
                <c:pt idx="2">
                  <c:v>0.71340687818068582</c:v>
                </c:pt>
                <c:pt idx="3">
                  <c:v>0.13233754375650703</c:v>
                </c:pt>
                <c:pt idx="4">
                  <c:v>0.16298291469137716</c:v>
                </c:pt>
                <c:pt idx="5">
                  <c:v>0.15470988322028134</c:v>
                </c:pt>
                <c:pt idx="6">
                  <c:v>3.55305054900317E-2</c:v>
                </c:pt>
                <c:pt idx="7">
                  <c:v>0.29789734481766966</c:v>
                </c:pt>
                <c:pt idx="8">
                  <c:v>3.9747937955835318E-2</c:v>
                </c:pt>
                <c:pt idx="9">
                  <c:v>0.27023894952702221</c:v>
                </c:pt>
              </c:numCache>
            </c:numRef>
          </c:val>
          <c:extLst>
            <c:ext xmlns:c16="http://schemas.microsoft.com/office/drawing/2014/chart" uri="{C3380CC4-5D6E-409C-BE32-E72D297353CC}">
              <c16:uniqueId val="{00000004-079A-4653-B8E6-379B90B6C687}"/>
            </c:ext>
          </c:extLst>
        </c:ser>
        <c:ser>
          <c:idx val="5"/>
          <c:order val="5"/>
          <c:tx>
            <c:strRef>
              <c:f>LCA!$I$114</c:f>
              <c:strCache>
                <c:ptCount val="1"/>
                <c:pt idx="0">
                  <c:v>Electricity &amp; Biogas</c:v>
                </c:pt>
              </c:strCache>
            </c:strRef>
          </c:tx>
          <c:spPr>
            <a:solidFill>
              <a:srgbClr val="CCCC00"/>
            </a:solidFill>
            <a:ln>
              <a:noFill/>
            </a:ln>
            <a:effectLst/>
          </c:spPr>
          <c:invertIfNegative val="0"/>
          <c:val>
            <c:numRef>
              <c:f>LCA!$I$115:$I$124</c:f>
              <c:numCache>
                <c:formatCode>0%</c:formatCode>
                <c:ptCount val="10"/>
                <c:pt idx="0">
                  <c:v>0.20223170875653074</c:v>
                </c:pt>
                <c:pt idx="1">
                  <c:v>0.10915005522239989</c:v>
                </c:pt>
                <c:pt idx="2">
                  <c:v>9.7783143773932921E-2</c:v>
                </c:pt>
                <c:pt idx="3">
                  <c:v>0.32615142308878425</c:v>
                </c:pt>
                <c:pt idx="4">
                  <c:v>0.2143566317539301</c:v>
                </c:pt>
                <c:pt idx="5">
                  <c:v>0.55233663448207626</c:v>
                </c:pt>
                <c:pt idx="6">
                  <c:v>1.0579297365596119E-2</c:v>
                </c:pt>
                <c:pt idx="7">
                  <c:v>0.21791470105468311</c:v>
                </c:pt>
                <c:pt idx="8">
                  <c:v>0.16390773654996746</c:v>
                </c:pt>
                <c:pt idx="9">
                  <c:v>0.35701256339207288</c:v>
                </c:pt>
              </c:numCache>
            </c:numRef>
          </c:val>
          <c:extLst>
            <c:ext xmlns:c16="http://schemas.microsoft.com/office/drawing/2014/chart" uri="{C3380CC4-5D6E-409C-BE32-E72D297353CC}">
              <c16:uniqueId val="{00000005-079A-4653-B8E6-379B90B6C687}"/>
            </c:ext>
          </c:extLst>
        </c:ser>
        <c:ser>
          <c:idx val="6"/>
          <c:order val="6"/>
          <c:tx>
            <c:strRef>
              <c:f>LCA!$J$114</c:f>
              <c:strCache>
                <c:ptCount val="1"/>
                <c:pt idx="0">
                  <c:v>Biosolid Land Application</c:v>
                </c:pt>
              </c:strCache>
            </c:strRef>
          </c:tx>
          <c:spPr>
            <a:solidFill>
              <a:srgbClr val="996633"/>
            </a:solidFill>
            <a:ln>
              <a:noFill/>
            </a:ln>
            <a:effectLst/>
          </c:spPr>
          <c:invertIfNegative val="0"/>
          <c:val>
            <c:numRef>
              <c:f>LCA!$J$115:$J$124</c:f>
              <c:numCache>
                <c:formatCode>0%</c:formatCode>
                <c:ptCount val="10"/>
                <c:pt idx="0">
                  <c:v>0.27495065468739843</c:v>
                </c:pt>
                <c:pt idx="1">
                  <c:v>0.10390563059025293</c:v>
                </c:pt>
                <c:pt idx="2">
                  <c:v>0.17438003474299618</c:v>
                </c:pt>
                <c:pt idx="3">
                  <c:v>0.51309478119597207</c:v>
                </c:pt>
                <c:pt idx="4">
                  <c:v>0.48739210707060043</c:v>
                </c:pt>
                <c:pt idx="5">
                  <c:v>0.11861878053271616</c:v>
                </c:pt>
                <c:pt idx="6">
                  <c:v>0.94869982109425466</c:v>
                </c:pt>
                <c:pt idx="7">
                  <c:v>2.9345523781186992E-2</c:v>
                </c:pt>
                <c:pt idx="8">
                  <c:v>0.772685115120055</c:v>
                </c:pt>
                <c:pt idx="9">
                  <c:v>0.13834642137928407</c:v>
                </c:pt>
              </c:numCache>
            </c:numRef>
          </c:val>
          <c:extLst>
            <c:ext xmlns:c16="http://schemas.microsoft.com/office/drawing/2014/chart" uri="{C3380CC4-5D6E-409C-BE32-E72D297353CC}">
              <c16:uniqueId val="{00000006-079A-4653-B8E6-379B90B6C687}"/>
            </c:ext>
          </c:extLst>
        </c:ser>
        <c:dLbls>
          <c:showLegendKey val="0"/>
          <c:showVal val="0"/>
          <c:showCatName val="0"/>
          <c:showSerName val="0"/>
          <c:showPercent val="0"/>
          <c:showBubbleSize val="0"/>
        </c:dLbls>
        <c:gapWidth val="150"/>
        <c:overlap val="100"/>
        <c:axId val="1873054144"/>
        <c:axId val="1873049344"/>
      </c:barChart>
      <c:catAx>
        <c:axId val="1873054144"/>
        <c:scaling>
          <c:orientation val="minMax"/>
        </c:scaling>
        <c:delete val="1"/>
        <c:axPos val="b"/>
        <c:numFmt formatCode="General" sourceLinked="1"/>
        <c:majorTickMark val="none"/>
        <c:minorTickMark val="none"/>
        <c:tickLblPos val="nextTo"/>
        <c:crossAx val="1873049344"/>
        <c:crosses val="autoZero"/>
        <c:auto val="1"/>
        <c:lblAlgn val="ctr"/>
        <c:lblOffset val="100"/>
        <c:noMultiLvlLbl val="0"/>
      </c:catAx>
      <c:valAx>
        <c:axId val="1873049344"/>
        <c:scaling>
          <c:orientation val="minMax"/>
          <c:max val="1"/>
        </c:scaling>
        <c:delete val="0"/>
        <c:axPos val="l"/>
        <c:majorGridlines>
          <c:spPr>
            <a:ln w="9525" cap="flat" cmpd="sng" algn="ctr">
              <a:solidFill>
                <a:schemeClr val="tx1"/>
              </a:solidFill>
              <a:round/>
            </a:ln>
            <a:effectLst/>
          </c:spPr>
        </c:majorGridlines>
        <c:numFmt formatCode="0%" sourceLinked="1"/>
        <c:majorTickMark val="cross"/>
        <c:minorTickMark val="none"/>
        <c:tickLblPos val="nextTo"/>
        <c:spPr>
          <a:noFill/>
          <a:ln>
            <a:solidFill>
              <a:schemeClr val="accent1">
                <a:shade val="15000"/>
              </a:schemeClr>
            </a:solid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Cond" panose="020B0506020202020204" pitchFamily="34" charset="0"/>
                <a:ea typeface="+mn-ea"/>
                <a:cs typeface="+mn-cs"/>
              </a:defRPr>
            </a:pPr>
            <a:endParaRPr lang="en-US"/>
          </a:p>
        </c:txPr>
        <c:crossAx val="1873054144"/>
        <c:crosses val="autoZero"/>
        <c:crossBetween val="between"/>
      </c:valAx>
      <c:spPr>
        <a:noFill/>
        <a:ln>
          <a:noFill/>
        </a:ln>
        <a:effectLst/>
      </c:spPr>
    </c:plotArea>
    <c:legend>
      <c:legendPos val="b"/>
      <c:layout>
        <c:manualLayout>
          <c:xMode val="edge"/>
          <c:yMode val="edge"/>
          <c:x val="0"/>
          <c:y val="0.83738904909526557"/>
          <c:w val="0.94045109350569833"/>
          <c:h val="0.1626109509047344"/>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noFill/>
      <a:round/>
    </a:ln>
    <a:effectLst/>
  </c:spPr>
  <c:txPr>
    <a:bodyPr/>
    <a:lstStyle/>
    <a:p>
      <a:pPr>
        <a:defRPr>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652174921433791E-2"/>
          <c:y val="0.32233654807931472"/>
          <c:w val="0.93264724641378594"/>
          <c:h val="0.33483339172552085"/>
        </c:manualLayout>
      </c:layout>
      <c:barChart>
        <c:barDir val="col"/>
        <c:grouping val="percentStacked"/>
        <c:varyColors val="0"/>
        <c:ser>
          <c:idx val="0"/>
          <c:order val="0"/>
          <c:tx>
            <c:strRef>
              <c:f>LCA!$D$209</c:f>
              <c:strCache>
                <c:ptCount val="1"/>
                <c:pt idx="0">
                  <c:v>Transportation</c:v>
                </c:pt>
              </c:strCache>
            </c:strRef>
          </c:tx>
          <c:spPr>
            <a:solidFill>
              <a:schemeClr val="tx1">
                <a:lumMod val="85000"/>
                <a:lumOff val="15000"/>
              </a:schemeClr>
            </a:solidFill>
            <a:ln>
              <a:noFill/>
            </a:ln>
            <a:effectLst/>
          </c:spPr>
          <c:invertIfNegative val="0"/>
          <c:val>
            <c:numRef>
              <c:f>LCA!$D$210:$D$219</c:f>
              <c:numCache>
                <c:formatCode>0.00E+00</c:formatCode>
                <c:ptCount val="10"/>
                <c:pt idx="0">
                  <c:v>6.9420664813072547E-2</c:v>
                </c:pt>
                <c:pt idx="1">
                  <c:v>0.20913790732002557</c:v>
                </c:pt>
                <c:pt idx="2">
                  <c:v>0.34389375573724001</c:v>
                </c:pt>
                <c:pt idx="3">
                  <c:v>9.2538621686458822E-2</c:v>
                </c:pt>
                <c:pt idx="4">
                  <c:v>5.7241709631489994E-2</c:v>
                </c:pt>
                <c:pt idx="5" formatCode="_(* #,##0.00_);_(* \(#,##0.00\);_(* &quot;-&quot;??_);_(@_)">
                  <c:v>0.46168843992787717</c:v>
                </c:pt>
                <c:pt idx="6">
                  <c:v>4.0603612027126312E-2</c:v>
                </c:pt>
                <c:pt idx="7">
                  <c:v>0.497897257050403</c:v>
                </c:pt>
                <c:pt idx="8">
                  <c:v>5.9829074138697327E-2</c:v>
                </c:pt>
                <c:pt idx="9">
                  <c:v>5.6145001590078035E-2</c:v>
                </c:pt>
              </c:numCache>
            </c:numRef>
          </c:val>
          <c:extLst>
            <c:ext xmlns:c16="http://schemas.microsoft.com/office/drawing/2014/chart" uri="{C3380CC4-5D6E-409C-BE32-E72D297353CC}">
              <c16:uniqueId val="{00000000-251A-4DC2-8D88-A18613007AF5}"/>
            </c:ext>
          </c:extLst>
        </c:ser>
        <c:ser>
          <c:idx val="1"/>
          <c:order val="1"/>
          <c:tx>
            <c:strRef>
              <c:f>LCA!$E$209</c:f>
              <c:strCache>
                <c:ptCount val="1"/>
                <c:pt idx="0">
                  <c:v>Grinders &amp; Feed Pumps</c:v>
                </c:pt>
              </c:strCache>
            </c:strRef>
          </c:tx>
          <c:spPr>
            <a:solidFill>
              <a:schemeClr val="accent2"/>
            </a:solidFill>
            <a:ln>
              <a:noFill/>
            </a:ln>
            <a:effectLst/>
          </c:spPr>
          <c:invertIfNegative val="0"/>
          <c:val>
            <c:numRef>
              <c:f>LCA!$E$210:$E$219</c:f>
              <c:numCache>
                <c:formatCode>0.00E+00</c:formatCode>
                <c:ptCount val="10"/>
                <c:pt idx="0">
                  <c:v>8.0695276070680679E-5</c:v>
                </c:pt>
                <c:pt idx="1">
                  <c:v>2.1118321037710396E-3</c:v>
                </c:pt>
                <c:pt idx="2">
                  <c:v>2.1644616919751039E-3</c:v>
                </c:pt>
                <c:pt idx="3">
                  <c:v>1.0684985071821352E-3</c:v>
                </c:pt>
                <c:pt idx="4">
                  <c:v>3.4093963723959902E-5</c:v>
                </c:pt>
                <c:pt idx="5" formatCode="_(* #,##0.00_);_(* \(#,##0.00\);_(* &quot;-&quot;??_);_(@_)">
                  <c:v>3.7073955072643942E-4</c:v>
                </c:pt>
                <c:pt idx="6">
                  <c:v>2.7918505286628214E-4</c:v>
                </c:pt>
                <c:pt idx="7">
                  <c:v>4.856275573571134E-4</c:v>
                </c:pt>
                <c:pt idx="8">
                  <c:v>9.8575041246568929E-5</c:v>
                </c:pt>
                <c:pt idx="9">
                  <c:v>3.286785725189761E-5</c:v>
                </c:pt>
              </c:numCache>
            </c:numRef>
          </c:val>
          <c:extLst>
            <c:ext xmlns:c16="http://schemas.microsoft.com/office/drawing/2014/chart" uri="{C3380CC4-5D6E-409C-BE32-E72D297353CC}">
              <c16:uniqueId val="{00000001-251A-4DC2-8D88-A18613007AF5}"/>
            </c:ext>
          </c:extLst>
        </c:ser>
        <c:ser>
          <c:idx val="2"/>
          <c:order val="2"/>
          <c:tx>
            <c:strRef>
              <c:f>LCA!$F$209</c:f>
              <c:strCache>
                <c:ptCount val="1"/>
                <c:pt idx="0">
                  <c:v>Ion Exchange Membranes</c:v>
                </c:pt>
              </c:strCache>
            </c:strRef>
          </c:tx>
          <c:spPr>
            <a:solidFill>
              <a:srgbClr val="F4EE00"/>
            </a:solidFill>
            <a:ln>
              <a:noFill/>
            </a:ln>
            <a:effectLst/>
          </c:spPr>
          <c:invertIfNegative val="0"/>
          <c:val>
            <c:numRef>
              <c:f>LCA!$F$210:$F$219</c:f>
              <c:numCache>
                <c:formatCode>0.00E+00</c:formatCode>
                <c:ptCount val="10"/>
                <c:pt idx="0">
                  <c:v>2.5311381392775605E-4</c:v>
                </c:pt>
                <c:pt idx="1">
                  <c:v>7.559326847133359E-4</c:v>
                </c:pt>
                <c:pt idx="2">
                  <c:v>1.0560824295586858E-3</c:v>
                </c:pt>
                <c:pt idx="3">
                  <c:v>1.1242931581803949E-3</c:v>
                </c:pt>
                <c:pt idx="4">
                  <c:v>8.8994909410804781E-5</c:v>
                </c:pt>
                <c:pt idx="5" formatCode="_(* #,##0.00_);_(* \(#,##0.00\);_(* &quot;-&quot;??_);_(@_)">
                  <c:v>1.9198139695626062E-3</c:v>
                </c:pt>
                <c:pt idx="6">
                  <c:v>2.1007340445515965E-4</c:v>
                </c:pt>
                <c:pt idx="7">
                  <c:v>5.7526020620055291E-4</c:v>
                </c:pt>
                <c:pt idx="8">
                  <c:v>2.3712065692725956E-4</c:v>
                </c:pt>
                <c:pt idx="9">
                  <c:v>8.6968933310696724E-5</c:v>
                </c:pt>
              </c:numCache>
            </c:numRef>
          </c:val>
          <c:extLst>
            <c:ext xmlns:c16="http://schemas.microsoft.com/office/drawing/2014/chart" uri="{C3380CC4-5D6E-409C-BE32-E72D297353CC}">
              <c16:uniqueId val="{00000002-251A-4DC2-8D88-A18613007AF5}"/>
            </c:ext>
          </c:extLst>
        </c:ser>
        <c:ser>
          <c:idx val="3"/>
          <c:order val="3"/>
          <c:tx>
            <c:strRef>
              <c:f>LCA!$G$209</c:f>
              <c:strCache>
                <c:ptCount val="1"/>
                <c:pt idx="0">
                  <c:v>Reactor Equipment</c:v>
                </c:pt>
              </c:strCache>
            </c:strRef>
          </c:tx>
          <c:spPr>
            <a:solidFill>
              <a:schemeClr val="accent4"/>
            </a:solidFill>
            <a:ln>
              <a:noFill/>
            </a:ln>
            <a:effectLst/>
          </c:spPr>
          <c:invertIfNegative val="0"/>
          <c:val>
            <c:numRef>
              <c:f>LCA!$G$210:$G$219</c:f>
              <c:numCache>
                <c:formatCode>0.00E+00</c:formatCode>
                <c:ptCount val="10"/>
                <c:pt idx="0">
                  <c:v>2.927619273546627E-3</c:v>
                </c:pt>
                <c:pt idx="1">
                  <c:v>5.5452349186640687E-2</c:v>
                </c:pt>
                <c:pt idx="2">
                  <c:v>7.3893100622931041E-5</c:v>
                </c:pt>
                <c:pt idx="3">
                  <c:v>1.4055808581363514E-2</c:v>
                </c:pt>
                <c:pt idx="4">
                  <c:v>1.493348235908775E-3</c:v>
                </c:pt>
                <c:pt idx="5" formatCode="_(* #,##0.00_);_(* \(#,##0.00\);_(* &quot;-&quot;??_);_(@_)">
                  <c:v>1.4984608606062251E-2</c:v>
                </c:pt>
                <c:pt idx="6">
                  <c:v>3.8569759957015688E-3</c:v>
                </c:pt>
                <c:pt idx="7">
                  <c:v>5.9360008190150375E-3</c:v>
                </c:pt>
                <c:pt idx="8">
                  <c:v>3.7353955491909005E-3</c:v>
                </c:pt>
                <c:pt idx="9">
                  <c:v>1.473998750829563E-3</c:v>
                </c:pt>
              </c:numCache>
            </c:numRef>
          </c:val>
          <c:extLst>
            <c:ext xmlns:c16="http://schemas.microsoft.com/office/drawing/2014/chart" uri="{C3380CC4-5D6E-409C-BE32-E72D297353CC}">
              <c16:uniqueId val="{00000003-251A-4DC2-8D88-A18613007AF5}"/>
            </c:ext>
          </c:extLst>
        </c:ser>
        <c:ser>
          <c:idx val="4"/>
          <c:order val="4"/>
          <c:tx>
            <c:strRef>
              <c:f>LCA!$H$209</c:f>
              <c:strCache>
                <c:ptCount val="1"/>
                <c:pt idx="0">
                  <c:v>Filtration</c:v>
                </c:pt>
              </c:strCache>
            </c:strRef>
          </c:tx>
          <c:spPr>
            <a:solidFill>
              <a:schemeClr val="accent1">
                <a:lumMod val="40000"/>
                <a:lumOff val="60000"/>
              </a:schemeClr>
            </a:solidFill>
            <a:ln>
              <a:noFill/>
            </a:ln>
            <a:effectLst/>
          </c:spPr>
          <c:invertIfNegative val="0"/>
          <c:val>
            <c:numRef>
              <c:f>LCA!$H$210:$H$219</c:f>
              <c:numCache>
                <c:formatCode>0.00E+00</c:formatCode>
                <c:ptCount val="10"/>
                <c:pt idx="0">
                  <c:v>1.1956998621230544E-2</c:v>
                </c:pt>
                <c:pt idx="1">
                  <c:v>3.5936794666046025E-2</c:v>
                </c:pt>
                <c:pt idx="2">
                  <c:v>5.0131956798583684E-2</c:v>
                </c:pt>
                <c:pt idx="3">
                  <c:v>5.3210037762125156E-2</c:v>
                </c:pt>
                <c:pt idx="4">
                  <c:v>4.2049133518014155E-3</c:v>
                </c:pt>
                <c:pt idx="5" formatCode="_(* #,##0.00_);_(* \(#,##0.00\);_(* &quot;-&quot;??_);_(@_)">
                  <c:v>9.0708013601931065E-2</c:v>
                </c:pt>
                <c:pt idx="6">
                  <c:v>9.9521527628891639E-3</c:v>
                </c:pt>
                <c:pt idx="7">
                  <c:v>0.24847755046001593</c:v>
                </c:pt>
                <c:pt idx="8">
                  <c:v>1.1204012505980354E-2</c:v>
                </c:pt>
                <c:pt idx="9">
                  <c:v>4.1091356545630451E-3</c:v>
                </c:pt>
              </c:numCache>
            </c:numRef>
          </c:val>
          <c:extLst>
            <c:ext xmlns:c16="http://schemas.microsoft.com/office/drawing/2014/chart" uri="{C3380CC4-5D6E-409C-BE32-E72D297353CC}">
              <c16:uniqueId val="{00000004-251A-4DC2-8D88-A18613007AF5}"/>
            </c:ext>
          </c:extLst>
        </c:ser>
        <c:ser>
          <c:idx val="5"/>
          <c:order val="5"/>
          <c:tx>
            <c:strRef>
              <c:f>LCA!$I$209</c:f>
              <c:strCache>
                <c:ptCount val="1"/>
                <c:pt idx="0">
                  <c:v>Electrodes</c:v>
                </c:pt>
              </c:strCache>
            </c:strRef>
          </c:tx>
          <c:spPr>
            <a:solidFill>
              <a:schemeClr val="accent6"/>
            </a:solidFill>
            <a:ln>
              <a:noFill/>
            </a:ln>
            <a:effectLst/>
          </c:spPr>
          <c:invertIfNegative val="0"/>
          <c:val>
            <c:numRef>
              <c:f>LCA!$I$210:$I$219</c:f>
              <c:numCache>
                <c:formatCode>0.00E+00</c:formatCode>
                <c:ptCount val="10"/>
                <c:pt idx="0">
                  <c:v>1.7513054965533441E-3</c:v>
                </c:pt>
                <c:pt idx="1">
                  <c:v>4.1942322671982965E-3</c:v>
                </c:pt>
                <c:pt idx="2">
                  <c:v>3.0941246238105251E-3</c:v>
                </c:pt>
                <c:pt idx="3">
                  <c:v>1.7529755826696536E-3</c:v>
                </c:pt>
                <c:pt idx="4">
                  <c:v>6.6148194305982284E-4</c:v>
                </c:pt>
                <c:pt idx="5" formatCode="_(* #,##0.00_);_(* \(#,##0.00\);_(* &quot;-&quot;??_);_(@_)">
                  <c:v>1.3083463858423074E-2</c:v>
                </c:pt>
                <c:pt idx="6">
                  <c:v>5.2137099563422042E-4</c:v>
                </c:pt>
                <c:pt idx="7">
                  <c:v>1.4755738747534783E-2</c:v>
                </c:pt>
                <c:pt idx="8">
                  <c:v>1.6063511720541977E-3</c:v>
                </c:pt>
                <c:pt idx="9">
                  <c:v>6.5330308069080868E-4</c:v>
                </c:pt>
              </c:numCache>
            </c:numRef>
          </c:val>
          <c:extLst>
            <c:ext xmlns:c16="http://schemas.microsoft.com/office/drawing/2014/chart" uri="{C3380CC4-5D6E-409C-BE32-E72D297353CC}">
              <c16:uniqueId val="{00000005-251A-4DC2-8D88-A18613007AF5}"/>
            </c:ext>
          </c:extLst>
        </c:ser>
        <c:ser>
          <c:idx val="6"/>
          <c:order val="6"/>
          <c:tx>
            <c:strRef>
              <c:f>LCA!$J$209</c:f>
              <c:strCache>
                <c:ptCount val="1"/>
                <c:pt idx="0">
                  <c:v>Heat Exchangers</c:v>
                </c:pt>
              </c:strCache>
            </c:strRef>
          </c:tx>
          <c:spPr>
            <a:solidFill>
              <a:srgbClr val="CC6600"/>
            </a:solidFill>
            <a:ln>
              <a:noFill/>
            </a:ln>
            <a:effectLst/>
          </c:spPr>
          <c:invertIfNegative val="0"/>
          <c:val>
            <c:numRef>
              <c:f>LCA!$J$210:$J$219</c:f>
              <c:numCache>
                <c:formatCode>0.00E+00</c:formatCode>
                <c:ptCount val="10"/>
                <c:pt idx="0">
                  <c:v>1.9940876551757409E-5</c:v>
                </c:pt>
                <c:pt idx="1">
                  <c:v>1.4566972562360755E-4</c:v>
                </c:pt>
                <c:pt idx="2">
                  <c:v>1.151934443725647E-4</c:v>
                </c:pt>
                <c:pt idx="3">
                  <c:v>5.7997097576453123E-5</c:v>
                </c:pt>
                <c:pt idx="4">
                  <c:v>7.0221290525133308E-6</c:v>
                </c:pt>
                <c:pt idx="5" formatCode="_(* #,##0.00_);_(* \(#,##0.00\);_(* &quot;-&quot;??_);_(@_)">
                  <c:v>4.064827262045996E-5</c:v>
                </c:pt>
                <c:pt idx="6">
                  <c:v>1.8184952169464223E-5</c:v>
                </c:pt>
                <c:pt idx="7">
                  <c:v>2.3647122377458562E-5</c:v>
                </c:pt>
                <c:pt idx="8">
                  <c:v>1.0152497496089553E-5</c:v>
                </c:pt>
                <c:pt idx="9">
                  <c:v>3.3637073815412173E-6</c:v>
                </c:pt>
              </c:numCache>
            </c:numRef>
          </c:val>
          <c:extLst>
            <c:ext xmlns:c16="http://schemas.microsoft.com/office/drawing/2014/chart" uri="{C3380CC4-5D6E-409C-BE32-E72D297353CC}">
              <c16:uniqueId val="{00000006-251A-4DC2-8D88-A18613007AF5}"/>
            </c:ext>
          </c:extLst>
        </c:ser>
        <c:ser>
          <c:idx val="7"/>
          <c:order val="7"/>
          <c:tx>
            <c:strRef>
              <c:f>LCA!$K$209</c:f>
              <c:strCache>
                <c:ptCount val="1"/>
                <c:pt idx="0">
                  <c:v>Seperation Columns and Equipment</c:v>
                </c:pt>
              </c:strCache>
            </c:strRef>
          </c:tx>
          <c:spPr>
            <a:solidFill>
              <a:schemeClr val="accent3">
                <a:lumMod val="75000"/>
              </a:schemeClr>
            </a:solidFill>
            <a:ln>
              <a:noFill/>
            </a:ln>
            <a:effectLst/>
          </c:spPr>
          <c:invertIfNegative val="0"/>
          <c:val>
            <c:numRef>
              <c:f>LCA!$K$210:$K$219</c:f>
              <c:numCache>
                <c:formatCode>0.00E+00</c:formatCode>
                <c:ptCount val="10"/>
                <c:pt idx="0">
                  <c:v>1.8708178613509301E-2</c:v>
                </c:pt>
                <c:pt idx="1">
                  <c:v>0.50057343271545007</c:v>
                </c:pt>
                <c:pt idx="2">
                  <c:v>0.41099207678235611</c:v>
                </c:pt>
                <c:pt idx="3">
                  <c:v>0.14399859960097366</c:v>
                </c:pt>
                <c:pt idx="4">
                  <c:v>4.8917162695705065E-3</c:v>
                </c:pt>
                <c:pt idx="5" formatCode="_(* #,##0.00_);_(* \(#,##0.00\);_(* &quot;-&quot;??_);_(@_)">
                  <c:v>0.20614578800325262</c:v>
                </c:pt>
                <c:pt idx="6">
                  <c:v>5.1699416409799394E-2</c:v>
                </c:pt>
                <c:pt idx="7">
                  <c:v>3.400829878601476E-2</c:v>
                </c:pt>
                <c:pt idx="8">
                  <c:v>1.6131775246980434E-2</c:v>
                </c:pt>
                <c:pt idx="9">
                  <c:v>4.6499016706609509E-3</c:v>
                </c:pt>
              </c:numCache>
            </c:numRef>
          </c:val>
          <c:extLst>
            <c:ext xmlns:c16="http://schemas.microsoft.com/office/drawing/2014/chart" uri="{C3380CC4-5D6E-409C-BE32-E72D297353CC}">
              <c16:uniqueId val="{00000007-251A-4DC2-8D88-A18613007AF5}"/>
            </c:ext>
          </c:extLst>
        </c:ser>
        <c:ser>
          <c:idx val="8"/>
          <c:order val="8"/>
          <c:tx>
            <c:strRef>
              <c:f>LCA!$L$209</c:f>
              <c:strCache>
                <c:ptCount val="1"/>
                <c:pt idx="0">
                  <c:v>Catalysts</c:v>
                </c:pt>
              </c:strCache>
            </c:strRef>
          </c:tx>
          <c:spPr>
            <a:solidFill>
              <a:srgbClr val="D86ECC"/>
            </a:solidFill>
            <a:ln>
              <a:noFill/>
            </a:ln>
            <a:effectLst/>
          </c:spPr>
          <c:invertIfNegative val="0"/>
          <c:val>
            <c:numRef>
              <c:f>LCA!$L$210:$L$219</c:f>
              <c:numCache>
                <c:formatCode>0.00E+00</c:formatCode>
                <c:ptCount val="10"/>
                <c:pt idx="0">
                  <c:v>6.1988209932732714E-5</c:v>
                </c:pt>
                <c:pt idx="1">
                  <c:v>3.7908728964188597E-5</c:v>
                </c:pt>
                <c:pt idx="2">
                  <c:v>1.7559254834325342E-4</c:v>
                </c:pt>
                <c:pt idx="3">
                  <c:v>9.729408856752142E-5</c:v>
                </c:pt>
                <c:pt idx="4">
                  <c:v>1.3597010006006832E-5</c:v>
                </c:pt>
                <c:pt idx="5" formatCode="_(* #,##0.00_);_(* \(#,##0.00\);_(* &quot;-&quot;??_);_(@_)">
                  <c:v>2.9349112961187889E-5</c:v>
                </c:pt>
                <c:pt idx="6">
                  <c:v>7.5491748286132872E-5</c:v>
                </c:pt>
                <c:pt idx="7">
                  <c:v>6.4344370938959266E-6</c:v>
                </c:pt>
                <c:pt idx="8">
                  <c:v>1.5500954708196387E-5</c:v>
                </c:pt>
                <c:pt idx="9">
                  <c:v>1.204314754203411E-5</c:v>
                </c:pt>
              </c:numCache>
            </c:numRef>
          </c:val>
          <c:extLst>
            <c:ext xmlns:c16="http://schemas.microsoft.com/office/drawing/2014/chart" uri="{C3380CC4-5D6E-409C-BE32-E72D297353CC}">
              <c16:uniqueId val="{00000008-251A-4DC2-8D88-A18613007AF5}"/>
            </c:ext>
          </c:extLst>
        </c:ser>
        <c:ser>
          <c:idx val="9"/>
          <c:order val="9"/>
          <c:tx>
            <c:strRef>
              <c:f>LCA!$M$209</c:f>
              <c:strCache>
                <c:ptCount val="1"/>
                <c:pt idx="0">
                  <c:v>Electricity</c:v>
                </c:pt>
              </c:strCache>
            </c:strRef>
          </c:tx>
          <c:spPr>
            <a:solidFill>
              <a:srgbClr val="CCCC00"/>
            </a:solidFill>
            <a:ln>
              <a:noFill/>
            </a:ln>
            <a:effectLst/>
          </c:spPr>
          <c:invertIfNegative val="0"/>
          <c:val>
            <c:numRef>
              <c:f>LCA!$M$210:$M$219</c:f>
              <c:numCache>
                <c:formatCode>0.00E+00</c:formatCode>
                <c:ptCount val="10"/>
                <c:pt idx="0">
                  <c:v>8.9887647072743118E-3</c:v>
                </c:pt>
                <c:pt idx="1">
                  <c:v>7.5140921451631398E-2</c:v>
                </c:pt>
                <c:pt idx="2">
                  <c:v>5.0349335096307679E-2</c:v>
                </c:pt>
                <c:pt idx="3">
                  <c:v>0.28616983334335794</c:v>
                </c:pt>
                <c:pt idx="4">
                  <c:v>4.9184081144565094E-3</c:v>
                </c:pt>
                <c:pt idx="5" formatCode="_(* #,##0.00_);_(* \(#,##0.00\);_(* &quot;-&quot;??_);_(@_)">
                  <c:v>0.12519323982382313</c:v>
                </c:pt>
                <c:pt idx="6">
                  <c:v>1.4001991730036106E-2</c:v>
                </c:pt>
                <c:pt idx="7">
                  <c:v>1.3356666324276992E-2</c:v>
                </c:pt>
                <c:pt idx="8">
                  <c:v>5.3555445645834247E-2</c:v>
                </c:pt>
                <c:pt idx="9">
                  <c:v>4.6672787465200406E-3</c:v>
                </c:pt>
              </c:numCache>
            </c:numRef>
          </c:val>
          <c:extLst>
            <c:ext xmlns:c16="http://schemas.microsoft.com/office/drawing/2014/chart" uri="{C3380CC4-5D6E-409C-BE32-E72D297353CC}">
              <c16:uniqueId val="{00000009-251A-4DC2-8D88-A18613007AF5}"/>
            </c:ext>
          </c:extLst>
        </c:ser>
        <c:ser>
          <c:idx val="10"/>
          <c:order val="10"/>
          <c:tx>
            <c:strRef>
              <c:f>LCA!$N$209</c:f>
              <c:strCache>
                <c:ptCount val="1"/>
                <c:pt idx="0">
                  <c:v>Other Operations</c:v>
                </c:pt>
              </c:strCache>
            </c:strRef>
          </c:tx>
          <c:spPr>
            <a:solidFill>
              <a:srgbClr val="9999FF"/>
            </a:solidFill>
            <a:ln>
              <a:noFill/>
            </a:ln>
            <a:effectLst/>
          </c:spPr>
          <c:invertIfNegative val="0"/>
          <c:val>
            <c:numRef>
              <c:f>LCA!$N$210:$N$219</c:f>
              <c:numCache>
                <c:formatCode>0.00E+00</c:formatCode>
                <c:ptCount val="10"/>
                <c:pt idx="0">
                  <c:v>2.389563005258024E-2</c:v>
                </c:pt>
                <c:pt idx="1">
                  <c:v>8.3707286377871407E-2</c:v>
                </c:pt>
                <c:pt idx="2">
                  <c:v>9.883390108882445E-2</c:v>
                </c:pt>
                <c:pt idx="3">
                  <c:v>0.35767835331965747</c:v>
                </c:pt>
                <c:pt idx="4">
                  <c:v>1.5688462005635881E-2</c:v>
                </c:pt>
                <c:pt idx="5" formatCode="_(* #,##0.00_);_(* \(#,##0.00\);_(* &quot;-&quot;??_);_(@_)">
                  <c:v>8.466054317309786E-2</c:v>
                </c:pt>
                <c:pt idx="6">
                  <c:v>0.85439349072414339</c:v>
                </c:pt>
                <c:pt idx="7">
                  <c:v>3.5135500418992882E-2</c:v>
                </c:pt>
                <c:pt idx="8">
                  <c:v>0.17851616795209432</c:v>
                </c:pt>
                <c:pt idx="9">
                  <c:v>5.9445986346815171E-3</c:v>
                </c:pt>
              </c:numCache>
            </c:numRef>
          </c:val>
          <c:extLst>
            <c:ext xmlns:c16="http://schemas.microsoft.com/office/drawing/2014/chart" uri="{C3380CC4-5D6E-409C-BE32-E72D297353CC}">
              <c16:uniqueId val="{0000000A-251A-4DC2-8D88-A18613007AF5}"/>
            </c:ext>
          </c:extLst>
        </c:ser>
        <c:ser>
          <c:idx val="11"/>
          <c:order val="11"/>
          <c:tx>
            <c:strRef>
              <c:f>LCA!$O$209</c:f>
              <c:strCache>
                <c:ptCount val="1"/>
                <c:pt idx="0">
                  <c:v>Fuel Combustion</c:v>
                </c:pt>
              </c:strCache>
            </c:strRef>
          </c:tx>
          <c:spPr>
            <a:solidFill>
              <a:schemeClr val="accent2">
                <a:lumMod val="75000"/>
              </a:schemeClr>
            </a:solidFill>
            <a:ln>
              <a:noFill/>
            </a:ln>
            <a:effectLst/>
          </c:spPr>
          <c:invertIfNegative val="0"/>
          <c:val>
            <c:numRef>
              <c:f>LCA!$O$210:$O$219</c:f>
              <c:numCache>
                <c:formatCode>_(* #,##0.00_);_(* \(#,##0.00\);_(* "-"??_);_(@_)</c:formatCode>
                <c:ptCount val="10"/>
                <c:pt idx="0">
                  <c:v>0.86169012867108197</c:v>
                </c:pt>
                <c:pt idx="1">
                  <c:v>3.0796373651614539E-2</c:v>
                </c:pt>
                <c:pt idx="2">
                  <c:v>3.7245266682560667E-2</c:v>
                </c:pt>
                <c:pt idx="3">
                  <c:v>1.3771304351521524E-2</c:v>
                </c:pt>
                <c:pt idx="4">
                  <c:v>0.90967672849621939</c:v>
                </c:pt>
                <c:pt idx="5" formatCode="0%">
                  <c:v>0</c:v>
                </c:pt>
                <c:pt idx="6">
                  <c:v>1.2215206050574853E-2</c:v>
                </c:pt>
                <c:pt idx="7">
                  <c:v>0.14896443686791558</c:v>
                </c:pt>
                <c:pt idx="8">
                  <c:v>0.67491655887879876</c:v>
                </c:pt>
                <c:pt idx="9">
                  <c:v>0.92211358299545354</c:v>
                </c:pt>
              </c:numCache>
            </c:numRef>
          </c:val>
          <c:extLst>
            <c:ext xmlns:c16="http://schemas.microsoft.com/office/drawing/2014/chart" uri="{C3380CC4-5D6E-409C-BE32-E72D297353CC}">
              <c16:uniqueId val="{0000000B-251A-4DC2-8D88-A18613007AF5}"/>
            </c:ext>
          </c:extLst>
        </c:ser>
        <c:ser>
          <c:idx val="12"/>
          <c:order val="12"/>
          <c:tx>
            <c:strRef>
              <c:f>LCA!$P$209</c:f>
              <c:strCache>
                <c:ptCount val="1"/>
                <c:pt idx="0">
                  <c:v>Land Use</c:v>
                </c:pt>
              </c:strCache>
            </c:strRef>
          </c:tx>
          <c:spPr>
            <a:solidFill>
              <a:schemeClr val="accent3"/>
            </a:solidFill>
            <a:ln>
              <a:noFill/>
            </a:ln>
            <a:effectLst/>
          </c:spPr>
          <c:invertIfNegative val="0"/>
          <c:val>
            <c:numRef>
              <c:f>LCA!$P$210:$P$219</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C-251A-4DC2-8D88-A18613007AF5}"/>
            </c:ext>
          </c:extLst>
        </c:ser>
        <c:dLbls>
          <c:showLegendKey val="0"/>
          <c:showVal val="0"/>
          <c:showCatName val="0"/>
          <c:showSerName val="0"/>
          <c:showPercent val="0"/>
          <c:showBubbleSize val="0"/>
        </c:dLbls>
        <c:gapWidth val="150"/>
        <c:overlap val="100"/>
        <c:axId val="1873054144"/>
        <c:axId val="1873049344"/>
      </c:barChart>
      <c:catAx>
        <c:axId val="1873054144"/>
        <c:scaling>
          <c:orientation val="minMax"/>
        </c:scaling>
        <c:delete val="1"/>
        <c:axPos val="b"/>
        <c:numFmt formatCode="General" sourceLinked="1"/>
        <c:majorTickMark val="none"/>
        <c:minorTickMark val="none"/>
        <c:tickLblPos val="nextTo"/>
        <c:crossAx val="1873049344"/>
        <c:crosses val="autoZero"/>
        <c:auto val="1"/>
        <c:lblAlgn val="ctr"/>
        <c:lblOffset val="100"/>
        <c:noMultiLvlLbl val="0"/>
      </c:catAx>
      <c:valAx>
        <c:axId val="1873049344"/>
        <c:scaling>
          <c:orientation val="minMax"/>
          <c:max val="1"/>
        </c:scaling>
        <c:delete val="0"/>
        <c:axPos val="l"/>
        <c:majorGridlines>
          <c:spPr>
            <a:ln w="9525" cap="flat" cmpd="sng" algn="ctr">
              <a:solidFill>
                <a:schemeClr val="tx1"/>
              </a:solidFill>
              <a:round/>
            </a:ln>
            <a:effectLst/>
          </c:spPr>
        </c:majorGridlines>
        <c:numFmt formatCode="0%" sourceLinked="1"/>
        <c:majorTickMark val="cross"/>
        <c:minorTickMark val="none"/>
        <c:tickLblPos val="nextTo"/>
        <c:spPr>
          <a:noFill/>
          <a:ln>
            <a:solidFill>
              <a:schemeClr val="accent1">
                <a:shade val="15000"/>
              </a:schemeClr>
            </a:solid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Cond" panose="020B0506020202020204" pitchFamily="34" charset="0"/>
                <a:ea typeface="+mn-ea"/>
                <a:cs typeface="+mn-cs"/>
              </a:defRPr>
            </a:pPr>
            <a:endParaRPr lang="en-US"/>
          </a:p>
        </c:txPr>
        <c:crossAx val="1873054144"/>
        <c:crosses val="autoZero"/>
        <c:crossBetween val="between"/>
      </c:valAx>
      <c:spPr>
        <a:noFill/>
        <a:ln>
          <a:noFill/>
        </a:ln>
        <a:effectLst/>
      </c:spPr>
    </c:plotArea>
    <c:legend>
      <c:legendPos val="b"/>
      <c:layout>
        <c:manualLayout>
          <c:xMode val="edge"/>
          <c:yMode val="edge"/>
          <c:x val="1.1395200417109803E-2"/>
          <c:y val="0.83738911209129652"/>
          <c:w val="0.98860483980116354"/>
          <c:h val="0.1626109412302394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noFill/>
      <a:round/>
    </a:ln>
    <a:effectLst/>
  </c:spPr>
  <c:txPr>
    <a:bodyPr/>
    <a:lstStyle/>
    <a:p>
      <a:pPr>
        <a:defRPr>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071447498811206"/>
          <c:y val="0.1206297472177963"/>
          <c:w val="0.83965428808839293"/>
          <c:h val="0.62610493243644938"/>
        </c:manualLayout>
      </c:layout>
      <c:barChart>
        <c:barDir val="col"/>
        <c:grouping val="stacked"/>
        <c:varyColors val="0"/>
        <c:ser>
          <c:idx val="5"/>
          <c:order val="0"/>
          <c:tx>
            <c:strRef>
              <c:f>LCA!$A$708</c:f>
              <c:strCache>
                <c:ptCount val="1"/>
                <c:pt idx="0">
                  <c:v>Proposed Fuel</c:v>
                </c:pt>
              </c:strCache>
            </c:strRef>
          </c:tx>
          <c:spPr>
            <a:solidFill>
              <a:schemeClr val="accent6"/>
            </a:solidFill>
            <a:ln>
              <a:noFill/>
            </a:ln>
            <a:effectLst/>
          </c:spPr>
          <c:invertIfNegative val="0"/>
          <c:cat>
            <c:strRef>
              <c:f>LCA!$B$707:$H$707</c:f>
              <c:strCache>
                <c:ptCount val="7"/>
                <c:pt idx="0">
                  <c:v>Conventional Fuel =</c:v>
                </c:pt>
                <c:pt idx="1">
                  <c:v>Proposed - No Credits =</c:v>
                </c:pt>
                <c:pt idx="2">
                  <c:v>Proposed - Industrial Composting Credit =</c:v>
                </c:pt>
                <c:pt idx="3">
                  <c:v>Proposed - Anaerobic Digestion Credit =</c:v>
                </c:pt>
                <c:pt idx="4">
                  <c:v>Proposed - Municipal Incineration Credit =</c:v>
                </c:pt>
                <c:pt idx="5">
                  <c:v>Proposed - Sanitary Landfill =</c:v>
                </c:pt>
                <c:pt idx="6">
                  <c:v>Proposed - Open Pit Landfill Credit =</c:v>
                </c:pt>
              </c:strCache>
            </c:strRef>
          </c:cat>
          <c:val>
            <c:numRef>
              <c:f>LCA!$B$708:$H$708</c:f>
              <c:numCache>
                <c:formatCode>_(* #,##0.00_);_(* \(#,##0.00\);_(* "-"??_);_(@_)</c:formatCode>
                <c:ptCount val="7"/>
                <c:pt idx="0">
                  <c:v>0</c:v>
                </c:pt>
                <c:pt idx="1">
                  <c:v>1.4889452844216196E-2</c:v>
                </c:pt>
                <c:pt idx="2">
                  <c:v>1.4889452844216196E-2</c:v>
                </c:pt>
                <c:pt idx="3">
                  <c:v>1.4889452844216196E-2</c:v>
                </c:pt>
                <c:pt idx="4">
                  <c:v>1.4889452844216196E-2</c:v>
                </c:pt>
                <c:pt idx="5">
                  <c:v>1.4889452844216196E-2</c:v>
                </c:pt>
                <c:pt idx="6">
                  <c:v>1.4889452844216196E-2</c:v>
                </c:pt>
              </c:numCache>
            </c:numRef>
          </c:val>
          <c:extLst>
            <c:ext xmlns:c16="http://schemas.microsoft.com/office/drawing/2014/chart" uri="{C3380CC4-5D6E-409C-BE32-E72D297353CC}">
              <c16:uniqueId val="{00000000-EF30-4BDA-B8B3-240B5287BABD}"/>
            </c:ext>
          </c:extLst>
        </c:ser>
        <c:ser>
          <c:idx val="0"/>
          <c:order val="1"/>
          <c:tx>
            <c:strRef>
              <c:f>LCA!$A$709</c:f>
              <c:strCache>
                <c:ptCount val="1"/>
                <c:pt idx="0">
                  <c:v>Carbon Credit</c:v>
                </c:pt>
              </c:strCache>
            </c:strRef>
          </c:tx>
          <c:spPr>
            <a:solidFill>
              <a:schemeClr val="accent1"/>
            </a:solidFill>
            <a:ln>
              <a:noFill/>
            </a:ln>
            <a:effectLst/>
          </c:spPr>
          <c:invertIfNegative val="0"/>
          <c:cat>
            <c:strRef>
              <c:f>LCA!$B$707:$H$707</c:f>
              <c:strCache>
                <c:ptCount val="7"/>
                <c:pt idx="0">
                  <c:v>Conventional Fuel =</c:v>
                </c:pt>
                <c:pt idx="1">
                  <c:v>Proposed - No Credits =</c:v>
                </c:pt>
                <c:pt idx="2">
                  <c:v>Proposed - Industrial Composting Credit =</c:v>
                </c:pt>
                <c:pt idx="3">
                  <c:v>Proposed - Anaerobic Digestion Credit =</c:v>
                </c:pt>
                <c:pt idx="4">
                  <c:v>Proposed - Municipal Incineration Credit =</c:v>
                </c:pt>
                <c:pt idx="5">
                  <c:v>Proposed - Sanitary Landfill =</c:v>
                </c:pt>
                <c:pt idx="6">
                  <c:v>Proposed - Open Pit Landfill Credit =</c:v>
                </c:pt>
              </c:strCache>
            </c:strRef>
          </c:cat>
          <c:val>
            <c:numRef>
              <c:f>LCA!$B$709:$H$709</c:f>
              <c:numCache>
                <c:formatCode>_(* #,##0.00_);_(* \(#,##0.00\);_(* "-"??_);_(@_)</c:formatCode>
                <c:ptCount val="7"/>
                <c:pt idx="0">
                  <c:v>0</c:v>
                </c:pt>
                <c:pt idx="1">
                  <c:v>0</c:v>
                </c:pt>
                <c:pt idx="2">
                  <c:v>-3.9754838527050598E-2</c:v>
                </c:pt>
                <c:pt idx="3">
                  <c:v>-7.6000638561939587E-2</c:v>
                </c:pt>
                <c:pt idx="4">
                  <c:v>-2.8728469606558994E-2</c:v>
                </c:pt>
                <c:pt idx="5">
                  <c:v>-9.390719542031449E-2</c:v>
                </c:pt>
                <c:pt idx="6">
                  <c:v>-0.35449847401301099</c:v>
                </c:pt>
              </c:numCache>
            </c:numRef>
          </c:val>
          <c:extLst>
            <c:ext xmlns:c16="http://schemas.microsoft.com/office/drawing/2014/chart" uri="{C3380CC4-5D6E-409C-BE32-E72D297353CC}">
              <c16:uniqueId val="{00000001-EF30-4BDA-B8B3-240B5287BABD}"/>
            </c:ext>
          </c:extLst>
        </c:ser>
        <c:dLbls>
          <c:showLegendKey val="0"/>
          <c:showVal val="0"/>
          <c:showCatName val="0"/>
          <c:showSerName val="0"/>
          <c:showPercent val="0"/>
          <c:showBubbleSize val="0"/>
        </c:dLbls>
        <c:gapWidth val="50"/>
        <c:overlap val="100"/>
        <c:axId val="556014976"/>
        <c:axId val="556015456"/>
      </c:barChart>
      <c:barChart>
        <c:barDir val="col"/>
        <c:grouping val="stacked"/>
        <c:varyColors val="0"/>
        <c:ser>
          <c:idx val="1"/>
          <c:order val="2"/>
          <c:tx>
            <c:strRef>
              <c:f>LCA!$A$710</c:f>
              <c:strCache>
                <c:ptCount val="1"/>
                <c:pt idx="0">
                  <c:v>Total Potential</c:v>
                </c:pt>
              </c:strCache>
            </c:strRef>
          </c:tx>
          <c:spPr>
            <a:solidFill>
              <a:srgbClr val="A3B7B2"/>
            </a:solidFill>
            <a:ln>
              <a:noFill/>
            </a:ln>
            <a:effectLst/>
          </c:spPr>
          <c:invertIfNegative val="0"/>
          <c:dPt>
            <c:idx val="0"/>
            <c:invertIfNegative val="0"/>
            <c:bubble3D val="0"/>
            <c:spPr>
              <a:solidFill>
                <a:srgbClr val="DDAC65"/>
              </a:solidFill>
              <a:ln>
                <a:noFill/>
              </a:ln>
              <a:effectLst/>
            </c:spPr>
            <c:extLst>
              <c:ext xmlns:c16="http://schemas.microsoft.com/office/drawing/2014/chart" uri="{C3380CC4-5D6E-409C-BE32-E72D297353CC}">
                <c16:uniqueId val="{00000003-EF30-4BDA-B8B3-240B5287BABD}"/>
              </c:ext>
            </c:extLst>
          </c:dPt>
          <c:dPt>
            <c:idx val="1"/>
            <c:invertIfNegative val="0"/>
            <c:bubble3D val="0"/>
            <c:spPr>
              <a:solidFill>
                <a:srgbClr val="A3B7B2"/>
              </a:solidFill>
              <a:ln>
                <a:noFill/>
              </a:ln>
              <a:effectLst/>
            </c:spPr>
            <c:extLst>
              <c:ext xmlns:c16="http://schemas.microsoft.com/office/drawing/2014/chart" uri="{C3380CC4-5D6E-409C-BE32-E72D297353CC}">
                <c16:uniqueId val="{00000005-EF30-4BDA-B8B3-240B5287BABD}"/>
              </c:ext>
            </c:extLst>
          </c:dPt>
          <c:dPt>
            <c:idx val="2"/>
            <c:invertIfNegative val="0"/>
            <c:bubble3D val="0"/>
            <c:spPr>
              <a:solidFill>
                <a:srgbClr val="A3B7B2"/>
              </a:solidFill>
              <a:ln>
                <a:noFill/>
              </a:ln>
              <a:effectLst/>
            </c:spPr>
            <c:extLst>
              <c:ext xmlns:c16="http://schemas.microsoft.com/office/drawing/2014/chart" uri="{C3380CC4-5D6E-409C-BE32-E72D297353CC}">
                <c16:uniqueId val="{00000007-EF30-4BDA-B8B3-240B5287BABD}"/>
              </c:ext>
            </c:extLst>
          </c:dPt>
          <c:dPt>
            <c:idx val="3"/>
            <c:invertIfNegative val="0"/>
            <c:bubble3D val="0"/>
            <c:spPr>
              <a:solidFill>
                <a:srgbClr val="A3B7B2"/>
              </a:solidFill>
              <a:ln>
                <a:noFill/>
              </a:ln>
              <a:effectLst/>
            </c:spPr>
            <c:extLst>
              <c:ext xmlns:c16="http://schemas.microsoft.com/office/drawing/2014/chart" uri="{C3380CC4-5D6E-409C-BE32-E72D297353CC}">
                <c16:uniqueId val="{00000009-EF30-4BDA-B8B3-240B5287BABD}"/>
              </c:ext>
            </c:extLst>
          </c:dPt>
          <c:dPt>
            <c:idx val="4"/>
            <c:invertIfNegative val="0"/>
            <c:bubble3D val="0"/>
            <c:spPr>
              <a:solidFill>
                <a:srgbClr val="A3B7B2"/>
              </a:solidFill>
              <a:ln>
                <a:noFill/>
              </a:ln>
              <a:effectLst/>
            </c:spPr>
            <c:extLst>
              <c:ext xmlns:c16="http://schemas.microsoft.com/office/drawing/2014/chart" uri="{C3380CC4-5D6E-409C-BE32-E72D297353CC}">
                <c16:uniqueId val="{0000000B-EF30-4BDA-B8B3-240B5287BABD}"/>
              </c:ext>
            </c:extLst>
          </c:dPt>
          <c:dPt>
            <c:idx val="5"/>
            <c:invertIfNegative val="0"/>
            <c:bubble3D val="0"/>
            <c:spPr>
              <a:solidFill>
                <a:srgbClr val="A3B7B2"/>
              </a:solidFill>
              <a:ln>
                <a:noFill/>
              </a:ln>
              <a:effectLst/>
            </c:spPr>
            <c:extLst>
              <c:ext xmlns:c16="http://schemas.microsoft.com/office/drawing/2014/chart" uri="{C3380CC4-5D6E-409C-BE32-E72D297353CC}">
                <c16:uniqueId val="{0000000D-EF30-4BDA-B8B3-240B5287BABD}"/>
              </c:ext>
            </c:extLst>
          </c:dPt>
          <c:dPt>
            <c:idx val="6"/>
            <c:invertIfNegative val="0"/>
            <c:bubble3D val="0"/>
            <c:spPr>
              <a:solidFill>
                <a:srgbClr val="A3B7B2"/>
              </a:solidFill>
              <a:ln>
                <a:noFill/>
              </a:ln>
              <a:effectLst/>
            </c:spPr>
            <c:extLst>
              <c:ext xmlns:c16="http://schemas.microsoft.com/office/drawing/2014/chart" uri="{C3380CC4-5D6E-409C-BE32-E72D297353CC}">
                <c16:uniqueId val="{0000000F-EF30-4BDA-B8B3-240B5287BABD}"/>
              </c:ext>
            </c:extLst>
          </c:dPt>
          <c:dLbls>
            <c:dLbl>
              <c:idx val="0"/>
              <c:layout>
                <c:manualLayout>
                  <c:x val="-1.0617748533364056E-5"/>
                  <c:y val="-7.99693009148990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30-4BDA-B8B3-240B5287BABD}"/>
                </c:ext>
              </c:extLst>
            </c:dLbl>
            <c:dLbl>
              <c:idx val="1"/>
              <c:layout>
                <c:manualLayout>
                  <c:x val="-1.0599334274689734E-5"/>
                  <c:y val="-2.91014487804461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30-4BDA-B8B3-240B5287BABD}"/>
                </c:ext>
              </c:extLst>
            </c:dLbl>
            <c:dLbl>
              <c:idx val="2"/>
              <c:layout>
                <c:manualLayout>
                  <c:x val="0"/>
                  <c:y val="5.04663929037931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F30-4BDA-B8B3-240B5287BABD}"/>
                </c:ext>
              </c:extLst>
            </c:dLbl>
            <c:dLbl>
              <c:idx val="3"/>
              <c:layout>
                <c:manualLayout>
                  <c:x val="-7.3795141050092045E-17"/>
                  <c:y val="7.15643071636625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F30-4BDA-B8B3-240B5287BABD}"/>
                </c:ext>
              </c:extLst>
            </c:dLbl>
            <c:dLbl>
              <c:idx val="4"/>
              <c:layout>
                <c:manualLayout>
                  <c:x val="0"/>
                  <c:y val="4.42236029982884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F30-4BDA-B8B3-240B5287BABD}"/>
                </c:ext>
              </c:extLst>
            </c:dLbl>
            <c:dLbl>
              <c:idx val="5"/>
              <c:layout>
                <c:manualLayout>
                  <c:x val="-1.4759028210018409E-16"/>
                  <c:y val="8.14372594100866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F30-4BDA-B8B3-240B5287BABD}"/>
                </c:ext>
              </c:extLst>
            </c:dLbl>
            <c:dLbl>
              <c:idx val="6"/>
              <c:layout>
                <c:manualLayout>
                  <c:x val="-1.4759028210018409E-16"/>
                  <c:y val="0.224149028624094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F30-4BDA-B8B3-240B5287BABD}"/>
                </c:ext>
              </c:extLst>
            </c:dLbl>
            <c:numFmt formatCode="#,##0.00" sourceLinked="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Arial Nova Cond" panose="020B0506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LCA!$B$707:$H$707</c:f>
              <c:strCache>
                <c:ptCount val="7"/>
                <c:pt idx="0">
                  <c:v>Conventional Fuel =</c:v>
                </c:pt>
                <c:pt idx="1">
                  <c:v>Proposed - No Credits =</c:v>
                </c:pt>
                <c:pt idx="2">
                  <c:v>Proposed - Industrial Composting Credit =</c:v>
                </c:pt>
                <c:pt idx="3">
                  <c:v>Proposed - Anaerobic Digestion Credit =</c:v>
                </c:pt>
                <c:pt idx="4">
                  <c:v>Proposed - Municipal Incineration Credit =</c:v>
                </c:pt>
                <c:pt idx="5">
                  <c:v>Proposed - Sanitary Landfill =</c:v>
                </c:pt>
                <c:pt idx="6">
                  <c:v>Proposed - Open Pit Landfill Credit =</c:v>
                </c:pt>
              </c:strCache>
            </c:strRef>
          </c:cat>
          <c:val>
            <c:numRef>
              <c:f>LCA!$B$710:$H$710</c:f>
              <c:numCache>
                <c:formatCode>_(* #,##0.00_);_(* \(#,##0.00\);_(* "-"??_);_(@_)</c:formatCode>
                <c:ptCount val="7"/>
                <c:pt idx="0">
                  <c:v>0.11135373595833334</c:v>
                </c:pt>
                <c:pt idx="1">
                  <c:v>1.4889452844216196E-2</c:v>
                </c:pt>
                <c:pt idx="2">
                  <c:v>-2.48653856828344E-2</c:v>
                </c:pt>
                <c:pt idx="3">
                  <c:v>-6.1111185717723386E-2</c:v>
                </c:pt>
                <c:pt idx="4">
                  <c:v>-1.3839016762342797E-2</c:v>
                </c:pt>
                <c:pt idx="5">
                  <c:v>-7.9017742576098282E-2</c:v>
                </c:pt>
                <c:pt idx="6">
                  <c:v>-0.33960902116879482</c:v>
                </c:pt>
              </c:numCache>
            </c:numRef>
          </c:val>
          <c:extLst>
            <c:ext xmlns:c16="http://schemas.microsoft.com/office/drawing/2014/chart" uri="{C3380CC4-5D6E-409C-BE32-E72D297353CC}">
              <c16:uniqueId val="{00000010-EF30-4BDA-B8B3-240B5287BABD}"/>
            </c:ext>
          </c:extLst>
        </c:ser>
        <c:dLbls>
          <c:showLegendKey val="0"/>
          <c:showVal val="0"/>
          <c:showCatName val="0"/>
          <c:showSerName val="0"/>
          <c:showPercent val="0"/>
          <c:showBubbleSize val="0"/>
        </c:dLbls>
        <c:gapWidth val="192"/>
        <c:overlap val="100"/>
        <c:axId val="347590895"/>
        <c:axId val="347579375"/>
      </c:barChart>
      <c:catAx>
        <c:axId val="556014976"/>
        <c:scaling>
          <c:orientation val="minMax"/>
        </c:scaling>
        <c:delete val="1"/>
        <c:axPos val="b"/>
        <c:majorGridlines>
          <c:spPr>
            <a:ln w="22225" cap="flat" cmpd="sng" algn="ctr">
              <a:noFill/>
              <a:round/>
            </a:ln>
            <a:effectLst/>
          </c:spPr>
        </c:majorGridlines>
        <c:numFmt formatCode="General" sourceLinked="1"/>
        <c:majorTickMark val="none"/>
        <c:minorTickMark val="none"/>
        <c:tickLblPos val="low"/>
        <c:crossAx val="556015456"/>
        <c:crosses val="autoZero"/>
        <c:auto val="1"/>
        <c:lblAlgn val="ctr"/>
        <c:lblOffset val="100"/>
        <c:noMultiLvlLbl val="0"/>
      </c:catAx>
      <c:valAx>
        <c:axId val="556015456"/>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600" b="1" i="0" u="none" strike="noStrike" kern="1200" baseline="0">
                    <a:solidFill>
                      <a:sysClr val="windowText" lastClr="000000"/>
                    </a:solidFill>
                    <a:latin typeface="Arial Nova Cond" panose="020B0506020202020204" pitchFamily="34" charset="0"/>
                    <a:ea typeface="+mn-ea"/>
                    <a:cs typeface="+mn-cs"/>
                  </a:defRPr>
                </a:pPr>
                <a:r>
                  <a:rPr lang="en-US" sz="1600" b="1"/>
                  <a:t>Global Warming Potential </a:t>
                </a:r>
                <a:r>
                  <a:rPr lang="en-US" sz="1600" b="0"/>
                  <a:t>[kg CO</a:t>
                </a:r>
                <a:r>
                  <a:rPr lang="en-US" sz="1600" b="0" baseline="-25000"/>
                  <a:t>2</a:t>
                </a:r>
                <a:r>
                  <a:rPr lang="en-US" sz="1600" b="0"/>
                  <a:t> eq /MJ]</a:t>
                </a:r>
              </a:p>
            </c:rich>
          </c:tx>
          <c:layout>
            <c:manualLayout>
              <c:xMode val="edge"/>
              <c:yMode val="edge"/>
              <c:x val="7.5377511070493092E-3"/>
              <c:y val="0.15492014068273643"/>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ysClr val="windowText" lastClr="000000"/>
                  </a:solidFill>
                  <a:latin typeface="Arial Nova Cond" panose="020B0506020202020204" pitchFamily="34" charset="0"/>
                  <a:ea typeface="+mn-ea"/>
                  <a:cs typeface="+mn-cs"/>
                </a:defRPr>
              </a:pPr>
              <a:endParaRPr lang="en-US"/>
            </a:p>
          </c:txPr>
        </c:title>
        <c:numFmt formatCode="#,##0.0" sourceLinked="0"/>
        <c:majorTickMark val="cross"/>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Arial Nova Cond" panose="020B0506020202020204" pitchFamily="34" charset="0"/>
                <a:ea typeface="+mn-ea"/>
                <a:cs typeface="+mn-cs"/>
              </a:defRPr>
            </a:pPr>
            <a:endParaRPr lang="en-US"/>
          </a:p>
        </c:txPr>
        <c:crossAx val="556014976"/>
        <c:crosses val="autoZero"/>
        <c:crossBetween val="between"/>
      </c:valAx>
      <c:valAx>
        <c:axId val="347579375"/>
        <c:scaling>
          <c:orientation val="minMax"/>
          <c:max val="5"/>
          <c:min val="-40"/>
        </c:scaling>
        <c:delete val="1"/>
        <c:axPos val="r"/>
        <c:numFmt formatCode="_(* #,##0.00_);_(* \(#,##0.00\);_(* &quot;-&quot;??_);_(@_)" sourceLinked="1"/>
        <c:majorTickMark val="out"/>
        <c:minorTickMark val="none"/>
        <c:tickLblPos val="nextTo"/>
        <c:crossAx val="347590895"/>
        <c:crosses val="max"/>
        <c:crossBetween val="between"/>
      </c:valAx>
      <c:catAx>
        <c:axId val="347590895"/>
        <c:scaling>
          <c:orientation val="minMax"/>
        </c:scaling>
        <c:delete val="1"/>
        <c:axPos val="b"/>
        <c:numFmt formatCode="General" sourceLinked="1"/>
        <c:majorTickMark val="out"/>
        <c:minorTickMark val="none"/>
        <c:tickLblPos val="nextTo"/>
        <c:crossAx val="347579375"/>
        <c:crosses val="autoZero"/>
        <c:auto val="1"/>
        <c:lblAlgn val="ctr"/>
        <c:lblOffset val="100"/>
        <c:noMultiLvlLbl val="0"/>
      </c:catAx>
      <c:spPr>
        <a:noFill/>
        <a:ln w="12700">
          <a:noFill/>
        </a:ln>
        <a:effectLst/>
      </c:spPr>
    </c:plotArea>
    <c:legend>
      <c:legendPos val="b"/>
      <c:layout>
        <c:manualLayout>
          <c:xMode val="edge"/>
          <c:yMode val="edge"/>
          <c:x val="0.21510588290351029"/>
          <c:y val="0.94544550314295583"/>
          <c:w val="0.67734734164679056"/>
          <c:h val="4.4728649555662803E-2"/>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Arial Nova Cond" panose="020B0506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noFill/>
      <a:round/>
    </a:ln>
    <a:effectLst/>
  </c:spPr>
  <c:txPr>
    <a:bodyPr/>
    <a:lstStyle/>
    <a:p>
      <a:pPr>
        <a:defRPr>
          <a:solidFill>
            <a:sysClr val="windowText" lastClr="000000"/>
          </a:solidFill>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652174921433791E-2"/>
          <c:y val="0.32233654807931472"/>
          <c:w val="0.93264724641378594"/>
          <c:h val="0.33483339172552085"/>
        </c:manualLayout>
      </c:layout>
      <c:barChart>
        <c:barDir val="col"/>
        <c:grouping val="percentStacked"/>
        <c:varyColors val="0"/>
        <c:ser>
          <c:idx val="0"/>
          <c:order val="0"/>
          <c:tx>
            <c:strRef>
              <c:f>LCA!$D$458</c:f>
              <c:strCache>
                <c:ptCount val="1"/>
                <c:pt idx="0">
                  <c:v>Transportation</c:v>
                </c:pt>
              </c:strCache>
            </c:strRef>
          </c:tx>
          <c:spPr>
            <a:solidFill>
              <a:schemeClr val="tx1">
                <a:lumMod val="85000"/>
                <a:lumOff val="15000"/>
              </a:schemeClr>
            </a:solidFill>
            <a:ln>
              <a:noFill/>
            </a:ln>
            <a:effectLst/>
          </c:spPr>
          <c:invertIfNegative val="0"/>
          <c:val>
            <c:numRef>
              <c:f>LCA!$D$459:$D$468</c:f>
              <c:numCache>
                <c:formatCode>0.00E+00</c:formatCode>
                <c:ptCount val="10"/>
                <c:pt idx="0">
                  <c:v>6.7625032132218044E-2</c:v>
                </c:pt>
                <c:pt idx="1">
                  <c:v>0.17484444755881123</c:v>
                </c:pt>
                <c:pt idx="2">
                  <c:v>0.31391259911225533</c:v>
                </c:pt>
                <c:pt idx="3">
                  <c:v>7.2492866638174697E-2</c:v>
                </c:pt>
                <c:pt idx="4">
                  <c:v>5.6541674257001233E-2</c:v>
                </c:pt>
                <c:pt idx="5" formatCode="_(* #,##0.00_);_(* \(#,##0.00\);_(* &quot;-&quot;??_);_(@_)">
                  <c:v>0.38635832784526669</c:v>
                </c:pt>
                <c:pt idx="6">
                  <c:v>3.9327093469151482E-2</c:v>
                </c:pt>
                <c:pt idx="7">
                  <c:v>0.44143773687841825</c:v>
                </c:pt>
                <c:pt idx="8">
                  <c:v>5.6979441538916334E-2</c:v>
                </c:pt>
                <c:pt idx="9">
                  <c:v>5.5473960911270319E-2</c:v>
                </c:pt>
              </c:numCache>
            </c:numRef>
          </c:val>
          <c:extLst>
            <c:ext xmlns:c16="http://schemas.microsoft.com/office/drawing/2014/chart" uri="{C3380CC4-5D6E-409C-BE32-E72D297353CC}">
              <c16:uniqueId val="{00000000-A218-4694-95DC-D537B041AC2A}"/>
            </c:ext>
          </c:extLst>
        </c:ser>
        <c:ser>
          <c:idx val="1"/>
          <c:order val="1"/>
          <c:tx>
            <c:strRef>
              <c:f>LCA!$E$458</c:f>
              <c:strCache>
                <c:ptCount val="1"/>
                <c:pt idx="0">
                  <c:v>Grinders &amp; Feed Pumps</c:v>
                </c:pt>
              </c:strCache>
            </c:strRef>
          </c:tx>
          <c:spPr>
            <a:solidFill>
              <a:schemeClr val="accent2"/>
            </a:solidFill>
            <a:ln>
              <a:noFill/>
            </a:ln>
            <a:effectLst/>
          </c:spPr>
          <c:invertIfNegative val="0"/>
          <c:val>
            <c:numRef>
              <c:f>LCA!$E$459:$E$468</c:f>
              <c:numCache>
                <c:formatCode>0.00E+00</c:formatCode>
                <c:ptCount val="10"/>
                <c:pt idx="0">
                  <c:v>7.9780119099102757E-5</c:v>
                </c:pt>
                <c:pt idx="1">
                  <c:v>1.795372448028605E-3</c:v>
                </c:pt>
                <c:pt idx="2">
                  <c:v>2.0005049331589713E-3</c:v>
                </c:pt>
                <c:pt idx="3">
                  <c:v>8.4336830248984843E-4</c:v>
                </c:pt>
                <c:pt idx="4">
                  <c:v>3.391870726401772E-5</c:v>
                </c:pt>
                <c:pt idx="5" formatCode="_(* #,##0.00_);_(* \(#,##0.00\);_(* &quot;-&quot;??_);_(@_)">
                  <c:v>3.1196307400183662E-4</c:v>
                </c:pt>
                <c:pt idx="6">
                  <c:v>2.7388273160686193E-4</c:v>
                </c:pt>
                <c:pt idx="7">
                  <c:v>4.3152009900564549E-4</c:v>
                </c:pt>
                <c:pt idx="8">
                  <c:v>9.492884590315233E-5</c:v>
                </c:pt>
                <c:pt idx="9">
                  <c:v>3.2700313669739558E-5</c:v>
                </c:pt>
              </c:numCache>
            </c:numRef>
          </c:val>
          <c:extLst>
            <c:ext xmlns:c16="http://schemas.microsoft.com/office/drawing/2014/chart" uri="{C3380CC4-5D6E-409C-BE32-E72D297353CC}">
              <c16:uniqueId val="{00000001-A218-4694-95DC-D537B041AC2A}"/>
            </c:ext>
          </c:extLst>
        </c:ser>
        <c:ser>
          <c:idx val="2"/>
          <c:order val="2"/>
          <c:tx>
            <c:strRef>
              <c:f>LCA!$F$458</c:f>
              <c:strCache>
                <c:ptCount val="1"/>
                <c:pt idx="0">
                  <c:v>Ion Exchange Membranes</c:v>
                </c:pt>
              </c:strCache>
            </c:strRef>
          </c:tx>
          <c:spPr>
            <a:solidFill>
              <a:srgbClr val="F4EE00"/>
            </a:solidFill>
            <a:ln>
              <a:noFill/>
            </a:ln>
            <a:effectLst/>
          </c:spPr>
          <c:invertIfNegative val="0"/>
          <c:val>
            <c:numRef>
              <c:f>LCA!$F$459:$F$468</c:f>
              <c:numCache>
                <c:formatCode>0.00E+00</c:formatCode>
                <c:ptCount val="10"/>
                <c:pt idx="0">
                  <c:v>3.7394796680671505E-4</c:v>
                </c:pt>
                <c:pt idx="1">
                  <c:v>9.7042531673644764E-4</c:v>
                </c:pt>
                <c:pt idx="2">
                  <c:v>1.4710245186351886E-3</c:v>
                </c:pt>
                <c:pt idx="3">
                  <c:v>1.3367089613310996E-3</c:v>
                </c:pt>
                <c:pt idx="4">
                  <c:v>1.3324220275730346E-4</c:v>
                </c:pt>
                <c:pt idx="5" formatCode="_(* #,##0.00_);_(* \(#,##0.00\);_(* &quot;-&quot;??_);_(@_)">
                  <c:v>2.4339183321558347E-3</c:v>
                </c:pt>
                <c:pt idx="6">
                  <c:v>3.0970251684431558E-4</c:v>
                </c:pt>
                <c:pt idx="7">
                  <c:v>7.7286619397190645E-4</c:v>
                </c:pt>
                <c:pt idx="8">
                  <c:v>3.4248095830515126E-4</c:v>
                </c:pt>
                <c:pt idx="9">
                  <c:v>1.3024063470818212E-4</c:v>
                </c:pt>
              </c:numCache>
            </c:numRef>
          </c:val>
          <c:extLst>
            <c:ext xmlns:c16="http://schemas.microsoft.com/office/drawing/2014/chart" uri="{C3380CC4-5D6E-409C-BE32-E72D297353CC}">
              <c16:uniqueId val="{00000002-A218-4694-95DC-D537B041AC2A}"/>
            </c:ext>
          </c:extLst>
        </c:ser>
        <c:ser>
          <c:idx val="3"/>
          <c:order val="3"/>
          <c:tx>
            <c:strRef>
              <c:f>LCA!$G$458</c:f>
              <c:strCache>
                <c:ptCount val="1"/>
                <c:pt idx="0">
                  <c:v>Reactor Equipment</c:v>
                </c:pt>
              </c:strCache>
            </c:strRef>
          </c:tx>
          <c:spPr>
            <a:solidFill>
              <a:schemeClr val="accent4"/>
            </a:solidFill>
            <a:ln>
              <a:noFill/>
            </a:ln>
            <a:effectLst/>
          </c:spPr>
          <c:invertIfNegative val="0"/>
          <c:val>
            <c:numRef>
              <c:f>LCA!$G$459:$G$468</c:f>
              <c:numCache>
                <c:formatCode>0.00E+00</c:formatCode>
                <c:ptCount val="10"/>
                <c:pt idx="0">
                  <c:v>6.7874806807762846E-3</c:v>
                </c:pt>
                <c:pt idx="1">
                  <c:v>0.11107881601612669</c:v>
                </c:pt>
                <c:pt idx="2">
                  <c:v>7.2499147627447279E-5</c:v>
                </c:pt>
                <c:pt idx="3">
                  <c:v>2.6289519631842492E-2</c:v>
                </c:pt>
                <c:pt idx="4">
                  <c:v>3.5179994841099539E-3</c:v>
                </c:pt>
                <c:pt idx="5" formatCode="_(* #,##0.00_);_(* \(#,##0.00\);_(* &quot;-&quot;??_);_(@_)">
                  <c:v>2.9870873172109475E-2</c:v>
                </c:pt>
                <c:pt idx="6">
                  <c:v>8.94023149772449E-3</c:v>
                </c:pt>
                <c:pt idx="7">
                  <c:v>1.2499575928459678E-2</c:v>
                </c:pt>
                <c:pt idx="8">
                  <c:v>8.4973940020631016E-3</c:v>
                </c:pt>
                <c:pt idx="9">
                  <c:v>3.4751927876089921E-3</c:v>
                </c:pt>
              </c:numCache>
            </c:numRef>
          </c:val>
          <c:extLst>
            <c:ext xmlns:c16="http://schemas.microsoft.com/office/drawing/2014/chart" uri="{C3380CC4-5D6E-409C-BE32-E72D297353CC}">
              <c16:uniqueId val="{00000003-A218-4694-95DC-D537B041AC2A}"/>
            </c:ext>
          </c:extLst>
        </c:ser>
        <c:ser>
          <c:idx val="4"/>
          <c:order val="4"/>
          <c:tx>
            <c:strRef>
              <c:f>LCA!$H$458</c:f>
              <c:strCache>
                <c:ptCount val="1"/>
                <c:pt idx="0">
                  <c:v>Filtration</c:v>
                </c:pt>
              </c:strCache>
            </c:strRef>
          </c:tx>
          <c:spPr>
            <a:solidFill>
              <a:schemeClr val="accent4">
                <a:lumMod val="40000"/>
                <a:lumOff val="60000"/>
              </a:schemeClr>
            </a:solidFill>
            <a:ln>
              <a:noFill/>
            </a:ln>
            <a:effectLst/>
          </c:spPr>
          <c:invertIfNegative val="0"/>
          <c:val>
            <c:numRef>
              <c:f>LCA!$H$459:$H$468</c:f>
              <c:numCache>
                <c:formatCode>0.00E+00</c:formatCode>
                <c:ptCount val="10"/>
                <c:pt idx="0">
                  <c:v>2.0697155230071308E-2</c:v>
                </c:pt>
                <c:pt idx="1">
                  <c:v>5.7580804730585244E-2</c:v>
                </c:pt>
                <c:pt idx="2">
                  <c:v>7.0655411758406478E-2</c:v>
                </c:pt>
                <c:pt idx="3">
                  <c:v>5.832275984750504E-2</c:v>
                </c:pt>
                <c:pt idx="4">
                  <c:v>7.9941057402009852E-3</c:v>
                </c:pt>
                <c:pt idx="5" formatCode="_(* #,##0.00_);_(* \(#,##0.00\);_(* &quot;-&quot;??_);_(@_)">
                  <c:v>0.11999904399615496</c:v>
                </c:pt>
                <c:pt idx="6">
                  <c:v>1.4420482303196556E-2</c:v>
                </c:pt>
                <c:pt idx="7">
                  <c:v>0.29754225831819509</c:v>
                </c:pt>
                <c:pt idx="8">
                  <c:v>1.5467751369265764E-2</c:v>
                </c:pt>
                <c:pt idx="9">
                  <c:v>8.092652025706611E-3</c:v>
                </c:pt>
              </c:numCache>
            </c:numRef>
          </c:val>
          <c:extLst>
            <c:ext xmlns:c16="http://schemas.microsoft.com/office/drawing/2014/chart" uri="{C3380CC4-5D6E-409C-BE32-E72D297353CC}">
              <c16:uniqueId val="{00000004-A218-4694-95DC-D537B041AC2A}"/>
            </c:ext>
          </c:extLst>
        </c:ser>
        <c:ser>
          <c:idx val="5"/>
          <c:order val="5"/>
          <c:tx>
            <c:strRef>
              <c:f>LCA!$I$458</c:f>
              <c:strCache>
                <c:ptCount val="1"/>
                <c:pt idx="0">
                  <c:v>Electrodes</c:v>
                </c:pt>
              </c:strCache>
            </c:strRef>
          </c:tx>
          <c:spPr>
            <a:solidFill>
              <a:schemeClr val="accent6"/>
            </a:solidFill>
            <a:ln>
              <a:noFill/>
            </a:ln>
            <a:effectLst/>
          </c:spPr>
          <c:invertIfNegative val="0"/>
          <c:val>
            <c:numRef>
              <c:f>LCA!$I$459:$I$468</c:f>
              <c:numCache>
                <c:formatCode>0.00E+00</c:formatCode>
                <c:ptCount val="10"/>
                <c:pt idx="0">
                  <c:v>1.9197718830032747E-3</c:v>
                </c:pt>
                <c:pt idx="1">
                  <c:v>3.9458499312294872E-3</c:v>
                </c:pt>
                <c:pt idx="2">
                  <c:v>3.178273439500748E-3</c:v>
                </c:pt>
                <c:pt idx="3">
                  <c:v>1.5453153330807258E-3</c:v>
                </c:pt>
                <c:pt idx="4">
                  <c:v>7.352635915482056E-4</c:v>
                </c:pt>
                <c:pt idx="5" formatCode="_(* #,##0.00_);_(* \(#,##0.00\);_(* &quot;-&quot;??_);_(@_)">
                  <c:v>1.2320632857466526E-2</c:v>
                </c:pt>
                <c:pt idx="6">
                  <c:v>5.6825471539650757E-4</c:v>
                </c:pt>
                <c:pt idx="7">
                  <c:v>1.4721758196623268E-2</c:v>
                </c:pt>
                <c:pt idx="8">
                  <c:v>1.7215331924312126E-3</c:v>
                </c:pt>
                <c:pt idx="9">
                  <c:v>7.2637649743104334E-4</c:v>
                </c:pt>
              </c:numCache>
            </c:numRef>
          </c:val>
          <c:extLst>
            <c:ext xmlns:c16="http://schemas.microsoft.com/office/drawing/2014/chart" uri="{C3380CC4-5D6E-409C-BE32-E72D297353CC}">
              <c16:uniqueId val="{00000005-A218-4694-95DC-D537B041AC2A}"/>
            </c:ext>
          </c:extLst>
        </c:ser>
        <c:ser>
          <c:idx val="6"/>
          <c:order val="6"/>
          <c:tx>
            <c:strRef>
              <c:f>LCA!$J$458</c:f>
              <c:strCache>
                <c:ptCount val="1"/>
                <c:pt idx="0">
                  <c:v>Heat Exchangers</c:v>
                </c:pt>
              </c:strCache>
            </c:strRef>
          </c:tx>
          <c:spPr>
            <a:solidFill>
              <a:srgbClr val="CC6600"/>
            </a:solidFill>
            <a:ln>
              <a:noFill/>
            </a:ln>
            <a:effectLst/>
          </c:spPr>
          <c:invertIfNegative val="0"/>
          <c:val>
            <c:numRef>
              <c:f>LCA!$J$459:$J$468</c:f>
              <c:numCache>
                <c:formatCode>0.00E+00</c:formatCode>
                <c:ptCount val="10"/>
                <c:pt idx="0">
                  <c:v>8.0613444790314859E-5</c:v>
                </c:pt>
                <c:pt idx="1">
                  <c:v>5.053972893631466E-4</c:v>
                </c:pt>
                <c:pt idx="2">
                  <c:v>4.3637186298785328E-4</c:v>
                </c:pt>
                <c:pt idx="3">
                  <c:v>1.8854847588737388E-4</c:v>
                </c:pt>
                <c:pt idx="4">
                  <c:v>2.8785209428985658E-5</c:v>
                </c:pt>
                <c:pt idx="5" formatCode="_(* #,##0.00_);_(* \(#,##0.00\);_(* &quot;-&quot;??_);_(@_)">
                  <c:v>1.4116527900863654E-4</c:v>
                </c:pt>
                <c:pt idx="6">
                  <c:v>7.3094359189402561E-5</c:v>
                </c:pt>
                <c:pt idx="7">
                  <c:v>8.7006668702635244E-5</c:v>
                </c:pt>
                <c:pt idx="8">
                  <c:v>4.0125764157052928E-5</c:v>
                </c:pt>
                <c:pt idx="9">
                  <c:v>1.3792430521268916E-5</c:v>
                </c:pt>
              </c:numCache>
            </c:numRef>
          </c:val>
          <c:extLst>
            <c:ext xmlns:c16="http://schemas.microsoft.com/office/drawing/2014/chart" uri="{C3380CC4-5D6E-409C-BE32-E72D297353CC}">
              <c16:uniqueId val="{00000006-A218-4694-95DC-D537B041AC2A}"/>
            </c:ext>
          </c:extLst>
        </c:ser>
        <c:ser>
          <c:idx val="7"/>
          <c:order val="7"/>
          <c:tx>
            <c:strRef>
              <c:f>LCA!$K$458</c:f>
              <c:strCache>
                <c:ptCount val="1"/>
                <c:pt idx="0">
                  <c:v>Separation Columns and Equipment</c:v>
                </c:pt>
              </c:strCache>
            </c:strRef>
          </c:tx>
          <c:spPr>
            <a:solidFill>
              <a:schemeClr val="accent3">
                <a:lumMod val="75000"/>
              </a:schemeClr>
            </a:solidFill>
            <a:ln>
              <a:noFill/>
            </a:ln>
            <a:effectLst/>
          </c:spPr>
          <c:invertIfNegative val="0"/>
          <c:val>
            <c:numRef>
              <c:f>LCA!$K$459:$K$468</c:f>
              <c:numCache>
                <c:formatCode>0.00E+00</c:formatCode>
                <c:ptCount val="10"/>
                <c:pt idx="0">
                  <c:v>1.8887548189492211E-2</c:v>
                </c:pt>
                <c:pt idx="1">
                  <c:v>0.41849173316926502</c:v>
                </c:pt>
                <c:pt idx="2">
                  <c:v>0.3751611911670486</c:v>
                </c:pt>
                <c:pt idx="3">
                  <c:v>0.11280556255015867</c:v>
                </c:pt>
                <c:pt idx="4">
                  <c:v>4.831893206061276E-3</c:v>
                </c:pt>
                <c:pt idx="5" formatCode="_(* #,##0.00_);_(* \(#,##0.00\);_(* &quot;-&quot;??_);_(@_)">
                  <c:v>0.17251058301941344</c:v>
                </c:pt>
                <c:pt idx="6">
                  <c:v>5.0074061886179987E-2</c:v>
                </c:pt>
                <c:pt idx="7">
                  <c:v>3.0151896276993686E-2</c:v>
                </c:pt>
                <c:pt idx="8">
                  <c:v>1.5363425856689561E-2</c:v>
                </c:pt>
                <c:pt idx="9">
                  <c:v>4.5943264086589835E-3</c:v>
                </c:pt>
              </c:numCache>
            </c:numRef>
          </c:val>
          <c:extLst>
            <c:ext xmlns:c16="http://schemas.microsoft.com/office/drawing/2014/chart" uri="{C3380CC4-5D6E-409C-BE32-E72D297353CC}">
              <c16:uniqueId val="{00000007-A218-4694-95DC-D537B041AC2A}"/>
            </c:ext>
          </c:extLst>
        </c:ser>
        <c:ser>
          <c:idx val="8"/>
          <c:order val="8"/>
          <c:tx>
            <c:strRef>
              <c:f>LCA!$L$458</c:f>
              <c:strCache>
                <c:ptCount val="1"/>
                <c:pt idx="0">
                  <c:v>Catalysts</c:v>
                </c:pt>
              </c:strCache>
            </c:strRef>
          </c:tx>
          <c:spPr>
            <a:solidFill>
              <a:srgbClr val="D86ECC"/>
            </a:solidFill>
            <a:ln>
              <a:noFill/>
            </a:ln>
            <a:effectLst/>
          </c:spPr>
          <c:invertIfNegative val="0"/>
          <c:val>
            <c:numRef>
              <c:f>LCA!$L$459:$L$468</c:f>
              <c:numCache>
                <c:formatCode>0.00E+00</c:formatCode>
                <c:ptCount val="10"/>
                <c:pt idx="0">
                  <c:v>2.2580541776632179E-4</c:v>
                </c:pt>
                <c:pt idx="1">
                  <c:v>8.7371568590264675E-5</c:v>
                </c:pt>
                <c:pt idx="2">
                  <c:v>2.493309243075659E-4</c:v>
                </c:pt>
                <c:pt idx="3">
                  <c:v>1.1754552141493837E-4</c:v>
                </c:pt>
                <c:pt idx="4">
                  <c:v>1.681991011280433E-5</c:v>
                </c:pt>
                <c:pt idx="5" formatCode="_(* #,##0.00_);_(* \(#,##0.00\);_(* &quot;-&quot;??_);_(@_)">
                  <c:v>6.398531087439413E-5</c:v>
                </c:pt>
                <c:pt idx="6">
                  <c:v>8.6300969148455834E-5</c:v>
                </c:pt>
                <c:pt idx="7">
                  <c:v>2.2152054512202211E-5</c:v>
                </c:pt>
                <c:pt idx="8">
                  <c:v>6.3441849202899777E-5</c:v>
                </c:pt>
                <c:pt idx="9">
                  <c:v>1.5243385161569372E-5</c:v>
                </c:pt>
              </c:numCache>
            </c:numRef>
          </c:val>
          <c:extLst>
            <c:ext xmlns:c16="http://schemas.microsoft.com/office/drawing/2014/chart" uri="{C3380CC4-5D6E-409C-BE32-E72D297353CC}">
              <c16:uniqueId val="{00000008-A218-4694-95DC-D537B041AC2A}"/>
            </c:ext>
          </c:extLst>
        </c:ser>
        <c:ser>
          <c:idx val="9"/>
          <c:order val="9"/>
          <c:tx>
            <c:strRef>
              <c:f>LCA!$M$458</c:f>
              <c:strCache>
                <c:ptCount val="1"/>
                <c:pt idx="0">
                  <c:v>Electricity</c:v>
                </c:pt>
              </c:strCache>
            </c:strRef>
          </c:tx>
          <c:spPr>
            <a:solidFill>
              <a:srgbClr val="CCCC00"/>
            </a:solidFill>
            <a:ln>
              <a:noFill/>
            </a:ln>
            <a:effectLst/>
          </c:spPr>
          <c:invertIfNegative val="0"/>
          <c:val>
            <c:numRef>
              <c:f>LCA!$M$459:$M$468</c:f>
              <c:numCache>
                <c:formatCode>0.00E+00</c:formatCode>
                <c:ptCount val="10"/>
                <c:pt idx="0">
                  <c:v>1.424989528424443E-2</c:v>
                </c:pt>
                <c:pt idx="1">
                  <c:v>0.10223239807035847</c:v>
                </c:pt>
                <c:pt idx="2">
                  <c:v>7.4794754469021785E-2</c:v>
                </c:pt>
                <c:pt idx="3">
                  <c:v>0.36482873908997415</c:v>
                </c:pt>
                <c:pt idx="4">
                  <c:v>7.9063051961148368E-3</c:v>
                </c:pt>
                <c:pt idx="5" formatCode="_(* #,##0.00_);_(* \(#,##0.00\);_(* &quot;-&quot;??_);_(@_)">
                  <c:v>0.1704963556013733</c:v>
                </c:pt>
                <c:pt idx="6">
                  <c:v>2.2070386686607692E-2</c:v>
                </c:pt>
                <c:pt idx="7">
                  <c:v>1.9271731842665923E-2</c:v>
                </c:pt>
                <c:pt idx="8">
                  <c:v>8.3004662540204499E-2</c:v>
                </c:pt>
                <c:pt idx="9">
                  <c:v>7.5047246324305306E-3</c:v>
                </c:pt>
              </c:numCache>
            </c:numRef>
          </c:val>
          <c:extLst>
            <c:ext xmlns:c16="http://schemas.microsoft.com/office/drawing/2014/chart" uri="{C3380CC4-5D6E-409C-BE32-E72D297353CC}">
              <c16:uniqueId val="{00000009-A218-4694-95DC-D537B041AC2A}"/>
            </c:ext>
          </c:extLst>
        </c:ser>
        <c:ser>
          <c:idx val="10"/>
          <c:order val="10"/>
          <c:tx>
            <c:strRef>
              <c:f>LCA!$N$458</c:f>
              <c:strCache>
                <c:ptCount val="1"/>
                <c:pt idx="0">
                  <c:v>Other Operations</c:v>
                </c:pt>
              </c:strCache>
            </c:strRef>
          </c:tx>
          <c:spPr>
            <a:solidFill>
              <a:srgbClr val="9999FF"/>
            </a:solidFill>
            <a:ln>
              <a:noFill/>
            </a:ln>
            <a:effectLst/>
          </c:spPr>
          <c:invertIfNegative val="0"/>
          <c:val>
            <c:numRef>
              <c:f>LCA!$N$459:$N$468</c:f>
              <c:numCache>
                <c:formatCode>0.00E+00</c:formatCode>
                <c:ptCount val="10"/>
                <c:pt idx="0">
                  <c:v>2.9406649048911736E-2</c:v>
                </c:pt>
                <c:pt idx="1">
                  <c:v>8.7101656253474449E-2</c:v>
                </c:pt>
                <c:pt idx="2">
                  <c:v>0.10611360390719787</c:v>
                </c:pt>
                <c:pt idx="3">
                  <c:v>0.31629260480454435</c:v>
                </c:pt>
                <c:pt idx="4">
                  <c:v>1.8339675604355364E-2</c:v>
                </c:pt>
                <c:pt idx="5" formatCode="_(* #,##0.00_);_(* \(#,##0.00\);_(* &quot;-&quot;??_);_(@_)">
                  <c:v>0.10118032333560158</c:v>
                </c:pt>
                <c:pt idx="6">
                  <c:v>0.83801007025798557</c:v>
                </c:pt>
                <c:pt idx="7">
                  <c:v>4.6859389701841572E-2</c:v>
                </c:pt>
                <c:pt idx="8">
                  <c:v>0.17473311455180285</c:v>
                </c:pt>
                <c:pt idx="9">
                  <c:v>8.4493765488535249E-3</c:v>
                </c:pt>
              </c:numCache>
            </c:numRef>
          </c:val>
          <c:extLst>
            <c:ext xmlns:c16="http://schemas.microsoft.com/office/drawing/2014/chart" uri="{C3380CC4-5D6E-409C-BE32-E72D297353CC}">
              <c16:uniqueId val="{0000000A-A218-4694-95DC-D537B041AC2A}"/>
            </c:ext>
          </c:extLst>
        </c:ser>
        <c:ser>
          <c:idx val="11"/>
          <c:order val="11"/>
          <c:tx>
            <c:strRef>
              <c:f>LCA!$O$458</c:f>
              <c:strCache>
                <c:ptCount val="1"/>
                <c:pt idx="0">
                  <c:v>Fuel Combustion</c:v>
                </c:pt>
              </c:strCache>
            </c:strRef>
          </c:tx>
          <c:spPr>
            <a:solidFill>
              <a:schemeClr val="accent2">
                <a:lumMod val="75000"/>
              </a:schemeClr>
            </a:solidFill>
            <a:ln>
              <a:noFill/>
            </a:ln>
            <a:effectLst/>
          </c:spPr>
          <c:invertIfNegative val="0"/>
          <c:val>
            <c:numRef>
              <c:f>LCA!$O$459:$O$468</c:f>
              <c:numCache>
                <c:formatCode>_(* #,##0.00_);_(* \(#,##0.00\);_(* "-"??_);_(@_)</c:formatCode>
                <c:ptCount val="10"/>
                <c:pt idx="0">
                  <c:v>0.41970083977374922</c:v>
                </c:pt>
                <c:pt idx="1">
                  <c:v>1.2873263883461659E-2</c:v>
                </c:pt>
                <c:pt idx="2">
                  <c:v>1.6999085144606501E-2</c:v>
                </c:pt>
                <c:pt idx="3">
                  <c:v>5.3940793130196852E-3</c:v>
                </c:pt>
                <c:pt idx="4">
                  <c:v>0.44927593526585019</c:v>
                </c:pt>
                <c:pt idx="6">
                  <c:v>5.9155888615890348E-3</c:v>
                </c:pt>
                <c:pt idx="7">
                  <c:v>6.6036238355580881E-2</c:v>
                </c:pt>
                <c:pt idx="8">
                  <c:v>0.32138528937561811</c:v>
                </c:pt>
                <c:pt idx="9">
                  <c:v>0.45554627669545777</c:v>
                </c:pt>
              </c:numCache>
            </c:numRef>
          </c:val>
          <c:extLst>
            <c:ext xmlns:c16="http://schemas.microsoft.com/office/drawing/2014/chart" uri="{C3380CC4-5D6E-409C-BE32-E72D297353CC}">
              <c16:uniqueId val="{0000000B-A218-4694-95DC-D537B041AC2A}"/>
            </c:ext>
          </c:extLst>
        </c:ser>
        <c:ser>
          <c:idx val="12"/>
          <c:order val="12"/>
          <c:tx>
            <c:strRef>
              <c:f>LCA!$P$458</c:f>
              <c:strCache>
                <c:ptCount val="1"/>
                <c:pt idx="0">
                  <c:v>Land Use</c:v>
                </c:pt>
              </c:strCache>
            </c:strRef>
          </c:tx>
          <c:spPr>
            <a:solidFill>
              <a:srgbClr val="339933"/>
            </a:solidFill>
            <a:ln>
              <a:noFill/>
            </a:ln>
            <a:effectLst/>
          </c:spPr>
          <c:invertIfNegative val="0"/>
          <c:val>
            <c:numRef>
              <c:f>LCA!$P$459:$P$468</c:f>
              <c:numCache>
                <c:formatCode>_(* #,##0.00_);_(* \(#,##0.00\);_(* "-"??_);_(@_)</c:formatCode>
                <c:ptCount val="10"/>
                <c:pt idx="0">
                  <c:v>2.1286770110750521E-8</c:v>
                </c:pt>
                <c:pt idx="1">
                  <c:v>2.4522736368967296E-8</c:v>
                </c:pt>
                <c:pt idx="2">
                  <c:v>7.4594006733329009E-9</c:v>
                </c:pt>
                <c:pt idx="3">
                  <c:v>7.97011757764745E-8</c:v>
                </c:pt>
                <c:pt idx="4">
                  <c:v>2.1378500026329948E-8</c:v>
                </c:pt>
                <c:pt idx="5">
                  <c:v>1.094739738604882E-5</c:v>
                </c:pt>
                <c:pt idx="6">
                  <c:v>1.4438899943029921E-9</c:v>
                </c:pt>
                <c:pt idx="7">
                  <c:v>3.2164501186929888E-8</c:v>
                </c:pt>
                <c:pt idx="8">
                  <c:v>1.3002343450068364E-8</c:v>
                </c:pt>
                <c:pt idx="9">
                  <c:v>2.2432949546449555E-8</c:v>
                </c:pt>
              </c:numCache>
            </c:numRef>
          </c:val>
          <c:extLst>
            <c:ext xmlns:c16="http://schemas.microsoft.com/office/drawing/2014/chart" uri="{C3380CC4-5D6E-409C-BE32-E72D297353CC}">
              <c16:uniqueId val="{0000000C-A218-4694-95DC-D537B041AC2A}"/>
            </c:ext>
          </c:extLst>
        </c:ser>
        <c:dLbls>
          <c:showLegendKey val="0"/>
          <c:showVal val="0"/>
          <c:showCatName val="0"/>
          <c:showSerName val="0"/>
          <c:showPercent val="0"/>
          <c:showBubbleSize val="0"/>
        </c:dLbls>
        <c:gapWidth val="150"/>
        <c:overlap val="100"/>
        <c:axId val="1873054144"/>
        <c:axId val="1873049344"/>
      </c:barChart>
      <c:catAx>
        <c:axId val="1873054144"/>
        <c:scaling>
          <c:orientation val="minMax"/>
        </c:scaling>
        <c:delete val="1"/>
        <c:axPos val="b"/>
        <c:numFmt formatCode="General" sourceLinked="1"/>
        <c:majorTickMark val="none"/>
        <c:minorTickMark val="none"/>
        <c:tickLblPos val="nextTo"/>
        <c:crossAx val="1873049344"/>
        <c:crosses val="autoZero"/>
        <c:auto val="1"/>
        <c:lblAlgn val="ctr"/>
        <c:lblOffset val="100"/>
        <c:noMultiLvlLbl val="0"/>
      </c:catAx>
      <c:valAx>
        <c:axId val="1873049344"/>
        <c:scaling>
          <c:orientation val="minMax"/>
          <c:max val="1"/>
        </c:scaling>
        <c:delete val="0"/>
        <c:axPos val="l"/>
        <c:majorGridlines>
          <c:spPr>
            <a:ln w="9525" cap="flat" cmpd="sng" algn="ctr">
              <a:solidFill>
                <a:schemeClr val="tx1"/>
              </a:solidFill>
              <a:round/>
            </a:ln>
            <a:effectLst/>
          </c:spPr>
        </c:majorGridlines>
        <c:numFmt formatCode="0%" sourceLinked="1"/>
        <c:majorTickMark val="cross"/>
        <c:minorTickMark val="none"/>
        <c:tickLblPos val="nextTo"/>
        <c:spPr>
          <a:noFill/>
          <a:ln>
            <a:solidFill>
              <a:schemeClr val="accent1">
                <a:shade val="15000"/>
              </a:schemeClr>
            </a:solid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Cond" panose="020B0506020202020204" pitchFamily="34" charset="0"/>
                <a:ea typeface="+mn-ea"/>
                <a:cs typeface="+mn-cs"/>
              </a:defRPr>
            </a:pPr>
            <a:endParaRPr lang="en-US"/>
          </a:p>
        </c:txPr>
        <c:crossAx val="1873054144"/>
        <c:crosses val="autoZero"/>
        <c:crossBetween val="between"/>
      </c:valAx>
      <c:spPr>
        <a:noFill/>
        <a:ln>
          <a:noFill/>
        </a:ln>
        <a:effectLst/>
      </c:spPr>
    </c:plotArea>
    <c:legend>
      <c:legendPos val="b"/>
      <c:layout>
        <c:manualLayout>
          <c:xMode val="edge"/>
          <c:yMode val="edge"/>
          <c:x val="1.1395200417109803E-2"/>
          <c:y val="0.83738911209129652"/>
          <c:w val="0.98860477717632589"/>
          <c:h val="0.1626109509047344"/>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noFill/>
      <a:round/>
    </a:ln>
    <a:effectLst/>
  </c:spPr>
  <c:txPr>
    <a:bodyPr/>
    <a:lstStyle/>
    <a:p>
      <a:pPr>
        <a:defRPr>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652170075566611E-2"/>
          <c:y val="0.34636462269213519"/>
          <c:w val="0.93264724641378594"/>
          <c:h val="0.37415205145069719"/>
        </c:manualLayout>
      </c:layout>
      <c:barChart>
        <c:barDir val="col"/>
        <c:grouping val="percentStacked"/>
        <c:varyColors val="0"/>
        <c:ser>
          <c:idx val="0"/>
          <c:order val="0"/>
          <c:tx>
            <c:strRef>
              <c:f>LCA!$D$458</c:f>
              <c:strCache>
                <c:ptCount val="1"/>
                <c:pt idx="0">
                  <c:v>Transportation</c:v>
                </c:pt>
              </c:strCache>
            </c:strRef>
          </c:tx>
          <c:spPr>
            <a:solidFill>
              <a:schemeClr val="tx1">
                <a:lumMod val="85000"/>
                <a:lumOff val="15000"/>
              </a:schemeClr>
            </a:solidFill>
            <a:ln>
              <a:noFill/>
            </a:ln>
            <a:effectLst/>
          </c:spPr>
          <c:invertIfNegative val="0"/>
          <c:cat>
            <c:strLit>
              <c:ptCount val="1"/>
              <c:pt idx="0">
                <c:v>6</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LCA!$D$459:$D$468</c15:sqref>
                  </c15:fullRef>
                </c:ext>
              </c:extLst>
              <c:f>LCA!$D$464</c:f>
              <c:numCache>
                <c:formatCode>0.00E+00</c:formatCode>
                <c:ptCount val="1"/>
                <c:pt idx="0" formatCode="_(* #,##0.00_);_(* \(#,##0.00\);_(* &quot;-&quot;??_);_(@_)">
                  <c:v>0.38635832784526669</c:v>
                </c:pt>
              </c:numCache>
            </c:numRef>
          </c:val>
          <c:extLst>
            <c:ext xmlns:c16="http://schemas.microsoft.com/office/drawing/2014/chart" uri="{C3380CC4-5D6E-409C-BE32-E72D297353CC}">
              <c16:uniqueId val="{00000000-C306-466B-BF16-DEFF3AF9767E}"/>
            </c:ext>
          </c:extLst>
        </c:ser>
        <c:ser>
          <c:idx val="1"/>
          <c:order val="1"/>
          <c:tx>
            <c:strRef>
              <c:f>LCA!$E$458</c:f>
              <c:strCache>
                <c:ptCount val="1"/>
                <c:pt idx="0">
                  <c:v>Grinders &amp; Feed Pumps</c:v>
                </c:pt>
              </c:strCache>
            </c:strRef>
          </c:tx>
          <c:spPr>
            <a:solidFill>
              <a:schemeClr val="accent2"/>
            </a:solidFill>
            <a:ln>
              <a:noFill/>
            </a:ln>
            <a:effectLst/>
          </c:spPr>
          <c:invertIfNegative val="0"/>
          <c:cat>
            <c:strLit>
              <c:ptCount val="1"/>
              <c:pt idx="0">
                <c:v>6</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LCA!$E$459:$E$468</c15:sqref>
                  </c15:fullRef>
                </c:ext>
              </c:extLst>
              <c:f>LCA!$E$464</c:f>
              <c:numCache>
                <c:formatCode>0.00E+00</c:formatCode>
                <c:ptCount val="1"/>
                <c:pt idx="0" formatCode="_(* #,##0.00_);_(* \(#,##0.00\);_(* &quot;-&quot;??_);_(@_)">
                  <c:v>3.1196307400183662E-4</c:v>
                </c:pt>
              </c:numCache>
            </c:numRef>
          </c:val>
          <c:extLst>
            <c:ext xmlns:c16="http://schemas.microsoft.com/office/drawing/2014/chart" uri="{C3380CC4-5D6E-409C-BE32-E72D297353CC}">
              <c16:uniqueId val="{00000001-C306-466B-BF16-DEFF3AF9767E}"/>
            </c:ext>
          </c:extLst>
        </c:ser>
        <c:ser>
          <c:idx val="2"/>
          <c:order val="2"/>
          <c:tx>
            <c:strRef>
              <c:f>LCA!$F$458</c:f>
              <c:strCache>
                <c:ptCount val="1"/>
                <c:pt idx="0">
                  <c:v>Ion Exchange Membranes</c:v>
                </c:pt>
              </c:strCache>
            </c:strRef>
          </c:tx>
          <c:spPr>
            <a:solidFill>
              <a:srgbClr val="F4EE00"/>
            </a:solidFill>
            <a:ln>
              <a:noFill/>
            </a:ln>
            <a:effectLst/>
          </c:spPr>
          <c:invertIfNegative val="0"/>
          <c:cat>
            <c:strLit>
              <c:ptCount val="1"/>
              <c:pt idx="0">
                <c:v>6</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LCA!$F$459:$F$468</c15:sqref>
                  </c15:fullRef>
                </c:ext>
              </c:extLst>
              <c:f>LCA!$F$464</c:f>
              <c:numCache>
                <c:formatCode>0.00E+00</c:formatCode>
                <c:ptCount val="1"/>
                <c:pt idx="0" formatCode="_(* #,##0.00_);_(* \(#,##0.00\);_(* &quot;-&quot;??_);_(@_)">
                  <c:v>2.4339183321558347E-3</c:v>
                </c:pt>
              </c:numCache>
            </c:numRef>
          </c:val>
          <c:extLst>
            <c:ext xmlns:c16="http://schemas.microsoft.com/office/drawing/2014/chart" uri="{C3380CC4-5D6E-409C-BE32-E72D297353CC}">
              <c16:uniqueId val="{00000002-C306-466B-BF16-DEFF3AF9767E}"/>
            </c:ext>
          </c:extLst>
        </c:ser>
        <c:ser>
          <c:idx val="3"/>
          <c:order val="3"/>
          <c:tx>
            <c:strRef>
              <c:f>LCA!$G$458</c:f>
              <c:strCache>
                <c:ptCount val="1"/>
                <c:pt idx="0">
                  <c:v>Reactor Equipment</c:v>
                </c:pt>
              </c:strCache>
            </c:strRef>
          </c:tx>
          <c:spPr>
            <a:solidFill>
              <a:schemeClr val="accent4"/>
            </a:solidFill>
            <a:ln>
              <a:noFill/>
            </a:ln>
            <a:effectLst/>
          </c:spPr>
          <c:invertIfNegative val="0"/>
          <c:cat>
            <c:strLit>
              <c:ptCount val="1"/>
              <c:pt idx="0">
                <c:v>6</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LCA!$G$459:$G$468</c15:sqref>
                  </c15:fullRef>
                </c:ext>
              </c:extLst>
              <c:f>LCA!$G$464</c:f>
              <c:numCache>
                <c:formatCode>0.00E+00</c:formatCode>
                <c:ptCount val="1"/>
                <c:pt idx="0" formatCode="_(* #,##0.00_);_(* \(#,##0.00\);_(* &quot;-&quot;??_);_(@_)">
                  <c:v>2.9870873172109475E-2</c:v>
                </c:pt>
              </c:numCache>
            </c:numRef>
          </c:val>
          <c:extLst>
            <c:ext xmlns:c16="http://schemas.microsoft.com/office/drawing/2014/chart" uri="{C3380CC4-5D6E-409C-BE32-E72D297353CC}">
              <c16:uniqueId val="{00000003-C306-466B-BF16-DEFF3AF9767E}"/>
            </c:ext>
          </c:extLst>
        </c:ser>
        <c:ser>
          <c:idx val="4"/>
          <c:order val="4"/>
          <c:tx>
            <c:strRef>
              <c:f>LCA!$H$458</c:f>
              <c:strCache>
                <c:ptCount val="1"/>
                <c:pt idx="0">
                  <c:v>Filtration</c:v>
                </c:pt>
              </c:strCache>
            </c:strRef>
          </c:tx>
          <c:spPr>
            <a:solidFill>
              <a:schemeClr val="accent4">
                <a:lumMod val="40000"/>
                <a:lumOff val="60000"/>
              </a:schemeClr>
            </a:solidFill>
            <a:ln>
              <a:noFill/>
            </a:ln>
            <a:effectLst/>
          </c:spPr>
          <c:invertIfNegative val="0"/>
          <c:cat>
            <c:strLit>
              <c:ptCount val="1"/>
              <c:pt idx="0">
                <c:v>6</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LCA!$H$459:$H$468</c15:sqref>
                  </c15:fullRef>
                </c:ext>
              </c:extLst>
              <c:f>LCA!$H$464</c:f>
              <c:numCache>
                <c:formatCode>0.00E+00</c:formatCode>
                <c:ptCount val="1"/>
                <c:pt idx="0" formatCode="_(* #,##0.00_);_(* \(#,##0.00\);_(* &quot;-&quot;??_);_(@_)">
                  <c:v>0.11999904399615496</c:v>
                </c:pt>
              </c:numCache>
            </c:numRef>
          </c:val>
          <c:extLst>
            <c:ext xmlns:c16="http://schemas.microsoft.com/office/drawing/2014/chart" uri="{C3380CC4-5D6E-409C-BE32-E72D297353CC}">
              <c16:uniqueId val="{00000004-C306-466B-BF16-DEFF3AF9767E}"/>
            </c:ext>
          </c:extLst>
        </c:ser>
        <c:ser>
          <c:idx val="5"/>
          <c:order val="5"/>
          <c:tx>
            <c:strRef>
              <c:f>LCA!$I$458</c:f>
              <c:strCache>
                <c:ptCount val="1"/>
                <c:pt idx="0">
                  <c:v>Electrodes</c:v>
                </c:pt>
              </c:strCache>
            </c:strRef>
          </c:tx>
          <c:spPr>
            <a:solidFill>
              <a:schemeClr val="accent6"/>
            </a:solidFill>
            <a:ln>
              <a:noFill/>
            </a:ln>
            <a:effectLst/>
          </c:spPr>
          <c:invertIfNegative val="0"/>
          <c:cat>
            <c:strLit>
              <c:ptCount val="1"/>
              <c:pt idx="0">
                <c:v>6</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LCA!$I$459:$I$468</c15:sqref>
                  </c15:fullRef>
                </c:ext>
              </c:extLst>
              <c:f>LCA!$I$464</c:f>
              <c:numCache>
                <c:formatCode>0.00E+00</c:formatCode>
                <c:ptCount val="1"/>
                <c:pt idx="0" formatCode="_(* #,##0.00_);_(* \(#,##0.00\);_(* &quot;-&quot;??_);_(@_)">
                  <c:v>1.2320632857466526E-2</c:v>
                </c:pt>
              </c:numCache>
            </c:numRef>
          </c:val>
          <c:extLst>
            <c:ext xmlns:c16="http://schemas.microsoft.com/office/drawing/2014/chart" uri="{C3380CC4-5D6E-409C-BE32-E72D297353CC}">
              <c16:uniqueId val="{00000005-C306-466B-BF16-DEFF3AF9767E}"/>
            </c:ext>
          </c:extLst>
        </c:ser>
        <c:ser>
          <c:idx val="6"/>
          <c:order val="6"/>
          <c:tx>
            <c:strRef>
              <c:f>LCA!$J$458</c:f>
              <c:strCache>
                <c:ptCount val="1"/>
                <c:pt idx="0">
                  <c:v>Heat Exchangers</c:v>
                </c:pt>
              </c:strCache>
            </c:strRef>
          </c:tx>
          <c:spPr>
            <a:solidFill>
              <a:srgbClr val="CC6600"/>
            </a:solidFill>
            <a:ln>
              <a:noFill/>
            </a:ln>
            <a:effectLst/>
          </c:spPr>
          <c:invertIfNegative val="0"/>
          <c:cat>
            <c:strLit>
              <c:ptCount val="1"/>
              <c:pt idx="0">
                <c:v>6</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LCA!$J$459:$J$468</c15:sqref>
                  </c15:fullRef>
                </c:ext>
              </c:extLst>
              <c:f>LCA!$J$464</c:f>
              <c:numCache>
                <c:formatCode>0.00E+00</c:formatCode>
                <c:ptCount val="1"/>
                <c:pt idx="0" formatCode="_(* #,##0.00_);_(* \(#,##0.00\);_(* &quot;-&quot;??_);_(@_)">
                  <c:v>1.4116527900863654E-4</c:v>
                </c:pt>
              </c:numCache>
            </c:numRef>
          </c:val>
          <c:extLst>
            <c:ext xmlns:c16="http://schemas.microsoft.com/office/drawing/2014/chart" uri="{C3380CC4-5D6E-409C-BE32-E72D297353CC}">
              <c16:uniqueId val="{00000006-C306-466B-BF16-DEFF3AF9767E}"/>
            </c:ext>
          </c:extLst>
        </c:ser>
        <c:ser>
          <c:idx val="7"/>
          <c:order val="7"/>
          <c:tx>
            <c:strRef>
              <c:f>LCA!$K$458</c:f>
              <c:strCache>
                <c:ptCount val="1"/>
                <c:pt idx="0">
                  <c:v>Separation Columns and Equipment</c:v>
                </c:pt>
              </c:strCache>
            </c:strRef>
          </c:tx>
          <c:spPr>
            <a:solidFill>
              <a:schemeClr val="accent3">
                <a:lumMod val="75000"/>
              </a:schemeClr>
            </a:solidFill>
            <a:ln>
              <a:noFill/>
            </a:ln>
            <a:effectLst/>
          </c:spPr>
          <c:invertIfNegative val="0"/>
          <c:cat>
            <c:strLit>
              <c:ptCount val="1"/>
              <c:pt idx="0">
                <c:v>6</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LCA!$K$459:$K$468</c15:sqref>
                  </c15:fullRef>
                </c:ext>
              </c:extLst>
              <c:f>LCA!$K$464</c:f>
              <c:numCache>
                <c:formatCode>0.00E+00</c:formatCode>
                <c:ptCount val="1"/>
                <c:pt idx="0" formatCode="_(* #,##0.00_);_(* \(#,##0.00\);_(* &quot;-&quot;??_);_(@_)">
                  <c:v>0.17251058301941344</c:v>
                </c:pt>
              </c:numCache>
            </c:numRef>
          </c:val>
          <c:extLst>
            <c:ext xmlns:c16="http://schemas.microsoft.com/office/drawing/2014/chart" uri="{C3380CC4-5D6E-409C-BE32-E72D297353CC}">
              <c16:uniqueId val="{00000007-C306-466B-BF16-DEFF3AF9767E}"/>
            </c:ext>
          </c:extLst>
        </c:ser>
        <c:ser>
          <c:idx val="8"/>
          <c:order val="8"/>
          <c:tx>
            <c:strRef>
              <c:f>LCA!$L$458</c:f>
              <c:strCache>
                <c:ptCount val="1"/>
                <c:pt idx="0">
                  <c:v>Catalysts</c:v>
                </c:pt>
              </c:strCache>
            </c:strRef>
          </c:tx>
          <c:spPr>
            <a:solidFill>
              <a:srgbClr val="D86ECC"/>
            </a:solidFill>
            <a:ln>
              <a:noFill/>
            </a:ln>
            <a:effectLst/>
          </c:spPr>
          <c:invertIfNegative val="0"/>
          <c:cat>
            <c:strLit>
              <c:ptCount val="1"/>
              <c:pt idx="0">
                <c:v>6</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LCA!$L$459:$L$468</c15:sqref>
                  </c15:fullRef>
                </c:ext>
              </c:extLst>
              <c:f>LCA!$L$464</c:f>
              <c:numCache>
                <c:formatCode>0.00E+00</c:formatCode>
                <c:ptCount val="1"/>
                <c:pt idx="0" formatCode="_(* #,##0.00_);_(* \(#,##0.00\);_(* &quot;-&quot;??_);_(@_)">
                  <c:v>6.398531087439413E-5</c:v>
                </c:pt>
              </c:numCache>
            </c:numRef>
          </c:val>
          <c:extLst>
            <c:ext xmlns:c16="http://schemas.microsoft.com/office/drawing/2014/chart" uri="{C3380CC4-5D6E-409C-BE32-E72D297353CC}">
              <c16:uniqueId val="{00000008-C306-466B-BF16-DEFF3AF9767E}"/>
            </c:ext>
          </c:extLst>
        </c:ser>
        <c:ser>
          <c:idx val="9"/>
          <c:order val="9"/>
          <c:tx>
            <c:strRef>
              <c:f>LCA!$M$458</c:f>
              <c:strCache>
                <c:ptCount val="1"/>
                <c:pt idx="0">
                  <c:v>Electricity</c:v>
                </c:pt>
              </c:strCache>
            </c:strRef>
          </c:tx>
          <c:spPr>
            <a:solidFill>
              <a:srgbClr val="CCCC00"/>
            </a:solidFill>
            <a:ln>
              <a:noFill/>
            </a:ln>
            <a:effectLst/>
          </c:spPr>
          <c:invertIfNegative val="0"/>
          <c:cat>
            <c:strLit>
              <c:ptCount val="1"/>
              <c:pt idx="0">
                <c:v>6</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LCA!$M$459:$M$468</c15:sqref>
                  </c15:fullRef>
                </c:ext>
              </c:extLst>
              <c:f>LCA!$M$464</c:f>
              <c:numCache>
                <c:formatCode>0.00E+00</c:formatCode>
                <c:ptCount val="1"/>
                <c:pt idx="0" formatCode="_(* #,##0.00_);_(* \(#,##0.00\);_(* &quot;-&quot;??_);_(@_)">
                  <c:v>0.1704963556013733</c:v>
                </c:pt>
              </c:numCache>
            </c:numRef>
          </c:val>
          <c:extLst>
            <c:ext xmlns:c16="http://schemas.microsoft.com/office/drawing/2014/chart" uri="{C3380CC4-5D6E-409C-BE32-E72D297353CC}">
              <c16:uniqueId val="{00000009-C306-466B-BF16-DEFF3AF9767E}"/>
            </c:ext>
          </c:extLst>
        </c:ser>
        <c:ser>
          <c:idx val="10"/>
          <c:order val="10"/>
          <c:tx>
            <c:strRef>
              <c:f>LCA!$N$458</c:f>
              <c:strCache>
                <c:ptCount val="1"/>
                <c:pt idx="0">
                  <c:v>Other Operations</c:v>
                </c:pt>
              </c:strCache>
            </c:strRef>
          </c:tx>
          <c:spPr>
            <a:solidFill>
              <a:srgbClr val="9999FF"/>
            </a:solidFill>
            <a:ln>
              <a:noFill/>
            </a:ln>
            <a:effectLst/>
          </c:spPr>
          <c:invertIfNegative val="0"/>
          <c:cat>
            <c:strLit>
              <c:ptCount val="1"/>
              <c:pt idx="0">
                <c:v>6</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LCA!$N$459:$N$468</c15:sqref>
                  </c15:fullRef>
                </c:ext>
              </c:extLst>
              <c:f>LCA!$N$464</c:f>
              <c:numCache>
                <c:formatCode>0.00E+00</c:formatCode>
                <c:ptCount val="1"/>
                <c:pt idx="0" formatCode="_(* #,##0.00_);_(* \(#,##0.00\);_(* &quot;-&quot;??_);_(@_)">
                  <c:v>0.10118032333560158</c:v>
                </c:pt>
              </c:numCache>
            </c:numRef>
          </c:val>
          <c:extLst>
            <c:ext xmlns:c16="http://schemas.microsoft.com/office/drawing/2014/chart" uri="{C3380CC4-5D6E-409C-BE32-E72D297353CC}">
              <c16:uniqueId val="{0000000A-C306-466B-BF16-DEFF3AF9767E}"/>
            </c:ext>
          </c:extLst>
        </c:ser>
        <c:ser>
          <c:idx val="11"/>
          <c:order val="11"/>
          <c:tx>
            <c:strRef>
              <c:f>LCA!$O$458</c:f>
              <c:strCache>
                <c:ptCount val="1"/>
                <c:pt idx="0">
                  <c:v>Fuel Combustion</c:v>
                </c:pt>
              </c:strCache>
            </c:strRef>
          </c:tx>
          <c:spPr>
            <a:solidFill>
              <a:srgbClr val="FFCFB7"/>
            </a:solidFill>
            <a:ln>
              <a:noFill/>
            </a:ln>
            <a:effectLst/>
          </c:spPr>
          <c:invertIfNegative val="0"/>
          <c:cat>
            <c:strLit>
              <c:ptCount val="1"/>
              <c:pt idx="0">
                <c:v>6</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LCA!$O$459:$O$468</c15:sqref>
                  </c15:fullRef>
                </c:ext>
              </c:extLst>
              <c:f>LCA!$O$464</c:f>
              <c:numCache>
                <c:formatCode>_(* #,##0.00_);_(* \(#,##0.00\);_(* "-"??_);_(@_)</c:formatCode>
                <c:ptCount val="1"/>
              </c:numCache>
            </c:numRef>
          </c:val>
          <c:extLst>
            <c:ext xmlns:c16="http://schemas.microsoft.com/office/drawing/2014/chart" uri="{C3380CC4-5D6E-409C-BE32-E72D297353CC}">
              <c16:uniqueId val="{0000000B-C306-466B-BF16-DEFF3AF9767E}"/>
            </c:ext>
          </c:extLst>
        </c:ser>
        <c:ser>
          <c:idx val="12"/>
          <c:order val="12"/>
          <c:tx>
            <c:strRef>
              <c:f>LCA!$P$458</c:f>
              <c:strCache>
                <c:ptCount val="1"/>
                <c:pt idx="0">
                  <c:v>Land Use</c:v>
                </c:pt>
              </c:strCache>
            </c:strRef>
          </c:tx>
          <c:spPr>
            <a:solidFill>
              <a:srgbClr val="339933"/>
            </a:solidFill>
            <a:ln>
              <a:noFill/>
            </a:ln>
            <a:effectLst/>
          </c:spPr>
          <c:invertIfNegative val="0"/>
          <c:cat>
            <c:strLit>
              <c:ptCount val="1"/>
              <c:pt idx="0">
                <c:v>6</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LCA!$P$459:$P$468</c15:sqref>
                  </c15:fullRef>
                </c:ext>
              </c:extLst>
              <c:f>LCA!$P$464</c:f>
              <c:numCache>
                <c:formatCode>_(* #,##0.00_);_(* \(#,##0.00\);_(* "-"??_);_(@_)</c:formatCode>
                <c:ptCount val="1"/>
                <c:pt idx="0">
                  <c:v>1.094739738604882E-5</c:v>
                </c:pt>
              </c:numCache>
            </c:numRef>
          </c:val>
          <c:extLst>
            <c:ext xmlns:c16="http://schemas.microsoft.com/office/drawing/2014/chart" uri="{C3380CC4-5D6E-409C-BE32-E72D297353CC}">
              <c16:uniqueId val="{0000000C-C306-466B-BF16-DEFF3AF9767E}"/>
            </c:ext>
          </c:extLst>
        </c:ser>
        <c:dLbls>
          <c:showLegendKey val="0"/>
          <c:showVal val="0"/>
          <c:showCatName val="0"/>
          <c:showSerName val="0"/>
          <c:showPercent val="0"/>
          <c:showBubbleSize val="0"/>
        </c:dLbls>
        <c:gapWidth val="150"/>
        <c:overlap val="100"/>
        <c:axId val="1873054144"/>
        <c:axId val="1873049344"/>
      </c:barChart>
      <c:catAx>
        <c:axId val="1873054144"/>
        <c:scaling>
          <c:orientation val="minMax"/>
        </c:scaling>
        <c:delete val="1"/>
        <c:axPos val="b"/>
        <c:numFmt formatCode="General" sourceLinked="1"/>
        <c:majorTickMark val="none"/>
        <c:minorTickMark val="none"/>
        <c:tickLblPos val="nextTo"/>
        <c:crossAx val="1873049344"/>
        <c:crosses val="autoZero"/>
        <c:auto val="1"/>
        <c:lblAlgn val="ctr"/>
        <c:lblOffset val="100"/>
        <c:noMultiLvlLbl val="0"/>
      </c:catAx>
      <c:valAx>
        <c:axId val="1873049344"/>
        <c:scaling>
          <c:orientation val="minMax"/>
          <c:max val="1"/>
        </c:scaling>
        <c:delete val="0"/>
        <c:axPos val="l"/>
        <c:majorGridlines>
          <c:spPr>
            <a:ln w="9525" cap="flat" cmpd="sng" algn="ctr">
              <a:solidFill>
                <a:schemeClr val="tx1"/>
              </a:solidFill>
              <a:round/>
            </a:ln>
            <a:effectLst/>
          </c:spPr>
        </c:majorGridlines>
        <c:numFmt formatCode="0%" sourceLinked="1"/>
        <c:majorTickMark val="cross"/>
        <c:minorTickMark val="none"/>
        <c:tickLblPos val="nextTo"/>
        <c:spPr>
          <a:noFill/>
          <a:ln>
            <a:solidFill>
              <a:schemeClr val="accent1">
                <a:shade val="15000"/>
              </a:schemeClr>
            </a:solid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Cond" panose="020B0506020202020204" pitchFamily="34" charset="0"/>
                <a:ea typeface="+mn-ea"/>
                <a:cs typeface="+mn-cs"/>
              </a:defRPr>
            </a:pPr>
            <a:endParaRPr lang="en-US"/>
          </a:p>
        </c:txPr>
        <c:crossAx val="1873054144"/>
        <c:crosses val="autoZero"/>
        <c:crossBetween val="between"/>
      </c:valAx>
      <c:spPr>
        <a:noFill/>
        <a:ln>
          <a:noFill/>
        </a:ln>
        <a:effectLst/>
      </c:spPr>
    </c:plotArea>
    <c:legend>
      <c:legendPos val="b"/>
      <c:layout>
        <c:manualLayout>
          <c:xMode val="edge"/>
          <c:yMode val="edge"/>
          <c:x val="1.1395200417109803E-2"/>
          <c:y val="0.81117664987052018"/>
          <c:w val="0.98087201227822063"/>
          <c:h val="0.18882335012947984"/>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Arial Nova Cond" panose="020B0506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noFill/>
      <a:round/>
    </a:ln>
    <a:effectLst/>
  </c:spPr>
  <c:txPr>
    <a:bodyPr/>
    <a:lstStyle/>
    <a:p>
      <a:pPr>
        <a:defRPr>
          <a:latin typeface="Arial Nova Cond" panose="020B0506020202020204" pitchFamily="34" charset="0"/>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3" Type="http://schemas.openxmlformats.org/officeDocument/2006/relationships/chart" Target="../charts/chart13.xml"/><Relationship Id="rId18" Type="http://schemas.openxmlformats.org/officeDocument/2006/relationships/image" Target="../media/image3.png"/><Relationship Id="rId26" Type="http://schemas.openxmlformats.org/officeDocument/2006/relationships/image" Target="../media/image11.png"/><Relationship Id="rId3" Type="http://schemas.openxmlformats.org/officeDocument/2006/relationships/chart" Target="../charts/chart4.xml"/><Relationship Id="rId21" Type="http://schemas.openxmlformats.org/officeDocument/2006/relationships/image" Target="../media/image6.png"/><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image" Target="../media/image10.png"/><Relationship Id="rId33" Type="http://schemas.openxmlformats.org/officeDocument/2006/relationships/image" Target="../media/image18.png"/><Relationship Id="rId2" Type="http://schemas.openxmlformats.org/officeDocument/2006/relationships/chart" Target="../charts/chart3.xml"/><Relationship Id="rId16" Type="http://schemas.openxmlformats.org/officeDocument/2006/relationships/chart" Target="../charts/chart16.xml"/><Relationship Id="rId20" Type="http://schemas.openxmlformats.org/officeDocument/2006/relationships/image" Target="../media/image5.png"/><Relationship Id="rId29" Type="http://schemas.openxmlformats.org/officeDocument/2006/relationships/image" Target="../media/image14.png"/><Relationship Id="rId1" Type="http://schemas.openxmlformats.org/officeDocument/2006/relationships/chart" Target="../charts/chart2.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image" Target="../media/image9.png"/><Relationship Id="rId32" Type="http://schemas.openxmlformats.org/officeDocument/2006/relationships/image" Target="../media/image17.png"/><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image" Target="../media/image8.png"/><Relationship Id="rId28" Type="http://schemas.openxmlformats.org/officeDocument/2006/relationships/image" Target="../media/image13.png"/><Relationship Id="rId10" Type="http://schemas.openxmlformats.org/officeDocument/2006/relationships/chart" Target="../charts/chart10.xml"/><Relationship Id="rId19" Type="http://schemas.openxmlformats.org/officeDocument/2006/relationships/image" Target="../media/image4.png"/><Relationship Id="rId31" Type="http://schemas.openxmlformats.org/officeDocument/2006/relationships/image" Target="../media/image16.png"/><Relationship Id="rId4" Type="http://schemas.openxmlformats.org/officeDocument/2006/relationships/image" Target="../media/image1.png"/><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image" Target="../media/image7.png"/><Relationship Id="rId27" Type="http://schemas.openxmlformats.org/officeDocument/2006/relationships/image" Target="../media/image12.png"/><Relationship Id="rId30" Type="http://schemas.openxmlformats.org/officeDocument/2006/relationships/image" Target="../media/image15.png"/><Relationship Id="rId8"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3" Type="http://schemas.openxmlformats.org/officeDocument/2006/relationships/chart" Target="../charts/chart20.xml"/><Relationship Id="rId7" Type="http://schemas.openxmlformats.org/officeDocument/2006/relationships/chart" Target="../charts/chart21.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image" Target="../media/image23.png"/><Relationship Id="rId5" Type="http://schemas.openxmlformats.org/officeDocument/2006/relationships/image" Target="../media/image22.png"/><Relationship Id="rId4" Type="http://schemas.openxmlformats.org/officeDocument/2006/relationships/image" Target="../media/image21.png"/></Relationships>
</file>

<file path=xl/drawings/_rels/drawing25.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28.xml.rels><?xml version="1.0" encoding="UTF-8" standalone="yes"?>
<Relationships xmlns="http://schemas.openxmlformats.org/package/2006/relationships"><Relationship Id="rId8" Type="http://schemas.openxmlformats.org/officeDocument/2006/relationships/chart" Target="../charts/chart31.xml"/><Relationship Id="rId13" Type="http://schemas.openxmlformats.org/officeDocument/2006/relationships/image" Target="../media/image25.png"/><Relationship Id="rId18" Type="http://schemas.openxmlformats.org/officeDocument/2006/relationships/image" Target="../media/image30.png"/><Relationship Id="rId3" Type="http://schemas.openxmlformats.org/officeDocument/2006/relationships/chart" Target="../charts/chart26.xml"/><Relationship Id="rId21" Type="http://schemas.openxmlformats.org/officeDocument/2006/relationships/image" Target="../media/image33.png"/><Relationship Id="rId7" Type="http://schemas.openxmlformats.org/officeDocument/2006/relationships/chart" Target="../charts/chart30.xml"/><Relationship Id="rId12" Type="http://schemas.openxmlformats.org/officeDocument/2006/relationships/image" Target="../media/image24.png"/><Relationship Id="rId17" Type="http://schemas.openxmlformats.org/officeDocument/2006/relationships/image" Target="../media/image29.png"/><Relationship Id="rId2" Type="http://schemas.openxmlformats.org/officeDocument/2006/relationships/chart" Target="../charts/chart25.xml"/><Relationship Id="rId16" Type="http://schemas.openxmlformats.org/officeDocument/2006/relationships/image" Target="../media/image28.png"/><Relationship Id="rId20" Type="http://schemas.openxmlformats.org/officeDocument/2006/relationships/image" Target="../media/image32.png"/><Relationship Id="rId1" Type="http://schemas.openxmlformats.org/officeDocument/2006/relationships/chart" Target="../charts/chart24.xml"/><Relationship Id="rId6" Type="http://schemas.openxmlformats.org/officeDocument/2006/relationships/chart" Target="../charts/chart29.xml"/><Relationship Id="rId11" Type="http://schemas.openxmlformats.org/officeDocument/2006/relationships/chart" Target="../charts/chart34.xml"/><Relationship Id="rId5" Type="http://schemas.openxmlformats.org/officeDocument/2006/relationships/chart" Target="../charts/chart28.xml"/><Relationship Id="rId15" Type="http://schemas.openxmlformats.org/officeDocument/2006/relationships/image" Target="../media/image27.png"/><Relationship Id="rId10" Type="http://schemas.openxmlformats.org/officeDocument/2006/relationships/chart" Target="../charts/chart33.xml"/><Relationship Id="rId19" Type="http://schemas.openxmlformats.org/officeDocument/2006/relationships/image" Target="../media/image31.png"/><Relationship Id="rId4" Type="http://schemas.openxmlformats.org/officeDocument/2006/relationships/chart" Target="../charts/chart27.xml"/><Relationship Id="rId9" Type="http://schemas.openxmlformats.org/officeDocument/2006/relationships/chart" Target="../charts/chart32.xml"/><Relationship Id="rId14" Type="http://schemas.openxmlformats.org/officeDocument/2006/relationships/image" Target="../media/image26.png"/><Relationship Id="rId22" Type="http://schemas.openxmlformats.org/officeDocument/2006/relationships/image" Target="../media/image34.png"/></Relationships>
</file>

<file path=xl/drawings/_rels/drawing40.xml.rels><?xml version="1.0" encoding="UTF-8" standalone="yes"?>
<Relationships xmlns="http://schemas.openxmlformats.org/package/2006/relationships"><Relationship Id="rId3" Type="http://schemas.openxmlformats.org/officeDocument/2006/relationships/image" Target="../media/image35.png"/><Relationship Id="rId2" Type="http://schemas.openxmlformats.org/officeDocument/2006/relationships/chart" Target="../charts/chart36.xml"/><Relationship Id="rId1" Type="http://schemas.openxmlformats.org/officeDocument/2006/relationships/chart" Target="../charts/chart35.xml"/><Relationship Id="rId5" Type="http://schemas.openxmlformats.org/officeDocument/2006/relationships/image" Target="../media/image37.png"/><Relationship Id="rId4" Type="http://schemas.openxmlformats.org/officeDocument/2006/relationships/image" Target="../media/image36.png"/></Relationships>
</file>

<file path=xl/drawings/_rels/drawing42.xml.rels><?xml version="1.0" encoding="UTF-8" standalone="yes"?>
<Relationships xmlns="http://schemas.openxmlformats.org/package/2006/relationships"><Relationship Id="rId3" Type="http://schemas.openxmlformats.org/officeDocument/2006/relationships/image" Target="../media/image38.png"/><Relationship Id="rId2" Type="http://schemas.openxmlformats.org/officeDocument/2006/relationships/chart" Target="../charts/chart38.xml"/><Relationship Id="rId1" Type="http://schemas.openxmlformats.org/officeDocument/2006/relationships/chart" Target="../charts/chart37.xml"/><Relationship Id="rId5" Type="http://schemas.openxmlformats.org/officeDocument/2006/relationships/image" Target="../media/image40.png"/><Relationship Id="rId4" Type="http://schemas.openxmlformats.org/officeDocument/2006/relationships/image" Target="../media/image39.png"/></Relationships>
</file>

<file path=xl/drawings/_rels/drawing44.xml.rels><?xml version="1.0" encoding="UTF-8" standalone="yes"?>
<Relationships xmlns="http://schemas.openxmlformats.org/package/2006/relationships"><Relationship Id="rId3" Type="http://schemas.openxmlformats.org/officeDocument/2006/relationships/chart" Target="../charts/chart41.xml"/><Relationship Id="rId2" Type="http://schemas.openxmlformats.org/officeDocument/2006/relationships/chart" Target="../charts/chart40.xml"/><Relationship Id="rId1" Type="http://schemas.openxmlformats.org/officeDocument/2006/relationships/chart" Target="../charts/chart39.xml"/><Relationship Id="rId6" Type="http://schemas.openxmlformats.org/officeDocument/2006/relationships/image" Target="../media/image43.png"/><Relationship Id="rId5" Type="http://schemas.openxmlformats.org/officeDocument/2006/relationships/image" Target="../media/image42.png"/><Relationship Id="rId4" Type="http://schemas.openxmlformats.org/officeDocument/2006/relationships/image" Target="../media/image41.png"/></Relationships>
</file>

<file path=xl/drawings/_rels/drawing47.xml.rels><?xml version="1.0" encoding="UTF-8" standalone="yes"?>
<Relationships xmlns="http://schemas.openxmlformats.org/package/2006/relationships"><Relationship Id="rId3" Type="http://schemas.openxmlformats.org/officeDocument/2006/relationships/image" Target="../media/image44.png"/><Relationship Id="rId2" Type="http://schemas.openxmlformats.org/officeDocument/2006/relationships/chart" Target="../charts/chart43.xml"/><Relationship Id="rId1" Type="http://schemas.openxmlformats.org/officeDocument/2006/relationships/chart" Target="../charts/chart42.xml"/></Relationships>
</file>

<file path=xl/drawings/_rels/drawing49.xml.rels><?xml version="1.0" encoding="UTF-8" standalone="yes"?>
<Relationships xmlns="http://schemas.openxmlformats.org/package/2006/relationships"><Relationship Id="rId3" Type="http://schemas.openxmlformats.org/officeDocument/2006/relationships/image" Target="../media/image45.png"/><Relationship Id="rId2" Type="http://schemas.openxmlformats.org/officeDocument/2006/relationships/chart" Target="../charts/chart45.xml"/><Relationship Id="rId1" Type="http://schemas.openxmlformats.org/officeDocument/2006/relationships/chart" Target="../charts/chart44.xml"/></Relationships>
</file>

<file path=xl/drawings/_rels/drawing51.xml.rels><?xml version="1.0" encoding="UTF-8" standalone="yes"?>
<Relationships xmlns="http://schemas.openxmlformats.org/package/2006/relationships"><Relationship Id="rId3" Type="http://schemas.openxmlformats.org/officeDocument/2006/relationships/image" Target="../media/image46.png"/><Relationship Id="rId2" Type="http://schemas.openxmlformats.org/officeDocument/2006/relationships/chart" Target="../charts/chart47.xml"/><Relationship Id="rId1" Type="http://schemas.openxmlformats.org/officeDocument/2006/relationships/chart" Target="../charts/chart46.xml"/></Relationships>
</file>

<file path=xl/drawings/_rels/drawing54.xml.rels><?xml version="1.0" encoding="UTF-8" standalone="yes"?>
<Relationships xmlns="http://schemas.openxmlformats.org/package/2006/relationships"><Relationship Id="rId3" Type="http://schemas.openxmlformats.org/officeDocument/2006/relationships/image" Target="../media/image47.png"/><Relationship Id="rId2" Type="http://schemas.openxmlformats.org/officeDocument/2006/relationships/chart" Target="../charts/chart49.xml"/><Relationship Id="rId1" Type="http://schemas.openxmlformats.org/officeDocument/2006/relationships/chart" Target="../charts/chart48.xml"/></Relationships>
</file>

<file path=xl/drawings/_rels/drawing56.xml.rels><?xml version="1.0" encoding="UTF-8" standalone="yes"?>
<Relationships xmlns="http://schemas.openxmlformats.org/package/2006/relationships"><Relationship Id="rId2" Type="http://schemas.openxmlformats.org/officeDocument/2006/relationships/chart" Target="../charts/chart51.xml"/><Relationship Id="rId1" Type="http://schemas.openxmlformats.org/officeDocument/2006/relationships/chart" Target="../charts/chart50.xml"/></Relationships>
</file>

<file path=xl/drawings/_rels/drawing58.xml.rels><?xml version="1.0" encoding="UTF-8" standalone="yes"?>
<Relationships xmlns="http://schemas.openxmlformats.org/package/2006/relationships"><Relationship Id="rId3" Type="http://schemas.openxmlformats.org/officeDocument/2006/relationships/image" Target="../media/image49.png"/><Relationship Id="rId2" Type="http://schemas.openxmlformats.org/officeDocument/2006/relationships/chart" Target="../charts/chart52.xml"/><Relationship Id="rId1" Type="http://schemas.openxmlformats.org/officeDocument/2006/relationships/image" Target="../media/image48.png"/></Relationships>
</file>

<file path=xl/drawings/_rels/drawing60.xml.rels><?xml version="1.0" encoding="UTF-8" standalone="yes"?>
<Relationships xmlns="http://schemas.openxmlformats.org/package/2006/relationships"><Relationship Id="rId2" Type="http://schemas.openxmlformats.org/officeDocument/2006/relationships/image" Target="../media/image49.png"/><Relationship Id="rId1" Type="http://schemas.openxmlformats.org/officeDocument/2006/relationships/image" Target="../media/image48.png"/></Relationships>
</file>

<file path=xl/drawings/_rels/drawing61.xml.rels><?xml version="1.0" encoding="UTF-8" standalone="yes"?>
<Relationships xmlns="http://schemas.openxmlformats.org/package/2006/relationships"><Relationship Id="rId8" Type="http://schemas.openxmlformats.org/officeDocument/2006/relationships/image" Target="../media/image50.png"/><Relationship Id="rId13" Type="http://schemas.openxmlformats.org/officeDocument/2006/relationships/image" Target="../media/image55.png"/><Relationship Id="rId3" Type="http://schemas.openxmlformats.org/officeDocument/2006/relationships/chart" Target="../charts/chart55.xml"/><Relationship Id="rId7" Type="http://schemas.openxmlformats.org/officeDocument/2006/relationships/chart" Target="../charts/chart59.xml"/><Relationship Id="rId12" Type="http://schemas.openxmlformats.org/officeDocument/2006/relationships/image" Target="../media/image54.png"/><Relationship Id="rId2" Type="http://schemas.openxmlformats.org/officeDocument/2006/relationships/chart" Target="../charts/chart54.xml"/><Relationship Id="rId1" Type="http://schemas.openxmlformats.org/officeDocument/2006/relationships/chart" Target="../charts/chart53.xml"/><Relationship Id="rId6" Type="http://schemas.openxmlformats.org/officeDocument/2006/relationships/chart" Target="../charts/chart58.xml"/><Relationship Id="rId11" Type="http://schemas.openxmlformats.org/officeDocument/2006/relationships/image" Target="../media/image53.png"/><Relationship Id="rId5" Type="http://schemas.openxmlformats.org/officeDocument/2006/relationships/chart" Target="../charts/chart57.xml"/><Relationship Id="rId10" Type="http://schemas.openxmlformats.org/officeDocument/2006/relationships/image" Target="../media/image52.png"/><Relationship Id="rId4" Type="http://schemas.openxmlformats.org/officeDocument/2006/relationships/chart" Target="../charts/chart56.xml"/><Relationship Id="rId9" Type="http://schemas.openxmlformats.org/officeDocument/2006/relationships/image" Target="../media/image51.png"/><Relationship Id="rId14" Type="http://schemas.openxmlformats.org/officeDocument/2006/relationships/image" Target="../media/image56.png"/></Relationships>
</file>

<file path=xl/drawings/drawing1.xml><?xml version="1.0" encoding="utf-8"?>
<xdr:wsDr xmlns:xdr="http://schemas.openxmlformats.org/drawingml/2006/spreadsheetDrawing" xmlns:a="http://schemas.openxmlformats.org/drawingml/2006/main">
  <xdr:twoCellAnchor>
    <xdr:from>
      <xdr:col>8</xdr:col>
      <xdr:colOff>115888</xdr:colOff>
      <xdr:row>152</xdr:row>
      <xdr:rowOff>157163</xdr:rowOff>
    </xdr:from>
    <xdr:to>
      <xdr:col>11</xdr:col>
      <xdr:colOff>727076</xdr:colOff>
      <xdr:row>165</xdr:row>
      <xdr:rowOff>20637</xdr:rowOff>
    </xdr:to>
    <xdr:graphicFrame macro="">
      <xdr:nvGraphicFramePr>
        <xdr:cNvPr id="2" name="Chart 1">
          <a:extLst>
            <a:ext uri="{FF2B5EF4-FFF2-40B4-BE49-F238E27FC236}">
              <a16:creationId xmlns:a16="http://schemas.microsoft.com/office/drawing/2014/main" id="{68C7FA58-2A27-64FC-1094-A9AB6DAD3D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79953</xdr:colOff>
      <xdr:row>683</xdr:row>
      <xdr:rowOff>115234</xdr:rowOff>
    </xdr:from>
    <xdr:to>
      <xdr:col>14</xdr:col>
      <xdr:colOff>916132</xdr:colOff>
      <xdr:row>701</xdr:row>
      <xdr:rowOff>191075</xdr:rowOff>
    </xdr:to>
    <xdr:graphicFrame macro="">
      <xdr:nvGraphicFramePr>
        <xdr:cNvPr id="4" name="Chart 3">
          <a:extLst>
            <a:ext uri="{FF2B5EF4-FFF2-40B4-BE49-F238E27FC236}">
              <a16:creationId xmlns:a16="http://schemas.microsoft.com/office/drawing/2014/main" id="{6FF175C3-82C5-37C2-DED6-20052D23A2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129884</xdr:colOff>
      <xdr:row>885</xdr:row>
      <xdr:rowOff>160696</xdr:rowOff>
    </xdr:from>
    <xdr:to>
      <xdr:col>14</xdr:col>
      <xdr:colOff>819726</xdr:colOff>
      <xdr:row>903</xdr:row>
      <xdr:rowOff>63500</xdr:rowOff>
    </xdr:to>
    <xdr:graphicFrame macro="">
      <xdr:nvGraphicFramePr>
        <xdr:cNvPr id="6" name="Chart 5">
          <a:extLst>
            <a:ext uri="{FF2B5EF4-FFF2-40B4-BE49-F238E27FC236}">
              <a16:creationId xmlns:a16="http://schemas.microsoft.com/office/drawing/2014/main" id="{53BC90A3-9DB0-BC00-5A4A-2B2E6606BA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258688</xdr:colOff>
      <xdr:row>1154</xdr:row>
      <xdr:rowOff>183787</xdr:rowOff>
    </xdr:from>
    <xdr:to>
      <xdr:col>17</xdr:col>
      <xdr:colOff>103908</xdr:colOff>
      <xdr:row>1172</xdr:row>
      <xdr:rowOff>0</xdr:rowOff>
    </xdr:to>
    <xdr:graphicFrame macro="">
      <xdr:nvGraphicFramePr>
        <xdr:cNvPr id="8" name="Chart 7">
          <a:extLst>
            <a:ext uri="{FF2B5EF4-FFF2-40B4-BE49-F238E27FC236}">
              <a16:creationId xmlns:a16="http://schemas.microsoft.com/office/drawing/2014/main" id="{D4D1C849-E772-39DB-81FC-A689AFFC46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21167</xdr:colOff>
      <xdr:row>317</xdr:row>
      <xdr:rowOff>10583</xdr:rowOff>
    </xdr:from>
    <xdr:to>
      <xdr:col>14</xdr:col>
      <xdr:colOff>448784</xdr:colOff>
      <xdr:row>335</xdr:row>
      <xdr:rowOff>8966</xdr:rowOff>
    </xdr:to>
    <xdr:pic>
      <xdr:nvPicPr>
        <xdr:cNvPr id="2" name="Picture 1">
          <a:extLst>
            <a:ext uri="{FF2B5EF4-FFF2-40B4-BE49-F238E27FC236}">
              <a16:creationId xmlns:a16="http://schemas.microsoft.com/office/drawing/2014/main" id="{D121157C-8C38-338D-7C7D-04F9EDB5DA09}"/>
            </a:ext>
          </a:extLst>
        </xdr:cNvPr>
        <xdr:cNvPicPr>
          <a:picLocks noChangeAspect="1"/>
        </xdr:cNvPicPr>
      </xdr:nvPicPr>
      <xdr:blipFill>
        <a:blip xmlns:r="http://schemas.openxmlformats.org/officeDocument/2006/relationships" r:embed="rId4"/>
        <a:stretch>
          <a:fillRect/>
        </a:stretch>
      </xdr:blipFill>
      <xdr:spPr>
        <a:xfrm>
          <a:off x="12763500" y="23653750"/>
          <a:ext cx="4590476" cy="3695238"/>
        </a:xfrm>
        <a:prstGeom prst="rect">
          <a:avLst/>
        </a:prstGeom>
      </xdr:spPr>
    </xdr:pic>
    <xdr:clientData/>
  </xdr:twoCellAnchor>
  <xdr:twoCellAnchor>
    <xdr:from>
      <xdr:col>11</xdr:col>
      <xdr:colOff>190498</xdr:colOff>
      <xdr:row>1209</xdr:row>
      <xdr:rowOff>403512</xdr:rowOff>
    </xdr:from>
    <xdr:to>
      <xdr:col>17</xdr:col>
      <xdr:colOff>57149</xdr:colOff>
      <xdr:row>1230</xdr:row>
      <xdr:rowOff>38100</xdr:rowOff>
    </xdr:to>
    <xdr:graphicFrame macro="">
      <xdr:nvGraphicFramePr>
        <xdr:cNvPr id="7" name="Chart 6">
          <a:extLst>
            <a:ext uri="{FF2B5EF4-FFF2-40B4-BE49-F238E27FC236}">
              <a16:creationId xmlns:a16="http://schemas.microsoft.com/office/drawing/2014/main" id="{39194696-2A04-6621-C102-DAE695CF64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134937</xdr:colOff>
      <xdr:row>1392</xdr:row>
      <xdr:rowOff>148429</xdr:rowOff>
    </xdr:from>
    <xdr:to>
      <xdr:col>18</xdr:col>
      <xdr:colOff>126999</xdr:colOff>
      <xdr:row>1412</xdr:row>
      <xdr:rowOff>39687</xdr:rowOff>
    </xdr:to>
    <xdr:graphicFrame macro="">
      <xdr:nvGraphicFramePr>
        <xdr:cNvPr id="11" name="Chart 10">
          <a:extLst>
            <a:ext uri="{FF2B5EF4-FFF2-40B4-BE49-F238E27FC236}">
              <a16:creationId xmlns:a16="http://schemas.microsoft.com/office/drawing/2014/main" id="{D2C799E9-903A-1711-442B-17AC8D1755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635287</xdr:colOff>
      <xdr:row>1954</xdr:row>
      <xdr:rowOff>115449</xdr:rowOff>
    </xdr:from>
    <xdr:to>
      <xdr:col>21</xdr:col>
      <xdr:colOff>222250</xdr:colOff>
      <xdr:row>1992</xdr:row>
      <xdr:rowOff>74083</xdr:rowOff>
    </xdr:to>
    <xdr:graphicFrame macro="">
      <xdr:nvGraphicFramePr>
        <xdr:cNvPr id="13" name="Chart 12">
          <a:extLst>
            <a:ext uri="{FF2B5EF4-FFF2-40B4-BE49-F238E27FC236}">
              <a16:creationId xmlns:a16="http://schemas.microsoft.com/office/drawing/2014/main" id="{9331C3C6-10E7-08A3-338B-833E85E60A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176211</xdr:colOff>
      <xdr:row>255</xdr:row>
      <xdr:rowOff>157162</xdr:rowOff>
    </xdr:from>
    <xdr:to>
      <xdr:col>18</xdr:col>
      <xdr:colOff>200026</xdr:colOff>
      <xdr:row>272</xdr:row>
      <xdr:rowOff>161926</xdr:rowOff>
    </xdr:to>
    <xdr:graphicFrame macro="">
      <xdr:nvGraphicFramePr>
        <xdr:cNvPr id="17" name="Chart 16">
          <a:extLst>
            <a:ext uri="{FF2B5EF4-FFF2-40B4-BE49-F238E27FC236}">
              <a16:creationId xmlns:a16="http://schemas.microsoft.com/office/drawing/2014/main" id="{6CD00C5D-A498-A047-B79C-FC6891ABF4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196273</xdr:colOff>
      <xdr:row>273</xdr:row>
      <xdr:rowOff>80241</xdr:rowOff>
    </xdr:from>
    <xdr:to>
      <xdr:col>17</xdr:col>
      <xdr:colOff>964046</xdr:colOff>
      <xdr:row>290</xdr:row>
      <xdr:rowOff>156441</xdr:rowOff>
    </xdr:to>
    <xdr:graphicFrame macro="">
      <xdr:nvGraphicFramePr>
        <xdr:cNvPr id="18" name="Chart 17">
          <a:extLst>
            <a:ext uri="{FF2B5EF4-FFF2-40B4-BE49-F238E27FC236}">
              <a16:creationId xmlns:a16="http://schemas.microsoft.com/office/drawing/2014/main" id="{945C2185-8FFA-4A5F-9C3D-BA9089205F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206086</xdr:colOff>
      <xdr:row>273</xdr:row>
      <xdr:rowOff>41852</xdr:rowOff>
    </xdr:from>
    <xdr:to>
      <xdr:col>22</xdr:col>
      <xdr:colOff>110835</xdr:colOff>
      <xdr:row>290</xdr:row>
      <xdr:rowOff>89477</xdr:rowOff>
    </xdr:to>
    <xdr:graphicFrame macro="">
      <xdr:nvGraphicFramePr>
        <xdr:cNvPr id="19" name="Chart 18">
          <a:extLst>
            <a:ext uri="{FF2B5EF4-FFF2-40B4-BE49-F238E27FC236}">
              <a16:creationId xmlns:a16="http://schemas.microsoft.com/office/drawing/2014/main" id="{BD2526A3-03D2-4D90-8F7E-1CA7E5ADE1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284017</xdr:colOff>
      <xdr:row>84</xdr:row>
      <xdr:rowOff>117619</xdr:rowOff>
    </xdr:from>
    <xdr:to>
      <xdr:col>21</xdr:col>
      <xdr:colOff>903142</xdr:colOff>
      <xdr:row>103</xdr:row>
      <xdr:rowOff>36657</xdr:rowOff>
    </xdr:to>
    <xdr:graphicFrame macro="">
      <xdr:nvGraphicFramePr>
        <xdr:cNvPr id="9" name="Chart 8">
          <a:extLst>
            <a:ext uri="{FF2B5EF4-FFF2-40B4-BE49-F238E27FC236}">
              <a16:creationId xmlns:a16="http://schemas.microsoft.com/office/drawing/2014/main" id="{EBF12391-E0BF-D671-4AB2-85803AB0B4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1033462</xdr:colOff>
      <xdr:row>150</xdr:row>
      <xdr:rowOff>180975</xdr:rowOff>
    </xdr:from>
    <xdr:to>
      <xdr:col>12</xdr:col>
      <xdr:colOff>314326</xdr:colOff>
      <xdr:row>169</xdr:row>
      <xdr:rowOff>61912</xdr:rowOff>
    </xdr:to>
    <xdr:graphicFrame macro="">
      <xdr:nvGraphicFramePr>
        <xdr:cNvPr id="10" name="Chart 9">
          <a:extLst>
            <a:ext uri="{FF2B5EF4-FFF2-40B4-BE49-F238E27FC236}">
              <a16:creationId xmlns:a16="http://schemas.microsoft.com/office/drawing/2014/main" id="{7977EFBC-1C55-B863-819F-D2BD199D69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233362</xdr:colOff>
      <xdr:row>291</xdr:row>
      <xdr:rowOff>100012</xdr:rowOff>
    </xdr:from>
    <xdr:to>
      <xdr:col>17</xdr:col>
      <xdr:colOff>500062</xdr:colOff>
      <xdr:row>305</xdr:row>
      <xdr:rowOff>176212</xdr:rowOff>
    </xdr:to>
    <xdr:graphicFrame macro="">
      <xdr:nvGraphicFramePr>
        <xdr:cNvPr id="12" name="Chart 11">
          <a:extLst>
            <a:ext uri="{FF2B5EF4-FFF2-40B4-BE49-F238E27FC236}">
              <a16:creationId xmlns:a16="http://schemas.microsoft.com/office/drawing/2014/main" id="{9114059B-EFBC-32F1-1DC6-D29698D470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628650</xdr:colOff>
      <xdr:row>291</xdr:row>
      <xdr:rowOff>95250</xdr:rowOff>
    </xdr:from>
    <xdr:to>
      <xdr:col>21</xdr:col>
      <xdr:colOff>333375</xdr:colOff>
      <xdr:row>305</xdr:row>
      <xdr:rowOff>171450</xdr:rowOff>
    </xdr:to>
    <xdr:graphicFrame macro="">
      <xdr:nvGraphicFramePr>
        <xdr:cNvPr id="14" name="Chart 13">
          <a:extLst>
            <a:ext uri="{FF2B5EF4-FFF2-40B4-BE49-F238E27FC236}">
              <a16:creationId xmlns:a16="http://schemas.microsoft.com/office/drawing/2014/main" id="{4E281243-911D-4C60-BF0C-3D389CCE31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21</xdr:col>
      <xdr:colOff>523875</xdr:colOff>
      <xdr:row>291</xdr:row>
      <xdr:rowOff>95250</xdr:rowOff>
    </xdr:from>
    <xdr:to>
      <xdr:col>26</xdr:col>
      <xdr:colOff>114300</xdr:colOff>
      <xdr:row>305</xdr:row>
      <xdr:rowOff>171450</xdr:rowOff>
    </xdr:to>
    <xdr:graphicFrame macro="">
      <xdr:nvGraphicFramePr>
        <xdr:cNvPr id="16" name="Chart 15">
          <a:extLst>
            <a:ext uri="{FF2B5EF4-FFF2-40B4-BE49-F238E27FC236}">
              <a16:creationId xmlns:a16="http://schemas.microsoft.com/office/drawing/2014/main" id="{585FC823-F781-4708-A51A-0417834EE5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273625</xdr:colOff>
      <xdr:row>601</xdr:row>
      <xdr:rowOff>210416</xdr:rowOff>
    </xdr:from>
    <xdr:to>
      <xdr:col>15</xdr:col>
      <xdr:colOff>851476</xdr:colOff>
      <xdr:row>623</xdr:row>
      <xdr:rowOff>73892</xdr:rowOff>
    </xdr:to>
    <xdr:graphicFrame macro="">
      <xdr:nvGraphicFramePr>
        <xdr:cNvPr id="20" name="Chart 19">
          <a:extLst>
            <a:ext uri="{FF2B5EF4-FFF2-40B4-BE49-F238E27FC236}">
              <a16:creationId xmlns:a16="http://schemas.microsoft.com/office/drawing/2014/main" id="{65A15449-5135-2E6D-0307-9C72A006C4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271461</xdr:colOff>
      <xdr:row>616</xdr:row>
      <xdr:rowOff>9523</xdr:rowOff>
    </xdr:from>
    <xdr:to>
      <xdr:col>8</xdr:col>
      <xdr:colOff>1066800</xdr:colOff>
      <xdr:row>637</xdr:row>
      <xdr:rowOff>152400</xdr:rowOff>
    </xdr:to>
    <xdr:graphicFrame macro="">
      <xdr:nvGraphicFramePr>
        <xdr:cNvPr id="21" name="Chart 20">
          <a:extLst>
            <a:ext uri="{FF2B5EF4-FFF2-40B4-BE49-F238E27FC236}">
              <a16:creationId xmlns:a16="http://schemas.microsoft.com/office/drawing/2014/main" id="{37781003-ABA0-BDEC-4528-2E38A4CBC3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13</xdr:col>
      <xdr:colOff>207818</xdr:colOff>
      <xdr:row>306</xdr:row>
      <xdr:rowOff>57728</xdr:rowOff>
    </xdr:from>
    <xdr:to>
      <xdr:col>17</xdr:col>
      <xdr:colOff>473871</xdr:colOff>
      <xdr:row>320</xdr:row>
      <xdr:rowOff>132603</xdr:rowOff>
    </xdr:to>
    <xdr:pic>
      <xdr:nvPicPr>
        <xdr:cNvPr id="24" name="Picture 23">
          <a:extLst>
            <a:ext uri="{FF2B5EF4-FFF2-40B4-BE49-F238E27FC236}">
              <a16:creationId xmlns:a16="http://schemas.microsoft.com/office/drawing/2014/main" id="{0ADA638B-DE68-1949-0AD5-8C2C61947E6F}"/>
            </a:ext>
          </a:extLst>
        </xdr:cNvPr>
        <xdr:cNvPicPr>
          <a:picLocks noChangeAspect="1"/>
        </xdr:cNvPicPr>
      </xdr:nvPicPr>
      <xdr:blipFill>
        <a:blip xmlns:r="http://schemas.openxmlformats.org/officeDocument/2006/relationships" r:embed="rId18"/>
        <a:stretch>
          <a:fillRect/>
        </a:stretch>
      </xdr:blipFill>
      <xdr:spPr>
        <a:xfrm>
          <a:off x="18576636" y="60405819"/>
          <a:ext cx="4791871" cy="2822693"/>
        </a:xfrm>
        <a:prstGeom prst="rect">
          <a:avLst/>
        </a:prstGeom>
      </xdr:spPr>
    </xdr:pic>
    <xdr:clientData/>
  </xdr:twoCellAnchor>
  <xdr:twoCellAnchor editAs="oneCell">
    <xdr:from>
      <xdr:col>17</xdr:col>
      <xdr:colOff>536864</xdr:colOff>
      <xdr:row>306</xdr:row>
      <xdr:rowOff>5773</xdr:rowOff>
    </xdr:from>
    <xdr:to>
      <xdr:col>21</xdr:col>
      <xdr:colOff>238161</xdr:colOff>
      <xdr:row>320</xdr:row>
      <xdr:rowOff>86744</xdr:rowOff>
    </xdr:to>
    <xdr:pic>
      <xdr:nvPicPr>
        <xdr:cNvPr id="25" name="Picture 24">
          <a:extLst>
            <a:ext uri="{FF2B5EF4-FFF2-40B4-BE49-F238E27FC236}">
              <a16:creationId xmlns:a16="http://schemas.microsoft.com/office/drawing/2014/main" id="{9CDB8D6D-B2CA-F861-17CD-FE69819D5E6C}"/>
            </a:ext>
          </a:extLst>
        </xdr:cNvPr>
        <xdr:cNvPicPr>
          <a:picLocks noChangeAspect="1"/>
        </xdr:cNvPicPr>
      </xdr:nvPicPr>
      <xdr:blipFill>
        <a:blip xmlns:r="http://schemas.openxmlformats.org/officeDocument/2006/relationships" r:embed="rId19"/>
        <a:stretch>
          <a:fillRect/>
        </a:stretch>
      </xdr:blipFill>
      <xdr:spPr>
        <a:xfrm>
          <a:off x="23431500" y="60353864"/>
          <a:ext cx="4810161" cy="2828789"/>
        </a:xfrm>
        <a:prstGeom prst="rect">
          <a:avLst/>
        </a:prstGeom>
      </xdr:spPr>
    </xdr:pic>
    <xdr:clientData/>
  </xdr:twoCellAnchor>
  <xdr:twoCellAnchor editAs="oneCell">
    <xdr:from>
      <xdr:col>21</xdr:col>
      <xdr:colOff>352137</xdr:colOff>
      <xdr:row>306</xdr:row>
      <xdr:rowOff>11546</xdr:rowOff>
    </xdr:from>
    <xdr:to>
      <xdr:col>25</xdr:col>
      <xdr:colOff>954303</xdr:colOff>
      <xdr:row>320</xdr:row>
      <xdr:rowOff>92517</xdr:rowOff>
    </xdr:to>
    <xdr:pic>
      <xdr:nvPicPr>
        <xdr:cNvPr id="27" name="Picture 26">
          <a:extLst>
            <a:ext uri="{FF2B5EF4-FFF2-40B4-BE49-F238E27FC236}">
              <a16:creationId xmlns:a16="http://schemas.microsoft.com/office/drawing/2014/main" id="{9097AF79-509B-D185-88D6-FB05EDC5C350}"/>
            </a:ext>
          </a:extLst>
        </xdr:cNvPr>
        <xdr:cNvPicPr>
          <a:picLocks noChangeAspect="1"/>
        </xdr:cNvPicPr>
      </xdr:nvPicPr>
      <xdr:blipFill>
        <a:blip xmlns:r="http://schemas.openxmlformats.org/officeDocument/2006/relationships" r:embed="rId20"/>
        <a:stretch>
          <a:fillRect/>
        </a:stretch>
      </xdr:blipFill>
      <xdr:spPr>
        <a:xfrm>
          <a:off x="28355637" y="60359637"/>
          <a:ext cx="4816257" cy="2828789"/>
        </a:xfrm>
        <a:prstGeom prst="rect">
          <a:avLst/>
        </a:prstGeom>
      </xdr:spPr>
    </xdr:pic>
    <xdr:clientData/>
  </xdr:twoCellAnchor>
  <xdr:twoCellAnchor editAs="oneCell">
    <xdr:from>
      <xdr:col>15</xdr:col>
      <xdr:colOff>975591</xdr:colOff>
      <xdr:row>601</xdr:row>
      <xdr:rowOff>92364</xdr:rowOff>
    </xdr:from>
    <xdr:to>
      <xdr:col>21</xdr:col>
      <xdr:colOff>755046</xdr:colOff>
      <xdr:row>622</xdr:row>
      <xdr:rowOff>156148</xdr:rowOff>
    </xdr:to>
    <xdr:pic>
      <xdr:nvPicPr>
        <xdr:cNvPr id="28" name="Picture 27">
          <a:extLst>
            <a:ext uri="{FF2B5EF4-FFF2-40B4-BE49-F238E27FC236}">
              <a16:creationId xmlns:a16="http://schemas.microsoft.com/office/drawing/2014/main" id="{D1BDA676-E5C5-ED26-53A4-03F6FDFD12B8}"/>
            </a:ext>
          </a:extLst>
        </xdr:cNvPr>
        <xdr:cNvPicPr>
          <a:picLocks noChangeAspect="1"/>
        </xdr:cNvPicPr>
      </xdr:nvPicPr>
      <xdr:blipFill>
        <a:blip xmlns:r="http://schemas.openxmlformats.org/officeDocument/2006/relationships" r:embed="rId21"/>
        <a:stretch>
          <a:fillRect/>
        </a:stretch>
      </xdr:blipFill>
      <xdr:spPr>
        <a:xfrm>
          <a:off x="21607318" y="118340909"/>
          <a:ext cx="7151228" cy="4352921"/>
        </a:xfrm>
        <a:prstGeom prst="rect">
          <a:avLst/>
        </a:prstGeom>
      </xdr:spPr>
    </xdr:pic>
    <xdr:clientData/>
  </xdr:twoCellAnchor>
  <xdr:twoCellAnchor editAs="oneCell">
    <xdr:from>
      <xdr:col>16</xdr:col>
      <xdr:colOff>196273</xdr:colOff>
      <xdr:row>623</xdr:row>
      <xdr:rowOff>51954</xdr:rowOff>
    </xdr:from>
    <xdr:to>
      <xdr:col>21</xdr:col>
      <xdr:colOff>101256</xdr:colOff>
      <xdr:row>642</xdr:row>
      <xdr:rowOff>590342</xdr:rowOff>
    </xdr:to>
    <xdr:pic>
      <xdr:nvPicPr>
        <xdr:cNvPr id="30" name="Picture 29">
          <a:extLst>
            <a:ext uri="{FF2B5EF4-FFF2-40B4-BE49-F238E27FC236}">
              <a16:creationId xmlns:a16="http://schemas.microsoft.com/office/drawing/2014/main" id="{458FE8BB-0986-EE1D-906C-92D5D14F0540}"/>
            </a:ext>
          </a:extLst>
        </xdr:cNvPr>
        <xdr:cNvPicPr>
          <a:picLocks noChangeAspect="1"/>
        </xdr:cNvPicPr>
      </xdr:nvPicPr>
      <xdr:blipFill>
        <a:blip xmlns:r="http://schemas.openxmlformats.org/officeDocument/2006/relationships" r:embed="rId22"/>
        <a:stretch>
          <a:fillRect/>
        </a:stretch>
      </xdr:blipFill>
      <xdr:spPr>
        <a:xfrm>
          <a:off x="21959455" y="122785909"/>
          <a:ext cx="6145301" cy="4267570"/>
        </a:xfrm>
        <a:prstGeom prst="rect">
          <a:avLst/>
        </a:prstGeom>
      </xdr:spPr>
    </xdr:pic>
    <xdr:clientData/>
  </xdr:twoCellAnchor>
  <xdr:twoCellAnchor editAs="oneCell">
    <xdr:from>
      <xdr:col>14</xdr:col>
      <xdr:colOff>1067954</xdr:colOff>
      <xdr:row>683</xdr:row>
      <xdr:rowOff>86591</xdr:rowOff>
    </xdr:from>
    <xdr:to>
      <xdr:col>19</xdr:col>
      <xdr:colOff>598828</xdr:colOff>
      <xdr:row>701</xdr:row>
      <xdr:rowOff>167090</xdr:rowOff>
    </xdr:to>
    <xdr:pic>
      <xdr:nvPicPr>
        <xdr:cNvPr id="32" name="Picture 31">
          <a:extLst>
            <a:ext uri="{FF2B5EF4-FFF2-40B4-BE49-F238E27FC236}">
              <a16:creationId xmlns:a16="http://schemas.microsoft.com/office/drawing/2014/main" id="{64C01F22-4470-7DE1-02E4-FB9D7F11D591}"/>
            </a:ext>
          </a:extLst>
        </xdr:cNvPr>
        <xdr:cNvPicPr>
          <a:picLocks noChangeAspect="1"/>
        </xdr:cNvPicPr>
      </xdr:nvPicPr>
      <xdr:blipFill>
        <a:blip xmlns:r="http://schemas.openxmlformats.org/officeDocument/2006/relationships" r:embed="rId23"/>
        <a:stretch>
          <a:fillRect/>
        </a:stretch>
      </xdr:blipFill>
      <xdr:spPr>
        <a:xfrm>
          <a:off x="20568227" y="134596909"/>
          <a:ext cx="5188146" cy="3798137"/>
        </a:xfrm>
        <a:prstGeom prst="rect">
          <a:avLst/>
        </a:prstGeom>
      </xdr:spPr>
    </xdr:pic>
    <xdr:clientData/>
  </xdr:twoCellAnchor>
  <xdr:twoCellAnchor editAs="oneCell">
    <xdr:from>
      <xdr:col>15</xdr:col>
      <xdr:colOff>207818</xdr:colOff>
      <xdr:row>885</xdr:row>
      <xdr:rowOff>155864</xdr:rowOff>
    </xdr:from>
    <xdr:to>
      <xdr:col>19</xdr:col>
      <xdr:colOff>723829</xdr:colOff>
      <xdr:row>903</xdr:row>
      <xdr:rowOff>61397</xdr:rowOff>
    </xdr:to>
    <xdr:pic>
      <xdr:nvPicPr>
        <xdr:cNvPr id="33" name="Picture 32">
          <a:extLst>
            <a:ext uri="{FF2B5EF4-FFF2-40B4-BE49-F238E27FC236}">
              <a16:creationId xmlns:a16="http://schemas.microsoft.com/office/drawing/2014/main" id="{1A3DB68C-625E-B66F-47F4-4221DC10A96C}"/>
            </a:ext>
          </a:extLst>
        </xdr:cNvPr>
        <xdr:cNvPicPr>
          <a:picLocks noChangeAspect="1"/>
        </xdr:cNvPicPr>
      </xdr:nvPicPr>
      <xdr:blipFill>
        <a:blip xmlns:r="http://schemas.openxmlformats.org/officeDocument/2006/relationships" r:embed="rId24"/>
        <a:stretch>
          <a:fillRect/>
        </a:stretch>
      </xdr:blipFill>
      <xdr:spPr>
        <a:xfrm>
          <a:off x="20839545" y="174498000"/>
          <a:ext cx="5041829" cy="3438442"/>
        </a:xfrm>
        <a:prstGeom prst="rect">
          <a:avLst/>
        </a:prstGeom>
      </xdr:spPr>
    </xdr:pic>
    <xdr:clientData/>
  </xdr:twoCellAnchor>
  <xdr:twoCellAnchor editAs="oneCell">
    <xdr:from>
      <xdr:col>17</xdr:col>
      <xdr:colOff>207818</xdr:colOff>
      <xdr:row>1154</xdr:row>
      <xdr:rowOff>132773</xdr:rowOff>
    </xdr:from>
    <xdr:to>
      <xdr:col>21</xdr:col>
      <xdr:colOff>524864</xdr:colOff>
      <xdr:row>1171</xdr:row>
      <xdr:rowOff>149228</xdr:rowOff>
    </xdr:to>
    <xdr:pic>
      <xdr:nvPicPr>
        <xdr:cNvPr id="34" name="Picture 33">
          <a:extLst>
            <a:ext uri="{FF2B5EF4-FFF2-40B4-BE49-F238E27FC236}">
              <a16:creationId xmlns:a16="http://schemas.microsoft.com/office/drawing/2014/main" id="{1E329B28-0B6C-8182-194E-72BFB15262D4}"/>
            </a:ext>
          </a:extLst>
        </xdr:cNvPr>
        <xdr:cNvPicPr>
          <a:picLocks noChangeAspect="1"/>
        </xdr:cNvPicPr>
      </xdr:nvPicPr>
      <xdr:blipFill>
        <a:blip xmlns:r="http://schemas.openxmlformats.org/officeDocument/2006/relationships" r:embed="rId25"/>
        <a:stretch>
          <a:fillRect/>
        </a:stretch>
      </xdr:blipFill>
      <xdr:spPr>
        <a:xfrm>
          <a:off x="23102454" y="227272273"/>
          <a:ext cx="5425910" cy="3353091"/>
        </a:xfrm>
        <a:prstGeom prst="rect">
          <a:avLst/>
        </a:prstGeom>
      </xdr:spPr>
    </xdr:pic>
    <xdr:clientData/>
  </xdr:twoCellAnchor>
  <xdr:twoCellAnchor editAs="oneCell">
    <xdr:from>
      <xdr:col>12</xdr:col>
      <xdr:colOff>502227</xdr:colOff>
      <xdr:row>150</xdr:row>
      <xdr:rowOff>184727</xdr:rowOff>
    </xdr:from>
    <xdr:to>
      <xdr:col>17</xdr:col>
      <xdr:colOff>1004012</xdr:colOff>
      <xdr:row>169</xdr:row>
      <xdr:rowOff>64690</xdr:rowOff>
    </xdr:to>
    <xdr:pic>
      <xdr:nvPicPr>
        <xdr:cNvPr id="35" name="Picture 34">
          <a:extLst>
            <a:ext uri="{FF2B5EF4-FFF2-40B4-BE49-F238E27FC236}">
              <a16:creationId xmlns:a16="http://schemas.microsoft.com/office/drawing/2014/main" id="{CABDC539-4017-DC0B-5F84-6C31FB6A8D0C}"/>
            </a:ext>
          </a:extLst>
        </xdr:cNvPr>
        <xdr:cNvPicPr>
          <a:picLocks noChangeAspect="1"/>
        </xdr:cNvPicPr>
      </xdr:nvPicPr>
      <xdr:blipFill>
        <a:blip xmlns:r="http://schemas.openxmlformats.org/officeDocument/2006/relationships" r:embed="rId26"/>
        <a:stretch>
          <a:fillRect/>
        </a:stretch>
      </xdr:blipFill>
      <xdr:spPr>
        <a:xfrm>
          <a:off x="17820409" y="29619863"/>
          <a:ext cx="6078239" cy="3609145"/>
        </a:xfrm>
        <a:prstGeom prst="rect">
          <a:avLst/>
        </a:prstGeom>
      </xdr:spPr>
    </xdr:pic>
    <xdr:clientData/>
  </xdr:twoCellAnchor>
  <xdr:twoCellAnchor editAs="oneCell">
    <xdr:from>
      <xdr:col>18</xdr:col>
      <xdr:colOff>294409</xdr:colOff>
      <xdr:row>255</xdr:row>
      <xdr:rowOff>115454</xdr:rowOff>
    </xdr:from>
    <xdr:to>
      <xdr:col>22</xdr:col>
      <xdr:colOff>867509</xdr:colOff>
      <xdr:row>272</xdr:row>
      <xdr:rowOff>117940</xdr:rowOff>
    </xdr:to>
    <xdr:pic>
      <xdr:nvPicPr>
        <xdr:cNvPr id="36" name="Picture 35">
          <a:extLst>
            <a:ext uri="{FF2B5EF4-FFF2-40B4-BE49-F238E27FC236}">
              <a16:creationId xmlns:a16="http://schemas.microsoft.com/office/drawing/2014/main" id="{03FC8926-44D5-89CA-7F6B-DE658AAC44A5}"/>
            </a:ext>
          </a:extLst>
        </xdr:cNvPr>
        <xdr:cNvPicPr>
          <a:picLocks noChangeAspect="1"/>
        </xdr:cNvPicPr>
      </xdr:nvPicPr>
      <xdr:blipFill>
        <a:blip xmlns:r="http://schemas.openxmlformats.org/officeDocument/2006/relationships" r:embed="rId27"/>
        <a:stretch>
          <a:fillRect/>
        </a:stretch>
      </xdr:blipFill>
      <xdr:spPr>
        <a:xfrm>
          <a:off x="24320500" y="50159227"/>
          <a:ext cx="5681964" cy="3633531"/>
        </a:xfrm>
        <a:prstGeom prst="rect">
          <a:avLst/>
        </a:prstGeom>
      </xdr:spPr>
    </xdr:pic>
    <xdr:clientData/>
  </xdr:twoCellAnchor>
  <xdr:twoCellAnchor editAs="oneCell">
    <xdr:from>
      <xdr:col>27</xdr:col>
      <xdr:colOff>883227</xdr:colOff>
      <xdr:row>272</xdr:row>
      <xdr:rowOff>127001</xdr:rowOff>
    </xdr:from>
    <xdr:to>
      <xdr:col>33</xdr:col>
      <xdr:colOff>376170</xdr:colOff>
      <xdr:row>289</xdr:row>
      <xdr:rowOff>180034</xdr:rowOff>
    </xdr:to>
    <xdr:pic>
      <xdr:nvPicPr>
        <xdr:cNvPr id="37" name="Picture 36">
          <a:extLst>
            <a:ext uri="{FF2B5EF4-FFF2-40B4-BE49-F238E27FC236}">
              <a16:creationId xmlns:a16="http://schemas.microsoft.com/office/drawing/2014/main" id="{A215D5D5-10F6-B459-5B0B-29E396203E36}"/>
            </a:ext>
          </a:extLst>
        </xdr:cNvPr>
        <xdr:cNvPicPr>
          <a:picLocks noChangeAspect="1"/>
        </xdr:cNvPicPr>
      </xdr:nvPicPr>
      <xdr:blipFill>
        <a:blip xmlns:r="http://schemas.openxmlformats.org/officeDocument/2006/relationships" r:embed="rId28"/>
        <a:stretch>
          <a:fillRect/>
        </a:stretch>
      </xdr:blipFill>
      <xdr:spPr>
        <a:xfrm>
          <a:off x="35052000" y="53801819"/>
          <a:ext cx="5017443" cy="3389670"/>
        </a:xfrm>
        <a:prstGeom prst="rect">
          <a:avLst/>
        </a:prstGeom>
      </xdr:spPr>
    </xdr:pic>
    <xdr:clientData/>
  </xdr:twoCellAnchor>
  <xdr:twoCellAnchor editAs="oneCell">
    <xdr:from>
      <xdr:col>22</xdr:col>
      <xdr:colOff>427182</xdr:colOff>
      <xdr:row>272</xdr:row>
      <xdr:rowOff>190501</xdr:rowOff>
    </xdr:from>
    <xdr:to>
      <xdr:col>27</xdr:col>
      <xdr:colOff>691247</xdr:colOff>
      <xdr:row>290</xdr:row>
      <xdr:rowOff>71648</xdr:rowOff>
    </xdr:to>
    <xdr:pic>
      <xdr:nvPicPr>
        <xdr:cNvPr id="38" name="Picture 37">
          <a:extLst>
            <a:ext uri="{FF2B5EF4-FFF2-40B4-BE49-F238E27FC236}">
              <a16:creationId xmlns:a16="http://schemas.microsoft.com/office/drawing/2014/main" id="{FB8346DB-A2D2-40C3-2914-E6CF263966FF}"/>
            </a:ext>
          </a:extLst>
        </xdr:cNvPr>
        <xdr:cNvPicPr>
          <a:picLocks noChangeAspect="1"/>
        </xdr:cNvPicPr>
      </xdr:nvPicPr>
      <xdr:blipFill>
        <a:blip xmlns:r="http://schemas.openxmlformats.org/officeDocument/2006/relationships" r:embed="rId29"/>
        <a:stretch>
          <a:fillRect/>
        </a:stretch>
      </xdr:blipFill>
      <xdr:spPr>
        <a:xfrm>
          <a:off x="29562137" y="53865319"/>
          <a:ext cx="5297883" cy="3414056"/>
        </a:xfrm>
        <a:prstGeom prst="rect">
          <a:avLst/>
        </a:prstGeom>
      </xdr:spPr>
    </xdr:pic>
    <xdr:clientData/>
  </xdr:twoCellAnchor>
  <xdr:twoCellAnchor editAs="oneCell">
    <xdr:from>
      <xdr:col>17</xdr:col>
      <xdr:colOff>95250</xdr:colOff>
      <xdr:row>1209</xdr:row>
      <xdr:rowOff>304800</xdr:rowOff>
    </xdr:from>
    <xdr:to>
      <xdr:col>22</xdr:col>
      <xdr:colOff>376739</xdr:colOff>
      <xdr:row>1229</xdr:row>
      <xdr:rowOff>140057</xdr:rowOff>
    </xdr:to>
    <xdr:pic>
      <xdr:nvPicPr>
        <xdr:cNvPr id="39" name="Picture 38">
          <a:extLst>
            <a:ext uri="{FF2B5EF4-FFF2-40B4-BE49-F238E27FC236}">
              <a16:creationId xmlns:a16="http://schemas.microsoft.com/office/drawing/2014/main" id="{FD587472-5F0D-A5E8-7435-DBDCEFBC8D8E}"/>
            </a:ext>
          </a:extLst>
        </xdr:cNvPr>
        <xdr:cNvPicPr>
          <a:picLocks noChangeAspect="1"/>
        </xdr:cNvPicPr>
      </xdr:nvPicPr>
      <xdr:blipFill>
        <a:blip xmlns:r="http://schemas.openxmlformats.org/officeDocument/2006/relationships" r:embed="rId30"/>
        <a:stretch>
          <a:fillRect/>
        </a:stretch>
      </xdr:blipFill>
      <xdr:spPr>
        <a:xfrm>
          <a:off x="22974300" y="238537750"/>
          <a:ext cx="6517189" cy="4115157"/>
        </a:xfrm>
        <a:prstGeom prst="rect">
          <a:avLst/>
        </a:prstGeom>
      </xdr:spPr>
    </xdr:pic>
    <xdr:clientData/>
  </xdr:twoCellAnchor>
  <xdr:twoCellAnchor editAs="oneCell">
    <xdr:from>
      <xdr:col>18</xdr:col>
      <xdr:colOff>165100</xdr:colOff>
      <xdr:row>1392</xdr:row>
      <xdr:rowOff>165100</xdr:rowOff>
    </xdr:from>
    <xdr:to>
      <xdr:col>23</xdr:col>
      <xdr:colOff>718892</xdr:colOff>
      <xdr:row>1412</xdr:row>
      <xdr:rowOff>55731</xdr:rowOff>
    </xdr:to>
    <xdr:pic>
      <xdr:nvPicPr>
        <xdr:cNvPr id="40" name="Picture 39">
          <a:extLst>
            <a:ext uri="{FF2B5EF4-FFF2-40B4-BE49-F238E27FC236}">
              <a16:creationId xmlns:a16="http://schemas.microsoft.com/office/drawing/2014/main" id="{FF188640-3C6D-FAA2-C738-7628B3931759}"/>
            </a:ext>
          </a:extLst>
        </xdr:cNvPr>
        <xdr:cNvPicPr>
          <a:picLocks noChangeAspect="1"/>
        </xdr:cNvPicPr>
      </xdr:nvPicPr>
      <xdr:blipFill>
        <a:blip xmlns:r="http://schemas.openxmlformats.org/officeDocument/2006/relationships" r:embed="rId31"/>
        <a:stretch>
          <a:fillRect/>
        </a:stretch>
      </xdr:blipFill>
      <xdr:spPr>
        <a:xfrm>
          <a:off x="24174450" y="274751800"/>
          <a:ext cx="6687892" cy="4157832"/>
        </a:xfrm>
        <a:prstGeom prst="rect">
          <a:avLst/>
        </a:prstGeom>
      </xdr:spPr>
    </xdr:pic>
    <xdr:clientData/>
  </xdr:twoCellAnchor>
  <xdr:twoCellAnchor editAs="oneCell">
    <xdr:from>
      <xdr:col>21</xdr:col>
      <xdr:colOff>370416</xdr:colOff>
      <xdr:row>1954</xdr:row>
      <xdr:rowOff>10583</xdr:rowOff>
    </xdr:from>
    <xdr:to>
      <xdr:col>35</xdr:col>
      <xdr:colOff>497236</xdr:colOff>
      <xdr:row>1991</xdr:row>
      <xdr:rowOff>172870</xdr:rowOff>
    </xdr:to>
    <xdr:pic>
      <xdr:nvPicPr>
        <xdr:cNvPr id="41" name="Picture 40">
          <a:extLst>
            <a:ext uri="{FF2B5EF4-FFF2-40B4-BE49-F238E27FC236}">
              <a16:creationId xmlns:a16="http://schemas.microsoft.com/office/drawing/2014/main" id="{4BB335B9-74F8-154A-8892-CF7C0E81B73A}"/>
            </a:ext>
          </a:extLst>
        </xdr:cNvPr>
        <xdr:cNvPicPr>
          <a:picLocks noChangeAspect="1"/>
        </xdr:cNvPicPr>
      </xdr:nvPicPr>
      <xdr:blipFill>
        <a:blip xmlns:r="http://schemas.openxmlformats.org/officeDocument/2006/relationships" r:embed="rId32"/>
        <a:stretch>
          <a:fillRect/>
        </a:stretch>
      </xdr:blipFill>
      <xdr:spPr>
        <a:xfrm>
          <a:off x="28395083" y="393784666"/>
          <a:ext cx="13546486" cy="7602371"/>
        </a:xfrm>
        <a:prstGeom prst="rect">
          <a:avLst/>
        </a:prstGeom>
      </xdr:spPr>
    </xdr:pic>
    <xdr:clientData/>
  </xdr:twoCellAnchor>
  <xdr:twoCellAnchor editAs="oneCell">
    <xdr:from>
      <xdr:col>21</xdr:col>
      <xdr:colOff>1026583</xdr:colOff>
      <xdr:row>84</xdr:row>
      <xdr:rowOff>74082</xdr:rowOff>
    </xdr:from>
    <xdr:to>
      <xdr:col>27</xdr:col>
      <xdr:colOff>597820</xdr:colOff>
      <xdr:row>103</xdr:row>
      <xdr:rowOff>293</xdr:rowOff>
    </xdr:to>
    <xdr:pic>
      <xdr:nvPicPr>
        <xdr:cNvPr id="5" name="Picture 4">
          <a:extLst>
            <a:ext uri="{FF2B5EF4-FFF2-40B4-BE49-F238E27FC236}">
              <a16:creationId xmlns:a16="http://schemas.microsoft.com/office/drawing/2014/main" id="{FAC2D2FC-8FBB-4FCD-4F2F-9973A130430B}"/>
            </a:ext>
          </a:extLst>
        </xdr:cNvPr>
        <xdr:cNvPicPr>
          <a:picLocks noChangeAspect="1"/>
        </xdr:cNvPicPr>
      </xdr:nvPicPr>
      <xdr:blipFill>
        <a:blip xmlns:r="http://schemas.openxmlformats.org/officeDocument/2006/relationships" r:embed="rId33"/>
        <a:stretch>
          <a:fillRect/>
        </a:stretch>
      </xdr:blipFill>
      <xdr:spPr>
        <a:xfrm>
          <a:off x="29051250" y="16954499"/>
          <a:ext cx="5730737" cy="3743268"/>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0.58719</cdr:x>
      <cdr:y>0</cdr:y>
    </cdr:from>
    <cdr:to>
      <cdr:x>0.91848</cdr:x>
      <cdr:y>0.11276</cdr:y>
    </cdr:to>
    <cdr:sp macro="" textlink="">
      <cdr:nvSpPr>
        <cdr:cNvPr id="2" name="TextBox 1">
          <a:extLst xmlns:a="http://schemas.openxmlformats.org/drawingml/2006/main">
            <a:ext uri="{FF2B5EF4-FFF2-40B4-BE49-F238E27FC236}">
              <a16:creationId xmlns:a16="http://schemas.microsoft.com/office/drawing/2014/main" id="{31371D98-4250-2CD7-EE4C-E4D7FF0FCA4F}"/>
            </a:ext>
          </a:extLst>
        </cdr:cNvPr>
        <cdr:cNvSpPr txBox="1"/>
      </cdr:nvSpPr>
      <cdr:spPr>
        <a:xfrm xmlns:a="http://schemas.openxmlformats.org/drawingml/2006/main">
          <a:off x="3046846" y="0"/>
          <a:ext cx="1718987" cy="42775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100" b="1" kern="1200">
              <a:latin typeface="Arial Nova Cond" panose="020B0506020202020204" pitchFamily="34" charset="0"/>
            </a:rPr>
            <a:t>1.45</a:t>
          </a:r>
          <a:r>
            <a:rPr lang="en-US" sz="1100" b="1" kern="1200" baseline="0">
              <a:latin typeface="Arial Nova Cond" panose="020B0506020202020204" pitchFamily="34" charset="0"/>
            </a:rPr>
            <a:t> M TONNES-YR</a:t>
          </a:r>
          <a:r>
            <a:rPr lang="en-US" sz="1100" b="1" kern="1200" baseline="30000">
              <a:latin typeface="Arial Nova Cond" panose="020B0506020202020204" pitchFamily="34" charset="0"/>
            </a:rPr>
            <a:t>-1</a:t>
          </a:r>
        </a:p>
        <a:p xmlns:a="http://schemas.openxmlformats.org/drawingml/2006/main">
          <a:pPr algn="r"/>
          <a:r>
            <a:rPr lang="en-US" sz="1000" b="0" kern="1200" baseline="0">
              <a:latin typeface="Arial Nova Cond" panose="020B0506020202020204" pitchFamily="34" charset="0"/>
            </a:rPr>
            <a:t>ORGANIC WET WASTE FEED</a:t>
          </a:r>
          <a:endParaRPr lang="en-US" sz="1000" b="0" kern="1200">
            <a:latin typeface="Arial Nova Cond" panose="020B0506020202020204" pitchFamily="34"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0.64718</cdr:x>
      <cdr:y>0</cdr:y>
    </cdr:from>
    <cdr:to>
      <cdr:x>1</cdr:x>
      <cdr:y>0.13111</cdr:y>
    </cdr:to>
    <cdr:sp macro="" textlink="">
      <cdr:nvSpPr>
        <cdr:cNvPr id="3" name="TextBox 1">
          <a:extLst xmlns:a="http://schemas.openxmlformats.org/drawingml/2006/main">
            <a:ext uri="{FF2B5EF4-FFF2-40B4-BE49-F238E27FC236}">
              <a16:creationId xmlns:a16="http://schemas.microsoft.com/office/drawing/2014/main" id="{6D92F50B-B173-78E4-669C-CCF7FA0EB3E7}"/>
            </a:ext>
          </a:extLst>
        </cdr:cNvPr>
        <cdr:cNvSpPr txBox="1"/>
      </cdr:nvSpPr>
      <cdr:spPr>
        <a:xfrm xmlns:a="http://schemas.openxmlformats.org/drawingml/2006/main">
          <a:off x="3153197" y="0"/>
          <a:ext cx="1718987" cy="42775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100" b="1" kern="1200">
              <a:latin typeface="Arial Nova Cond" panose="020B0506020202020204" pitchFamily="34" charset="0"/>
            </a:rPr>
            <a:t>1.45</a:t>
          </a:r>
          <a:r>
            <a:rPr lang="en-US" sz="1100" b="1" kern="1200" baseline="0">
              <a:latin typeface="Arial Nova Cond" panose="020B0506020202020204" pitchFamily="34" charset="0"/>
            </a:rPr>
            <a:t> M TONNES-YR</a:t>
          </a:r>
          <a:r>
            <a:rPr lang="en-US" sz="1100" b="1" kern="1200" baseline="30000">
              <a:latin typeface="Arial Nova Cond" panose="020B0506020202020204" pitchFamily="34" charset="0"/>
            </a:rPr>
            <a:t>-1</a:t>
          </a:r>
        </a:p>
        <a:p xmlns:a="http://schemas.openxmlformats.org/drawingml/2006/main">
          <a:pPr algn="r"/>
          <a:r>
            <a:rPr lang="en-US" sz="1000" b="0" kern="1200" baseline="0">
              <a:latin typeface="Arial Nova Cond" panose="020B0506020202020204" pitchFamily="34" charset="0"/>
            </a:rPr>
            <a:t>ORGANIC WET WASTE FEED</a:t>
          </a:r>
          <a:endParaRPr lang="en-US" sz="1000" b="0" kern="1200">
            <a:latin typeface="Arial Nova Cond" panose="020B0506020202020204" pitchFamily="34"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0.62267</cdr:x>
      <cdr:y>0</cdr:y>
    </cdr:from>
    <cdr:to>
      <cdr:x>0.95081</cdr:x>
      <cdr:y>0.1345</cdr:y>
    </cdr:to>
    <cdr:sp macro="" textlink="">
      <cdr:nvSpPr>
        <cdr:cNvPr id="2" name="TextBox 1">
          <a:extLst xmlns:a="http://schemas.openxmlformats.org/drawingml/2006/main">
            <a:ext uri="{FF2B5EF4-FFF2-40B4-BE49-F238E27FC236}">
              <a16:creationId xmlns:a16="http://schemas.microsoft.com/office/drawing/2014/main" id="{6CE99AD1-D563-F19D-AA58-FD2C419FCD19}"/>
            </a:ext>
          </a:extLst>
        </cdr:cNvPr>
        <cdr:cNvSpPr txBox="1"/>
      </cdr:nvSpPr>
      <cdr:spPr>
        <a:xfrm xmlns:a="http://schemas.openxmlformats.org/drawingml/2006/main">
          <a:off x="3375891" y="0"/>
          <a:ext cx="1779070" cy="45046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100" b="1" kern="1200">
              <a:latin typeface="Arial Nova Cond" panose="020B0506020202020204" pitchFamily="34" charset="0"/>
            </a:rPr>
            <a:t>1.45</a:t>
          </a:r>
          <a:r>
            <a:rPr lang="en-US" sz="1100" b="1" kern="1200" baseline="0">
              <a:latin typeface="Arial Nova Cond" panose="020B0506020202020204" pitchFamily="34" charset="0"/>
            </a:rPr>
            <a:t> M TONNES-YR</a:t>
          </a:r>
          <a:r>
            <a:rPr lang="en-US" sz="1100" b="1" kern="1200" baseline="30000">
              <a:latin typeface="Arial Nova Cond" panose="020B0506020202020204" pitchFamily="34" charset="0"/>
            </a:rPr>
            <a:t>-1</a:t>
          </a:r>
        </a:p>
        <a:p xmlns:a="http://schemas.openxmlformats.org/drawingml/2006/main">
          <a:pPr algn="r"/>
          <a:r>
            <a:rPr lang="en-US" sz="1000" b="0" kern="1200" baseline="0">
              <a:latin typeface="Arial Nova Cond" panose="020B0506020202020204" pitchFamily="34" charset="0"/>
            </a:rPr>
            <a:t>ORGANIC WET WASTE FEED</a:t>
          </a:r>
          <a:endParaRPr lang="en-US" sz="1000" b="0" kern="1200">
            <a:latin typeface="Arial Nova Cond" panose="020B0506020202020204" pitchFamily="34" charset="0"/>
          </a:endParaRPr>
        </a:p>
      </cdr:txBody>
    </cdr:sp>
  </cdr:relSizeAnchor>
  <cdr:relSizeAnchor xmlns:cdr="http://schemas.openxmlformats.org/drawingml/2006/chartDrawing">
    <cdr:from>
      <cdr:x>0.57262</cdr:x>
      <cdr:y>0.91037</cdr:y>
    </cdr:from>
    <cdr:to>
      <cdr:x>0.90076</cdr:x>
      <cdr:y>0.97875</cdr:y>
    </cdr:to>
    <cdr:sp macro="" textlink="">
      <cdr:nvSpPr>
        <cdr:cNvPr id="3" name="TextBox 1">
          <a:extLst xmlns:a="http://schemas.openxmlformats.org/drawingml/2006/main">
            <a:ext uri="{FF2B5EF4-FFF2-40B4-BE49-F238E27FC236}">
              <a16:creationId xmlns:a16="http://schemas.microsoft.com/office/drawing/2014/main" id="{B1D9ABEB-125C-6728-0CB1-7A439532C50C}"/>
            </a:ext>
          </a:extLst>
        </cdr:cNvPr>
        <cdr:cNvSpPr txBox="1"/>
      </cdr:nvSpPr>
      <cdr:spPr>
        <a:xfrm xmlns:a="http://schemas.openxmlformats.org/drawingml/2006/main">
          <a:off x="3104574" y="3048940"/>
          <a:ext cx="1779070" cy="22900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900" b="1" kern="1200">
              <a:latin typeface="Arial Nova Cond" panose="020B0506020202020204" pitchFamily="34" charset="0"/>
            </a:rPr>
            <a:t>Hydrocarbon</a:t>
          </a:r>
          <a:r>
            <a:rPr lang="en-US" sz="900" b="1" kern="1200" baseline="0">
              <a:latin typeface="Arial Nova Cond" panose="020B0506020202020204" pitchFamily="34" charset="0"/>
            </a:rPr>
            <a:t> Mass Fraction</a:t>
          </a:r>
          <a:endParaRPr lang="en-US" sz="700" b="0" kern="1200">
            <a:latin typeface="Arial Nova Cond" panose="020B0506020202020204" pitchFamily="34" charset="0"/>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0.62415</cdr:x>
      <cdr:y>0.01545</cdr:y>
    </cdr:from>
    <cdr:to>
      <cdr:x>0.89657</cdr:x>
      <cdr:y>0.12535</cdr:y>
    </cdr:to>
    <cdr:sp macro="" textlink="">
      <cdr:nvSpPr>
        <cdr:cNvPr id="2" name="TextBox 1">
          <a:extLst xmlns:a="http://schemas.openxmlformats.org/drawingml/2006/main">
            <a:ext uri="{FF2B5EF4-FFF2-40B4-BE49-F238E27FC236}">
              <a16:creationId xmlns:a16="http://schemas.microsoft.com/office/drawing/2014/main" id="{6E9B340D-6266-4943-898F-DE276F35B503}"/>
            </a:ext>
          </a:extLst>
        </cdr:cNvPr>
        <cdr:cNvSpPr txBox="1"/>
      </cdr:nvSpPr>
      <cdr:spPr>
        <a:xfrm xmlns:a="http://schemas.openxmlformats.org/drawingml/2006/main">
          <a:off x="4070350" y="63500"/>
          <a:ext cx="1776607" cy="45186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100" b="1" kern="1200">
              <a:latin typeface="Arial Nova Cond" panose="020B0506020202020204" pitchFamily="34" charset="0"/>
            </a:rPr>
            <a:t>1.45</a:t>
          </a:r>
          <a:r>
            <a:rPr lang="en-US" sz="1100" b="1" kern="1200" baseline="0">
              <a:latin typeface="Arial Nova Cond" panose="020B0506020202020204" pitchFamily="34" charset="0"/>
            </a:rPr>
            <a:t> M TONNES-YR</a:t>
          </a:r>
          <a:r>
            <a:rPr lang="en-US" sz="1100" b="1" kern="1200" baseline="30000">
              <a:latin typeface="Arial Nova Cond" panose="020B0506020202020204" pitchFamily="34" charset="0"/>
            </a:rPr>
            <a:t>-1</a:t>
          </a:r>
        </a:p>
        <a:p xmlns:a="http://schemas.openxmlformats.org/drawingml/2006/main">
          <a:pPr algn="r"/>
          <a:r>
            <a:rPr lang="en-US" sz="1000" b="0" kern="1200" baseline="0">
              <a:latin typeface="Arial Nova Cond" panose="020B0506020202020204" pitchFamily="34" charset="0"/>
            </a:rPr>
            <a:t>ORGANIC WET WASTE FEED</a:t>
          </a:r>
          <a:endParaRPr lang="en-US" sz="1000" b="0" kern="1200">
            <a:latin typeface="Arial Nova Cond" panose="020B0506020202020204" pitchFamily="34" charset="0"/>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0.66145</cdr:x>
      <cdr:y>0</cdr:y>
    </cdr:from>
    <cdr:to>
      <cdr:x>0.90471</cdr:x>
      <cdr:y>0.11728</cdr:y>
    </cdr:to>
    <cdr:pic>
      <cdr:nvPicPr>
        <cdr:cNvPr id="2" name="chart">
          <a:extLst xmlns:a="http://schemas.openxmlformats.org/drawingml/2006/main">
            <a:ext uri="{FF2B5EF4-FFF2-40B4-BE49-F238E27FC236}">
              <a16:creationId xmlns:a16="http://schemas.microsoft.com/office/drawing/2014/main" id="{5893FC30-E367-2F64-8E99-470FE811F20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4425950" y="0"/>
          <a:ext cx="1627773" cy="487722"/>
        </a:xfrm>
        <a:prstGeom xmlns:a="http://schemas.openxmlformats.org/drawingml/2006/main" prst="rect">
          <a:avLst/>
        </a:prstGeom>
      </cdr:spPr>
    </cdr:pic>
  </cdr:relSizeAnchor>
</c:userShapes>
</file>

<file path=xl/drawings/drawing8.xml><?xml version="1.0" encoding="utf-8"?>
<c:userShapes xmlns:c="http://schemas.openxmlformats.org/drawingml/2006/chart">
  <cdr:relSizeAnchor xmlns:cdr="http://schemas.openxmlformats.org/drawingml/2006/chartDrawing">
    <cdr:from>
      <cdr:x>0.70767</cdr:x>
      <cdr:y>0.0039</cdr:y>
    </cdr:from>
    <cdr:to>
      <cdr:x>0.93515</cdr:x>
      <cdr:y>0.10457</cdr:y>
    </cdr:to>
    <cdr:sp macro="" textlink="">
      <cdr:nvSpPr>
        <cdr:cNvPr id="5" name="TextBox 1">
          <a:extLst xmlns:a="http://schemas.openxmlformats.org/drawingml/2006/main">
            <a:ext uri="{FF2B5EF4-FFF2-40B4-BE49-F238E27FC236}">
              <a16:creationId xmlns:a16="http://schemas.microsoft.com/office/drawing/2014/main" id="{39A5B63D-3C1D-E75A-D1F7-F308295AA380}"/>
            </a:ext>
          </a:extLst>
        </cdr:cNvPr>
        <cdr:cNvSpPr txBox="1"/>
      </cdr:nvSpPr>
      <cdr:spPr>
        <a:xfrm xmlns:a="http://schemas.openxmlformats.org/drawingml/2006/main">
          <a:off x="9586383" y="29634"/>
          <a:ext cx="3081580" cy="76508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2400" b="1" kern="1200">
              <a:latin typeface="Arial Nova Cond" panose="020B0506020202020204" pitchFamily="34" charset="0"/>
            </a:rPr>
            <a:t>1.45</a:t>
          </a:r>
          <a:r>
            <a:rPr lang="en-US" sz="2400" b="1" kern="1200" baseline="0">
              <a:latin typeface="Arial Nova Cond" panose="020B0506020202020204" pitchFamily="34" charset="0"/>
            </a:rPr>
            <a:t> M TONNES-YR</a:t>
          </a:r>
          <a:r>
            <a:rPr lang="en-US" sz="2400" b="1" kern="1200" baseline="30000">
              <a:latin typeface="Arial Nova Cond" panose="020B0506020202020204" pitchFamily="34" charset="0"/>
            </a:rPr>
            <a:t>-1</a:t>
          </a:r>
        </a:p>
        <a:p xmlns:a="http://schemas.openxmlformats.org/drawingml/2006/main">
          <a:pPr algn="r"/>
          <a:r>
            <a:rPr lang="en-US" sz="1800" b="0" kern="1200" baseline="0">
              <a:latin typeface="Arial Nova Cond" panose="020B0506020202020204" pitchFamily="34" charset="0"/>
            </a:rPr>
            <a:t>ORGANIC WET WASTE FEED</a:t>
          </a:r>
          <a:endParaRPr lang="en-US" sz="1800" b="0" kern="1200">
            <a:latin typeface="Arial Nova Cond" panose="020B0506020202020204" pitchFamily="34" charset="0"/>
          </a:endParaRPr>
        </a:p>
      </cdr:txBody>
    </cdr:sp>
  </cdr:relSizeAnchor>
</c:userShapes>
</file>

<file path=xl/drawings/drawing9.xml><?xml version="1.0" encoding="utf-8"?>
<c:userShapes xmlns:c="http://schemas.openxmlformats.org/drawingml/2006/chart">
  <cdr:relSizeAnchor xmlns:cdr="http://schemas.openxmlformats.org/drawingml/2006/chartDrawing">
    <cdr:from>
      <cdr:x>0.52107</cdr:x>
      <cdr:y>0.0108</cdr:y>
    </cdr:from>
    <cdr:to>
      <cdr:x>0.89775</cdr:x>
      <cdr:y>0.15052</cdr:y>
    </cdr:to>
    <cdr:sp macro="" textlink="">
      <cdr:nvSpPr>
        <cdr:cNvPr id="2" name="TextBox 1">
          <a:extLst xmlns:a="http://schemas.openxmlformats.org/drawingml/2006/main">
            <a:ext uri="{FF2B5EF4-FFF2-40B4-BE49-F238E27FC236}">
              <a16:creationId xmlns:a16="http://schemas.microsoft.com/office/drawing/2014/main" id="{00EFE3C8-9015-46BF-1AD0-659C0A0D9977}"/>
            </a:ext>
          </a:extLst>
        </cdr:cNvPr>
        <cdr:cNvSpPr txBox="1"/>
      </cdr:nvSpPr>
      <cdr:spPr>
        <a:xfrm xmlns:a="http://schemas.openxmlformats.org/drawingml/2006/main">
          <a:off x="2960255" y="39254"/>
          <a:ext cx="2139925" cy="50801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100" b="1" kern="1200">
              <a:latin typeface="Arial Nova Cond" panose="020B0506020202020204" pitchFamily="34" charset="0"/>
            </a:rPr>
            <a:t>1.45</a:t>
          </a:r>
          <a:r>
            <a:rPr lang="en-US" sz="1100" b="1" kern="1200" baseline="0">
              <a:latin typeface="Arial Nova Cond" panose="020B0506020202020204" pitchFamily="34" charset="0"/>
            </a:rPr>
            <a:t> M TONNES-YR</a:t>
          </a:r>
          <a:r>
            <a:rPr lang="en-US" sz="1100" b="1" kern="1200" baseline="30000">
              <a:latin typeface="Arial Nova Cond" panose="020B0506020202020204" pitchFamily="34" charset="0"/>
            </a:rPr>
            <a:t>-1</a:t>
          </a:r>
        </a:p>
        <a:p xmlns:a="http://schemas.openxmlformats.org/drawingml/2006/main">
          <a:pPr algn="r"/>
          <a:r>
            <a:rPr lang="en-US" sz="1000" b="0" kern="1200" baseline="0">
              <a:latin typeface="Arial Nova Cond" panose="020B0506020202020204" pitchFamily="34" charset="0"/>
            </a:rPr>
            <a:t>ORGANIC WET WASTE FEED</a:t>
          </a:r>
          <a:endParaRPr lang="en-US" sz="1000" b="0" kern="1200">
            <a:latin typeface="Arial Nova Cond" panose="020B0506020202020204" pitchFamily="34" charset="0"/>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0.54089</cdr:x>
      <cdr:y>0</cdr:y>
    </cdr:from>
    <cdr:to>
      <cdr:x>0.85894</cdr:x>
      <cdr:y>0.12534</cdr:y>
    </cdr:to>
    <cdr:sp macro="" textlink="">
      <cdr:nvSpPr>
        <cdr:cNvPr id="2" name="TextBox 1">
          <a:extLst xmlns:a="http://schemas.openxmlformats.org/drawingml/2006/main">
            <a:ext uri="{FF2B5EF4-FFF2-40B4-BE49-F238E27FC236}">
              <a16:creationId xmlns:a16="http://schemas.microsoft.com/office/drawing/2014/main" id="{3C8EA735-17A7-4A77-34FF-EAB08FAC5D94}"/>
            </a:ext>
          </a:extLst>
        </cdr:cNvPr>
        <cdr:cNvSpPr txBox="1"/>
      </cdr:nvSpPr>
      <cdr:spPr>
        <a:xfrm xmlns:a="http://schemas.openxmlformats.org/drawingml/2006/main">
          <a:off x="2863272" y="0"/>
          <a:ext cx="1683602" cy="42775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100" b="1" kern="1200">
              <a:latin typeface="Arial Nova Cond" panose="020B0506020202020204" pitchFamily="34" charset="0"/>
            </a:rPr>
            <a:t>1.45</a:t>
          </a:r>
          <a:r>
            <a:rPr lang="en-US" sz="1100" b="1" kern="1200" baseline="0">
              <a:latin typeface="Arial Nova Cond" panose="020B0506020202020204" pitchFamily="34" charset="0"/>
            </a:rPr>
            <a:t> M TONNES-YR</a:t>
          </a:r>
          <a:r>
            <a:rPr lang="en-US" sz="1100" b="1" kern="1200" baseline="30000">
              <a:latin typeface="Arial Nova Cond" panose="020B0506020202020204" pitchFamily="34" charset="0"/>
            </a:rPr>
            <a:t>-1</a:t>
          </a:r>
        </a:p>
        <a:p xmlns:a="http://schemas.openxmlformats.org/drawingml/2006/main">
          <a:pPr algn="r"/>
          <a:r>
            <a:rPr lang="en-US" sz="1000" b="0" kern="1200" baseline="0">
              <a:latin typeface="Arial Nova Cond" panose="020B0506020202020204" pitchFamily="34" charset="0"/>
            </a:rPr>
            <a:t>ORGANIC WET WASTE FEED</a:t>
          </a:r>
          <a:endParaRPr lang="en-US" sz="1000" b="0" kern="1200">
            <a:latin typeface="Arial Nova Cond" panose="020B0506020202020204" pitchFamily="34" charset="0"/>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0.35901</cdr:x>
      <cdr:y>0</cdr:y>
    </cdr:from>
    <cdr:to>
      <cdr:x>0.86788</cdr:x>
      <cdr:y>0.1264</cdr:y>
    </cdr:to>
    <cdr:sp macro="" textlink="">
      <cdr:nvSpPr>
        <cdr:cNvPr id="2" name="TextBox 1">
          <a:extLst xmlns:a="http://schemas.openxmlformats.org/drawingml/2006/main">
            <a:ext uri="{FF2B5EF4-FFF2-40B4-BE49-F238E27FC236}">
              <a16:creationId xmlns:a16="http://schemas.microsoft.com/office/drawing/2014/main" id="{BA99E2D8-AF61-C836-6453-4F61FDCFEF8E}"/>
            </a:ext>
          </a:extLst>
        </cdr:cNvPr>
        <cdr:cNvSpPr txBox="1"/>
      </cdr:nvSpPr>
      <cdr:spPr>
        <a:xfrm xmlns:a="http://schemas.openxmlformats.org/drawingml/2006/main">
          <a:off x="1799937" y="0"/>
          <a:ext cx="2551272" cy="42775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100" b="1" kern="1200">
              <a:latin typeface="Arial Nova Cond" panose="020B0506020202020204" pitchFamily="34" charset="0"/>
            </a:rPr>
            <a:t>1.45</a:t>
          </a:r>
          <a:r>
            <a:rPr lang="en-US" sz="1100" b="1" kern="1200" baseline="0">
              <a:latin typeface="Arial Nova Cond" panose="020B0506020202020204" pitchFamily="34" charset="0"/>
            </a:rPr>
            <a:t> M TONNES-YR</a:t>
          </a:r>
          <a:r>
            <a:rPr lang="en-US" sz="1100" b="1" kern="1200" baseline="30000">
              <a:latin typeface="Arial Nova Cond" panose="020B0506020202020204" pitchFamily="34" charset="0"/>
            </a:rPr>
            <a:t>-1</a:t>
          </a:r>
        </a:p>
        <a:p xmlns:a="http://schemas.openxmlformats.org/drawingml/2006/main">
          <a:pPr algn="r"/>
          <a:r>
            <a:rPr lang="en-US" sz="1000" b="0" kern="1200" baseline="0">
              <a:latin typeface="Arial Nova Cond" panose="020B0506020202020204" pitchFamily="34" charset="0"/>
            </a:rPr>
            <a:t>ORGANIC WET WASTE FEED</a:t>
          </a:r>
          <a:endParaRPr lang="en-US" sz="1000" b="0" kern="1200">
            <a:latin typeface="Arial Nova Cond" panose="020B0506020202020204" pitchFamily="34" charset="0"/>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0.5289</cdr:x>
      <cdr:y>0.01266</cdr:y>
    </cdr:from>
    <cdr:to>
      <cdr:x>0.90249</cdr:x>
      <cdr:y>0.15191</cdr:y>
    </cdr:to>
    <cdr:sp macro="" textlink="">
      <cdr:nvSpPr>
        <cdr:cNvPr id="2" name="TextBox 1">
          <a:extLst xmlns:a="http://schemas.openxmlformats.org/drawingml/2006/main">
            <a:ext uri="{FF2B5EF4-FFF2-40B4-BE49-F238E27FC236}">
              <a16:creationId xmlns:a16="http://schemas.microsoft.com/office/drawing/2014/main" id="{7D367300-A434-CE34-A25D-DB587F8E508D}"/>
            </a:ext>
          </a:extLst>
        </cdr:cNvPr>
        <cdr:cNvSpPr txBox="1"/>
      </cdr:nvSpPr>
      <cdr:spPr>
        <a:xfrm xmlns:a="http://schemas.openxmlformats.org/drawingml/2006/main">
          <a:off x="3029526" y="46182"/>
          <a:ext cx="2139925" cy="50801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100" b="1" kern="1200">
              <a:latin typeface="Arial Nova Cond" panose="020B0506020202020204" pitchFamily="34" charset="0"/>
            </a:rPr>
            <a:t>1.45</a:t>
          </a:r>
          <a:r>
            <a:rPr lang="en-US" sz="1100" b="1" kern="1200" baseline="0">
              <a:latin typeface="Arial Nova Cond" panose="020B0506020202020204" pitchFamily="34" charset="0"/>
            </a:rPr>
            <a:t> M TONNES-YR</a:t>
          </a:r>
          <a:r>
            <a:rPr lang="en-US" sz="1100" b="1" kern="1200" baseline="30000">
              <a:latin typeface="Arial Nova Cond" panose="020B0506020202020204" pitchFamily="34" charset="0"/>
            </a:rPr>
            <a:t>-1</a:t>
          </a:r>
        </a:p>
        <a:p xmlns:a="http://schemas.openxmlformats.org/drawingml/2006/main">
          <a:pPr algn="r"/>
          <a:r>
            <a:rPr lang="en-US" sz="1000" b="0" kern="1200" baseline="0">
              <a:latin typeface="Arial Nova Cond" panose="020B0506020202020204" pitchFamily="34" charset="0"/>
            </a:rPr>
            <a:t>ORGANIC WET WASTE FEED</a:t>
          </a:r>
          <a:endParaRPr lang="en-US" sz="1000" b="0" kern="1200">
            <a:latin typeface="Arial Nova Cond" panose="020B0506020202020204" pitchFamily="34" charset="0"/>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0.63505</cdr:x>
      <cdr:y>0</cdr:y>
    </cdr:from>
    <cdr:to>
      <cdr:x>0.92743</cdr:x>
      <cdr:y>0.14072</cdr:y>
    </cdr:to>
    <cdr:sp macro="" textlink="">
      <cdr:nvSpPr>
        <cdr:cNvPr id="2" name="TextBox 1">
          <a:extLst xmlns:a="http://schemas.openxmlformats.org/drawingml/2006/main">
            <a:ext uri="{FF2B5EF4-FFF2-40B4-BE49-F238E27FC236}">
              <a16:creationId xmlns:a16="http://schemas.microsoft.com/office/drawing/2014/main" id="{13A030F2-4C36-8581-6052-F38824D037F2}"/>
            </a:ext>
          </a:extLst>
        </cdr:cNvPr>
        <cdr:cNvSpPr txBox="1"/>
      </cdr:nvSpPr>
      <cdr:spPr>
        <a:xfrm xmlns:a="http://schemas.openxmlformats.org/drawingml/2006/main">
          <a:off x="3861811" y="0"/>
          <a:ext cx="1778000" cy="50801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100" b="1" kern="1200">
              <a:latin typeface="Arial Nova Cond" panose="020B0506020202020204" pitchFamily="34" charset="0"/>
            </a:rPr>
            <a:t>1.45</a:t>
          </a:r>
          <a:r>
            <a:rPr lang="en-US" sz="1100" b="1" kern="1200" baseline="0">
              <a:latin typeface="Arial Nova Cond" panose="020B0506020202020204" pitchFamily="34" charset="0"/>
            </a:rPr>
            <a:t> M TONNES-YR</a:t>
          </a:r>
          <a:r>
            <a:rPr lang="en-US" sz="1100" b="1" kern="1200" baseline="30000">
              <a:latin typeface="Arial Nova Cond" panose="020B0506020202020204" pitchFamily="34" charset="0"/>
            </a:rPr>
            <a:t>-1</a:t>
          </a:r>
        </a:p>
        <a:p xmlns:a="http://schemas.openxmlformats.org/drawingml/2006/main">
          <a:pPr algn="r"/>
          <a:r>
            <a:rPr lang="en-US" sz="1000" b="0" kern="1200" baseline="0">
              <a:latin typeface="Arial Nova Cond" panose="020B0506020202020204" pitchFamily="34" charset="0"/>
            </a:rPr>
            <a:t>ORGANIC WET WASTE FEED</a:t>
          </a:r>
          <a:endParaRPr lang="en-US" sz="1000" b="0" kern="1200">
            <a:latin typeface="Arial Nova Cond" panose="020B0506020202020204" pitchFamily="34" charset="0"/>
          </a:endParaRPr>
        </a:p>
      </cdr:txBody>
    </cdr:sp>
  </cdr:relSizeAnchor>
</c:userShapes>
</file>

<file path=xl/drawings/drawing14.xml><?xml version="1.0" encoding="utf-8"?>
<c:userShapes xmlns:c="http://schemas.openxmlformats.org/drawingml/2006/chart">
  <cdr:relSizeAnchor xmlns:cdr="http://schemas.openxmlformats.org/drawingml/2006/chartDrawing">
    <cdr:from>
      <cdr:x>0.43339</cdr:x>
      <cdr:y>0</cdr:y>
    </cdr:from>
    <cdr:to>
      <cdr:x>0.96573</cdr:x>
      <cdr:y>0.15147</cdr:y>
    </cdr:to>
    <cdr:sp macro="" textlink="">
      <cdr:nvSpPr>
        <cdr:cNvPr id="2" name="TextBox 1">
          <a:extLst xmlns:a="http://schemas.openxmlformats.org/drawingml/2006/main">
            <a:ext uri="{FF2B5EF4-FFF2-40B4-BE49-F238E27FC236}">
              <a16:creationId xmlns:a16="http://schemas.microsoft.com/office/drawing/2014/main" id="{7296C555-CA6F-AFEE-3C22-AE7780200460}"/>
            </a:ext>
          </a:extLst>
        </cdr:cNvPr>
        <cdr:cNvSpPr txBox="1"/>
      </cdr:nvSpPr>
      <cdr:spPr>
        <a:xfrm xmlns:a="http://schemas.openxmlformats.org/drawingml/2006/main">
          <a:off x="2077028" y="0"/>
          <a:ext cx="2551272" cy="42775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100" b="1" kern="1200">
              <a:latin typeface="Arial Nova Cond" panose="020B0506020202020204" pitchFamily="34" charset="0"/>
            </a:rPr>
            <a:t>1.45</a:t>
          </a:r>
          <a:r>
            <a:rPr lang="en-US" sz="1100" b="1" kern="1200" baseline="0">
              <a:latin typeface="Arial Nova Cond" panose="020B0506020202020204" pitchFamily="34" charset="0"/>
            </a:rPr>
            <a:t> M TONNES-YR</a:t>
          </a:r>
          <a:r>
            <a:rPr lang="en-US" sz="1100" b="1" kern="1200" baseline="30000">
              <a:latin typeface="Arial Nova Cond" panose="020B0506020202020204" pitchFamily="34" charset="0"/>
            </a:rPr>
            <a:t>-1</a:t>
          </a:r>
        </a:p>
        <a:p xmlns:a="http://schemas.openxmlformats.org/drawingml/2006/main">
          <a:pPr algn="r"/>
          <a:r>
            <a:rPr lang="en-US" sz="1000" b="0" kern="1200" baseline="0">
              <a:latin typeface="Arial Nova Cond" panose="020B0506020202020204" pitchFamily="34" charset="0"/>
            </a:rPr>
            <a:t>ORGANIC WET WASTE FEED</a:t>
          </a:r>
          <a:endParaRPr lang="en-US" sz="1000" b="0" kern="1200">
            <a:latin typeface="Arial Nova Cond" panose="020B0506020202020204" pitchFamily="34" charset="0"/>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0.59615</cdr:x>
      <cdr:y>0.00572</cdr:y>
    </cdr:from>
    <cdr:to>
      <cdr:x>0.94352</cdr:x>
      <cdr:y>0.1572</cdr:y>
    </cdr:to>
    <cdr:sp macro="" textlink="">
      <cdr:nvSpPr>
        <cdr:cNvPr id="2" name="TextBox 1">
          <a:extLst xmlns:a="http://schemas.openxmlformats.org/drawingml/2006/main">
            <a:ext uri="{FF2B5EF4-FFF2-40B4-BE49-F238E27FC236}">
              <a16:creationId xmlns:a16="http://schemas.microsoft.com/office/drawing/2014/main" id="{FAD837ED-EF8F-480C-9851-58D1B76888C0}"/>
            </a:ext>
          </a:extLst>
        </cdr:cNvPr>
        <cdr:cNvSpPr txBox="1"/>
      </cdr:nvSpPr>
      <cdr:spPr>
        <a:xfrm xmlns:a="http://schemas.openxmlformats.org/drawingml/2006/main">
          <a:off x="2869622" y="16163"/>
          <a:ext cx="1672085" cy="42775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100" b="1" kern="1200">
              <a:latin typeface="Arial Nova Cond" panose="020B0506020202020204" pitchFamily="34" charset="0"/>
            </a:rPr>
            <a:t>1.45</a:t>
          </a:r>
          <a:r>
            <a:rPr lang="en-US" sz="1100" b="1" kern="1200" baseline="0">
              <a:latin typeface="Arial Nova Cond" panose="020B0506020202020204" pitchFamily="34" charset="0"/>
            </a:rPr>
            <a:t> M TONNES-YR</a:t>
          </a:r>
          <a:r>
            <a:rPr lang="en-US" sz="1100" b="1" kern="1200" baseline="30000">
              <a:latin typeface="Arial Nova Cond" panose="020B0506020202020204" pitchFamily="34" charset="0"/>
            </a:rPr>
            <a:t>-1</a:t>
          </a:r>
        </a:p>
        <a:p xmlns:a="http://schemas.openxmlformats.org/drawingml/2006/main">
          <a:pPr algn="r"/>
          <a:r>
            <a:rPr lang="en-US" sz="1000" b="0" kern="1200" baseline="0">
              <a:latin typeface="Arial Nova Cond" panose="020B0506020202020204" pitchFamily="34" charset="0"/>
            </a:rPr>
            <a:t>ORGANIC WET WASTE FEED</a:t>
          </a:r>
          <a:endParaRPr lang="en-US" sz="1000" b="0" kern="1200">
            <a:latin typeface="Arial Nova Cond" panose="020B0506020202020204" pitchFamily="34" charset="0"/>
          </a:endParaRPr>
        </a:p>
      </cdr:txBody>
    </cdr:sp>
  </cdr:relSizeAnchor>
</c:userShapes>
</file>

<file path=xl/drawings/drawing16.xml><?xml version="1.0" encoding="utf-8"?>
<c:userShapes xmlns:c="http://schemas.openxmlformats.org/drawingml/2006/chart">
  <cdr:relSizeAnchor xmlns:cdr="http://schemas.openxmlformats.org/drawingml/2006/chartDrawing">
    <cdr:from>
      <cdr:x>0.62442</cdr:x>
      <cdr:y>0.00164</cdr:y>
    </cdr:from>
    <cdr:to>
      <cdr:x>0.97171</cdr:x>
      <cdr:y>0.15311</cdr:y>
    </cdr:to>
    <cdr:sp macro="" textlink="">
      <cdr:nvSpPr>
        <cdr:cNvPr id="2" name="TextBox 1">
          <a:extLst xmlns:a="http://schemas.openxmlformats.org/drawingml/2006/main">
            <a:ext uri="{FF2B5EF4-FFF2-40B4-BE49-F238E27FC236}">
              <a16:creationId xmlns:a16="http://schemas.microsoft.com/office/drawing/2014/main" id="{BBACE4A4-3124-834F-0B00-EBB7303EF013}"/>
            </a:ext>
          </a:extLst>
        </cdr:cNvPr>
        <cdr:cNvSpPr txBox="1"/>
      </cdr:nvSpPr>
      <cdr:spPr>
        <a:xfrm xmlns:a="http://schemas.openxmlformats.org/drawingml/2006/main">
          <a:off x="3006436" y="4618"/>
          <a:ext cx="1672085" cy="42775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100" b="1" kern="1200">
              <a:latin typeface="Arial Nova Cond" panose="020B0506020202020204" pitchFamily="34" charset="0"/>
            </a:rPr>
            <a:t>1.45</a:t>
          </a:r>
          <a:r>
            <a:rPr lang="en-US" sz="1100" b="1" kern="1200" baseline="0">
              <a:latin typeface="Arial Nova Cond" panose="020B0506020202020204" pitchFamily="34" charset="0"/>
            </a:rPr>
            <a:t> M TONNES-YR</a:t>
          </a:r>
          <a:r>
            <a:rPr lang="en-US" sz="1100" b="1" kern="1200" baseline="30000">
              <a:latin typeface="Arial Nova Cond" panose="020B0506020202020204" pitchFamily="34" charset="0"/>
            </a:rPr>
            <a:t>-1</a:t>
          </a:r>
        </a:p>
        <a:p xmlns:a="http://schemas.openxmlformats.org/drawingml/2006/main">
          <a:pPr algn="r"/>
          <a:r>
            <a:rPr lang="en-US" sz="1000" b="0" kern="1200" baseline="0">
              <a:latin typeface="Arial Nova Cond" panose="020B0506020202020204" pitchFamily="34" charset="0"/>
            </a:rPr>
            <a:t>ORGANIC WET WASTE FEED</a:t>
          </a:r>
          <a:endParaRPr lang="en-US" sz="1000" b="0" kern="1200">
            <a:latin typeface="Arial Nova Cond" panose="020B0506020202020204" pitchFamily="34" charset="0"/>
          </a:endParaRPr>
        </a:p>
      </cdr:txBody>
    </cdr:sp>
  </cdr:relSizeAnchor>
</c:userShapes>
</file>

<file path=xl/drawings/drawing17.xml><?xml version="1.0" encoding="utf-8"?>
<c:userShapes xmlns:c="http://schemas.openxmlformats.org/drawingml/2006/chart">
  <cdr:relSizeAnchor xmlns:cdr="http://schemas.openxmlformats.org/drawingml/2006/chartDrawing">
    <cdr:from>
      <cdr:x>0.66214</cdr:x>
      <cdr:y>0.01062</cdr:y>
    </cdr:from>
    <cdr:to>
      <cdr:x>0.90266</cdr:x>
      <cdr:y>0.10898</cdr:y>
    </cdr:to>
    <cdr:sp macro="" textlink="">
      <cdr:nvSpPr>
        <cdr:cNvPr id="2" name="TextBox 1">
          <a:extLst xmlns:a="http://schemas.openxmlformats.org/drawingml/2006/main">
            <a:ext uri="{FF2B5EF4-FFF2-40B4-BE49-F238E27FC236}">
              <a16:creationId xmlns:a16="http://schemas.microsoft.com/office/drawing/2014/main" id="{31EE030A-9706-7009-5BC4-0B2C441A6599}"/>
            </a:ext>
          </a:extLst>
        </cdr:cNvPr>
        <cdr:cNvSpPr txBox="1"/>
      </cdr:nvSpPr>
      <cdr:spPr>
        <a:xfrm xmlns:a="http://schemas.openxmlformats.org/drawingml/2006/main">
          <a:off x="4732482" y="46181"/>
          <a:ext cx="1718987" cy="42775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100" b="1" kern="1200">
              <a:latin typeface="Arial Nova Cond" panose="020B0506020202020204" pitchFamily="34" charset="0"/>
            </a:rPr>
            <a:t>1.45</a:t>
          </a:r>
          <a:r>
            <a:rPr lang="en-US" sz="1100" b="1" kern="1200" baseline="0">
              <a:latin typeface="Arial Nova Cond" panose="020B0506020202020204" pitchFamily="34" charset="0"/>
            </a:rPr>
            <a:t> M TONNES-YR</a:t>
          </a:r>
          <a:r>
            <a:rPr lang="en-US" sz="1100" b="1" kern="1200" baseline="30000">
              <a:latin typeface="Arial Nova Cond" panose="020B0506020202020204" pitchFamily="34" charset="0"/>
            </a:rPr>
            <a:t>-1</a:t>
          </a:r>
        </a:p>
        <a:p xmlns:a="http://schemas.openxmlformats.org/drawingml/2006/main">
          <a:pPr algn="r"/>
          <a:r>
            <a:rPr lang="en-US" sz="1000" b="0" kern="1200" baseline="0">
              <a:latin typeface="Arial Nova Cond" panose="020B0506020202020204" pitchFamily="34" charset="0"/>
            </a:rPr>
            <a:t>ORGANIC WET WASTE FEED</a:t>
          </a:r>
          <a:endParaRPr lang="en-US" sz="1000" b="0" kern="1200">
            <a:latin typeface="Arial Nova Cond" panose="020B0506020202020204" pitchFamily="34" charset="0"/>
          </a:endParaRPr>
        </a:p>
      </cdr:txBody>
    </cdr:sp>
  </cdr:relSizeAnchor>
</c:userShapes>
</file>

<file path=xl/drawings/drawing18.xml><?xml version="1.0" encoding="utf-8"?>
<c:userShapes xmlns:c="http://schemas.openxmlformats.org/drawingml/2006/chart">
  <cdr:relSizeAnchor xmlns:cdr="http://schemas.openxmlformats.org/drawingml/2006/chartDrawing">
    <cdr:from>
      <cdr:x>0.65707</cdr:x>
      <cdr:y>0.00379</cdr:y>
    </cdr:from>
    <cdr:to>
      <cdr:x>0.937</cdr:x>
      <cdr:y>0.10409</cdr:y>
    </cdr:to>
    <cdr:sp macro="" textlink="">
      <cdr:nvSpPr>
        <cdr:cNvPr id="2" name="TextBox 1">
          <a:extLst xmlns:a="http://schemas.openxmlformats.org/drawingml/2006/main">
            <a:ext uri="{FF2B5EF4-FFF2-40B4-BE49-F238E27FC236}">
              <a16:creationId xmlns:a16="http://schemas.microsoft.com/office/drawing/2014/main" id="{675AA8F2-5ABF-DF8F-6394-6EF8DBFDCDB5}"/>
            </a:ext>
          </a:extLst>
        </cdr:cNvPr>
        <cdr:cNvSpPr txBox="1"/>
      </cdr:nvSpPr>
      <cdr:spPr>
        <a:xfrm xmlns:a="http://schemas.openxmlformats.org/drawingml/2006/main">
          <a:off x="4034993" y="16163"/>
          <a:ext cx="1718987" cy="42775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100" b="1" kern="1200">
              <a:latin typeface="Arial Nova Cond" panose="020B0506020202020204" pitchFamily="34" charset="0"/>
            </a:rPr>
            <a:t>1.45</a:t>
          </a:r>
          <a:r>
            <a:rPr lang="en-US" sz="1100" b="1" kern="1200" baseline="0">
              <a:latin typeface="Arial Nova Cond" panose="020B0506020202020204" pitchFamily="34" charset="0"/>
            </a:rPr>
            <a:t> M TONNES-YR</a:t>
          </a:r>
          <a:r>
            <a:rPr lang="en-US" sz="1100" b="1" kern="1200" baseline="30000">
              <a:latin typeface="Arial Nova Cond" panose="020B0506020202020204" pitchFamily="34" charset="0"/>
            </a:rPr>
            <a:t>-1</a:t>
          </a:r>
        </a:p>
        <a:p xmlns:a="http://schemas.openxmlformats.org/drawingml/2006/main">
          <a:pPr algn="r"/>
          <a:r>
            <a:rPr lang="en-US" sz="1000" b="0" kern="1200" baseline="0">
              <a:latin typeface="Arial Nova Cond" panose="020B0506020202020204" pitchFamily="34" charset="0"/>
            </a:rPr>
            <a:t>ORGANIC WET WASTE FEED</a:t>
          </a:r>
          <a:endParaRPr lang="en-US" sz="1000" b="0" kern="1200">
            <a:latin typeface="Arial Nova Cond" panose="020B0506020202020204" pitchFamily="34" charset="0"/>
          </a:endParaRPr>
        </a:p>
      </cdr:txBody>
    </cdr:sp>
  </cdr:relSizeAnchor>
</c:userShapes>
</file>

<file path=xl/drawings/drawing19.xml><?xml version="1.0" encoding="utf-8"?>
<xdr:wsDr xmlns:xdr="http://schemas.openxmlformats.org/drawingml/2006/spreadsheetDrawing" xmlns:a="http://schemas.openxmlformats.org/drawingml/2006/main">
  <xdr:twoCellAnchor editAs="oneCell">
    <xdr:from>
      <xdr:col>3</xdr:col>
      <xdr:colOff>390523</xdr:colOff>
      <xdr:row>213</xdr:row>
      <xdr:rowOff>76199</xdr:rowOff>
    </xdr:from>
    <xdr:to>
      <xdr:col>5</xdr:col>
      <xdr:colOff>271742</xdr:colOff>
      <xdr:row>220</xdr:row>
      <xdr:rowOff>85724</xdr:rowOff>
    </xdr:to>
    <xdr:pic>
      <xdr:nvPicPr>
        <xdr:cNvPr id="2" name="Picture 1">
          <a:extLst>
            <a:ext uri="{FF2B5EF4-FFF2-40B4-BE49-F238E27FC236}">
              <a16:creationId xmlns:a16="http://schemas.microsoft.com/office/drawing/2014/main" id="{FFE89F66-A151-C1BB-EF3E-9FFC370206B3}"/>
            </a:ext>
          </a:extLst>
        </xdr:cNvPr>
        <xdr:cNvPicPr>
          <a:picLocks noChangeAspect="1"/>
        </xdr:cNvPicPr>
      </xdr:nvPicPr>
      <xdr:blipFill>
        <a:blip xmlns:r="http://schemas.openxmlformats.org/officeDocument/2006/relationships" r:embed="rId1"/>
        <a:stretch>
          <a:fillRect/>
        </a:stretch>
      </xdr:blipFill>
      <xdr:spPr>
        <a:xfrm>
          <a:off x="5172073" y="34880549"/>
          <a:ext cx="2738719" cy="1343025"/>
        </a:xfrm>
        <a:prstGeom prst="rect">
          <a:avLst/>
        </a:prstGeom>
      </xdr:spPr>
    </xdr:pic>
    <xdr:clientData/>
  </xdr:twoCellAnchor>
  <xdr:twoCellAnchor editAs="oneCell">
    <xdr:from>
      <xdr:col>3</xdr:col>
      <xdr:colOff>400050</xdr:colOff>
      <xdr:row>204</xdr:row>
      <xdr:rowOff>153189</xdr:rowOff>
    </xdr:from>
    <xdr:to>
      <xdr:col>5</xdr:col>
      <xdr:colOff>295275</xdr:colOff>
      <xdr:row>212</xdr:row>
      <xdr:rowOff>165240</xdr:rowOff>
    </xdr:to>
    <xdr:pic>
      <xdr:nvPicPr>
        <xdr:cNvPr id="3" name="Picture 2">
          <a:extLst>
            <a:ext uri="{FF2B5EF4-FFF2-40B4-BE49-F238E27FC236}">
              <a16:creationId xmlns:a16="http://schemas.microsoft.com/office/drawing/2014/main" id="{28077176-0788-0728-B695-DC332D443732}"/>
            </a:ext>
          </a:extLst>
        </xdr:cNvPr>
        <xdr:cNvPicPr>
          <a:picLocks noChangeAspect="1"/>
        </xdr:cNvPicPr>
      </xdr:nvPicPr>
      <xdr:blipFill>
        <a:blip xmlns:r="http://schemas.openxmlformats.org/officeDocument/2006/relationships" r:embed="rId2"/>
        <a:stretch>
          <a:fillRect/>
        </a:stretch>
      </xdr:blipFill>
      <xdr:spPr>
        <a:xfrm>
          <a:off x="5181600" y="33243039"/>
          <a:ext cx="2752725" cy="1536051"/>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4</xdr:col>
      <xdr:colOff>63500</xdr:colOff>
      <xdr:row>543</xdr:row>
      <xdr:rowOff>138110</xdr:rowOff>
    </xdr:from>
    <xdr:to>
      <xdr:col>4</xdr:col>
      <xdr:colOff>8169275</xdr:colOff>
      <xdr:row>571</xdr:row>
      <xdr:rowOff>9525</xdr:rowOff>
    </xdr:to>
    <xdr:graphicFrame macro="">
      <xdr:nvGraphicFramePr>
        <xdr:cNvPr id="2" name="Chart 1">
          <a:extLst>
            <a:ext uri="{FF2B5EF4-FFF2-40B4-BE49-F238E27FC236}">
              <a16:creationId xmlns:a16="http://schemas.microsoft.com/office/drawing/2014/main" id="{18DC2E99-9BC7-0C72-E3A2-D74FC16A90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577</xdr:row>
      <xdr:rowOff>0</xdr:rowOff>
    </xdr:from>
    <xdr:to>
      <xdr:col>4</xdr:col>
      <xdr:colOff>8105775</xdr:colOff>
      <xdr:row>610</xdr:row>
      <xdr:rowOff>47625</xdr:rowOff>
    </xdr:to>
    <xdr:graphicFrame macro="">
      <xdr:nvGraphicFramePr>
        <xdr:cNvPr id="3" name="Chart 2">
          <a:extLst>
            <a:ext uri="{FF2B5EF4-FFF2-40B4-BE49-F238E27FC236}">
              <a16:creationId xmlns:a16="http://schemas.microsoft.com/office/drawing/2014/main" id="{819D9141-D44D-4F2F-936F-9094D6109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825500</xdr:colOff>
      <xdr:row>616</xdr:row>
      <xdr:rowOff>79376</xdr:rowOff>
    </xdr:from>
    <xdr:to>
      <xdr:col>4</xdr:col>
      <xdr:colOff>8002587</xdr:colOff>
      <xdr:row>650</xdr:row>
      <xdr:rowOff>39688</xdr:rowOff>
    </xdr:to>
    <xdr:graphicFrame macro="">
      <xdr:nvGraphicFramePr>
        <xdr:cNvPr id="7" name="Chart 6">
          <a:extLst>
            <a:ext uri="{FF2B5EF4-FFF2-40B4-BE49-F238E27FC236}">
              <a16:creationId xmlns:a16="http://schemas.microsoft.com/office/drawing/2014/main" id="{B695B970-2D58-414B-824D-9324BDD081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206375</xdr:colOff>
      <xdr:row>543</xdr:row>
      <xdr:rowOff>23812</xdr:rowOff>
    </xdr:from>
    <xdr:to>
      <xdr:col>14</xdr:col>
      <xdr:colOff>1591696</xdr:colOff>
      <xdr:row>570</xdr:row>
      <xdr:rowOff>98007</xdr:rowOff>
    </xdr:to>
    <xdr:pic>
      <xdr:nvPicPr>
        <xdr:cNvPr id="4" name="Picture 3">
          <a:extLst>
            <a:ext uri="{FF2B5EF4-FFF2-40B4-BE49-F238E27FC236}">
              <a16:creationId xmlns:a16="http://schemas.microsoft.com/office/drawing/2014/main" id="{C0F44A05-8F9E-032B-F03A-82B8DD3227E8}"/>
            </a:ext>
          </a:extLst>
        </xdr:cNvPr>
        <xdr:cNvPicPr>
          <a:picLocks noChangeAspect="1"/>
        </xdr:cNvPicPr>
      </xdr:nvPicPr>
      <xdr:blipFill>
        <a:blip xmlns:r="http://schemas.openxmlformats.org/officeDocument/2006/relationships" r:embed="rId4"/>
        <a:stretch>
          <a:fillRect/>
        </a:stretch>
      </xdr:blipFill>
      <xdr:spPr>
        <a:xfrm>
          <a:off x="15644813" y="107775375"/>
          <a:ext cx="8108383" cy="5432007"/>
        </a:xfrm>
        <a:prstGeom prst="rect">
          <a:avLst/>
        </a:prstGeom>
      </xdr:spPr>
    </xdr:pic>
    <xdr:clientData/>
  </xdr:twoCellAnchor>
  <xdr:twoCellAnchor editAs="oneCell">
    <xdr:from>
      <xdr:col>4</xdr:col>
      <xdr:colOff>8532813</xdr:colOff>
      <xdr:row>577</xdr:row>
      <xdr:rowOff>71437</xdr:rowOff>
    </xdr:from>
    <xdr:to>
      <xdr:col>14</xdr:col>
      <xdr:colOff>6037</xdr:colOff>
      <xdr:row>610</xdr:row>
      <xdr:rowOff>121312</xdr:rowOff>
    </xdr:to>
    <xdr:pic>
      <xdr:nvPicPr>
        <xdr:cNvPr id="6" name="Picture 5">
          <a:extLst>
            <a:ext uri="{FF2B5EF4-FFF2-40B4-BE49-F238E27FC236}">
              <a16:creationId xmlns:a16="http://schemas.microsoft.com/office/drawing/2014/main" id="{251801E0-25F0-BB74-31E1-81C80979EB51}"/>
            </a:ext>
          </a:extLst>
        </xdr:cNvPr>
        <xdr:cNvPicPr>
          <a:picLocks noChangeAspect="1"/>
        </xdr:cNvPicPr>
      </xdr:nvPicPr>
      <xdr:blipFill>
        <a:blip xmlns:r="http://schemas.openxmlformats.org/officeDocument/2006/relationships" r:embed="rId5"/>
        <a:stretch>
          <a:fillRect/>
        </a:stretch>
      </xdr:blipFill>
      <xdr:spPr>
        <a:xfrm>
          <a:off x="14065251" y="114569875"/>
          <a:ext cx="8102286" cy="6169687"/>
        </a:xfrm>
        <a:prstGeom prst="rect">
          <a:avLst/>
        </a:prstGeom>
      </xdr:spPr>
    </xdr:pic>
    <xdr:clientData/>
  </xdr:twoCellAnchor>
  <xdr:twoCellAnchor editAs="oneCell">
    <xdr:from>
      <xdr:col>4</xdr:col>
      <xdr:colOff>8001000</xdr:colOff>
      <xdr:row>616</xdr:row>
      <xdr:rowOff>87312</xdr:rowOff>
    </xdr:from>
    <xdr:to>
      <xdr:col>13</xdr:col>
      <xdr:colOff>212411</xdr:colOff>
      <xdr:row>650</xdr:row>
      <xdr:rowOff>49874</xdr:rowOff>
    </xdr:to>
    <xdr:pic>
      <xdr:nvPicPr>
        <xdr:cNvPr id="10" name="Picture 9">
          <a:extLst>
            <a:ext uri="{FF2B5EF4-FFF2-40B4-BE49-F238E27FC236}">
              <a16:creationId xmlns:a16="http://schemas.microsoft.com/office/drawing/2014/main" id="{B2431C44-1DAD-7015-89EA-A530902350DF}"/>
            </a:ext>
          </a:extLst>
        </xdr:cNvPr>
        <xdr:cNvPicPr>
          <a:picLocks noChangeAspect="1"/>
        </xdr:cNvPicPr>
      </xdr:nvPicPr>
      <xdr:blipFill>
        <a:blip xmlns:r="http://schemas.openxmlformats.org/officeDocument/2006/relationships" r:embed="rId6"/>
        <a:stretch>
          <a:fillRect/>
        </a:stretch>
      </xdr:blipFill>
      <xdr:spPr>
        <a:xfrm>
          <a:off x="13533438" y="121816812"/>
          <a:ext cx="8102286" cy="6169687"/>
        </a:xfrm>
        <a:prstGeom prst="rect">
          <a:avLst/>
        </a:prstGeom>
      </xdr:spPr>
    </xdr:pic>
    <xdr:clientData/>
  </xdr:twoCellAnchor>
  <xdr:twoCellAnchor>
    <xdr:from>
      <xdr:col>15</xdr:col>
      <xdr:colOff>317500</xdr:colOff>
      <xdr:row>541</xdr:row>
      <xdr:rowOff>142873</xdr:rowOff>
    </xdr:from>
    <xdr:to>
      <xdr:col>23</xdr:col>
      <xdr:colOff>444500</xdr:colOff>
      <xdr:row>609</xdr:row>
      <xdr:rowOff>174624</xdr:rowOff>
    </xdr:to>
    <xdr:graphicFrame macro="">
      <xdr:nvGraphicFramePr>
        <xdr:cNvPr id="5" name="Chart 4">
          <a:extLst>
            <a:ext uri="{FF2B5EF4-FFF2-40B4-BE49-F238E27FC236}">
              <a16:creationId xmlns:a16="http://schemas.microsoft.com/office/drawing/2014/main" id="{A2B88A02-C48C-364C-AEFC-FE32E3B00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1.xml><?xml version="1.0" encoding="utf-8"?>
<c:userShapes xmlns:c="http://schemas.openxmlformats.org/drawingml/2006/chart">
  <cdr:relSizeAnchor xmlns:cdr="http://schemas.openxmlformats.org/drawingml/2006/chartDrawing">
    <cdr:from>
      <cdr:x>0.67705</cdr:x>
      <cdr:y>0.00643</cdr:y>
    </cdr:from>
    <cdr:to>
      <cdr:x>0.94105</cdr:x>
      <cdr:y>0.10003</cdr:y>
    </cdr:to>
    <cdr:sp macro="" textlink="">
      <cdr:nvSpPr>
        <cdr:cNvPr id="2" name="TextBox 1">
          <a:extLst xmlns:a="http://schemas.openxmlformats.org/drawingml/2006/main">
            <a:ext uri="{FF2B5EF4-FFF2-40B4-BE49-F238E27FC236}">
              <a16:creationId xmlns:a16="http://schemas.microsoft.com/office/drawing/2014/main" id="{78415D0E-750C-969D-F927-4B8685C43D71}"/>
            </a:ext>
          </a:extLst>
        </cdr:cNvPr>
        <cdr:cNvSpPr txBox="1"/>
      </cdr:nvSpPr>
      <cdr:spPr>
        <a:xfrm xmlns:a="http://schemas.openxmlformats.org/drawingml/2006/main">
          <a:off x="5487987" y="34924"/>
          <a:ext cx="2139941" cy="50800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400" b="1" kern="1200">
              <a:latin typeface="Arial Nova Cond" panose="020B0506020202020204" pitchFamily="34" charset="0"/>
            </a:rPr>
            <a:t>1.45</a:t>
          </a:r>
          <a:r>
            <a:rPr lang="en-US" sz="1400" b="1" kern="1200" baseline="0">
              <a:latin typeface="Arial Nova Cond" panose="020B0506020202020204" pitchFamily="34" charset="0"/>
            </a:rPr>
            <a:t> M TONNES-YR</a:t>
          </a:r>
          <a:r>
            <a:rPr lang="en-US" sz="1400" b="1" kern="1200" baseline="30000">
              <a:latin typeface="Arial Nova Cond" panose="020B0506020202020204" pitchFamily="34" charset="0"/>
            </a:rPr>
            <a:t>-1</a:t>
          </a:r>
        </a:p>
        <a:p xmlns:a="http://schemas.openxmlformats.org/drawingml/2006/main">
          <a:pPr algn="r"/>
          <a:r>
            <a:rPr lang="en-US" sz="1200" b="0" kern="1200" baseline="0">
              <a:latin typeface="Arial Nova Cond" panose="020B0506020202020204" pitchFamily="34" charset="0"/>
            </a:rPr>
            <a:t>ORGANIC WET WASTE FEED</a:t>
          </a:r>
          <a:endParaRPr lang="en-US" sz="1200" b="0" kern="1200">
            <a:latin typeface="Arial Nova Cond" panose="020B0506020202020204" pitchFamily="34" charset="0"/>
          </a:endParaRPr>
        </a:p>
      </cdr:txBody>
    </cdr:sp>
  </cdr:relSizeAnchor>
</c:userShapes>
</file>

<file path=xl/drawings/drawing22.xml><?xml version="1.0" encoding="utf-8"?>
<c:userShapes xmlns:c="http://schemas.openxmlformats.org/drawingml/2006/chart">
  <cdr:relSizeAnchor xmlns:cdr="http://schemas.openxmlformats.org/drawingml/2006/chartDrawing">
    <cdr:from>
      <cdr:x>0.67117</cdr:x>
      <cdr:y>0.00566</cdr:y>
    </cdr:from>
    <cdr:to>
      <cdr:x>0.93517</cdr:x>
      <cdr:y>0.08803</cdr:y>
    </cdr:to>
    <cdr:sp macro="" textlink="">
      <cdr:nvSpPr>
        <cdr:cNvPr id="2" name="TextBox 1">
          <a:extLst xmlns:a="http://schemas.openxmlformats.org/drawingml/2006/main">
            <a:ext uri="{FF2B5EF4-FFF2-40B4-BE49-F238E27FC236}">
              <a16:creationId xmlns:a16="http://schemas.microsoft.com/office/drawing/2014/main" id="{64430E72-A9DC-E653-3601-9B41D801948D}"/>
            </a:ext>
          </a:extLst>
        </cdr:cNvPr>
        <cdr:cNvSpPr txBox="1"/>
      </cdr:nvSpPr>
      <cdr:spPr>
        <a:xfrm xmlns:a="http://schemas.openxmlformats.org/drawingml/2006/main">
          <a:off x="5440362" y="34925"/>
          <a:ext cx="2139941" cy="50800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400" b="1" kern="1200">
              <a:latin typeface="Arial Nova Cond" panose="020B0506020202020204" pitchFamily="34" charset="0"/>
            </a:rPr>
            <a:t>1.45</a:t>
          </a:r>
          <a:r>
            <a:rPr lang="en-US" sz="1400" b="1" kern="1200" baseline="0">
              <a:latin typeface="Arial Nova Cond" panose="020B0506020202020204" pitchFamily="34" charset="0"/>
            </a:rPr>
            <a:t> M TONNES-YR</a:t>
          </a:r>
          <a:r>
            <a:rPr lang="en-US" sz="1400" b="1" kern="1200" baseline="30000">
              <a:latin typeface="Arial Nova Cond" panose="020B0506020202020204" pitchFamily="34" charset="0"/>
            </a:rPr>
            <a:t>-1</a:t>
          </a:r>
        </a:p>
        <a:p xmlns:a="http://schemas.openxmlformats.org/drawingml/2006/main">
          <a:pPr algn="r"/>
          <a:r>
            <a:rPr lang="en-US" sz="1200" b="0" kern="1200" baseline="0">
              <a:latin typeface="Arial Nova Cond" panose="020B0506020202020204" pitchFamily="34" charset="0"/>
            </a:rPr>
            <a:t>ORGANIC WET WASTE FEED</a:t>
          </a:r>
          <a:endParaRPr lang="en-US" sz="1200" b="0" kern="1200">
            <a:latin typeface="Arial Nova Cond" panose="020B0506020202020204" pitchFamily="34" charset="0"/>
          </a:endParaRPr>
        </a:p>
      </cdr:txBody>
    </cdr:sp>
  </cdr:relSizeAnchor>
</c:userShapes>
</file>

<file path=xl/drawings/drawing23.xml><?xml version="1.0" encoding="utf-8"?>
<c:userShapes xmlns:c="http://schemas.openxmlformats.org/drawingml/2006/chart">
  <cdr:relSizeAnchor xmlns:cdr="http://schemas.openxmlformats.org/drawingml/2006/chartDrawing">
    <cdr:from>
      <cdr:x>0.68194</cdr:x>
      <cdr:y>0.00695</cdr:y>
    </cdr:from>
    <cdr:to>
      <cdr:x>0.94594</cdr:x>
      <cdr:y>0.08932</cdr:y>
    </cdr:to>
    <cdr:sp macro="" textlink="">
      <cdr:nvSpPr>
        <cdr:cNvPr id="2" name="TextBox 1">
          <a:extLst xmlns:a="http://schemas.openxmlformats.org/drawingml/2006/main">
            <a:ext uri="{FF2B5EF4-FFF2-40B4-BE49-F238E27FC236}">
              <a16:creationId xmlns:a16="http://schemas.microsoft.com/office/drawing/2014/main" id="{64430E72-A9DC-E653-3601-9B41D801948D}"/>
            </a:ext>
          </a:extLst>
        </cdr:cNvPr>
        <cdr:cNvSpPr txBox="1"/>
      </cdr:nvSpPr>
      <cdr:spPr>
        <a:xfrm xmlns:a="http://schemas.openxmlformats.org/drawingml/2006/main">
          <a:off x="5527665" y="42846"/>
          <a:ext cx="2139925" cy="50801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200" b="1" kern="1200">
              <a:latin typeface="Arial Nova Cond" panose="020B0506020202020204" pitchFamily="34" charset="0"/>
            </a:rPr>
            <a:t>1.45</a:t>
          </a:r>
          <a:r>
            <a:rPr lang="en-US" sz="1200" b="1" kern="1200" baseline="0">
              <a:latin typeface="Arial Nova Cond" panose="020B0506020202020204" pitchFamily="34" charset="0"/>
            </a:rPr>
            <a:t> M TONNES-YR</a:t>
          </a:r>
          <a:r>
            <a:rPr lang="en-US" sz="1200" b="1" kern="1200" baseline="30000">
              <a:latin typeface="Arial Nova Cond" panose="020B0506020202020204" pitchFamily="34" charset="0"/>
            </a:rPr>
            <a:t>-1</a:t>
          </a:r>
        </a:p>
        <a:p xmlns:a="http://schemas.openxmlformats.org/drawingml/2006/main">
          <a:pPr algn="r"/>
          <a:r>
            <a:rPr lang="en-US" sz="1200" b="1" kern="1200" baseline="0">
              <a:latin typeface="Arial Nova Cond" panose="020B0506020202020204" pitchFamily="34" charset="0"/>
            </a:rPr>
            <a:t>ORGANIC WET WASTE FEED</a:t>
          </a:r>
          <a:endParaRPr lang="en-US" sz="1200" b="1" kern="1200">
            <a:latin typeface="Arial Nova Cond" panose="020B0506020202020204" pitchFamily="34" charset="0"/>
          </a:endParaRPr>
        </a:p>
      </cdr:txBody>
    </cdr:sp>
  </cdr:relSizeAnchor>
</c:userShapes>
</file>

<file path=xl/drawings/drawing24.xml><?xml version="1.0" encoding="utf-8"?>
<c:userShapes xmlns:c="http://schemas.openxmlformats.org/drawingml/2006/chart">
  <cdr:relSizeAnchor xmlns:cdr="http://schemas.openxmlformats.org/drawingml/2006/chartDrawing">
    <cdr:from>
      <cdr:x>0.67705</cdr:x>
      <cdr:y>0.00643</cdr:y>
    </cdr:from>
    <cdr:to>
      <cdr:x>0.94105</cdr:x>
      <cdr:y>0.10003</cdr:y>
    </cdr:to>
    <cdr:sp macro="" textlink="">
      <cdr:nvSpPr>
        <cdr:cNvPr id="2" name="TextBox 1">
          <a:extLst xmlns:a="http://schemas.openxmlformats.org/drawingml/2006/main">
            <a:ext uri="{FF2B5EF4-FFF2-40B4-BE49-F238E27FC236}">
              <a16:creationId xmlns:a16="http://schemas.microsoft.com/office/drawing/2014/main" id="{78415D0E-750C-969D-F927-4B8685C43D71}"/>
            </a:ext>
          </a:extLst>
        </cdr:cNvPr>
        <cdr:cNvSpPr txBox="1"/>
      </cdr:nvSpPr>
      <cdr:spPr>
        <a:xfrm xmlns:a="http://schemas.openxmlformats.org/drawingml/2006/main">
          <a:off x="5487987" y="34924"/>
          <a:ext cx="2139941" cy="50800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400" b="1" kern="1200">
              <a:latin typeface="Arial Nova Cond" panose="020B0506020202020204" pitchFamily="34" charset="0"/>
            </a:rPr>
            <a:t>1.45</a:t>
          </a:r>
          <a:r>
            <a:rPr lang="en-US" sz="1400" b="1" kern="1200" baseline="0">
              <a:latin typeface="Arial Nova Cond" panose="020B0506020202020204" pitchFamily="34" charset="0"/>
            </a:rPr>
            <a:t> M TONNES-YR</a:t>
          </a:r>
          <a:r>
            <a:rPr lang="en-US" sz="1400" b="1" kern="1200" baseline="30000">
              <a:latin typeface="Arial Nova Cond" panose="020B0506020202020204" pitchFamily="34" charset="0"/>
            </a:rPr>
            <a:t>-1</a:t>
          </a:r>
        </a:p>
        <a:p xmlns:a="http://schemas.openxmlformats.org/drawingml/2006/main">
          <a:pPr algn="r"/>
          <a:r>
            <a:rPr lang="en-US" sz="1200" b="0" kern="1200" baseline="0">
              <a:latin typeface="Arial Nova Cond" panose="020B0506020202020204" pitchFamily="34" charset="0"/>
            </a:rPr>
            <a:t>ORGANIC WET WASTE FEED</a:t>
          </a:r>
          <a:endParaRPr lang="en-US" sz="1200" b="0" kern="1200">
            <a:latin typeface="Arial Nova Cond" panose="020B0506020202020204" pitchFamily="34" charset="0"/>
          </a:endParaRPr>
        </a:p>
      </cdr:txBody>
    </cdr:sp>
  </cdr:relSizeAnchor>
</c:userShapes>
</file>

<file path=xl/drawings/drawing25.xml><?xml version="1.0" encoding="utf-8"?>
<xdr:wsDr xmlns:xdr="http://schemas.openxmlformats.org/drawingml/2006/spreadsheetDrawing" xmlns:a="http://schemas.openxmlformats.org/drawingml/2006/main">
  <xdr:twoCellAnchor>
    <xdr:from>
      <xdr:col>4</xdr:col>
      <xdr:colOff>88901</xdr:colOff>
      <xdr:row>661</xdr:row>
      <xdr:rowOff>66675</xdr:rowOff>
    </xdr:from>
    <xdr:to>
      <xdr:col>12</xdr:col>
      <xdr:colOff>190501</xdr:colOff>
      <xdr:row>690</xdr:row>
      <xdr:rowOff>80965</xdr:rowOff>
    </xdr:to>
    <xdr:graphicFrame macro="">
      <xdr:nvGraphicFramePr>
        <xdr:cNvPr id="2" name="Chart 1">
          <a:extLst>
            <a:ext uri="{FF2B5EF4-FFF2-40B4-BE49-F238E27FC236}">
              <a16:creationId xmlns:a16="http://schemas.microsoft.com/office/drawing/2014/main" id="{AB488871-8E50-41A0-8D70-3F2BB11C8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31751</xdr:colOff>
      <xdr:row>693</xdr:row>
      <xdr:rowOff>114300</xdr:rowOff>
    </xdr:from>
    <xdr:to>
      <xdr:col>11</xdr:col>
      <xdr:colOff>552451</xdr:colOff>
      <xdr:row>722</xdr:row>
      <xdr:rowOff>128590</xdr:rowOff>
    </xdr:to>
    <xdr:graphicFrame macro="">
      <xdr:nvGraphicFramePr>
        <xdr:cNvPr id="3" name="Chart 2">
          <a:extLst>
            <a:ext uri="{FF2B5EF4-FFF2-40B4-BE49-F238E27FC236}">
              <a16:creationId xmlns:a16="http://schemas.microsoft.com/office/drawing/2014/main" id="{0D44089F-3A04-4397-9A58-ED2ADA2638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6.xml><?xml version="1.0" encoding="utf-8"?>
<c:userShapes xmlns:c="http://schemas.openxmlformats.org/drawingml/2006/chart">
  <cdr:relSizeAnchor xmlns:cdr="http://schemas.openxmlformats.org/drawingml/2006/chartDrawing">
    <cdr:from>
      <cdr:x>0.68743</cdr:x>
      <cdr:y>0.0083</cdr:y>
    </cdr:from>
    <cdr:to>
      <cdr:x>0.97029</cdr:x>
      <cdr:y>0.10318</cdr:y>
    </cdr:to>
    <cdr:sp macro="" textlink="">
      <cdr:nvSpPr>
        <cdr:cNvPr id="2" name="TextBox 1">
          <a:extLst xmlns:a="http://schemas.openxmlformats.org/drawingml/2006/main">
            <a:ext uri="{FF2B5EF4-FFF2-40B4-BE49-F238E27FC236}">
              <a16:creationId xmlns:a16="http://schemas.microsoft.com/office/drawing/2014/main" id="{54FC4DCF-30BB-3DF9-96D5-45BFE22D0765}"/>
            </a:ext>
          </a:extLst>
        </cdr:cNvPr>
        <cdr:cNvSpPr txBox="1"/>
      </cdr:nvSpPr>
      <cdr:spPr>
        <a:xfrm xmlns:a="http://schemas.openxmlformats.org/drawingml/2006/main">
          <a:off x="5142177" y="44450"/>
          <a:ext cx="2115872" cy="50802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400" b="1" kern="1200">
              <a:latin typeface="Arial Nova Cond" panose="020B0506020202020204" pitchFamily="34" charset="0"/>
            </a:rPr>
            <a:t>1.45</a:t>
          </a:r>
          <a:r>
            <a:rPr lang="en-US" sz="1400" b="1" kern="1200" baseline="0">
              <a:latin typeface="Arial Nova Cond" panose="020B0506020202020204" pitchFamily="34" charset="0"/>
            </a:rPr>
            <a:t> M TONNES-YR</a:t>
          </a:r>
          <a:r>
            <a:rPr lang="en-US" sz="1400" b="1" kern="1200" baseline="30000">
              <a:latin typeface="Arial Nova Cond" panose="020B0506020202020204" pitchFamily="34" charset="0"/>
            </a:rPr>
            <a:t>-1</a:t>
          </a:r>
        </a:p>
        <a:p xmlns:a="http://schemas.openxmlformats.org/drawingml/2006/main">
          <a:pPr algn="r"/>
          <a:r>
            <a:rPr lang="en-US" sz="1200" b="0" kern="1200" baseline="0">
              <a:latin typeface="Arial Nova Cond" panose="020B0506020202020204" pitchFamily="34" charset="0"/>
            </a:rPr>
            <a:t>ORGANIC WET WASTE FEED</a:t>
          </a:r>
          <a:endParaRPr lang="en-US" sz="1200" b="0" kern="1200">
            <a:latin typeface="Arial Nova Cond" panose="020B0506020202020204" pitchFamily="34" charset="0"/>
          </a:endParaRPr>
        </a:p>
      </cdr:txBody>
    </cdr:sp>
  </cdr:relSizeAnchor>
</c:userShapes>
</file>

<file path=xl/drawings/drawing27.xml><?xml version="1.0" encoding="utf-8"?>
<c:userShapes xmlns:c="http://schemas.openxmlformats.org/drawingml/2006/chart">
  <cdr:relSizeAnchor xmlns:cdr="http://schemas.openxmlformats.org/drawingml/2006/chartDrawing">
    <cdr:from>
      <cdr:x>0.6936</cdr:x>
      <cdr:y>0.0083</cdr:y>
    </cdr:from>
    <cdr:to>
      <cdr:x>0.97991</cdr:x>
      <cdr:y>0.10318</cdr:y>
    </cdr:to>
    <cdr:sp macro="" textlink="">
      <cdr:nvSpPr>
        <cdr:cNvPr id="2" name="TextBox 1">
          <a:extLst xmlns:a="http://schemas.openxmlformats.org/drawingml/2006/main">
            <a:ext uri="{FF2B5EF4-FFF2-40B4-BE49-F238E27FC236}">
              <a16:creationId xmlns:a16="http://schemas.microsoft.com/office/drawing/2014/main" id="{9F8077C9-4D2F-739E-8C0D-80F8BBF0ACD4}"/>
            </a:ext>
          </a:extLst>
        </cdr:cNvPr>
        <cdr:cNvSpPr txBox="1"/>
      </cdr:nvSpPr>
      <cdr:spPr>
        <a:xfrm xmlns:a="http://schemas.openxmlformats.org/drawingml/2006/main">
          <a:off x="5043011" y="44450"/>
          <a:ext cx="2081687" cy="50802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400" b="1" kern="1200">
              <a:latin typeface="Arial Nova Cond" panose="020B0506020202020204" pitchFamily="34" charset="0"/>
            </a:rPr>
            <a:t>1.45</a:t>
          </a:r>
          <a:r>
            <a:rPr lang="en-US" sz="1400" b="1" kern="1200" baseline="0">
              <a:latin typeface="Arial Nova Cond" panose="020B0506020202020204" pitchFamily="34" charset="0"/>
            </a:rPr>
            <a:t> M TONNES-YR</a:t>
          </a:r>
          <a:r>
            <a:rPr lang="en-US" sz="1400" b="1" kern="1200" baseline="30000">
              <a:latin typeface="Arial Nova Cond" panose="020B0506020202020204" pitchFamily="34" charset="0"/>
            </a:rPr>
            <a:t>-1</a:t>
          </a:r>
        </a:p>
        <a:p xmlns:a="http://schemas.openxmlformats.org/drawingml/2006/main">
          <a:pPr algn="r"/>
          <a:r>
            <a:rPr lang="en-US" sz="1200" b="0" kern="1200" baseline="0">
              <a:latin typeface="Arial Nova Cond" panose="020B0506020202020204" pitchFamily="34" charset="0"/>
            </a:rPr>
            <a:t>ORGANIC WET WASTE FEED</a:t>
          </a:r>
          <a:endParaRPr lang="en-US" sz="1200" b="0" kern="1200">
            <a:latin typeface="Arial Nova Cond" panose="020B0506020202020204" pitchFamily="34" charset="0"/>
          </a:endParaRPr>
        </a:p>
      </cdr:txBody>
    </cdr:sp>
  </cdr:relSizeAnchor>
</c:userShapes>
</file>

<file path=xl/drawings/drawing28.xml><?xml version="1.0" encoding="utf-8"?>
<xdr:wsDr xmlns:xdr="http://schemas.openxmlformats.org/drawingml/2006/spreadsheetDrawing" xmlns:a="http://schemas.openxmlformats.org/drawingml/2006/main">
  <xdr:twoCellAnchor>
    <xdr:from>
      <xdr:col>3</xdr:col>
      <xdr:colOff>593724</xdr:colOff>
      <xdr:row>33</xdr:row>
      <xdr:rowOff>174624</xdr:rowOff>
    </xdr:from>
    <xdr:to>
      <xdr:col>14</xdr:col>
      <xdr:colOff>53975</xdr:colOff>
      <xdr:row>58</xdr:row>
      <xdr:rowOff>139700</xdr:rowOff>
    </xdr:to>
    <xdr:graphicFrame macro="">
      <xdr:nvGraphicFramePr>
        <xdr:cNvPr id="3" name="Chart 2">
          <a:extLst>
            <a:ext uri="{FF2B5EF4-FFF2-40B4-BE49-F238E27FC236}">
              <a16:creationId xmlns:a16="http://schemas.microsoft.com/office/drawing/2014/main" id="{9E8BE302-66A8-0D04-5039-F75EDDF057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172758</xdr:colOff>
      <xdr:row>65</xdr:row>
      <xdr:rowOff>123266</xdr:rowOff>
    </xdr:from>
    <xdr:to>
      <xdr:col>15</xdr:col>
      <xdr:colOff>66676</xdr:colOff>
      <xdr:row>92</xdr:row>
      <xdr:rowOff>98425</xdr:rowOff>
    </xdr:to>
    <xdr:graphicFrame macro="">
      <xdr:nvGraphicFramePr>
        <xdr:cNvPr id="4" name="Chart 3">
          <a:extLst>
            <a:ext uri="{FF2B5EF4-FFF2-40B4-BE49-F238E27FC236}">
              <a16:creationId xmlns:a16="http://schemas.microsoft.com/office/drawing/2014/main" id="{4DC26E9B-41E3-4E6F-AECF-4E139E9129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352702</xdr:colOff>
      <xdr:row>2</xdr:row>
      <xdr:rowOff>125896</xdr:rowOff>
    </xdr:from>
    <xdr:to>
      <xdr:col>12</xdr:col>
      <xdr:colOff>494333</xdr:colOff>
      <xdr:row>27</xdr:row>
      <xdr:rowOff>25400</xdr:rowOff>
    </xdr:to>
    <xdr:graphicFrame macro="">
      <xdr:nvGraphicFramePr>
        <xdr:cNvPr id="2" name="Chart 1">
          <a:extLst>
            <a:ext uri="{FF2B5EF4-FFF2-40B4-BE49-F238E27FC236}">
              <a16:creationId xmlns:a16="http://schemas.microsoft.com/office/drawing/2014/main" id="{D0773243-6E70-4805-BFED-B8250ED2E5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342900</xdr:colOff>
      <xdr:row>106</xdr:row>
      <xdr:rowOff>90556</xdr:rowOff>
    </xdr:from>
    <xdr:to>
      <xdr:col>18</xdr:col>
      <xdr:colOff>88900</xdr:colOff>
      <xdr:row>136</xdr:row>
      <xdr:rowOff>69850</xdr:rowOff>
    </xdr:to>
    <xdr:graphicFrame macro="">
      <xdr:nvGraphicFramePr>
        <xdr:cNvPr id="5" name="Chart 4">
          <a:extLst>
            <a:ext uri="{FF2B5EF4-FFF2-40B4-BE49-F238E27FC236}">
              <a16:creationId xmlns:a16="http://schemas.microsoft.com/office/drawing/2014/main" id="{9F940F6A-E158-4BEF-86B7-BB9B05BF2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496957</xdr:colOff>
      <xdr:row>165</xdr:row>
      <xdr:rowOff>16565</xdr:rowOff>
    </xdr:from>
    <xdr:to>
      <xdr:col>13</xdr:col>
      <xdr:colOff>569796</xdr:colOff>
      <xdr:row>192</xdr:row>
      <xdr:rowOff>57149</xdr:rowOff>
    </xdr:to>
    <xdr:graphicFrame macro="">
      <xdr:nvGraphicFramePr>
        <xdr:cNvPr id="6" name="Chart 5">
          <a:extLst>
            <a:ext uri="{FF2B5EF4-FFF2-40B4-BE49-F238E27FC236}">
              <a16:creationId xmlns:a16="http://schemas.microsoft.com/office/drawing/2014/main" id="{597A3550-650E-4C60-BCEF-D73B09CD54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557283</xdr:colOff>
      <xdr:row>197</xdr:row>
      <xdr:rowOff>156403</xdr:rowOff>
    </xdr:from>
    <xdr:to>
      <xdr:col>13</xdr:col>
      <xdr:colOff>127001</xdr:colOff>
      <xdr:row>222</xdr:row>
      <xdr:rowOff>50800</xdr:rowOff>
    </xdr:to>
    <xdr:graphicFrame macro="">
      <xdr:nvGraphicFramePr>
        <xdr:cNvPr id="7" name="Chart 6">
          <a:extLst>
            <a:ext uri="{FF2B5EF4-FFF2-40B4-BE49-F238E27FC236}">
              <a16:creationId xmlns:a16="http://schemas.microsoft.com/office/drawing/2014/main" id="{2FD92F19-86BD-47B7-877C-3C74C19FD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91523</xdr:colOff>
      <xdr:row>231</xdr:row>
      <xdr:rowOff>16564</xdr:rowOff>
    </xdr:from>
    <xdr:to>
      <xdr:col>14</xdr:col>
      <xdr:colOff>164362</xdr:colOff>
      <xdr:row>257</xdr:row>
      <xdr:rowOff>95249</xdr:rowOff>
    </xdr:to>
    <xdr:graphicFrame macro="">
      <xdr:nvGraphicFramePr>
        <xdr:cNvPr id="8" name="Chart 7">
          <a:extLst>
            <a:ext uri="{FF2B5EF4-FFF2-40B4-BE49-F238E27FC236}">
              <a16:creationId xmlns:a16="http://schemas.microsoft.com/office/drawing/2014/main" id="{B39EFC6E-5B0D-4A39-BC40-5A707C448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1125330</xdr:colOff>
      <xdr:row>269</xdr:row>
      <xdr:rowOff>50248</xdr:rowOff>
    </xdr:from>
    <xdr:to>
      <xdr:col>14</xdr:col>
      <xdr:colOff>44449</xdr:colOff>
      <xdr:row>296</xdr:row>
      <xdr:rowOff>139700</xdr:rowOff>
    </xdr:to>
    <xdr:graphicFrame macro="">
      <xdr:nvGraphicFramePr>
        <xdr:cNvPr id="9" name="Chart 8">
          <a:extLst>
            <a:ext uri="{FF2B5EF4-FFF2-40B4-BE49-F238E27FC236}">
              <a16:creationId xmlns:a16="http://schemas.microsoft.com/office/drawing/2014/main" id="{60938931-2918-4128-A2E4-F9441CCA1B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4555</xdr:colOff>
      <xdr:row>315</xdr:row>
      <xdr:rowOff>0</xdr:rowOff>
    </xdr:from>
    <xdr:to>
      <xdr:col>14</xdr:col>
      <xdr:colOff>77394</xdr:colOff>
      <xdr:row>340</xdr:row>
      <xdr:rowOff>6350</xdr:rowOff>
    </xdr:to>
    <xdr:graphicFrame macro="">
      <xdr:nvGraphicFramePr>
        <xdr:cNvPr id="10" name="Chart 9">
          <a:extLst>
            <a:ext uri="{FF2B5EF4-FFF2-40B4-BE49-F238E27FC236}">
              <a16:creationId xmlns:a16="http://schemas.microsoft.com/office/drawing/2014/main" id="{6EFE0D61-95CB-4BB0-B42F-99B00E44A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157369</xdr:colOff>
      <xdr:row>369</xdr:row>
      <xdr:rowOff>414</xdr:rowOff>
    </xdr:from>
    <xdr:to>
      <xdr:col>14</xdr:col>
      <xdr:colOff>230208</xdr:colOff>
      <xdr:row>394</xdr:row>
      <xdr:rowOff>63500</xdr:rowOff>
    </xdr:to>
    <xdr:graphicFrame macro="">
      <xdr:nvGraphicFramePr>
        <xdr:cNvPr id="11" name="Chart 10">
          <a:extLst>
            <a:ext uri="{FF2B5EF4-FFF2-40B4-BE49-F238E27FC236}">
              <a16:creationId xmlns:a16="http://schemas.microsoft.com/office/drawing/2014/main" id="{F55F5181-7235-43B4-8E9E-E98827CA5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679175</xdr:colOff>
      <xdr:row>424</xdr:row>
      <xdr:rowOff>16564</xdr:rowOff>
    </xdr:from>
    <xdr:to>
      <xdr:col>14</xdr:col>
      <xdr:colOff>64557</xdr:colOff>
      <xdr:row>449</xdr:row>
      <xdr:rowOff>152399</xdr:rowOff>
    </xdr:to>
    <xdr:graphicFrame macro="">
      <xdr:nvGraphicFramePr>
        <xdr:cNvPr id="12" name="Chart 11">
          <a:extLst>
            <a:ext uri="{FF2B5EF4-FFF2-40B4-BE49-F238E27FC236}">
              <a16:creationId xmlns:a16="http://schemas.microsoft.com/office/drawing/2014/main" id="{768AD52F-D93A-43EF-B32B-EE5ABE7B3D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13</xdr:col>
      <xdr:colOff>114300</xdr:colOff>
      <xdr:row>2</xdr:row>
      <xdr:rowOff>76200</xdr:rowOff>
    </xdr:from>
    <xdr:to>
      <xdr:col>24</xdr:col>
      <xdr:colOff>395322</xdr:colOff>
      <xdr:row>26</xdr:row>
      <xdr:rowOff>161174</xdr:rowOff>
    </xdr:to>
    <xdr:pic>
      <xdr:nvPicPr>
        <xdr:cNvPr id="18" name="Picture 17">
          <a:extLst>
            <a:ext uri="{FF2B5EF4-FFF2-40B4-BE49-F238E27FC236}">
              <a16:creationId xmlns:a16="http://schemas.microsoft.com/office/drawing/2014/main" id="{653E42B4-E20D-5260-9CB6-99BD40403BF9}"/>
            </a:ext>
          </a:extLst>
        </xdr:cNvPr>
        <xdr:cNvPicPr>
          <a:picLocks noChangeAspect="1"/>
        </xdr:cNvPicPr>
      </xdr:nvPicPr>
      <xdr:blipFill>
        <a:blip xmlns:r="http://schemas.openxmlformats.org/officeDocument/2006/relationships" r:embed="rId12"/>
        <a:stretch>
          <a:fillRect/>
        </a:stretch>
      </xdr:blipFill>
      <xdr:spPr>
        <a:xfrm>
          <a:off x="13601700" y="450850"/>
          <a:ext cx="6986622" cy="4523624"/>
        </a:xfrm>
        <a:prstGeom prst="rect">
          <a:avLst/>
        </a:prstGeom>
      </xdr:spPr>
    </xdr:pic>
    <xdr:clientData/>
  </xdr:twoCellAnchor>
  <xdr:twoCellAnchor editAs="oneCell">
    <xdr:from>
      <xdr:col>14</xdr:col>
      <xdr:colOff>527050</xdr:colOff>
      <xdr:row>33</xdr:row>
      <xdr:rowOff>82550</xdr:rowOff>
    </xdr:from>
    <xdr:to>
      <xdr:col>27</xdr:col>
      <xdr:colOff>119269</xdr:colOff>
      <xdr:row>58</xdr:row>
      <xdr:rowOff>51463</xdr:rowOff>
    </xdr:to>
    <xdr:pic>
      <xdr:nvPicPr>
        <xdr:cNvPr id="19" name="Picture 18">
          <a:extLst>
            <a:ext uri="{FF2B5EF4-FFF2-40B4-BE49-F238E27FC236}">
              <a16:creationId xmlns:a16="http://schemas.microsoft.com/office/drawing/2014/main" id="{4FE3C6AF-01C0-92F4-7C2A-C624547385EE}"/>
            </a:ext>
          </a:extLst>
        </xdr:cNvPr>
        <xdr:cNvPicPr>
          <a:picLocks noChangeAspect="1"/>
        </xdr:cNvPicPr>
      </xdr:nvPicPr>
      <xdr:blipFill>
        <a:blip xmlns:r="http://schemas.openxmlformats.org/officeDocument/2006/relationships" r:embed="rId13"/>
        <a:stretch>
          <a:fillRect/>
        </a:stretch>
      </xdr:blipFill>
      <xdr:spPr>
        <a:xfrm>
          <a:off x="14624050" y="6197600"/>
          <a:ext cx="7517019" cy="4718713"/>
        </a:xfrm>
        <a:prstGeom prst="rect">
          <a:avLst/>
        </a:prstGeom>
      </xdr:spPr>
    </xdr:pic>
    <xdr:clientData/>
  </xdr:twoCellAnchor>
  <xdr:twoCellAnchor editAs="oneCell">
    <xdr:from>
      <xdr:col>15</xdr:col>
      <xdr:colOff>438150</xdr:colOff>
      <xdr:row>65</xdr:row>
      <xdr:rowOff>57150</xdr:rowOff>
    </xdr:from>
    <xdr:to>
      <xdr:col>27</xdr:col>
      <xdr:colOff>335143</xdr:colOff>
      <xdr:row>92</xdr:row>
      <xdr:rowOff>34734</xdr:rowOff>
    </xdr:to>
    <xdr:pic>
      <xdr:nvPicPr>
        <xdr:cNvPr id="20" name="Picture 19">
          <a:extLst>
            <a:ext uri="{FF2B5EF4-FFF2-40B4-BE49-F238E27FC236}">
              <a16:creationId xmlns:a16="http://schemas.microsoft.com/office/drawing/2014/main" id="{710CC43F-53BC-6CC4-D255-4B2F80295BFE}"/>
            </a:ext>
          </a:extLst>
        </xdr:cNvPr>
        <xdr:cNvPicPr>
          <a:picLocks noChangeAspect="1"/>
        </xdr:cNvPicPr>
      </xdr:nvPicPr>
      <xdr:blipFill>
        <a:blip xmlns:r="http://schemas.openxmlformats.org/officeDocument/2006/relationships" r:embed="rId14"/>
        <a:stretch>
          <a:fillRect/>
        </a:stretch>
      </xdr:blipFill>
      <xdr:spPr>
        <a:xfrm>
          <a:off x="15144750" y="12236450"/>
          <a:ext cx="7212193" cy="5121084"/>
        </a:xfrm>
        <a:prstGeom prst="rect">
          <a:avLst/>
        </a:prstGeom>
      </xdr:spPr>
    </xdr:pic>
    <xdr:clientData/>
  </xdr:twoCellAnchor>
  <xdr:twoCellAnchor editAs="oneCell">
    <xdr:from>
      <xdr:col>18</xdr:col>
      <xdr:colOff>317500</xdr:colOff>
      <xdr:row>106</xdr:row>
      <xdr:rowOff>19050</xdr:rowOff>
    </xdr:from>
    <xdr:to>
      <xdr:col>31</xdr:col>
      <xdr:colOff>62133</xdr:colOff>
      <xdr:row>135</xdr:row>
      <xdr:rowOff>188708</xdr:rowOff>
    </xdr:to>
    <xdr:pic>
      <xdr:nvPicPr>
        <xdr:cNvPr id="21" name="Picture 20">
          <a:extLst>
            <a:ext uri="{FF2B5EF4-FFF2-40B4-BE49-F238E27FC236}">
              <a16:creationId xmlns:a16="http://schemas.microsoft.com/office/drawing/2014/main" id="{5DCA5D01-05FD-DDC7-99FA-9E10068ED6EC}"/>
            </a:ext>
          </a:extLst>
        </xdr:cNvPr>
        <xdr:cNvPicPr>
          <a:picLocks noChangeAspect="1"/>
        </xdr:cNvPicPr>
      </xdr:nvPicPr>
      <xdr:blipFill>
        <a:blip xmlns:r="http://schemas.openxmlformats.org/officeDocument/2006/relationships" r:embed="rId15"/>
        <a:stretch>
          <a:fillRect/>
        </a:stretch>
      </xdr:blipFill>
      <xdr:spPr>
        <a:xfrm>
          <a:off x="16852900" y="20142200"/>
          <a:ext cx="7669433" cy="5694158"/>
        </a:xfrm>
        <a:prstGeom prst="rect">
          <a:avLst/>
        </a:prstGeom>
      </xdr:spPr>
    </xdr:pic>
    <xdr:clientData/>
  </xdr:twoCellAnchor>
  <xdr:twoCellAnchor editAs="oneCell">
    <xdr:from>
      <xdr:col>14</xdr:col>
      <xdr:colOff>387350</xdr:colOff>
      <xdr:row>165</xdr:row>
      <xdr:rowOff>44450</xdr:rowOff>
    </xdr:from>
    <xdr:to>
      <xdr:col>26</xdr:col>
      <xdr:colOff>595266</xdr:colOff>
      <xdr:row>192</xdr:row>
      <xdr:rowOff>89096</xdr:rowOff>
    </xdr:to>
    <xdr:pic>
      <xdr:nvPicPr>
        <xdr:cNvPr id="23" name="Picture 22">
          <a:extLst>
            <a:ext uri="{FF2B5EF4-FFF2-40B4-BE49-F238E27FC236}">
              <a16:creationId xmlns:a16="http://schemas.microsoft.com/office/drawing/2014/main" id="{8E422D78-3C47-FCC1-E55A-D603A14A5DC2}"/>
            </a:ext>
          </a:extLst>
        </xdr:cNvPr>
        <xdr:cNvPicPr>
          <a:picLocks noChangeAspect="1"/>
        </xdr:cNvPicPr>
      </xdr:nvPicPr>
      <xdr:blipFill>
        <a:blip xmlns:r="http://schemas.openxmlformats.org/officeDocument/2006/relationships" r:embed="rId16"/>
        <a:stretch>
          <a:fillRect/>
        </a:stretch>
      </xdr:blipFill>
      <xdr:spPr>
        <a:xfrm>
          <a:off x="14484350" y="31388050"/>
          <a:ext cx="7523116" cy="5188146"/>
        </a:xfrm>
        <a:prstGeom prst="rect">
          <a:avLst/>
        </a:prstGeom>
      </xdr:spPr>
    </xdr:pic>
    <xdr:clientData/>
  </xdr:twoCellAnchor>
  <xdr:twoCellAnchor editAs="oneCell">
    <xdr:from>
      <xdr:col>13</xdr:col>
      <xdr:colOff>355600</xdr:colOff>
      <xdr:row>197</xdr:row>
      <xdr:rowOff>114300</xdr:rowOff>
    </xdr:from>
    <xdr:to>
      <xdr:col>25</xdr:col>
      <xdr:colOff>57504</xdr:colOff>
      <xdr:row>222</xdr:row>
      <xdr:rowOff>9801</xdr:rowOff>
    </xdr:to>
    <xdr:pic>
      <xdr:nvPicPr>
        <xdr:cNvPr id="24" name="Picture 23">
          <a:extLst>
            <a:ext uri="{FF2B5EF4-FFF2-40B4-BE49-F238E27FC236}">
              <a16:creationId xmlns:a16="http://schemas.microsoft.com/office/drawing/2014/main" id="{7C4BBD40-FC47-E85B-A0D8-58257B2C7CFD}"/>
            </a:ext>
          </a:extLst>
        </xdr:cNvPr>
        <xdr:cNvPicPr>
          <a:picLocks noChangeAspect="1"/>
        </xdr:cNvPicPr>
      </xdr:nvPicPr>
      <xdr:blipFill>
        <a:blip xmlns:r="http://schemas.openxmlformats.org/officeDocument/2006/relationships" r:embed="rId17"/>
        <a:stretch>
          <a:fillRect/>
        </a:stretch>
      </xdr:blipFill>
      <xdr:spPr>
        <a:xfrm>
          <a:off x="13843000" y="37534850"/>
          <a:ext cx="7017104" cy="4651651"/>
        </a:xfrm>
        <a:prstGeom prst="rect">
          <a:avLst/>
        </a:prstGeom>
      </xdr:spPr>
    </xdr:pic>
    <xdr:clientData/>
  </xdr:twoCellAnchor>
  <xdr:twoCellAnchor editAs="oneCell">
    <xdr:from>
      <xdr:col>14</xdr:col>
      <xdr:colOff>476250</xdr:colOff>
      <xdr:row>230</xdr:row>
      <xdr:rowOff>177800</xdr:rowOff>
    </xdr:from>
    <xdr:to>
      <xdr:col>25</xdr:col>
      <xdr:colOff>556086</xdr:colOff>
      <xdr:row>257</xdr:row>
      <xdr:rowOff>63936</xdr:rowOff>
    </xdr:to>
    <xdr:pic>
      <xdr:nvPicPr>
        <xdr:cNvPr id="25" name="Picture 24">
          <a:extLst>
            <a:ext uri="{FF2B5EF4-FFF2-40B4-BE49-F238E27FC236}">
              <a16:creationId xmlns:a16="http://schemas.microsoft.com/office/drawing/2014/main" id="{19CAC81B-93F0-78B6-237C-F0C190039017}"/>
            </a:ext>
          </a:extLst>
        </xdr:cNvPr>
        <xdr:cNvPicPr>
          <a:picLocks noChangeAspect="1"/>
        </xdr:cNvPicPr>
      </xdr:nvPicPr>
      <xdr:blipFill>
        <a:blip xmlns:r="http://schemas.openxmlformats.org/officeDocument/2006/relationships" r:embed="rId18"/>
        <a:stretch>
          <a:fillRect/>
        </a:stretch>
      </xdr:blipFill>
      <xdr:spPr>
        <a:xfrm>
          <a:off x="14573250" y="43859450"/>
          <a:ext cx="6785436" cy="5029636"/>
        </a:xfrm>
        <a:prstGeom prst="rect">
          <a:avLst/>
        </a:prstGeom>
      </xdr:spPr>
    </xdr:pic>
    <xdr:clientData/>
  </xdr:twoCellAnchor>
  <xdr:twoCellAnchor editAs="oneCell">
    <xdr:from>
      <xdr:col>14</xdr:col>
      <xdr:colOff>336550</xdr:colOff>
      <xdr:row>269</xdr:row>
      <xdr:rowOff>57150</xdr:rowOff>
    </xdr:from>
    <xdr:to>
      <xdr:col>26</xdr:col>
      <xdr:colOff>1875</xdr:colOff>
      <xdr:row>296</xdr:row>
      <xdr:rowOff>150568</xdr:rowOff>
    </xdr:to>
    <xdr:pic>
      <xdr:nvPicPr>
        <xdr:cNvPr id="14" name="Picture 13">
          <a:extLst>
            <a:ext uri="{FF2B5EF4-FFF2-40B4-BE49-F238E27FC236}">
              <a16:creationId xmlns:a16="http://schemas.microsoft.com/office/drawing/2014/main" id="{80295A12-F8CF-8234-1189-86FE11458622}"/>
            </a:ext>
          </a:extLst>
        </xdr:cNvPr>
        <xdr:cNvPicPr>
          <a:picLocks noChangeAspect="1"/>
        </xdr:cNvPicPr>
      </xdr:nvPicPr>
      <xdr:blipFill>
        <a:blip xmlns:r="http://schemas.openxmlformats.org/officeDocument/2006/relationships" r:embed="rId19"/>
        <a:stretch>
          <a:fillRect/>
        </a:stretch>
      </xdr:blipFill>
      <xdr:spPr>
        <a:xfrm>
          <a:off x="14433550" y="51149250"/>
          <a:ext cx="6980525" cy="5236918"/>
        </a:xfrm>
        <a:prstGeom prst="rect">
          <a:avLst/>
        </a:prstGeom>
      </xdr:spPr>
    </xdr:pic>
    <xdr:clientData/>
  </xdr:twoCellAnchor>
  <xdr:twoCellAnchor editAs="oneCell">
    <xdr:from>
      <xdr:col>14</xdr:col>
      <xdr:colOff>355600</xdr:colOff>
      <xdr:row>314</xdr:row>
      <xdr:rowOff>133350</xdr:rowOff>
    </xdr:from>
    <xdr:to>
      <xdr:col>25</xdr:col>
      <xdr:colOff>435436</xdr:colOff>
      <xdr:row>339</xdr:row>
      <xdr:rowOff>138335</xdr:rowOff>
    </xdr:to>
    <xdr:pic>
      <xdr:nvPicPr>
        <xdr:cNvPr id="15" name="Picture 14">
          <a:extLst>
            <a:ext uri="{FF2B5EF4-FFF2-40B4-BE49-F238E27FC236}">
              <a16:creationId xmlns:a16="http://schemas.microsoft.com/office/drawing/2014/main" id="{04637D35-A251-E2A6-B546-AD26C2106B17}"/>
            </a:ext>
          </a:extLst>
        </xdr:cNvPr>
        <xdr:cNvPicPr>
          <a:picLocks noChangeAspect="1"/>
        </xdr:cNvPicPr>
      </xdr:nvPicPr>
      <xdr:blipFill>
        <a:blip xmlns:r="http://schemas.openxmlformats.org/officeDocument/2006/relationships" r:embed="rId20"/>
        <a:stretch>
          <a:fillRect/>
        </a:stretch>
      </xdr:blipFill>
      <xdr:spPr>
        <a:xfrm>
          <a:off x="14452600" y="59778900"/>
          <a:ext cx="6785436" cy="4767485"/>
        </a:xfrm>
        <a:prstGeom prst="rect">
          <a:avLst/>
        </a:prstGeom>
      </xdr:spPr>
    </xdr:pic>
    <xdr:clientData/>
  </xdr:twoCellAnchor>
  <xdr:twoCellAnchor editAs="oneCell">
    <xdr:from>
      <xdr:col>14</xdr:col>
      <xdr:colOff>400050</xdr:colOff>
      <xdr:row>368</xdr:row>
      <xdr:rowOff>127000</xdr:rowOff>
    </xdr:from>
    <xdr:to>
      <xdr:col>25</xdr:col>
      <xdr:colOff>479886</xdr:colOff>
      <xdr:row>394</xdr:row>
      <xdr:rowOff>2450</xdr:rowOff>
    </xdr:to>
    <xdr:pic>
      <xdr:nvPicPr>
        <xdr:cNvPr id="16" name="Picture 15">
          <a:extLst>
            <a:ext uri="{FF2B5EF4-FFF2-40B4-BE49-F238E27FC236}">
              <a16:creationId xmlns:a16="http://schemas.microsoft.com/office/drawing/2014/main" id="{63AA8A77-EDF2-8D0C-33DB-3E50840AB2F7}"/>
            </a:ext>
          </a:extLst>
        </xdr:cNvPr>
        <xdr:cNvPicPr>
          <a:picLocks noChangeAspect="1"/>
        </xdr:cNvPicPr>
      </xdr:nvPicPr>
      <xdr:blipFill>
        <a:blip xmlns:r="http://schemas.openxmlformats.org/officeDocument/2006/relationships" r:embed="rId21"/>
        <a:stretch>
          <a:fillRect/>
        </a:stretch>
      </xdr:blipFill>
      <xdr:spPr>
        <a:xfrm>
          <a:off x="14497050" y="70046850"/>
          <a:ext cx="6785436" cy="4828450"/>
        </a:xfrm>
        <a:prstGeom prst="rect">
          <a:avLst/>
        </a:prstGeom>
      </xdr:spPr>
    </xdr:pic>
    <xdr:clientData/>
  </xdr:twoCellAnchor>
  <xdr:twoCellAnchor editAs="oneCell">
    <xdr:from>
      <xdr:col>14</xdr:col>
      <xdr:colOff>76200</xdr:colOff>
      <xdr:row>423</xdr:row>
      <xdr:rowOff>177800</xdr:rowOff>
    </xdr:from>
    <xdr:to>
      <xdr:col>26</xdr:col>
      <xdr:colOff>204861</xdr:colOff>
      <xdr:row>449</xdr:row>
      <xdr:rowOff>126409</xdr:rowOff>
    </xdr:to>
    <xdr:pic>
      <xdr:nvPicPr>
        <xdr:cNvPr id="22" name="Picture 21">
          <a:extLst>
            <a:ext uri="{FF2B5EF4-FFF2-40B4-BE49-F238E27FC236}">
              <a16:creationId xmlns:a16="http://schemas.microsoft.com/office/drawing/2014/main" id="{E4D59883-BB81-D986-FF10-7A9744EC8BCF}"/>
            </a:ext>
          </a:extLst>
        </xdr:cNvPr>
        <xdr:cNvPicPr>
          <a:picLocks noChangeAspect="1"/>
        </xdr:cNvPicPr>
      </xdr:nvPicPr>
      <xdr:blipFill>
        <a:blip xmlns:r="http://schemas.openxmlformats.org/officeDocument/2006/relationships" r:embed="rId22"/>
        <a:stretch>
          <a:fillRect/>
        </a:stretch>
      </xdr:blipFill>
      <xdr:spPr>
        <a:xfrm>
          <a:off x="14173200" y="80556100"/>
          <a:ext cx="7443861" cy="4901609"/>
        </a:xfrm>
        <a:prstGeom prst="rect">
          <a:avLst/>
        </a:prstGeom>
      </xdr:spPr>
    </xdr:pic>
    <xdr:clientData/>
  </xdr:twoCellAnchor>
</xdr:wsDr>
</file>

<file path=xl/drawings/drawing29.xml><?xml version="1.0" encoding="utf-8"?>
<c:userShapes xmlns:c="http://schemas.openxmlformats.org/drawingml/2006/chart">
  <cdr:relSizeAnchor xmlns:cdr="http://schemas.openxmlformats.org/drawingml/2006/chartDrawing">
    <cdr:from>
      <cdr:x>0.60304</cdr:x>
      <cdr:y>0.00943</cdr:y>
    </cdr:from>
    <cdr:to>
      <cdr:x>0.88767</cdr:x>
      <cdr:y>0.11717</cdr:y>
    </cdr:to>
    <cdr:sp macro="" textlink="">
      <cdr:nvSpPr>
        <cdr:cNvPr id="2" name="TextBox 1">
          <a:extLst xmlns:a="http://schemas.openxmlformats.org/drawingml/2006/main">
            <a:ext uri="{FF2B5EF4-FFF2-40B4-BE49-F238E27FC236}">
              <a16:creationId xmlns:a16="http://schemas.microsoft.com/office/drawing/2014/main" id="{BE080B81-1B20-A183-5E91-42ECEBC89D4B}"/>
            </a:ext>
          </a:extLst>
        </cdr:cNvPr>
        <cdr:cNvSpPr txBox="1"/>
      </cdr:nvSpPr>
      <cdr:spPr>
        <a:xfrm xmlns:a="http://schemas.openxmlformats.org/drawingml/2006/main">
          <a:off x="4533900" y="44450"/>
          <a:ext cx="2139950" cy="5080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200" b="1" kern="1200">
              <a:latin typeface="Arial Nova Cond" panose="020B0506020202020204" pitchFamily="34" charset="0"/>
            </a:rPr>
            <a:t>1.45</a:t>
          </a:r>
          <a:r>
            <a:rPr lang="en-US" sz="1200" b="1" kern="1200" baseline="0">
              <a:latin typeface="Arial Nova Cond" panose="020B0506020202020204" pitchFamily="34" charset="0"/>
            </a:rPr>
            <a:t> M TONNES-YR</a:t>
          </a:r>
          <a:r>
            <a:rPr lang="en-US" sz="1200" b="1" kern="1200" baseline="30000">
              <a:latin typeface="Arial Nova Cond" panose="020B0506020202020204" pitchFamily="34" charset="0"/>
            </a:rPr>
            <a:t>-1</a:t>
          </a:r>
        </a:p>
        <a:p xmlns:a="http://schemas.openxmlformats.org/drawingml/2006/main">
          <a:pPr algn="r"/>
          <a:r>
            <a:rPr lang="en-US" sz="1200" b="1" kern="1200" baseline="0">
              <a:latin typeface="Arial Nova Cond" panose="020B0506020202020204" pitchFamily="34" charset="0"/>
            </a:rPr>
            <a:t>ORGANIC WET WASTE FEED</a:t>
          </a:r>
          <a:endParaRPr lang="en-US" sz="1200" b="1" kern="1200">
            <a:latin typeface="Arial Nova Cond" panose="020B0506020202020204" pitchFamily="34" charset="0"/>
          </a:endParaRPr>
        </a:p>
      </cdr:txBody>
    </cdr:sp>
  </cdr:relSizeAnchor>
</c:userShapes>
</file>

<file path=xl/drawings/drawing30.xml><?xml version="1.0" encoding="utf-8"?>
<c:userShapes xmlns:c="http://schemas.openxmlformats.org/drawingml/2006/chart">
  <cdr:relSizeAnchor xmlns:cdr="http://schemas.openxmlformats.org/drawingml/2006/chartDrawing">
    <cdr:from>
      <cdr:x>0.59844</cdr:x>
      <cdr:y>0.0062</cdr:y>
    </cdr:from>
    <cdr:to>
      <cdr:x>0.89501</cdr:x>
      <cdr:y>0.10545</cdr:y>
    </cdr:to>
    <cdr:sp macro="" textlink="">
      <cdr:nvSpPr>
        <cdr:cNvPr id="2" name="TextBox 1">
          <a:extLst xmlns:a="http://schemas.openxmlformats.org/drawingml/2006/main">
            <a:ext uri="{FF2B5EF4-FFF2-40B4-BE49-F238E27FC236}">
              <a16:creationId xmlns:a16="http://schemas.microsoft.com/office/drawing/2014/main" id="{48C92DD4-E7B8-278D-E169-846FFC9E2377}"/>
            </a:ext>
          </a:extLst>
        </cdr:cNvPr>
        <cdr:cNvSpPr txBox="1"/>
      </cdr:nvSpPr>
      <cdr:spPr>
        <a:xfrm xmlns:a="http://schemas.openxmlformats.org/drawingml/2006/main">
          <a:off x="4318000" y="31750"/>
          <a:ext cx="2139950" cy="5080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200" b="1" kern="1200">
              <a:latin typeface="Arial Nova Cond" panose="020B0506020202020204" pitchFamily="34" charset="0"/>
            </a:rPr>
            <a:t>1.45</a:t>
          </a:r>
          <a:r>
            <a:rPr lang="en-US" sz="1200" b="1" kern="1200" baseline="0">
              <a:latin typeface="Arial Nova Cond" panose="020B0506020202020204" pitchFamily="34" charset="0"/>
            </a:rPr>
            <a:t> M TONNES-YR</a:t>
          </a:r>
          <a:r>
            <a:rPr lang="en-US" sz="1200" b="1" kern="1200" baseline="30000">
              <a:latin typeface="Arial Nova Cond" panose="020B0506020202020204" pitchFamily="34" charset="0"/>
            </a:rPr>
            <a:t>-1</a:t>
          </a:r>
        </a:p>
        <a:p xmlns:a="http://schemas.openxmlformats.org/drawingml/2006/main">
          <a:pPr algn="r"/>
          <a:r>
            <a:rPr lang="en-US" sz="1200" b="1" kern="1200" baseline="0">
              <a:latin typeface="Arial Nova Cond" panose="020B0506020202020204" pitchFamily="34" charset="0"/>
            </a:rPr>
            <a:t>ORGANIC WET WASTE FEED</a:t>
          </a:r>
          <a:endParaRPr lang="en-US" sz="1200" b="1" kern="1200">
            <a:latin typeface="Arial Nova Cond" panose="020B0506020202020204" pitchFamily="34" charset="0"/>
          </a:endParaRPr>
        </a:p>
      </cdr:txBody>
    </cdr:sp>
  </cdr:relSizeAnchor>
</c:userShapes>
</file>

<file path=xl/drawings/drawing31.xml><?xml version="1.0" encoding="utf-8"?>
<c:userShapes xmlns:c="http://schemas.openxmlformats.org/drawingml/2006/chart">
  <cdr:relSizeAnchor xmlns:cdr="http://schemas.openxmlformats.org/drawingml/2006/chartDrawing">
    <cdr:from>
      <cdr:x>0.72451</cdr:x>
      <cdr:y>0.02411</cdr:y>
    </cdr:from>
    <cdr:to>
      <cdr:x>0.93464</cdr:x>
      <cdr:y>0.09994</cdr:y>
    </cdr:to>
    <cdr:sp macro="" textlink="">
      <cdr:nvSpPr>
        <cdr:cNvPr id="2" name="TextBox 1">
          <a:extLst xmlns:a="http://schemas.openxmlformats.org/drawingml/2006/main">
            <a:ext uri="{FF2B5EF4-FFF2-40B4-BE49-F238E27FC236}">
              <a16:creationId xmlns:a16="http://schemas.microsoft.com/office/drawing/2014/main" id="{2F3D89DF-085A-0AB6-FD17-80867657F05F}"/>
            </a:ext>
          </a:extLst>
        </cdr:cNvPr>
        <cdr:cNvSpPr txBox="1"/>
      </cdr:nvSpPr>
      <cdr:spPr>
        <a:xfrm xmlns:a="http://schemas.openxmlformats.org/drawingml/2006/main">
          <a:off x="5057498" y="109054"/>
          <a:ext cx="1466850" cy="342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0.57532</cdr:x>
      <cdr:y>0.01569</cdr:y>
    </cdr:from>
    <cdr:to>
      <cdr:x>0.88188</cdr:x>
      <cdr:y>0.12802</cdr:y>
    </cdr:to>
    <cdr:sp macro="" textlink="">
      <cdr:nvSpPr>
        <cdr:cNvPr id="3" name="TextBox 2">
          <a:extLst xmlns:a="http://schemas.openxmlformats.org/drawingml/2006/main">
            <a:ext uri="{FF2B5EF4-FFF2-40B4-BE49-F238E27FC236}">
              <a16:creationId xmlns:a16="http://schemas.microsoft.com/office/drawing/2014/main" id="{2BE412B2-FACD-9ADC-7671-4FF6C01D4EDD}"/>
            </a:ext>
          </a:extLst>
        </cdr:cNvPr>
        <cdr:cNvSpPr txBox="1"/>
      </cdr:nvSpPr>
      <cdr:spPr>
        <a:xfrm xmlns:a="http://schemas.openxmlformats.org/drawingml/2006/main">
          <a:off x="4016098" y="70954"/>
          <a:ext cx="2139950" cy="508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r>
            <a:rPr lang="en-US" sz="1200" b="1" kern="1200">
              <a:latin typeface="Arial Nova Cond" panose="020B0506020202020204" pitchFamily="34" charset="0"/>
            </a:rPr>
            <a:t>1.45</a:t>
          </a:r>
          <a:r>
            <a:rPr lang="en-US" sz="1200" b="1" kern="1200" baseline="0">
              <a:latin typeface="Arial Nova Cond" panose="020B0506020202020204" pitchFamily="34" charset="0"/>
            </a:rPr>
            <a:t> M TONNES-YR</a:t>
          </a:r>
          <a:r>
            <a:rPr lang="en-US" sz="1200" b="1" kern="1200" baseline="30000">
              <a:latin typeface="Arial Nova Cond" panose="020B0506020202020204" pitchFamily="34" charset="0"/>
            </a:rPr>
            <a:t>-1</a:t>
          </a:r>
        </a:p>
        <a:p xmlns:a="http://schemas.openxmlformats.org/drawingml/2006/main">
          <a:pPr algn="r"/>
          <a:r>
            <a:rPr lang="en-US" sz="1200" b="1" kern="1200" baseline="0">
              <a:latin typeface="Arial Nova Cond" panose="020B0506020202020204" pitchFamily="34" charset="0"/>
            </a:rPr>
            <a:t>ORGANIC WET WASTE FEED</a:t>
          </a:r>
          <a:endParaRPr lang="en-US" sz="1200" b="1" kern="1200">
            <a:latin typeface="Arial Nova Cond" panose="020B0506020202020204" pitchFamily="34" charset="0"/>
          </a:endParaRPr>
        </a:p>
      </cdr:txBody>
    </cdr:sp>
  </cdr:relSizeAnchor>
</c:userShapes>
</file>

<file path=xl/drawings/drawing32.xml><?xml version="1.0" encoding="utf-8"?>
<c:userShapes xmlns:c="http://schemas.openxmlformats.org/drawingml/2006/chart">
  <cdr:relSizeAnchor xmlns:cdr="http://schemas.openxmlformats.org/drawingml/2006/chartDrawing">
    <cdr:from>
      <cdr:x>0.59023</cdr:x>
      <cdr:y>0.01115</cdr:y>
    </cdr:from>
    <cdr:to>
      <cdr:x>0.86921</cdr:x>
      <cdr:y>0.10036</cdr:y>
    </cdr:to>
    <cdr:sp macro="" textlink="">
      <cdr:nvSpPr>
        <cdr:cNvPr id="2" name="TextBox 1">
          <a:extLst xmlns:a="http://schemas.openxmlformats.org/drawingml/2006/main">
            <a:ext uri="{FF2B5EF4-FFF2-40B4-BE49-F238E27FC236}">
              <a16:creationId xmlns:a16="http://schemas.microsoft.com/office/drawing/2014/main" id="{B5B3D8B9-3951-7C7B-6FC0-2DB65EB8BC4A}"/>
            </a:ext>
          </a:extLst>
        </cdr:cNvPr>
        <cdr:cNvSpPr txBox="1"/>
      </cdr:nvSpPr>
      <cdr:spPr>
        <a:xfrm xmlns:a="http://schemas.openxmlformats.org/drawingml/2006/main">
          <a:off x="4527550" y="63500"/>
          <a:ext cx="2139950" cy="5080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200" b="1" kern="1200">
              <a:latin typeface="Arial Nova Cond" panose="020B0506020202020204" pitchFamily="34" charset="0"/>
            </a:rPr>
            <a:t>1.45</a:t>
          </a:r>
          <a:r>
            <a:rPr lang="en-US" sz="1200" b="1" kern="1200" baseline="0">
              <a:latin typeface="Arial Nova Cond" panose="020B0506020202020204" pitchFamily="34" charset="0"/>
            </a:rPr>
            <a:t> M TONNES-YR</a:t>
          </a:r>
          <a:r>
            <a:rPr lang="en-US" sz="1200" b="1" kern="1200" baseline="30000">
              <a:latin typeface="Arial Nova Cond" panose="020B0506020202020204" pitchFamily="34" charset="0"/>
            </a:rPr>
            <a:t>-1</a:t>
          </a:r>
        </a:p>
        <a:p xmlns:a="http://schemas.openxmlformats.org/drawingml/2006/main">
          <a:pPr algn="r"/>
          <a:r>
            <a:rPr lang="en-US" sz="1200" b="1" kern="1200" baseline="0">
              <a:latin typeface="Arial Nova Cond" panose="020B0506020202020204" pitchFamily="34" charset="0"/>
            </a:rPr>
            <a:t>ORGANIC WET WASTE FEED</a:t>
          </a:r>
          <a:endParaRPr lang="en-US" sz="1200" b="1" kern="1200">
            <a:latin typeface="Arial Nova Cond" panose="020B0506020202020204" pitchFamily="34" charset="0"/>
          </a:endParaRPr>
        </a:p>
      </cdr:txBody>
    </cdr:sp>
  </cdr:relSizeAnchor>
</c:userShapes>
</file>

<file path=xl/drawings/drawing33.xml><?xml version="1.0" encoding="utf-8"?>
<c:userShapes xmlns:c="http://schemas.openxmlformats.org/drawingml/2006/chart">
  <cdr:relSizeAnchor xmlns:cdr="http://schemas.openxmlformats.org/drawingml/2006/chartDrawing">
    <cdr:from>
      <cdr:x>0.59605</cdr:x>
      <cdr:y>0.00857</cdr:y>
    </cdr:from>
    <cdr:to>
      <cdr:x>0.88056</cdr:x>
      <cdr:y>0.10657</cdr:y>
    </cdr:to>
    <cdr:sp macro="" textlink="">
      <cdr:nvSpPr>
        <cdr:cNvPr id="2" name="TextBox 1">
          <a:extLst xmlns:a="http://schemas.openxmlformats.org/drawingml/2006/main">
            <a:ext uri="{FF2B5EF4-FFF2-40B4-BE49-F238E27FC236}">
              <a16:creationId xmlns:a16="http://schemas.microsoft.com/office/drawing/2014/main" id="{BA99DCF3-CF69-5FC0-3F19-3A0D8C3314C7}"/>
            </a:ext>
          </a:extLst>
        </cdr:cNvPr>
        <cdr:cNvSpPr txBox="1"/>
      </cdr:nvSpPr>
      <cdr:spPr>
        <a:xfrm xmlns:a="http://schemas.openxmlformats.org/drawingml/2006/main">
          <a:off x="4483100" y="44450"/>
          <a:ext cx="2139950" cy="5080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200" b="1" kern="1200">
              <a:latin typeface="Arial Nova Cond" panose="020B0506020202020204" pitchFamily="34" charset="0"/>
            </a:rPr>
            <a:t>1.45</a:t>
          </a:r>
          <a:r>
            <a:rPr lang="en-US" sz="1200" b="1" kern="1200" baseline="0">
              <a:latin typeface="Arial Nova Cond" panose="020B0506020202020204" pitchFamily="34" charset="0"/>
            </a:rPr>
            <a:t> M TONNES-YR</a:t>
          </a:r>
          <a:r>
            <a:rPr lang="en-US" sz="1200" b="1" kern="1200" baseline="30000">
              <a:latin typeface="Arial Nova Cond" panose="020B0506020202020204" pitchFamily="34" charset="0"/>
            </a:rPr>
            <a:t>-1</a:t>
          </a:r>
        </a:p>
        <a:p xmlns:a="http://schemas.openxmlformats.org/drawingml/2006/main">
          <a:pPr algn="r"/>
          <a:r>
            <a:rPr lang="en-US" sz="1200" b="1" kern="1200" baseline="0">
              <a:latin typeface="Arial Nova Cond" panose="020B0506020202020204" pitchFamily="34" charset="0"/>
            </a:rPr>
            <a:t>ORGANIC WET WASTE FEED</a:t>
          </a:r>
          <a:endParaRPr lang="en-US" sz="1200" b="1" kern="1200">
            <a:latin typeface="Arial Nova Cond" panose="020B0506020202020204" pitchFamily="34" charset="0"/>
          </a:endParaRPr>
        </a:p>
      </cdr:txBody>
    </cdr:sp>
  </cdr:relSizeAnchor>
</c:userShapes>
</file>

<file path=xl/drawings/drawing34.xml><?xml version="1.0" encoding="utf-8"?>
<c:userShapes xmlns:c="http://schemas.openxmlformats.org/drawingml/2006/chart">
  <cdr:relSizeAnchor xmlns:cdr="http://schemas.openxmlformats.org/drawingml/2006/chartDrawing">
    <cdr:from>
      <cdr:x>0.55644</cdr:x>
      <cdr:y>0</cdr:y>
    </cdr:from>
    <cdr:to>
      <cdr:x>0.86135</cdr:x>
      <cdr:y>0.10923</cdr:y>
    </cdr:to>
    <cdr:sp macro="" textlink="">
      <cdr:nvSpPr>
        <cdr:cNvPr id="2" name="TextBox 1">
          <a:extLst xmlns:a="http://schemas.openxmlformats.org/drawingml/2006/main">
            <a:ext uri="{FF2B5EF4-FFF2-40B4-BE49-F238E27FC236}">
              <a16:creationId xmlns:a16="http://schemas.microsoft.com/office/drawing/2014/main" id="{4A5BFA66-787F-7BA1-AC4C-34B1B2E2D03A}"/>
            </a:ext>
          </a:extLst>
        </cdr:cNvPr>
        <cdr:cNvSpPr txBox="1"/>
      </cdr:nvSpPr>
      <cdr:spPr>
        <a:xfrm xmlns:a="http://schemas.openxmlformats.org/drawingml/2006/main">
          <a:off x="3905250" y="0"/>
          <a:ext cx="2139950" cy="5080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200" b="1" kern="1200">
              <a:latin typeface="Arial Nova Cond" panose="020B0506020202020204" pitchFamily="34" charset="0"/>
            </a:rPr>
            <a:t>1.45</a:t>
          </a:r>
          <a:r>
            <a:rPr lang="en-US" sz="1200" b="1" kern="1200" baseline="0">
              <a:latin typeface="Arial Nova Cond" panose="020B0506020202020204" pitchFamily="34" charset="0"/>
            </a:rPr>
            <a:t> M TONNES-YR</a:t>
          </a:r>
          <a:r>
            <a:rPr lang="en-US" sz="1200" b="1" kern="1200" baseline="30000">
              <a:latin typeface="Arial Nova Cond" panose="020B0506020202020204" pitchFamily="34" charset="0"/>
            </a:rPr>
            <a:t>-1</a:t>
          </a:r>
        </a:p>
        <a:p xmlns:a="http://schemas.openxmlformats.org/drawingml/2006/main">
          <a:pPr algn="r"/>
          <a:r>
            <a:rPr lang="en-US" sz="1200" b="1" kern="1200" baseline="0">
              <a:latin typeface="Arial Nova Cond" panose="020B0506020202020204" pitchFamily="34" charset="0"/>
            </a:rPr>
            <a:t>ORGANIC WET WASTE FEED</a:t>
          </a:r>
          <a:endParaRPr lang="en-US" sz="1200" b="1" kern="1200">
            <a:latin typeface="Arial Nova Cond" panose="020B0506020202020204" pitchFamily="34" charset="0"/>
          </a:endParaRPr>
        </a:p>
      </cdr:txBody>
    </cdr:sp>
  </cdr:relSizeAnchor>
</c:userShapes>
</file>

<file path=xl/drawings/drawing35.xml><?xml version="1.0" encoding="utf-8"?>
<c:userShapes xmlns:c="http://schemas.openxmlformats.org/drawingml/2006/chart">
  <cdr:relSizeAnchor xmlns:cdr="http://schemas.openxmlformats.org/drawingml/2006/chartDrawing">
    <cdr:from>
      <cdr:x>0.56342</cdr:x>
      <cdr:y>0.01514</cdr:y>
    </cdr:from>
    <cdr:to>
      <cdr:x>0.87883</cdr:x>
      <cdr:y>0.1161</cdr:y>
    </cdr:to>
    <cdr:sp macro="" textlink="">
      <cdr:nvSpPr>
        <cdr:cNvPr id="2" name="TextBox 1">
          <a:extLst xmlns:a="http://schemas.openxmlformats.org/drawingml/2006/main">
            <a:ext uri="{FF2B5EF4-FFF2-40B4-BE49-F238E27FC236}">
              <a16:creationId xmlns:a16="http://schemas.microsoft.com/office/drawing/2014/main" id="{3D04077B-6CB1-7793-478D-30B4703C9A41}"/>
            </a:ext>
          </a:extLst>
        </cdr:cNvPr>
        <cdr:cNvSpPr txBox="1"/>
      </cdr:nvSpPr>
      <cdr:spPr>
        <a:xfrm xmlns:a="http://schemas.openxmlformats.org/drawingml/2006/main">
          <a:off x="3822700" y="76200"/>
          <a:ext cx="2139950" cy="5080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200" b="1" kern="1200">
              <a:latin typeface="Arial Nova Cond" panose="020B0506020202020204" pitchFamily="34" charset="0"/>
            </a:rPr>
            <a:t>1.45</a:t>
          </a:r>
          <a:r>
            <a:rPr lang="en-US" sz="1200" b="1" kern="1200" baseline="0">
              <a:latin typeface="Arial Nova Cond" panose="020B0506020202020204" pitchFamily="34" charset="0"/>
            </a:rPr>
            <a:t> M TONNES-YR</a:t>
          </a:r>
          <a:r>
            <a:rPr lang="en-US" sz="1200" b="1" kern="1200" baseline="30000">
              <a:latin typeface="Arial Nova Cond" panose="020B0506020202020204" pitchFamily="34" charset="0"/>
            </a:rPr>
            <a:t>-1</a:t>
          </a:r>
        </a:p>
        <a:p xmlns:a="http://schemas.openxmlformats.org/drawingml/2006/main">
          <a:pPr algn="r"/>
          <a:r>
            <a:rPr lang="en-US" sz="1200" b="1" kern="1200" baseline="0">
              <a:latin typeface="Arial Nova Cond" panose="020B0506020202020204" pitchFamily="34" charset="0"/>
            </a:rPr>
            <a:t>ORGANIC WET WASTE FEED</a:t>
          </a:r>
          <a:endParaRPr lang="en-US" sz="1200" b="1" kern="1200">
            <a:latin typeface="Arial Nova Cond" panose="020B0506020202020204" pitchFamily="34" charset="0"/>
          </a:endParaRPr>
        </a:p>
      </cdr:txBody>
    </cdr:sp>
  </cdr:relSizeAnchor>
</c:userShapes>
</file>

<file path=xl/drawings/drawing36.xml><?xml version="1.0" encoding="utf-8"?>
<c:userShapes xmlns:c="http://schemas.openxmlformats.org/drawingml/2006/chart">
  <cdr:relSizeAnchor xmlns:cdr="http://schemas.openxmlformats.org/drawingml/2006/chartDrawing">
    <cdr:from>
      <cdr:x>0.5861</cdr:x>
      <cdr:y>0.01942</cdr:y>
    </cdr:from>
    <cdr:to>
      <cdr:x>0.89281</cdr:x>
      <cdr:y>0.11649</cdr:y>
    </cdr:to>
    <cdr:sp macro="" textlink="">
      <cdr:nvSpPr>
        <cdr:cNvPr id="3" name="TextBox 1">
          <a:extLst xmlns:a="http://schemas.openxmlformats.org/drawingml/2006/main">
            <a:ext uri="{FF2B5EF4-FFF2-40B4-BE49-F238E27FC236}">
              <a16:creationId xmlns:a16="http://schemas.microsoft.com/office/drawing/2014/main" id="{2F86E4C6-3958-907F-04E9-CA6B00EB3693}"/>
            </a:ext>
          </a:extLst>
        </cdr:cNvPr>
        <cdr:cNvSpPr txBox="1"/>
      </cdr:nvSpPr>
      <cdr:spPr>
        <a:xfrm xmlns:a="http://schemas.openxmlformats.org/drawingml/2006/main">
          <a:off x="4089400" y="101600"/>
          <a:ext cx="2139950" cy="5080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400" b="1" kern="1200">
              <a:latin typeface="Arial Nova Cond" panose="020B0506020202020204" pitchFamily="34" charset="0"/>
            </a:rPr>
            <a:t>1.45</a:t>
          </a:r>
          <a:r>
            <a:rPr lang="en-US" sz="1400" b="1" kern="1200" baseline="0">
              <a:latin typeface="Arial Nova Cond" panose="020B0506020202020204" pitchFamily="34" charset="0"/>
            </a:rPr>
            <a:t> M TONNES-YR</a:t>
          </a:r>
          <a:r>
            <a:rPr lang="en-US" sz="1400" b="1" kern="1200" baseline="30000">
              <a:latin typeface="Arial Nova Cond" panose="020B0506020202020204" pitchFamily="34" charset="0"/>
            </a:rPr>
            <a:t>-1</a:t>
          </a:r>
        </a:p>
        <a:p xmlns:a="http://schemas.openxmlformats.org/drawingml/2006/main">
          <a:pPr algn="r"/>
          <a:r>
            <a:rPr lang="en-US" sz="1200" b="0" kern="1200" baseline="0">
              <a:latin typeface="Arial Nova Cond" panose="020B0506020202020204" pitchFamily="34" charset="0"/>
            </a:rPr>
            <a:t>ORGANIC WET WASTE FEED</a:t>
          </a:r>
          <a:endParaRPr lang="en-US" sz="1200" b="0" kern="1200">
            <a:latin typeface="Arial Nova Cond" panose="020B0506020202020204" pitchFamily="34" charset="0"/>
          </a:endParaRPr>
        </a:p>
      </cdr:txBody>
    </cdr:sp>
  </cdr:relSizeAnchor>
</c:userShapes>
</file>

<file path=xl/drawings/drawing37.xml><?xml version="1.0" encoding="utf-8"?>
<c:userShapes xmlns:c="http://schemas.openxmlformats.org/drawingml/2006/chart">
  <cdr:relSizeAnchor xmlns:cdr="http://schemas.openxmlformats.org/drawingml/2006/chartDrawing">
    <cdr:from>
      <cdr:x>0.57559</cdr:x>
      <cdr:y>0.02264</cdr:y>
    </cdr:from>
    <cdr:to>
      <cdr:x>0.89099</cdr:x>
      <cdr:y>0.12916</cdr:y>
    </cdr:to>
    <cdr:sp macro="" textlink="">
      <cdr:nvSpPr>
        <cdr:cNvPr id="2" name="TextBox 1">
          <a:extLst xmlns:a="http://schemas.openxmlformats.org/drawingml/2006/main">
            <a:ext uri="{FF2B5EF4-FFF2-40B4-BE49-F238E27FC236}">
              <a16:creationId xmlns:a16="http://schemas.microsoft.com/office/drawing/2014/main" id="{EFFFABAA-3BAA-680A-CD59-6A56EB76C195}"/>
            </a:ext>
          </a:extLst>
        </cdr:cNvPr>
        <cdr:cNvSpPr txBox="1"/>
      </cdr:nvSpPr>
      <cdr:spPr>
        <a:xfrm xmlns:a="http://schemas.openxmlformats.org/drawingml/2006/main">
          <a:off x="3905250" y="107950"/>
          <a:ext cx="2139950" cy="5080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400" b="1" kern="1200">
              <a:latin typeface="Arial Nova Cond" panose="020B0506020202020204" pitchFamily="34" charset="0"/>
            </a:rPr>
            <a:t>1.45</a:t>
          </a:r>
          <a:r>
            <a:rPr lang="en-US" sz="1400" b="1" kern="1200" baseline="0">
              <a:latin typeface="Arial Nova Cond" panose="020B0506020202020204" pitchFamily="34" charset="0"/>
            </a:rPr>
            <a:t> M TONNES-YR</a:t>
          </a:r>
          <a:r>
            <a:rPr lang="en-US" sz="1400" b="1" kern="1200" baseline="30000">
              <a:latin typeface="Arial Nova Cond" panose="020B0506020202020204" pitchFamily="34" charset="0"/>
            </a:rPr>
            <a:t>-1</a:t>
          </a:r>
        </a:p>
        <a:p xmlns:a="http://schemas.openxmlformats.org/drawingml/2006/main">
          <a:pPr algn="r"/>
          <a:r>
            <a:rPr lang="en-US" sz="1200" b="0" kern="1200" baseline="0">
              <a:latin typeface="Arial Nova Cond" panose="020B0506020202020204" pitchFamily="34" charset="0"/>
            </a:rPr>
            <a:t>ORGANIC WET WASTE FEED</a:t>
          </a:r>
          <a:endParaRPr lang="en-US" sz="1200" b="0" kern="1200">
            <a:latin typeface="Arial Nova Cond" panose="020B0506020202020204" pitchFamily="34" charset="0"/>
          </a:endParaRPr>
        </a:p>
      </cdr:txBody>
    </cdr:sp>
  </cdr:relSizeAnchor>
</c:userShapes>
</file>

<file path=xl/drawings/drawing38.xml><?xml version="1.0" encoding="utf-8"?>
<c:userShapes xmlns:c="http://schemas.openxmlformats.org/drawingml/2006/chart">
  <cdr:relSizeAnchor xmlns:cdr="http://schemas.openxmlformats.org/drawingml/2006/chartDrawing">
    <cdr:from>
      <cdr:x>0.56904</cdr:x>
      <cdr:y>0.00921</cdr:y>
    </cdr:from>
    <cdr:to>
      <cdr:x>0.88444</cdr:x>
      <cdr:y>0.11448</cdr:y>
    </cdr:to>
    <cdr:sp macro="" textlink="">
      <cdr:nvSpPr>
        <cdr:cNvPr id="2" name="TextBox 1">
          <a:extLst xmlns:a="http://schemas.openxmlformats.org/drawingml/2006/main">
            <a:ext uri="{FF2B5EF4-FFF2-40B4-BE49-F238E27FC236}">
              <a16:creationId xmlns:a16="http://schemas.microsoft.com/office/drawing/2014/main" id="{7C3AE43C-B11F-0B0A-6F5F-427824C4742B}"/>
            </a:ext>
          </a:extLst>
        </cdr:cNvPr>
        <cdr:cNvSpPr txBox="1"/>
      </cdr:nvSpPr>
      <cdr:spPr>
        <a:xfrm xmlns:a="http://schemas.openxmlformats.org/drawingml/2006/main">
          <a:off x="3860800" y="44450"/>
          <a:ext cx="2139950" cy="5080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400" b="1" kern="1200">
              <a:latin typeface="Arial Nova Cond" panose="020B0506020202020204" pitchFamily="34" charset="0"/>
            </a:rPr>
            <a:t>1.45</a:t>
          </a:r>
          <a:r>
            <a:rPr lang="en-US" sz="1400" b="1" kern="1200" baseline="0">
              <a:latin typeface="Arial Nova Cond" panose="020B0506020202020204" pitchFamily="34" charset="0"/>
            </a:rPr>
            <a:t> M TONNES-YR</a:t>
          </a:r>
          <a:r>
            <a:rPr lang="en-US" sz="1400" b="1" kern="1200" baseline="30000">
              <a:latin typeface="Arial Nova Cond" panose="020B0506020202020204" pitchFamily="34" charset="0"/>
            </a:rPr>
            <a:t>-1</a:t>
          </a:r>
        </a:p>
        <a:p xmlns:a="http://schemas.openxmlformats.org/drawingml/2006/main">
          <a:pPr algn="r"/>
          <a:r>
            <a:rPr lang="en-US" sz="1200" b="0" kern="1200" baseline="0">
              <a:latin typeface="Arial Nova Cond" panose="020B0506020202020204" pitchFamily="34" charset="0"/>
            </a:rPr>
            <a:t>ORGANIC WET WASTE FEED</a:t>
          </a:r>
          <a:endParaRPr lang="en-US" sz="1200" b="0" kern="1200">
            <a:latin typeface="Arial Nova Cond" panose="020B0506020202020204" pitchFamily="34" charset="0"/>
          </a:endParaRPr>
        </a:p>
      </cdr:txBody>
    </cdr:sp>
  </cdr:relSizeAnchor>
</c:userShapes>
</file>

<file path=xl/drawings/drawing39.xml><?xml version="1.0" encoding="utf-8"?>
<c:userShapes xmlns:c="http://schemas.openxmlformats.org/drawingml/2006/chart">
  <cdr:relSizeAnchor xmlns:cdr="http://schemas.openxmlformats.org/drawingml/2006/chartDrawing">
    <cdr:from>
      <cdr:x>0.61849</cdr:x>
      <cdr:y>0.01426</cdr:y>
    </cdr:from>
    <cdr:to>
      <cdr:x>0.90598</cdr:x>
      <cdr:y>0.11797</cdr:y>
    </cdr:to>
    <cdr:sp macro="" textlink="">
      <cdr:nvSpPr>
        <cdr:cNvPr id="2" name="TextBox 1">
          <a:extLst xmlns:a="http://schemas.openxmlformats.org/drawingml/2006/main">
            <a:ext uri="{FF2B5EF4-FFF2-40B4-BE49-F238E27FC236}">
              <a16:creationId xmlns:a16="http://schemas.microsoft.com/office/drawing/2014/main" id="{64B8559F-8FE7-273C-599B-6556FCC5CF25}"/>
            </a:ext>
          </a:extLst>
        </cdr:cNvPr>
        <cdr:cNvSpPr txBox="1"/>
      </cdr:nvSpPr>
      <cdr:spPr>
        <a:xfrm xmlns:a="http://schemas.openxmlformats.org/drawingml/2006/main">
          <a:off x="4603750" y="69850"/>
          <a:ext cx="2139950" cy="5080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400" b="1" kern="1200">
              <a:latin typeface="Arial Nova Cond" panose="020B0506020202020204" pitchFamily="34" charset="0"/>
            </a:rPr>
            <a:t>1.45</a:t>
          </a:r>
          <a:r>
            <a:rPr lang="en-US" sz="1400" b="1" kern="1200" baseline="0">
              <a:latin typeface="Arial Nova Cond" panose="020B0506020202020204" pitchFamily="34" charset="0"/>
            </a:rPr>
            <a:t> M TONNES-YR</a:t>
          </a:r>
          <a:r>
            <a:rPr lang="en-US" sz="1400" b="1" kern="1200" baseline="30000">
              <a:latin typeface="Arial Nova Cond" panose="020B0506020202020204" pitchFamily="34" charset="0"/>
            </a:rPr>
            <a:t>-1</a:t>
          </a:r>
        </a:p>
        <a:p xmlns:a="http://schemas.openxmlformats.org/drawingml/2006/main">
          <a:pPr algn="r"/>
          <a:r>
            <a:rPr lang="en-US" sz="1200" b="0" kern="1200" baseline="0">
              <a:latin typeface="Arial Nova Cond" panose="020B0506020202020204" pitchFamily="34" charset="0"/>
            </a:rPr>
            <a:t>ORGANIC WET WASTE FEED</a:t>
          </a:r>
          <a:endParaRPr lang="en-US" sz="1200" b="0" kern="1200">
            <a:latin typeface="Arial Nova Cond" panose="020B0506020202020204" pitchFamily="34" charset="0"/>
          </a:endParaRPr>
        </a:p>
      </cdr:txBody>
    </cdr:sp>
  </cdr:relSizeAnchor>
</c:userShapes>
</file>

<file path=xl/drawings/drawing40.xml><?xml version="1.0" encoding="utf-8"?>
<xdr:wsDr xmlns:xdr="http://schemas.openxmlformats.org/drawingml/2006/spreadsheetDrawing" xmlns:a="http://schemas.openxmlformats.org/drawingml/2006/main">
  <xdr:twoCellAnchor>
    <xdr:from>
      <xdr:col>35</xdr:col>
      <xdr:colOff>121328</xdr:colOff>
      <xdr:row>101</xdr:row>
      <xdr:rowOff>185281</xdr:rowOff>
    </xdr:from>
    <xdr:to>
      <xdr:col>50</xdr:col>
      <xdr:colOff>27214</xdr:colOff>
      <xdr:row>138</xdr:row>
      <xdr:rowOff>67128</xdr:rowOff>
    </xdr:to>
    <xdr:graphicFrame macro="">
      <xdr:nvGraphicFramePr>
        <xdr:cNvPr id="5" name="Chart 4">
          <a:extLst>
            <a:ext uri="{FF2B5EF4-FFF2-40B4-BE49-F238E27FC236}">
              <a16:creationId xmlns:a16="http://schemas.microsoft.com/office/drawing/2014/main" id="{57118B83-F1DC-44CD-AFA4-57681E7BA7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196510</xdr:colOff>
      <xdr:row>152</xdr:row>
      <xdr:rowOff>27031</xdr:rowOff>
    </xdr:from>
    <xdr:to>
      <xdr:col>13</xdr:col>
      <xdr:colOff>1092591</xdr:colOff>
      <xdr:row>187</xdr:row>
      <xdr:rowOff>73059</xdr:rowOff>
    </xdr:to>
    <xdr:graphicFrame macro="">
      <xdr:nvGraphicFramePr>
        <xdr:cNvPr id="8" name="Chart 7">
          <a:extLst>
            <a:ext uri="{FF2B5EF4-FFF2-40B4-BE49-F238E27FC236}">
              <a16:creationId xmlns:a16="http://schemas.microsoft.com/office/drawing/2014/main" id="{4244B9DF-983F-4E70-AB9F-EBE2F728C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663222</xdr:colOff>
      <xdr:row>135</xdr:row>
      <xdr:rowOff>21167</xdr:rowOff>
    </xdr:from>
    <xdr:to>
      <xdr:col>21</xdr:col>
      <xdr:colOff>904384</xdr:colOff>
      <xdr:row>170</xdr:row>
      <xdr:rowOff>35669</xdr:rowOff>
    </xdr:to>
    <xdr:pic>
      <xdr:nvPicPr>
        <xdr:cNvPr id="7" name="Picture 6">
          <a:extLst>
            <a:ext uri="{FF2B5EF4-FFF2-40B4-BE49-F238E27FC236}">
              <a16:creationId xmlns:a16="http://schemas.microsoft.com/office/drawing/2014/main" id="{6607A717-7183-DCEB-0FAC-BA342A85B234}"/>
            </a:ext>
          </a:extLst>
        </xdr:cNvPr>
        <xdr:cNvPicPr>
          <a:picLocks noChangeAspect="1"/>
        </xdr:cNvPicPr>
      </xdr:nvPicPr>
      <xdr:blipFill>
        <a:blip xmlns:r="http://schemas.openxmlformats.org/officeDocument/2006/relationships" r:embed="rId3"/>
        <a:stretch>
          <a:fillRect/>
        </a:stretch>
      </xdr:blipFill>
      <xdr:spPr>
        <a:xfrm>
          <a:off x="21082000" y="25181278"/>
          <a:ext cx="8827773" cy="6456224"/>
        </a:xfrm>
        <a:prstGeom prst="rect">
          <a:avLst/>
        </a:prstGeom>
      </xdr:spPr>
    </xdr:pic>
    <xdr:clientData/>
  </xdr:twoCellAnchor>
  <xdr:twoCellAnchor editAs="oneCell">
    <xdr:from>
      <xdr:col>14</xdr:col>
      <xdr:colOff>673485</xdr:colOff>
      <xdr:row>171</xdr:row>
      <xdr:rowOff>38485</xdr:rowOff>
    </xdr:from>
    <xdr:to>
      <xdr:col>21</xdr:col>
      <xdr:colOff>922662</xdr:colOff>
      <xdr:row>206</xdr:row>
      <xdr:rowOff>61642</xdr:rowOff>
    </xdr:to>
    <xdr:pic>
      <xdr:nvPicPr>
        <xdr:cNvPr id="13" name="Picture 12">
          <a:extLst>
            <a:ext uri="{FF2B5EF4-FFF2-40B4-BE49-F238E27FC236}">
              <a16:creationId xmlns:a16="http://schemas.microsoft.com/office/drawing/2014/main" id="{0593CC0F-AB22-8171-3118-29334945D361}"/>
            </a:ext>
          </a:extLst>
        </xdr:cNvPr>
        <xdr:cNvPicPr>
          <a:picLocks noChangeAspect="1"/>
        </xdr:cNvPicPr>
      </xdr:nvPicPr>
      <xdr:blipFill>
        <a:blip xmlns:r="http://schemas.openxmlformats.org/officeDocument/2006/relationships" r:embed="rId4"/>
        <a:stretch>
          <a:fillRect/>
        </a:stretch>
      </xdr:blipFill>
      <xdr:spPr>
        <a:xfrm>
          <a:off x="21099318" y="31759621"/>
          <a:ext cx="8821677" cy="6450127"/>
        </a:xfrm>
        <a:prstGeom prst="rect">
          <a:avLst/>
        </a:prstGeom>
      </xdr:spPr>
    </xdr:pic>
    <xdr:clientData/>
  </xdr:twoCellAnchor>
  <xdr:twoCellAnchor editAs="oneCell">
    <xdr:from>
      <xdr:col>35</xdr:col>
      <xdr:colOff>134697</xdr:colOff>
      <xdr:row>139</xdr:row>
      <xdr:rowOff>134697</xdr:rowOff>
    </xdr:from>
    <xdr:to>
      <xdr:col>50</xdr:col>
      <xdr:colOff>36541</xdr:colOff>
      <xdr:row>176</xdr:row>
      <xdr:rowOff>23916</xdr:rowOff>
    </xdr:to>
    <xdr:pic>
      <xdr:nvPicPr>
        <xdr:cNvPr id="16" name="Picture 15">
          <a:extLst>
            <a:ext uri="{FF2B5EF4-FFF2-40B4-BE49-F238E27FC236}">
              <a16:creationId xmlns:a16="http://schemas.microsoft.com/office/drawing/2014/main" id="{23E2DAD4-FA50-F887-B501-23E550F8FC33}"/>
            </a:ext>
          </a:extLst>
        </xdr:cNvPr>
        <xdr:cNvPicPr>
          <a:picLocks noChangeAspect="1"/>
        </xdr:cNvPicPr>
      </xdr:nvPicPr>
      <xdr:blipFill>
        <a:blip xmlns:r="http://schemas.openxmlformats.org/officeDocument/2006/relationships" r:embed="rId5"/>
        <a:stretch>
          <a:fillRect/>
        </a:stretch>
      </xdr:blipFill>
      <xdr:spPr>
        <a:xfrm>
          <a:off x="45450606" y="25977273"/>
          <a:ext cx="10071465" cy="6681795"/>
        </a:xfrm>
        <a:prstGeom prst="rect">
          <a:avLst/>
        </a:prstGeom>
      </xdr:spPr>
    </xdr:pic>
    <xdr:clientData/>
  </xdr:twoCellAnchor>
</xdr:wsDr>
</file>

<file path=xl/drawings/drawing41.xml><?xml version="1.0" encoding="utf-8"?>
<c:userShapes xmlns:c="http://schemas.openxmlformats.org/drawingml/2006/chart">
  <cdr:relSizeAnchor xmlns:cdr="http://schemas.openxmlformats.org/drawingml/2006/chartDrawing">
    <cdr:from>
      <cdr:x>0</cdr:x>
      <cdr:y>0</cdr:y>
    </cdr:from>
    <cdr:to>
      <cdr:x>0.54641</cdr:x>
      <cdr:y>0.13525</cdr:y>
    </cdr:to>
    <cdr:sp macro="" textlink="">
      <cdr:nvSpPr>
        <cdr:cNvPr id="2" name="TextBox 1">
          <a:extLst xmlns:a="http://schemas.openxmlformats.org/drawingml/2006/main">
            <a:ext uri="{FF2B5EF4-FFF2-40B4-BE49-F238E27FC236}">
              <a16:creationId xmlns:a16="http://schemas.microsoft.com/office/drawing/2014/main" id="{B2507870-7DEF-5C5B-E7F9-9B33FD1EB5A0}"/>
            </a:ext>
          </a:extLst>
        </cdr:cNvPr>
        <cdr:cNvSpPr txBox="1"/>
      </cdr:nvSpPr>
      <cdr:spPr>
        <a:xfrm xmlns:a="http://schemas.openxmlformats.org/drawingml/2006/main">
          <a:off x="0" y="0"/>
          <a:ext cx="4819349" cy="8728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2000" b="0" kern="1200"/>
            <a:t>B| </a:t>
          </a:r>
          <a:r>
            <a:rPr lang="en-US" sz="2000" b="1" kern="1200"/>
            <a:t>JET FUEL</a:t>
          </a:r>
          <a:r>
            <a:rPr lang="en-US" sz="2000" b="1" kern="1200" baseline="0"/>
            <a:t> MINIMUM SELLING PRICE AS NET PRESENT VALUE</a:t>
          </a:r>
          <a:endParaRPr lang="en-US" sz="2000" b="1" kern="1200"/>
        </a:p>
      </cdr:txBody>
    </cdr:sp>
  </cdr:relSizeAnchor>
  <cdr:relSizeAnchor xmlns:cdr="http://schemas.openxmlformats.org/drawingml/2006/chartDrawing">
    <cdr:from>
      <cdr:x>0.64151</cdr:x>
      <cdr:y>0</cdr:y>
    </cdr:from>
    <cdr:to>
      <cdr:x>1</cdr:x>
      <cdr:y>0.10224</cdr:y>
    </cdr:to>
    <cdr:sp macro="" textlink="">
      <cdr:nvSpPr>
        <cdr:cNvPr id="3" name="TextBox 1">
          <a:extLst xmlns:a="http://schemas.openxmlformats.org/drawingml/2006/main">
            <a:ext uri="{FF2B5EF4-FFF2-40B4-BE49-F238E27FC236}">
              <a16:creationId xmlns:a16="http://schemas.microsoft.com/office/drawing/2014/main" id="{90BF3E6A-9706-09AB-7802-137668BBF5B4}"/>
            </a:ext>
          </a:extLst>
        </cdr:cNvPr>
        <cdr:cNvSpPr txBox="1"/>
      </cdr:nvSpPr>
      <cdr:spPr>
        <a:xfrm xmlns:a="http://schemas.openxmlformats.org/drawingml/2006/main">
          <a:off x="5658151" y="0"/>
          <a:ext cx="3161897" cy="6597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2000" b="1" kern="1200">
              <a:latin typeface="Arial Nova Cond" panose="020B0506020202020204" pitchFamily="34" charset="0"/>
            </a:rPr>
            <a:t>1.45</a:t>
          </a:r>
          <a:r>
            <a:rPr lang="en-US" sz="2000" b="1" kern="1200" baseline="0">
              <a:latin typeface="Arial Nova Cond" panose="020B0506020202020204" pitchFamily="34" charset="0"/>
            </a:rPr>
            <a:t> M</a:t>
          </a:r>
          <a:r>
            <a:rPr lang="en-US" sz="2000" b="1" kern="1200">
              <a:latin typeface="Arial Nova Cond" panose="020B0506020202020204" pitchFamily="34" charset="0"/>
            </a:rPr>
            <a:t> TONNE-YR</a:t>
          </a:r>
          <a:r>
            <a:rPr lang="en-US" sz="2000" b="1" kern="1200" baseline="30000">
              <a:latin typeface="Arial Nova Cond" panose="020B0506020202020204" pitchFamily="34" charset="0"/>
            </a:rPr>
            <a:t>-1</a:t>
          </a:r>
          <a:r>
            <a:rPr lang="en-US" sz="2000" b="1" kern="1200" baseline="0">
              <a:latin typeface="Arial Nova Cond" panose="020B0506020202020204" pitchFamily="34" charset="0"/>
            </a:rPr>
            <a:t> </a:t>
          </a:r>
        </a:p>
        <a:p xmlns:a="http://schemas.openxmlformats.org/drawingml/2006/main">
          <a:pPr algn="r"/>
          <a:r>
            <a:rPr lang="en-US" sz="1600" b="0" kern="1200" baseline="0">
              <a:latin typeface="Arial Nova Cond" panose="020B0506020202020204" pitchFamily="34" charset="0"/>
            </a:rPr>
            <a:t>ORGANIC WET WASTE FEED</a:t>
          </a:r>
          <a:endParaRPr lang="en-US" sz="1600" b="0" kern="1200">
            <a:latin typeface="Arial Nova Cond" panose="020B0506020202020204" pitchFamily="34" charset="0"/>
          </a:endParaRPr>
        </a:p>
      </cdr:txBody>
    </cdr:sp>
  </cdr:relSizeAnchor>
  <cdr:relSizeAnchor xmlns:cdr="http://schemas.openxmlformats.org/drawingml/2006/chartDrawing">
    <cdr:from>
      <cdr:x>0.30996</cdr:x>
      <cdr:y>0.67026</cdr:y>
    </cdr:from>
    <cdr:to>
      <cdr:x>0.43589</cdr:x>
      <cdr:y>0.76738</cdr:y>
    </cdr:to>
    <cdr:sp macro="" textlink="">
      <cdr:nvSpPr>
        <cdr:cNvPr id="5" name="TextBox 1">
          <a:extLst xmlns:a="http://schemas.openxmlformats.org/drawingml/2006/main">
            <a:ext uri="{FF2B5EF4-FFF2-40B4-BE49-F238E27FC236}">
              <a16:creationId xmlns:a16="http://schemas.microsoft.com/office/drawing/2014/main" id="{C214FE23-2AC1-C78F-E427-2F2A9D24703B}"/>
            </a:ext>
          </a:extLst>
        </cdr:cNvPr>
        <cdr:cNvSpPr txBox="1"/>
      </cdr:nvSpPr>
      <cdr:spPr>
        <a:xfrm xmlns:a="http://schemas.openxmlformats.org/drawingml/2006/main">
          <a:off x="2735118" y="4351482"/>
          <a:ext cx="1111119" cy="630558"/>
        </a:xfrm>
        <a:prstGeom xmlns:a="http://schemas.openxmlformats.org/drawingml/2006/main" prst="rect">
          <a:avLst/>
        </a:prstGeom>
        <a:solidFill xmlns:a="http://schemas.openxmlformats.org/drawingml/2006/main">
          <a:schemeClr val="bg1"/>
        </a:solidFill>
        <a:ln xmlns:a="http://schemas.openxmlformats.org/drawingml/2006/main" w="19050">
          <a:solidFill>
            <a:sysClr val="windowText" lastClr="000000"/>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1" kern="1200">
              <a:latin typeface="Arial Nova Cond" panose="020B0506020202020204" pitchFamily="34" charset="0"/>
            </a:rPr>
            <a:t>BASE</a:t>
          </a:r>
          <a:r>
            <a:rPr lang="en-US" sz="1200" b="1" kern="1200" baseline="0">
              <a:latin typeface="Arial Nova Cond" panose="020B0506020202020204" pitchFamily="34" charset="0"/>
            </a:rPr>
            <a:t> </a:t>
          </a:r>
        </a:p>
        <a:p xmlns:a="http://schemas.openxmlformats.org/drawingml/2006/main">
          <a:pPr algn="ctr"/>
          <a:r>
            <a:rPr lang="en-US" sz="1200" b="1" kern="1200" baseline="0">
              <a:latin typeface="Arial Nova Cond" panose="020B0506020202020204" pitchFamily="34" charset="0"/>
            </a:rPr>
            <a:t>CO-PRODUCT PRICE</a:t>
          </a:r>
          <a:endParaRPr lang="en-US" sz="1200" b="1" kern="1200">
            <a:latin typeface="Arial Nova Cond" panose="020B0506020202020204" pitchFamily="34" charset="0"/>
          </a:endParaRPr>
        </a:p>
      </cdr:txBody>
    </cdr:sp>
  </cdr:relSizeAnchor>
  <cdr:relSizeAnchor xmlns:cdr="http://schemas.openxmlformats.org/drawingml/2006/chartDrawing">
    <cdr:from>
      <cdr:x>0.48224</cdr:x>
      <cdr:y>0.67026</cdr:y>
    </cdr:from>
    <cdr:to>
      <cdr:x>0.60816</cdr:x>
      <cdr:y>0.76738</cdr:y>
    </cdr:to>
    <cdr:sp macro="" textlink="">
      <cdr:nvSpPr>
        <cdr:cNvPr id="6" name="TextBox 1">
          <a:extLst xmlns:a="http://schemas.openxmlformats.org/drawingml/2006/main">
            <a:ext uri="{FF2B5EF4-FFF2-40B4-BE49-F238E27FC236}">
              <a16:creationId xmlns:a16="http://schemas.microsoft.com/office/drawing/2014/main" id="{6E693CF1-91C9-D040-0C67-3357337DE7E1}"/>
            </a:ext>
          </a:extLst>
        </cdr:cNvPr>
        <cdr:cNvSpPr txBox="1"/>
      </cdr:nvSpPr>
      <cdr:spPr>
        <a:xfrm xmlns:a="http://schemas.openxmlformats.org/drawingml/2006/main">
          <a:off x="4255269" y="4351481"/>
          <a:ext cx="1111119" cy="630558"/>
        </a:xfrm>
        <a:prstGeom xmlns:a="http://schemas.openxmlformats.org/drawingml/2006/main" prst="rect">
          <a:avLst/>
        </a:prstGeom>
        <a:solidFill xmlns:a="http://schemas.openxmlformats.org/drawingml/2006/main">
          <a:schemeClr val="bg1"/>
        </a:solidFill>
        <a:ln xmlns:a="http://schemas.openxmlformats.org/drawingml/2006/main" w="19050">
          <a:solidFill>
            <a:sysClr val="windowText" lastClr="000000"/>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1" kern="1200">
              <a:latin typeface="Arial Nova Cond" panose="020B0506020202020204" pitchFamily="34" charset="0"/>
            </a:rPr>
            <a:t>HIGH</a:t>
          </a:r>
          <a:endParaRPr lang="en-US" sz="1200" b="1" kern="1200" baseline="0">
            <a:latin typeface="Arial Nova Cond" panose="020B0506020202020204" pitchFamily="34" charset="0"/>
          </a:endParaRPr>
        </a:p>
        <a:p xmlns:a="http://schemas.openxmlformats.org/drawingml/2006/main">
          <a:pPr algn="ctr"/>
          <a:r>
            <a:rPr lang="en-US" sz="1200" b="1" kern="1200" baseline="0">
              <a:latin typeface="Arial Nova Cond" panose="020B0506020202020204" pitchFamily="34" charset="0"/>
            </a:rPr>
            <a:t>CO-PRODUCT PRICE</a:t>
          </a:r>
          <a:endParaRPr lang="en-US" sz="1200" b="1" kern="1200">
            <a:latin typeface="Arial Nova Cond" panose="020B0506020202020204" pitchFamily="34" charset="0"/>
          </a:endParaRPr>
        </a:p>
      </cdr:txBody>
    </cdr:sp>
  </cdr:relSizeAnchor>
  <cdr:relSizeAnchor xmlns:cdr="http://schemas.openxmlformats.org/drawingml/2006/chartDrawing">
    <cdr:from>
      <cdr:x>0.65343</cdr:x>
      <cdr:y>0.67026</cdr:y>
    </cdr:from>
    <cdr:to>
      <cdr:x>0.77935</cdr:x>
      <cdr:y>0.76738</cdr:y>
    </cdr:to>
    <cdr:sp macro="" textlink="">
      <cdr:nvSpPr>
        <cdr:cNvPr id="7" name="TextBox 1">
          <a:extLst xmlns:a="http://schemas.openxmlformats.org/drawingml/2006/main">
            <a:ext uri="{FF2B5EF4-FFF2-40B4-BE49-F238E27FC236}">
              <a16:creationId xmlns:a16="http://schemas.microsoft.com/office/drawing/2014/main" id="{F05C38EA-6841-33A5-3FEB-C17968A95CA6}"/>
            </a:ext>
          </a:extLst>
        </cdr:cNvPr>
        <cdr:cNvSpPr txBox="1"/>
      </cdr:nvSpPr>
      <cdr:spPr>
        <a:xfrm xmlns:a="http://schemas.openxmlformats.org/drawingml/2006/main">
          <a:off x="5765801" y="4351481"/>
          <a:ext cx="1111119" cy="630558"/>
        </a:xfrm>
        <a:prstGeom xmlns:a="http://schemas.openxmlformats.org/drawingml/2006/main" prst="rect">
          <a:avLst/>
        </a:prstGeom>
        <a:solidFill xmlns:a="http://schemas.openxmlformats.org/drawingml/2006/main">
          <a:schemeClr val="bg1"/>
        </a:solidFill>
        <a:ln xmlns:a="http://schemas.openxmlformats.org/drawingml/2006/main" w="19050">
          <a:solidFill>
            <a:sysClr val="windowText" lastClr="000000"/>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1" kern="1200">
              <a:latin typeface="Arial Nova Cond" panose="020B0506020202020204" pitchFamily="34" charset="0"/>
            </a:rPr>
            <a:t>LOW</a:t>
          </a:r>
          <a:r>
            <a:rPr lang="en-US" sz="1200" b="1" kern="1200" baseline="0">
              <a:latin typeface="Arial Nova Cond" panose="020B0506020202020204" pitchFamily="34" charset="0"/>
            </a:rPr>
            <a:t> </a:t>
          </a:r>
        </a:p>
        <a:p xmlns:a="http://schemas.openxmlformats.org/drawingml/2006/main">
          <a:pPr algn="ctr"/>
          <a:r>
            <a:rPr lang="en-US" sz="1200" b="1" kern="1200" baseline="0">
              <a:latin typeface="Arial Nova Cond" panose="020B0506020202020204" pitchFamily="34" charset="0"/>
            </a:rPr>
            <a:t>CO-PRODUCT PRICE</a:t>
          </a:r>
          <a:endParaRPr lang="en-US" sz="1200" b="1" kern="1200">
            <a:latin typeface="Arial Nova Cond" panose="020B0506020202020204" pitchFamily="34" charset="0"/>
          </a:endParaRPr>
        </a:p>
      </cdr:txBody>
    </cdr:sp>
  </cdr:relSizeAnchor>
</c:userShapes>
</file>

<file path=xl/drawings/drawing42.xml><?xml version="1.0" encoding="utf-8"?>
<xdr:wsDr xmlns:xdr="http://schemas.openxmlformats.org/drawingml/2006/spreadsheetDrawing" xmlns:a="http://schemas.openxmlformats.org/drawingml/2006/main">
  <xdr:twoCellAnchor>
    <xdr:from>
      <xdr:col>35</xdr:col>
      <xdr:colOff>145519</xdr:colOff>
      <xdr:row>102</xdr:row>
      <xdr:rowOff>133877</xdr:rowOff>
    </xdr:from>
    <xdr:to>
      <xdr:col>48</xdr:col>
      <xdr:colOff>453571</xdr:colOff>
      <xdr:row>135</xdr:row>
      <xdr:rowOff>72572</xdr:rowOff>
    </xdr:to>
    <xdr:graphicFrame macro="">
      <xdr:nvGraphicFramePr>
        <xdr:cNvPr id="5" name="Chart 4">
          <a:extLst>
            <a:ext uri="{FF2B5EF4-FFF2-40B4-BE49-F238E27FC236}">
              <a16:creationId xmlns:a16="http://schemas.microsoft.com/office/drawing/2014/main" id="{D05B5C80-3615-4E2A-BB29-B20A20627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560517</xdr:colOff>
      <xdr:row>145</xdr:row>
      <xdr:rowOff>80641</xdr:rowOff>
    </xdr:from>
    <xdr:to>
      <xdr:col>15</xdr:col>
      <xdr:colOff>462727</xdr:colOff>
      <xdr:row>182</xdr:row>
      <xdr:rowOff>152078</xdr:rowOff>
    </xdr:to>
    <xdr:graphicFrame macro="">
      <xdr:nvGraphicFramePr>
        <xdr:cNvPr id="6" name="Chart 5">
          <a:extLst>
            <a:ext uri="{FF2B5EF4-FFF2-40B4-BE49-F238E27FC236}">
              <a16:creationId xmlns:a16="http://schemas.microsoft.com/office/drawing/2014/main" id="{4F32C371-C600-4EB6-BF80-78DAE4BA0F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1230312</xdr:colOff>
      <xdr:row>175</xdr:row>
      <xdr:rowOff>95250</xdr:rowOff>
    </xdr:from>
    <xdr:to>
      <xdr:col>23</xdr:col>
      <xdr:colOff>215585</xdr:colOff>
      <xdr:row>212</xdr:row>
      <xdr:rowOff>159344</xdr:rowOff>
    </xdr:to>
    <xdr:pic>
      <xdr:nvPicPr>
        <xdr:cNvPr id="7" name="Picture 6">
          <a:extLst>
            <a:ext uri="{FF2B5EF4-FFF2-40B4-BE49-F238E27FC236}">
              <a16:creationId xmlns:a16="http://schemas.microsoft.com/office/drawing/2014/main" id="{D9455B0F-85FD-56BD-826A-6BBF98056FE2}"/>
            </a:ext>
          </a:extLst>
        </xdr:cNvPr>
        <xdr:cNvPicPr>
          <a:picLocks noChangeAspect="1"/>
        </xdr:cNvPicPr>
      </xdr:nvPicPr>
      <xdr:blipFill>
        <a:blip xmlns:r="http://schemas.openxmlformats.org/officeDocument/2006/relationships" r:embed="rId3"/>
        <a:stretch>
          <a:fillRect/>
        </a:stretch>
      </xdr:blipFill>
      <xdr:spPr>
        <a:xfrm>
          <a:off x="22852062" y="32472313"/>
          <a:ext cx="8827773" cy="6858594"/>
        </a:xfrm>
        <a:prstGeom prst="rect">
          <a:avLst/>
        </a:prstGeom>
      </xdr:spPr>
    </xdr:pic>
    <xdr:clientData/>
  </xdr:twoCellAnchor>
  <xdr:twoCellAnchor editAs="oneCell">
    <xdr:from>
      <xdr:col>15</xdr:col>
      <xdr:colOff>1222375</xdr:colOff>
      <xdr:row>137</xdr:row>
      <xdr:rowOff>31750</xdr:rowOff>
    </xdr:from>
    <xdr:to>
      <xdr:col>23</xdr:col>
      <xdr:colOff>207648</xdr:colOff>
      <xdr:row>174</xdr:row>
      <xdr:rowOff>111719</xdr:rowOff>
    </xdr:to>
    <xdr:pic>
      <xdr:nvPicPr>
        <xdr:cNvPr id="8" name="Picture 7">
          <a:extLst>
            <a:ext uri="{FF2B5EF4-FFF2-40B4-BE49-F238E27FC236}">
              <a16:creationId xmlns:a16="http://schemas.microsoft.com/office/drawing/2014/main" id="{A171D26B-FDB9-F02A-16B0-2BFF63D9E8D3}"/>
            </a:ext>
          </a:extLst>
        </xdr:cNvPr>
        <xdr:cNvPicPr>
          <a:picLocks noChangeAspect="1"/>
        </xdr:cNvPicPr>
      </xdr:nvPicPr>
      <xdr:blipFill>
        <a:blip xmlns:r="http://schemas.openxmlformats.org/officeDocument/2006/relationships" r:embed="rId4"/>
        <a:stretch>
          <a:fillRect/>
        </a:stretch>
      </xdr:blipFill>
      <xdr:spPr>
        <a:xfrm>
          <a:off x="22844125" y="25447625"/>
          <a:ext cx="8827773" cy="6858594"/>
        </a:xfrm>
        <a:prstGeom prst="rect">
          <a:avLst/>
        </a:prstGeom>
      </xdr:spPr>
    </xdr:pic>
    <xdr:clientData/>
  </xdr:twoCellAnchor>
  <xdr:twoCellAnchor editAs="oneCell">
    <xdr:from>
      <xdr:col>35</xdr:col>
      <xdr:colOff>111125</xdr:colOff>
      <xdr:row>136</xdr:row>
      <xdr:rowOff>47624</xdr:rowOff>
    </xdr:from>
    <xdr:to>
      <xdr:col>48</xdr:col>
      <xdr:colOff>415717</xdr:colOff>
      <xdr:row>168</xdr:row>
      <xdr:rowOff>174699</xdr:rowOff>
    </xdr:to>
    <xdr:pic>
      <xdr:nvPicPr>
        <xdr:cNvPr id="9" name="Picture 8">
          <a:extLst>
            <a:ext uri="{FF2B5EF4-FFF2-40B4-BE49-F238E27FC236}">
              <a16:creationId xmlns:a16="http://schemas.microsoft.com/office/drawing/2014/main" id="{D4E42462-4928-51D5-EC90-552D95925D5D}"/>
            </a:ext>
          </a:extLst>
        </xdr:cNvPr>
        <xdr:cNvPicPr>
          <a:picLocks noChangeAspect="1"/>
        </xdr:cNvPicPr>
      </xdr:nvPicPr>
      <xdr:blipFill>
        <a:blip xmlns:r="http://schemas.openxmlformats.org/officeDocument/2006/relationships" r:embed="rId5"/>
        <a:stretch>
          <a:fillRect/>
        </a:stretch>
      </xdr:blipFill>
      <xdr:spPr>
        <a:xfrm>
          <a:off x="45434250" y="25280937"/>
          <a:ext cx="9321592" cy="5992887"/>
        </a:xfrm>
        <a:prstGeom prst="rect">
          <a:avLst/>
        </a:prstGeom>
      </xdr:spPr>
    </xdr:pic>
    <xdr:clientData/>
  </xdr:twoCellAnchor>
</xdr:wsDr>
</file>

<file path=xl/drawings/drawing43.xml><?xml version="1.0" encoding="utf-8"?>
<c:userShapes xmlns:c="http://schemas.openxmlformats.org/drawingml/2006/chart">
  <cdr:relSizeAnchor xmlns:cdr="http://schemas.openxmlformats.org/drawingml/2006/chartDrawing">
    <cdr:from>
      <cdr:x>0</cdr:x>
      <cdr:y>0</cdr:y>
    </cdr:from>
    <cdr:to>
      <cdr:x>0.61423</cdr:x>
      <cdr:y>0.1137</cdr:y>
    </cdr:to>
    <cdr:sp macro="" textlink="">
      <cdr:nvSpPr>
        <cdr:cNvPr id="2" name="TextBox 1">
          <a:extLst xmlns:a="http://schemas.openxmlformats.org/drawingml/2006/main">
            <a:ext uri="{FF2B5EF4-FFF2-40B4-BE49-F238E27FC236}">
              <a16:creationId xmlns:a16="http://schemas.microsoft.com/office/drawing/2014/main" id="{5AB24C13-BD37-8D97-F75E-33B44F8E10A8}"/>
            </a:ext>
          </a:extLst>
        </cdr:cNvPr>
        <cdr:cNvSpPr txBox="1"/>
      </cdr:nvSpPr>
      <cdr:spPr>
        <a:xfrm xmlns:a="http://schemas.openxmlformats.org/drawingml/2006/main">
          <a:off x="0" y="0"/>
          <a:ext cx="5416418" cy="7302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2000" b="0" kern="1200">
              <a:latin typeface="Arial Nova Cond" panose="020B0506020202020204" pitchFamily="34" charset="0"/>
            </a:rPr>
            <a:t>C |</a:t>
          </a:r>
          <a:r>
            <a:rPr lang="en-US" sz="2000" b="0" kern="1200" baseline="0">
              <a:latin typeface="Arial Nova Cond" panose="020B0506020202020204" pitchFamily="34" charset="0"/>
            </a:rPr>
            <a:t> </a:t>
          </a:r>
          <a:r>
            <a:rPr lang="en-US" sz="2000" b="1" kern="1200">
              <a:latin typeface="Arial Nova Cond" panose="020B0506020202020204" pitchFamily="34" charset="0"/>
            </a:rPr>
            <a:t>PENTYL CAPROATE MINIMUM</a:t>
          </a:r>
          <a:r>
            <a:rPr lang="en-US" sz="2000" b="1" kern="1200" baseline="0">
              <a:latin typeface="Arial Nova Cond" panose="020B0506020202020204" pitchFamily="34" charset="0"/>
            </a:rPr>
            <a:t> SELLING PRICE     AS NET PRESENT VALUE</a:t>
          </a:r>
          <a:endParaRPr lang="en-US" sz="2000" b="1" kern="1200">
            <a:latin typeface="Arial Nova Cond" panose="020B0506020202020204" pitchFamily="34" charset="0"/>
          </a:endParaRPr>
        </a:p>
      </cdr:txBody>
    </cdr:sp>
  </cdr:relSizeAnchor>
  <cdr:relSizeAnchor xmlns:cdr="http://schemas.openxmlformats.org/drawingml/2006/chartDrawing">
    <cdr:from>
      <cdr:x>0.61783</cdr:x>
      <cdr:y>0</cdr:y>
    </cdr:from>
    <cdr:to>
      <cdr:x>0.9721</cdr:x>
      <cdr:y>0.10771</cdr:y>
    </cdr:to>
    <cdr:sp macro="" textlink="">
      <cdr:nvSpPr>
        <cdr:cNvPr id="3" name="TextBox 1">
          <a:extLst xmlns:a="http://schemas.openxmlformats.org/drawingml/2006/main">
            <a:ext uri="{FF2B5EF4-FFF2-40B4-BE49-F238E27FC236}">
              <a16:creationId xmlns:a16="http://schemas.microsoft.com/office/drawing/2014/main" id="{4D1EA9AC-6E53-D691-0CC2-08915E8794C7}"/>
            </a:ext>
          </a:extLst>
        </cdr:cNvPr>
        <cdr:cNvSpPr txBox="1"/>
      </cdr:nvSpPr>
      <cdr:spPr>
        <a:xfrm xmlns:a="http://schemas.openxmlformats.org/drawingml/2006/main">
          <a:off x="5448168" y="0"/>
          <a:ext cx="3124052" cy="69183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2000" b="1" kern="1200">
              <a:latin typeface="Arial Nova Cond" panose="020B0506020202020204" pitchFamily="34" charset="0"/>
            </a:rPr>
            <a:t>483,000 TONNES-YR</a:t>
          </a:r>
          <a:r>
            <a:rPr lang="en-US" sz="2000" b="1" kern="1200" baseline="30000">
              <a:latin typeface="Arial Nova Cond" panose="020B0506020202020204" pitchFamily="34" charset="0"/>
            </a:rPr>
            <a:t>-1</a:t>
          </a:r>
        </a:p>
        <a:p xmlns:a="http://schemas.openxmlformats.org/drawingml/2006/main">
          <a:pPr algn="r"/>
          <a:r>
            <a:rPr lang="en-US" sz="1600" b="0" kern="1200">
              <a:latin typeface="Arial Nova Cond" panose="020B0506020202020204" pitchFamily="34" charset="0"/>
            </a:rPr>
            <a:t>ORGANIC WET WASTE FEED</a:t>
          </a:r>
        </a:p>
      </cdr:txBody>
    </cdr:sp>
  </cdr:relSizeAnchor>
  <cdr:relSizeAnchor xmlns:cdr="http://schemas.openxmlformats.org/drawingml/2006/chartDrawing">
    <cdr:from>
      <cdr:x>0.3098</cdr:x>
      <cdr:y>0.70301</cdr:y>
    </cdr:from>
    <cdr:to>
      <cdr:x>0.43572</cdr:x>
      <cdr:y>0.79495</cdr:y>
    </cdr:to>
    <cdr:sp macro="" textlink="">
      <cdr:nvSpPr>
        <cdr:cNvPr id="6" name="TextBox 1">
          <a:extLst xmlns:a="http://schemas.openxmlformats.org/drawingml/2006/main">
            <a:ext uri="{FF2B5EF4-FFF2-40B4-BE49-F238E27FC236}">
              <a16:creationId xmlns:a16="http://schemas.microsoft.com/office/drawing/2014/main" id="{663A2D48-A8A1-6FF3-73AC-FEE31FDDFE15}"/>
            </a:ext>
          </a:extLst>
        </cdr:cNvPr>
        <cdr:cNvSpPr txBox="1"/>
      </cdr:nvSpPr>
      <cdr:spPr>
        <a:xfrm xmlns:a="http://schemas.openxmlformats.org/drawingml/2006/main">
          <a:off x="2733675" y="4821239"/>
          <a:ext cx="1111119" cy="630558"/>
        </a:xfrm>
        <a:prstGeom xmlns:a="http://schemas.openxmlformats.org/drawingml/2006/main" prst="rect">
          <a:avLst/>
        </a:prstGeom>
        <a:solidFill xmlns:a="http://schemas.openxmlformats.org/drawingml/2006/main">
          <a:schemeClr val="bg1"/>
        </a:solidFill>
        <a:ln xmlns:a="http://schemas.openxmlformats.org/drawingml/2006/main" w="19050">
          <a:solidFill>
            <a:sysClr val="windowText" lastClr="000000"/>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1" kern="1200">
              <a:latin typeface="Arial Nova Cond" panose="020B0506020202020204" pitchFamily="34" charset="0"/>
            </a:rPr>
            <a:t>BASE</a:t>
          </a:r>
          <a:r>
            <a:rPr lang="en-US" sz="1200" b="1" kern="1200" baseline="0">
              <a:latin typeface="Arial Nova Cond" panose="020B0506020202020204" pitchFamily="34" charset="0"/>
            </a:rPr>
            <a:t> </a:t>
          </a:r>
        </a:p>
        <a:p xmlns:a="http://schemas.openxmlformats.org/drawingml/2006/main">
          <a:pPr algn="ctr"/>
          <a:r>
            <a:rPr lang="en-US" sz="1200" b="1" kern="1200" baseline="0">
              <a:latin typeface="Arial Nova Cond" panose="020B0506020202020204" pitchFamily="34" charset="0"/>
            </a:rPr>
            <a:t>CO-PRODUCT PRICE</a:t>
          </a:r>
          <a:endParaRPr lang="en-US" sz="1200" b="1" kern="1200">
            <a:latin typeface="Arial Nova Cond" panose="020B0506020202020204" pitchFamily="34" charset="0"/>
          </a:endParaRPr>
        </a:p>
      </cdr:txBody>
    </cdr:sp>
  </cdr:relSizeAnchor>
  <cdr:relSizeAnchor xmlns:cdr="http://schemas.openxmlformats.org/drawingml/2006/chartDrawing">
    <cdr:from>
      <cdr:x>0.48431</cdr:x>
      <cdr:y>0.70301</cdr:y>
    </cdr:from>
    <cdr:to>
      <cdr:x>0.61023</cdr:x>
      <cdr:y>0.79495</cdr:y>
    </cdr:to>
    <cdr:sp macro="" textlink="">
      <cdr:nvSpPr>
        <cdr:cNvPr id="7" name="TextBox 1">
          <a:extLst xmlns:a="http://schemas.openxmlformats.org/drawingml/2006/main">
            <a:ext uri="{FF2B5EF4-FFF2-40B4-BE49-F238E27FC236}">
              <a16:creationId xmlns:a16="http://schemas.microsoft.com/office/drawing/2014/main" id="{D11A154D-8761-4860-3717-1A3048378BC2}"/>
            </a:ext>
          </a:extLst>
        </cdr:cNvPr>
        <cdr:cNvSpPr txBox="1"/>
      </cdr:nvSpPr>
      <cdr:spPr>
        <a:xfrm xmlns:a="http://schemas.openxmlformats.org/drawingml/2006/main">
          <a:off x="4273550" y="4821238"/>
          <a:ext cx="1111119" cy="630558"/>
        </a:xfrm>
        <a:prstGeom xmlns:a="http://schemas.openxmlformats.org/drawingml/2006/main" prst="rect">
          <a:avLst/>
        </a:prstGeom>
        <a:solidFill xmlns:a="http://schemas.openxmlformats.org/drawingml/2006/main">
          <a:schemeClr val="bg1"/>
        </a:solidFill>
        <a:ln xmlns:a="http://schemas.openxmlformats.org/drawingml/2006/main" w="19050">
          <a:solidFill>
            <a:sysClr val="windowText" lastClr="000000"/>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1" kern="1200" baseline="0">
              <a:latin typeface="Arial Nova Cond" panose="020B0506020202020204" pitchFamily="34" charset="0"/>
            </a:rPr>
            <a:t>HIGH </a:t>
          </a:r>
        </a:p>
        <a:p xmlns:a="http://schemas.openxmlformats.org/drawingml/2006/main">
          <a:pPr algn="ctr"/>
          <a:r>
            <a:rPr lang="en-US" sz="1200" b="1" kern="1200" baseline="0">
              <a:latin typeface="Arial Nova Cond" panose="020B0506020202020204" pitchFamily="34" charset="0"/>
            </a:rPr>
            <a:t>CO-PRODUCT PRICE</a:t>
          </a:r>
          <a:endParaRPr lang="en-US" sz="1200" b="1" kern="1200">
            <a:latin typeface="Arial Nova Cond" panose="020B0506020202020204" pitchFamily="34" charset="0"/>
          </a:endParaRPr>
        </a:p>
      </cdr:txBody>
    </cdr:sp>
  </cdr:relSizeAnchor>
  <cdr:relSizeAnchor xmlns:cdr="http://schemas.openxmlformats.org/drawingml/2006/chartDrawing">
    <cdr:from>
      <cdr:x>0.64803</cdr:x>
      <cdr:y>0.70069</cdr:y>
    </cdr:from>
    <cdr:to>
      <cdr:x>0.77395</cdr:x>
      <cdr:y>0.79264</cdr:y>
    </cdr:to>
    <cdr:sp macro="" textlink="">
      <cdr:nvSpPr>
        <cdr:cNvPr id="8" name="TextBox 1">
          <a:extLst xmlns:a="http://schemas.openxmlformats.org/drawingml/2006/main">
            <a:ext uri="{FF2B5EF4-FFF2-40B4-BE49-F238E27FC236}">
              <a16:creationId xmlns:a16="http://schemas.microsoft.com/office/drawing/2014/main" id="{E25ABF70-408E-445D-1237-B8CFEEDD45E8}"/>
            </a:ext>
          </a:extLst>
        </cdr:cNvPr>
        <cdr:cNvSpPr txBox="1"/>
      </cdr:nvSpPr>
      <cdr:spPr>
        <a:xfrm xmlns:a="http://schemas.openxmlformats.org/drawingml/2006/main">
          <a:off x="5718176" y="4805362"/>
          <a:ext cx="1111119" cy="630558"/>
        </a:xfrm>
        <a:prstGeom xmlns:a="http://schemas.openxmlformats.org/drawingml/2006/main" prst="rect">
          <a:avLst/>
        </a:prstGeom>
        <a:solidFill xmlns:a="http://schemas.openxmlformats.org/drawingml/2006/main">
          <a:schemeClr val="bg1"/>
        </a:solidFill>
        <a:ln xmlns:a="http://schemas.openxmlformats.org/drawingml/2006/main" w="19050">
          <a:solidFill>
            <a:sysClr val="windowText" lastClr="000000"/>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1" kern="1200" baseline="0">
              <a:latin typeface="Arial Nova Cond" panose="020B0506020202020204" pitchFamily="34" charset="0"/>
            </a:rPr>
            <a:t>LOW </a:t>
          </a:r>
        </a:p>
        <a:p xmlns:a="http://schemas.openxmlformats.org/drawingml/2006/main">
          <a:pPr algn="ctr"/>
          <a:r>
            <a:rPr lang="en-US" sz="1200" b="1" kern="1200" baseline="0">
              <a:latin typeface="Arial Nova Cond" panose="020B0506020202020204" pitchFamily="34" charset="0"/>
            </a:rPr>
            <a:t>CO-PRODUCT PRICE</a:t>
          </a:r>
          <a:endParaRPr lang="en-US" sz="1200" b="1" kern="1200">
            <a:latin typeface="Arial Nova Cond" panose="020B0506020202020204" pitchFamily="34" charset="0"/>
          </a:endParaRPr>
        </a:p>
      </cdr:txBody>
    </cdr:sp>
  </cdr:relSizeAnchor>
</c:userShapes>
</file>

<file path=xl/drawings/drawing44.xml><?xml version="1.0" encoding="utf-8"?>
<xdr:wsDr xmlns:xdr="http://schemas.openxmlformats.org/drawingml/2006/spreadsheetDrawing" xmlns:a="http://schemas.openxmlformats.org/drawingml/2006/main">
  <xdr:twoCellAnchor>
    <xdr:from>
      <xdr:col>7</xdr:col>
      <xdr:colOff>1563234</xdr:colOff>
      <xdr:row>170</xdr:row>
      <xdr:rowOff>55108</xdr:rowOff>
    </xdr:from>
    <xdr:to>
      <xdr:col>14</xdr:col>
      <xdr:colOff>1201465</xdr:colOff>
      <xdr:row>206</xdr:row>
      <xdr:rowOff>55109</xdr:rowOff>
    </xdr:to>
    <xdr:graphicFrame macro="">
      <xdr:nvGraphicFramePr>
        <xdr:cNvPr id="6" name="Chart 5">
          <a:extLst>
            <a:ext uri="{FF2B5EF4-FFF2-40B4-BE49-F238E27FC236}">
              <a16:creationId xmlns:a16="http://schemas.microsoft.com/office/drawing/2014/main" id="{9D9B6BB0-3BD0-493A-B9F8-3D03569DD8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35</xdr:col>
      <xdr:colOff>309563</xdr:colOff>
      <xdr:row>108</xdr:row>
      <xdr:rowOff>47626</xdr:rowOff>
    </xdr:from>
    <xdr:to>
      <xdr:col>49</xdr:col>
      <xdr:colOff>6427</xdr:colOff>
      <xdr:row>141</xdr:row>
      <xdr:rowOff>2195</xdr:rowOff>
    </xdr:to>
    <xdr:graphicFrame macro="">
      <xdr:nvGraphicFramePr>
        <xdr:cNvPr id="9" name="Chart 8">
          <a:extLst>
            <a:ext uri="{FF2B5EF4-FFF2-40B4-BE49-F238E27FC236}">
              <a16:creationId xmlns:a16="http://schemas.microsoft.com/office/drawing/2014/main" id="{28E596CC-F3FE-4FC6-81AE-55FC308CCE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99786</xdr:colOff>
      <xdr:row>169</xdr:row>
      <xdr:rowOff>45358</xdr:rowOff>
    </xdr:from>
    <xdr:to>
      <xdr:col>22</xdr:col>
      <xdr:colOff>291374</xdr:colOff>
      <xdr:row>205</xdr:row>
      <xdr:rowOff>45359</xdr:rowOff>
    </xdr:to>
    <xdr:graphicFrame macro="">
      <xdr:nvGraphicFramePr>
        <xdr:cNvPr id="12" name="Chart 11">
          <a:extLst>
            <a:ext uri="{FF2B5EF4-FFF2-40B4-BE49-F238E27FC236}">
              <a16:creationId xmlns:a16="http://schemas.microsoft.com/office/drawing/2014/main" id="{B4C96CAD-C9B3-4583-92BA-C27BC0E0CB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535214</xdr:colOff>
      <xdr:row>169</xdr:row>
      <xdr:rowOff>36285</xdr:rowOff>
    </xdr:from>
    <xdr:to>
      <xdr:col>29</xdr:col>
      <xdr:colOff>1074677</xdr:colOff>
      <xdr:row>205</xdr:row>
      <xdr:rowOff>37507</xdr:rowOff>
    </xdr:to>
    <xdr:pic>
      <xdr:nvPicPr>
        <xdr:cNvPr id="13" name="Picture 12">
          <a:extLst>
            <a:ext uri="{FF2B5EF4-FFF2-40B4-BE49-F238E27FC236}">
              <a16:creationId xmlns:a16="http://schemas.microsoft.com/office/drawing/2014/main" id="{DA19CF06-791B-7BE8-D5C9-519492057087}"/>
            </a:ext>
          </a:extLst>
        </xdr:cNvPr>
        <xdr:cNvPicPr>
          <a:picLocks noChangeAspect="1"/>
        </xdr:cNvPicPr>
      </xdr:nvPicPr>
      <xdr:blipFill>
        <a:blip xmlns:r="http://schemas.openxmlformats.org/officeDocument/2006/relationships" r:embed="rId4"/>
        <a:stretch>
          <a:fillRect/>
        </a:stretch>
      </xdr:blipFill>
      <xdr:spPr>
        <a:xfrm>
          <a:off x="30797500" y="31142214"/>
          <a:ext cx="8821677" cy="6559865"/>
        </a:xfrm>
        <a:prstGeom prst="rect">
          <a:avLst/>
        </a:prstGeom>
      </xdr:spPr>
    </xdr:pic>
    <xdr:clientData/>
  </xdr:twoCellAnchor>
  <xdr:twoCellAnchor editAs="oneCell">
    <xdr:from>
      <xdr:col>15</xdr:col>
      <xdr:colOff>335643</xdr:colOff>
      <xdr:row>207</xdr:row>
      <xdr:rowOff>99785</xdr:rowOff>
    </xdr:from>
    <xdr:to>
      <xdr:col>22</xdr:col>
      <xdr:colOff>530391</xdr:colOff>
      <xdr:row>243</xdr:row>
      <xdr:rowOff>91936</xdr:rowOff>
    </xdr:to>
    <xdr:pic>
      <xdr:nvPicPr>
        <xdr:cNvPr id="14" name="Picture 13">
          <a:extLst>
            <a:ext uri="{FF2B5EF4-FFF2-40B4-BE49-F238E27FC236}">
              <a16:creationId xmlns:a16="http://schemas.microsoft.com/office/drawing/2014/main" id="{EFB9EAF4-3527-D984-15A9-B3A60D92B8B7}"/>
            </a:ext>
          </a:extLst>
        </xdr:cNvPr>
        <xdr:cNvPicPr>
          <a:picLocks noChangeAspect="1"/>
        </xdr:cNvPicPr>
      </xdr:nvPicPr>
      <xdr:blipFill>
        <a:blip xmlns:r="http://schemas.openxmlformats.org/officeDocument/2006/relationships" r:embed="rId5"/>
        <a:stretch>
          <a:fillRect/>
        </a:stretch>
      </xdr:blipFill>
      <xdr:spPr>
        <a:xfrm>
          <a:off x="23930429" y="40041285"/>
          <a:ext cx="9556462" cy="6886437"/>
        </a:xfrm>
        <a:prstGeom prst="rect">
          <a:avLst/>
        </a:prstGeom>
      </xdr:spPr>
    </xdr:pic>
    <xdr:clientData/>
  </xdr:twoCellAnchor>
  <xdr:twoCellAnchor editAs="oneCell">
    <xdr:from>
      <xdr:col>22</xdr:col>
      <xdr:colOff>553357</xdr:colOff>
      <xdr:row>207</xdr:row>
      <xdr:rowOff>18142</xdr:rowOff>
    </xdr:from>
    <xdr:to>
      <xdr:col>29</xdr:col>
      <xdr:colOff>1092820</xdr:colOff>
      <xdr:row>243</xdr:row>
      <xdr:rowOff>10293</xdr:rowOff>
    </xdr:to>
    <xdr:pic>
      <xdr:nvPicPr>
        <xdr:cNvPr id="15" name="Picture 14">
          <a:extLst>
            <a:ext uri="{FF2B5EF4-FFF2-40B4-BE49-F238E27FC236}">
              <a16:creationId xmlns:a16="http://schemas.microsoft.com/office/drawing/2014/main" id="{409BB439-5FD6-B44C-7045-7C243000117F}"/>
            </a:ext>
          </a:extLst>
        </xdr:cNvPr>
        <xdr:cNvPicPr>
          <a:picLocks noChangeAspect="1"/>
        </xdr:cNvPicPr>
      </xdr:nvPicPr>
      <xdr:blipFill>
        <a:blip xmlns:r="http://schemas.openxmlformats.org/officeDocument/2006/relationships" r:embed="rId6"/>
        <a:stretch>
          <a:fillRect/>
        </a:stretch>
      </xdr:blipFill>
      <xdr:spPr>
        <a:xfrm>
          <a:off x="30815643" y="38045571"/>
          <a:ext cx="8821677" cy="6559865"/>
        </a:xfrm>
        <a:prstGeom prst="rect">
          <a:avLst/>
        </a:prstGeom>
      </xdr:spPr>
    </xdr:pic>
    <xdr:clientData/>
  </xdr:twoCellAnchor>
</xdr:wsDr>
</file>

<file path=xl/drawings/drawing45.xml><?xml version="1.0" encoding="utf-8"?>
<c:userShapes xmlns:c="http://schemas.openxmlformats.org/drawingml/2006/chart">
  <cdr:relSizeAnchor xmlns:cdr="http://schemas.openxmlformats.org/drawingml/2006/chartDrawing">
    <cdr:from>
      <cdr:x>0.00957</cdr:x>
      <cdr:y>0.00784</cdr:y>
    </cdr:from>
    <cdr:to>
      <cdr:x>0.72409</cdr:x>
      <cdr:y>0.12127</cdr:y>
    </cdr:to>
    <cdr:sp macro="" textlink="">
      <cdr:nvSpPr>
        <cdr:cNvPr id="2" name="TextBox 1">
          <a:extLst xmlns:a="http://schemas.openxmlformats.org/drawingml/2006/main">
            <a:ext uri="{FF2B5EF4-FFF2-40B4-BE49-F238E27FC236}">
              <a16:creationId xmlns:a16="http://schemas.microsoft.com/office/drawing/2014/main" id="{72A9B34D-120D-E109-09FA-08F702E1583C}"/>
            </a:ext>
          </a:extLst>
        </cdr:cNvPr>
        <cdr:cNvSpPr txBox="1"/>
      </cdr:nvSpPr>
      <cdr:spPr>
        <a:xfrm xmlns:a="http://schemas.openxmlformats.org/drawingml/2006/main">
          <a:off x="84393" y="51419"/>
          <a:ext cx="6301007" cy="7439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800" b="1" kern="1200" baseline="0">
            <a:latin typeface="Arial Nova Cond" panose="020B0506020202020204" pitchFamily="34" charset="0"/>
          </a:endParaRPr>
        </a:p>
      </cdr:txBody>
    </cdr:sp>
  </cdr:relSizeAnchor>
  <cdr:relSizeAnchor xmlns:cdr="http://schemas.openxmlformats.org/drawingml/2006/chartDrawing">
    <cdr:from>
      <cdr:x>0.64851</cdr:x>
      <cdr:y>0.01798</cdr:y>
    </cdr:from>
    <cdr:to>
      <cdr:x>0.98665</cdr:x>
      <cdr:y>0.11435</cdr:y>
    </cdr:to>
    <cdr:sp macro="" textlink="">
      <cdr:nvSpPr>
        <cdr:cNvPr id="4" name="TextBox 1">
          <a:extLst xmlns:a="http://schemas.openxmlformats.org/drawingml/2006/main">
            <a:ext uri="{FF2B5EF4-FFF2-40B4-BE49-F238E27FC236}">
              <a16:creationId xmlns:a16="http://schemas.microsoft.com/office/drawing/2014/main" id="{0D5E222F-CC16-2674-4227-4D587C7703F0}"/>
            </a:ext>
          </a:extLst>
        </cdr:cNvPr>
        <cdr:cNvSpPr txBox="1"/>
      </cdr:nvSpPr>
      <cdr:spPr>
        <a:xfrm xmlns:a="http://schemas.openxmlformats.org/drawingml/2006/main">
          <a:off x="5718856" y="117928"/>
          <a:ext cx="2981935" cy="63205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2000" b="1" kern="1200">
              <a:latin typeface="Arial Nova Cond" panose="020B0506020202020204" pitchFamily="34" charset="0"/>
            </a:rPr>
            <a:t>1.45 M </a:t>
          </a:r>
          <a:r>
            <a:rPr lang="en-US" sz="2000" b="1" kern="1200" baseline="0">
              <a:latin typeface="Arial Nova Cond" panose="020B0506020202020204" pitchFamily="34" charset="0"/>
            </a:rPr>
            <a:t>TONNES-YR</a:t>
          </a:r>
          <a:r>
            <a:rPr lang="en-US" sz="2000" b="1" kern="1200" baseline="30000">
              <a:latin typeface="Arial Nova Cond" panose="020B0506020202020204" pitchFamily="34" charset="0"/>
            </a:rPr>
            <a:t>-1</a:t>
          </a:r>
        </a:p>
        <a:p xmlns:a="http://schemas.openxmlformats.org/drawingml/2006/main">
          <a:pPr algn="r"/>
          <a:r>
            <a:rPr lang="en-US" sz="1600" b="0" kern="1200" baseline="0">
              <a:latin typeface="Arial Nova Cond" panose="020B0506020202020204" pitchFamily="34" charset="0"/>
            </a:rPr>
            <a:t>ORGANIC WET WASTE FEED</a:t>
          </a:r>
          <a:endParaRPr lang="en-US" sz="1600" b="0" kern="1200">
            <a:latin typeface="Arial Nova Cond" panose="020B0506020202020204" pitchFamily="34" charset="0"/>
          </a:endParaRPr>
        </a:p>
      </cdr:txBody>
    </cdr:sp>
  </cdr:relSizeAnchor>
  <cdr:relSizeAnchor xmlns:cdr="http://schemas.openxmlformats.org/drawingml/2006/chartDrawing">
    <cdr:from>
      <cdr:x>0.31334</cdr:x>
      <cdr:y>0.6343</cdr:y>
    </cdr:from>
    <cdr:to>
      <cdr:x>0.43933</cdr:x>
      <cdr:y>0.73044</cdr:y>
    </cdr:to>
    <cdr:sp macro="" textlink="">
      <cdr:nvSpPr>
        <cdr:cNvPr id="10" name="TextBox 1">
          <a:extLst xmlns:a="http://schemas.openxmlformats.org/drawingml/2006/main">
            <a:ext uri="{FF2B5EF4-FFF2-40B4-BE49-F238E27FC236}">
              <a16:creationId xmlns:a16="http://schemas.microsoft.com/office/drawing/2014/main" id="{DC848B10-E4EF-21C0-C63B-3762B6B6D422}"/>
            </a:ext>
          </a:extLst>
        </cdr:cNvPr>
        <cdr:cNvSpPr txBox="1"/>
      </cdr:nvSpPr>
      <cdr:spPr>
        <a:xfrm xmlns:a="http://schemas.openxmlformats.org/drawingml/2006/main">
          <a:off x="2763157" y="4160157"/>
          <a:ext cx="1111113" cy="630524"/>
        </a:xfrm>
        <a:prstGeom xmlns:a="http://schemas.openxmlformats.org/drawingml/2006/main" prst="rect">
          <a:avLst/>
        </a:prstGeom>
        <a:solidFill xmlns:a="http://schemas.openxmlformats.org/drawingml/2006/main">
          <a:schemeClr val="bg1"/>
        </a:solidFill>
        <a:ln xmlns:a="http://schemas.openxmlformats.org/drawingml/2006/main" w="19050">
          <a:solidFill>
            <a:sysClr val="windowText" lastClr="000000"/>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1" kern="1200">
              <a:latin typeface="Arial Nova Cond" panose="020B0506020202020204" pitchFamily="34" charset="0"/>
            </a:rPr>
            <a:t>BASE</a:t>
          </a:r>
          <a:r>
            <a:rPr lang="en-US" sz="1200" b="1" kern="1200" baseline="0">
              <a:latin typeface="Arial Nova Cond" panose="020B0506020202020204" pitchFamily="34" charset="0"/>
            </a:rPr>
            <a:t> </a:t>
          </a:r>
        </a:p>
        <a:p xmlns:a="http://schemas.openxmlformats.org/drawingml/2006/main">
          <a:pPr algn="ctr"/>
          <a:r>
            <a:rPr lang="en-US" sz="1200" b="1" kern="1200" baseline="0">
              <a:latin typeface="Arial Nova Cond" panose="020B0506020202020204" pitchFamily="34" charset="0"/>
            </a:rPr>
            <a:t>CO-PRODUCT PRICE</a:t>
          </a:r>
          <a:endParaRPr lang="en-US" sz="1200" b="1" kern="1200">
            <a:latin typeface="Arial Nova Cond" panose="020B0506020202020204" pitchFamily="34" charset="0"/>
          </a:endParaRPr>
        </a:p>
      </cdr:txBody>
    </cdr:sp>
  </cdr:relSizeAnchor>
  <cdr:relSizeAnchor xmlns:cdr="http://schemas.openxmlformats.org/drawingml/2006/chartDrawing">
    <cdr:from>
      <cdr:x>0.48204</cdr:x>
      <cdr:y>0.6343</cdr:y>
    </cdr:from>
    <cdr:to>
      <cdr:x>0.60804</cdr:x>
      <cdr:y>0.73044</cdr:y>
    </cdr:to>
    <cdr:sp macro="" textlink="">
      <cdr:nvSpPr>
        <cdr:cNvPr id="11" name="TextBox 1">
          <a:extLst xmlns:a="http://schemas.openxmlformats.org/drawingml/2006/main">
            <a:ext uri="{FF2B5EF4-FFF2-40B4-BE49-F238E27FC236}">
              <a16:creationId xmlns:a16="http://schemas.microsoft.com/office/drawing/2014/main" id="{53CF7BAD-45DA-1A67-59E7-272A3215A60D}"/>
            </a:ext>
          </a:extLst>
        </cdr:cNvPr>
        <cdr:cNvSpPr txBox="1"/>
      </cdr:nvSpPr>
      <cdr:spPr>
        <a:xfrm xmlns:a="http://schemas.openxmlformats.org/drawingml/2006/main">
          <a:off x="4250871" y="4160157"/>
          <a:ext cx="1111113" cy="630524"/>
        </a:xfrm>
        <a:prstGeom xmlns:a="http://schemas.openxmlformats.org/drawingml/2006/main" prst="rect">
          <a:avLst/>
        </a:prstGeom>
        <a:solidFill xmlns:a="http://schemas.openxmlformats.org/drawingml/2006/main">
          <a:schemeClr val="bg1"/>
        </a:solidFill>
        <a:ln xmlns:a="http://schemas.openxmlformats.org/drawingml/2006/main" w="19050">
          <a:solidFill>
            <a:sysClr val="windowText" lastClr="000000"/>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1" kern="1200">
              <a:latin typeface="Arial Nova Cond" panose="020B0506020202020204" pitchFamily="34" charset="0"/>
            </a:rPr>
            <a:t>HIGH</a:t>
          </a:r>
          <a:endParaRPr lang="en-US" sz="1200" b="1" kern="1200" baseline="0">
            <a:latin typeface="Arial Nova Cond" panose="020B0506020202020204" pitchFamily="34" charset="0"/>
          </a:endParaRPr>
        </a:p>
        <a:p xmlns:a="http://schemas.openxmlformats.org/drawingml/2006/main">
          <a:pPr algn="ctr"/>
          <a:r>
            <a:rPr lang="en-US" sz="1200" b="1" kern="1200" baseline="0">
              <a:latin typeface="Arial Nova Cond" panose="020B0506020202020204" pitchFamily="34" charset="0"/>
            </a:rPr>
            <a:t>CO-PRODUCT PRICE</a:t>
          </a:r>
          <a:endParaRPr lang="en-US" sz="1200" b="1" kern="1200">
            <a:latin typeface="Arial Nova Cond" panose="020B0506020202020204" pitchFamily="34" charset="0"/>
          </a:endParaRPr>
        </a:p>
      </cdr:txBody>
    </cdr:sp>
  </cdr:relSizeAnchor>
  <cdr:relSizeAnchor xmlns:cdr="http://schemas.openxmlformats.org/drawingml/2006/chartDrawing">
    <cdr:from>
      <cdr:x>0.65177</cdr:x>
      <cdr:y>0.63568</cdr:y>
    </cdr:from>
    <cdr:to>
      <cdr:x>0.77777</cdr:x>
      <cdr:y>0.73182</cdr:y>
    </cdr:to>
    <cdr:sp macro="" textlink="">
      <cdr:nvSpPr>
        <cdr:cNvPr id="12" name="TextBox 1">
          <a:extLst xmlns:a="http://schemas.openxmlformats.org/drawingml/2006/main">
            <a:ext uri="{FF2B5EF4-FFF2-40B4-BE49-F238E27FC236}">
              <a16:creationId xmlns:a16="http://schemas.microsoft.com/office/drawing/2014/main" id="{9B7C94DC-5CC5-1D7B-24B0-9389A708B102}"/>
            </a:ext>
          </a:extLst>
        </cdr:cNvPr>
        <cdr:cNvSpPr txBox="1"/>
      </cdr:nvSpPr>
      <cdr:spPr>
        <a:xfrm xmlns:a="http://schemas.openxmlformats.org/drawingml/2006/main">
          <a:off x="5747657" y="4169228"/>
          <a:ext cx="1111113" cy="630524"/>
        </a:xfrm>
        <a:prstGeom xmlns:a="http://schemas.openxmlformats.org/drawingml/2006/main" prst="rect">
          <a:avLst/>
        </a:prstGeom>
        <a:solidFill xmlns:a="http://schemas.openxmlformats.org/drawingml/2006/main">
          <a:schemeClr val="bg1"/>
        </a:solidFill>
        <a:ln xmlns:a="http://schemas.openxmlformats.org/drawingml/2006/main" w="19050">
          <a:solidFill>
            <a:sysClr val="windowText" lastClr="000000"/>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1" kern="1200">
              <a:latin typeface="Arial Nova Cond" panose="020B0506020202020204" pitchFamily="34" charset="0"/>
            </a:rPr>
            <a:t>LOW</a:t>
          </a:r>
          <a:endParaRPr lang="en-US" sz="1200" b="1" kern="1200" baseline="0">
            <a:latin typeface="Arial Nova Cond" panose="020B0506020202020204" pitchFamily="34" charset="0"/>
          </a:endParaRPr>
        </a:p>
        <a:p xmlns:a="http://schemas.openxmlformats.org/drawingml/2006/main">
          <a:pPr algn="ctr"/>
          <a:r>
            <a:rPr lang="en-US" sz="1200" b="1" kern="1200" baseline="0">
              <a:latin typeface="Arial Nova Cond" panose="020B0506020202020204" pitchFamily="34" charset="0"/>
            </a:rPr>
            <a:t>CO-PRODUCT PRICE</a:t>
          </a:r>
          <a:endParaRPr lang="en-US" sz="1200" b="1" kern="1200">
            <a:latin typeface="Arial Nova Cond" panose="020B0506020202020204" pitchFamily="34" charset="0"/>
          </a:endParaRPr>
        </a:p>
      </cdr:txBody>
    </cdr:sp>
  </cdr:relSizeAnchor>
  <cdr:relSizeAnchor xmlns:cdr="http://schemas.openxmlformats.org/drawingml/2006/chartDrawing">
    <cdr:from>
      <cdr:x>0</cdr:x>
      <cdr:y>0.00784</cdr:y>
    </cdr:from>
    <cdr:to>
      <cdr:x>0.65673</cdr:x>
      <cdr:y>0.12127</cdr:y>
    </cdr:to>
    <cdr:sp macro="" textlink="">
      <cdr:nvSpPr>
        <cdr:cNvPr id="13" name="TextBox 1">
          <a:extLst xmlns:a="http://schemas.openxmlformats.org/drawingml/2006/main">
            <a:ext uri="{FF2B5EF4-FFF2-40B4-BE49-F238E27FC236}">
              <a16:creationId xmlns:a16="http://schemas.microsoft.com/office/drawing/2014/main" id="{72A9B34D-120D-E109-09FA-08F702E1583C}"/>
            </a:ext>
          </a:extLst>
        </cdr:cNvPr>
        <cdr:cNvSpPr txBox="1"/>
      </cdr:nvSpPr>
      <cdr:spPr>
        <a:xfrm xmlns:a="http://schemas.openxmlformats.org/drawingml/2006/main">
          <a:off x="0" y="51420"/>
          <a:ext cx="5791428" cy="74394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2000" b="0" kern="1200" cap="all">
              <a:latin typeface="Arial Nova Cond" panose="020B0506020202020204" pitchFamily="34" charset="0"/>
            </a:rPr>
            <a:t>F | </a:t>
          </a:r>
          <a:r>
            <a:rPr lang="en-US" sz="2000" b="1" kern="1200" cap="all">
              <a:latin typeface="Arial Nova Cond" panose="020B0506020202020204" pitchFamily="34" charset="0"/>
            </a:rPr>
            <a:t>Jet Fuel Minimum Selling</a:t>
          </a:r>
          <a:r>
            <a:rPr lang="en-US" sz="2000" b="1" kern="1200" cap="all" baseline="0">
              <a:latin typeface="Arial Nova Cond" panose="020B0506020202020204" pitchFamily="34" charset="0"/>
            </a:rPr>
            <a:t> Price as Net Present Value</a:t>
          </a:r>
          <a:r>
            <a:rPr lang="en-US" sz="2000" b="1" kern="1200" cap="all">
              <a:latin typeface="Arial Nova Cond" panose="020B0506020202020204" pitchFamily="34" charset="0"/>
            </a:rPr>
            <a:t> </a:t>
          </a:r>
          <a:endParaRPr lang="en-US" sz="1800" b="1" kern="1200" cap="all" baseline="0">
            <a:latin typeface="Arial Nova Cond" panose="020B0506020202020204" pitchFamily="34" charset="0"/>
          </a:endParaRPr>
        </a:p>
      </cdr:txBody>
    </cdr:sp>
  </cdr:relSizeAnchor>
  <cdr:relSizeAnchor xmlns:cdr="http://schemas.openxmlformats.org/drawingml/2006/chartDrawing">
    <cdr:from>
      <cdr:x>0.65177</cdr:x>
      <cdr:y>0.63568</cdr:y>
    </cdr:from>
    <cdr:to>
      <cdr:x>0.77777</cdr:x>
      <cdr:y>0.73182</cdr:y>
    </cdr:to>
    <cdr:sp macro="" textlink="">
      <cdr:nvSpPr>
        <cdr:cNvPr id="17" name="TextBox 1">
          <a:extLst xmlns:a="http://schemas.openxmlformats.org/drawingml/2006/main">
            <a:ext uri="{FF2B5EF4-FFF2-40B4-BE49-F238E27FC236}">
              <a16:creationId xmlns:a16="http://schemas.microsoft.com/office/drawing/2014/main" id="{9B7C94DC-5CC5-1D7B-24B0-9389A708B102}"/>
            </a:ext>
          </a:extLst>
        </cdr:cNvPr>
        <cdr:cNvSpPr txBox="1"/>
      </cdr:nvSpPr>
      <cdr:spPr>
        <a:xfrm xmlns:a="http://schemas.openxmlformats.org/drawingml/2006/main">
          <a:off x="5747657" y="4169228"/>
          <a:ext cx="1111113" cy="630524"/>
        </a:xfrm>
        <a:prstGeom xmlns:a="http://schemas.openxmlformats.org/drawingml/2006/main" prst="rect">
          <a:avLst/>
        </a:prstGeom>
        <a:solidFill xmlns:a="http://schemas.openxmlformats.org/drawingml/2006/main">
          <a:schemeClr val="bg1"/>
        </a:solidFill>
        <a:ln xmlns:a="http://schemas.openxmlformats.org/drawingml/2006/main" w="19050">
          <a:solidFill>
            <a:sysClr val="windowText" lastClr="000000"/>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1" kern="1200">
              <a:latin typeface="Arial Nova Cond" panose="020B0506020202020204" pitchFamily="34" charset="0"/>
            </a:rPr>
            <a:t>LOW</a:t>
          </a:r>
          <a:endParaRPr lang="en-US" sz="1200" b="1" kern="1200" baseline="0">
            <a:latin typeface="Arial Nova Cond" panose="020B0506020202020204" pitchFamily="34" charset="0"/>
          </a:endParaRPr>
        </a:p>
        <a:p xmlns:a="http://schemas.openxmlformats.org/drawingml/2006/main">
          <a:pPr algn="ctr"/>
          <a:r>
            <a:rPr lang="en-US" sz="1200" b="1" kern="1200" baseline="0">
              <a:latin typeface="Arial Nova Cond" panose="020B0506020202020204" pitchFamily="34" charset="0"/>
            </a:rPr>
            <a:t>CO-PRODUCT PRICE</a:t>
          </a:r>
          <a:endParaRPr lang="en-US" sz="1200" b="1" kern="1200">
            <a:latin typeface="Arial Nova Cond" panose="020B0506020202020204" pitchFamily="34" charset="0"/>
          </a:endParaRPr>
        </a:p>
      </cdr:txBody>
    </cdr:sp>
  </cdr:relSizeAnchor>
</c:userShapes>
</file>

<file path=xl/drawings/drawing46.xml><?xml version="1.0" encoding="utf-8"?>
<c:userShapes xmlns:c="http://schemas.openxmlformats.org/drawingml/2006/chart">
  <cdr:relSizeAnchor xmlns:cdr="http://schemas.openxmlformats.org/drawingml/2006/chartDrawing">
    <cdr:from>
      <cdr:x>0</cdr:x>
      <cdr:y>0</cdr:y>
    </cdr:from>
    <cdr:to>
      <cdr:x>0.71452</cdr:x>
      <cdr:y>0.11343</cdr:y>
    </cdr:to>
    <cdr:sp macro="" textlink="">
      <cdr:nvSpPr>
        <cdr:cNvPr id="2" name="TextBox 1">
          <a:extLst xmlns:a="http://schemas.openxmlformats.org/drawingml/2006/main">
            <a:ext uri="{FF2B5EF4-FFF2-40B4-BE49-F238E27FC236}">
              <a16:creationId xmlns:a16="http://schemas.microsoft.com/office/drawing/2014/main" id="{72A9B34D-120D-E109-09FA-08F702E1583C}"/>
            </a:ext>
          </a:extLst>
        </cdr:cNvPr>
        <cdr:cNvSpPr txBox="1"/>
      </cdr:nvSpPr>
      <cdr:spPr>
        <a:xfrm xmlns:a="http://schemas.openxmlformats.org/drawingml/2006/main">
          <a:off x="0" y="0"/>
          <a:ext cx="6301007" cy="74394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2000" b="1" kern="1200">
              <a:latin typeface="Arial Nova Cond" panose="020B0506020202020204" pitchFamily="34" charset="0"/>
            </a:rPr>
            <a:t>TECHNO-ECONOMIC</a:t>
          </a:r>
          <a:r>
            <a:rPr lang="en-US" sz="2000" b="1" kern="1200" baseline="0">
              <a:latin typeface="Arial Nova Cond" panose="020B0506020202020204" pitchFamily="34" charset="0"/>
            </a:rPr>
            <a:t> ASSESSMENT RESULTS</a:t>
          </a:r>
        </a:p>
        <a:p xmlns:a="http://schemas.openxmlformats.org/drawingml/2006/main">
          <a:r>
            <a:rPr lang="en-US" sz="1600" b="0" kern="1200" baseline="0">
              <a:latin typeface="Arial Nova Cond" panose="020B0506020202020204" pitchFamily="34" charset="0"/>
            </a:rPr>
            <a:t>Jet Fuel Minimum Selling Price as Net Present Valu</a:t>
          </a:r>
          <a:r>
            <a:rPr lang="en-US" sz="1800" b="0" kern="1200" baseline="0">
              <a:latin typeface="Arial Nova Cond" panose="020B0506020202020204" pitchFamily="34" charset="0"/>
            </a:rPr>
            <a:t>e</a:t>
          </a:r>
        </a:p>
      </cdr:txBody>
    </cdr:sp>
  </cdr:relSizeAnchor>
  <cdr:relSizeAnchor xmlns:cdr="http://schemas.openxmlformats.org/drawingml/2006/chartDrawing">
    <cdr:from>
      <cdr:x>0.23955</cdr:x>
      <cdr:y>0.89754</cdr:y>
    </cdr:from>
    <cdr:to>
      <cdr:x>0.36554</cdr:x>
      <cdr:y>0.99368</cdr:y>
    </cdr:to>
    <cdr:sp macro="" textlink="">
      <cdr:nvSpPr>
        <cdr:cNvPr id="15" name="TextBox 1">
          <a:extLst xmlns:a="http://schemas.openxmlformats.org/drawingml/2006/main">
            <a:ext uri="{FF2B5EF4-FFF2-40B4-BE49-F238E27FC236}">
              <a16:creationId xmlns:a16="http://schemas.microsoft.com/office/drawing/2014/main" id="{DC848B10-E4EF-21C0-C63B-3762B6B6D422}"/>
            </a:ext>
          </a:extLst>
        </cdr:cNvPr>
        <cdr:cNvSpPr txBox="1"/>
      </cdr:nvSpPr>
      <cdr:spPr>
        <a:xfrm xmlns:a="http://schemas.openxmlformats.org/drawingml/2006/main">
          <a:off x="2293383" y="6198076"/>
          <a:ext cx="1206192" cy="663906"/>
        </a:xfrm>
        <a:prstGeom xmlns:a="http://schemas.openxmlformats.org/drawingml/2006/main" prst="rect">
          <a:avLst/>
        </a:prstGeom>
        <a:solidFill xmlns:a="http://schemas.openxmlformats.org/drawingml/2006/main">
          <a:schemeClr val="bg1"/>
        </a:solidFill>
        <a:ln xmlns:a="http://schemas.openxmlformats.org/drawingml/2006/main" w="19050">
          <a:solidFill>
            <a:sysClr val="windowText" lastClr="000000"/>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1" kern="1200">
              <a:latin typeface="Arial Nova Cond" panose="020B0506020202020204" pitchFamily="34" charset="0"/>
            </a:rPr>
            <a:t>BASE</a:t>
          </a:r>
          <a:r>
            <a:rPr lang="en-US" sz="1200" b="1" kern="1200" baseline="0">
              <a:latin typeface="Arial Nova Cond" panose="020B0506020202020204" pitchFamily="34" charset="0"/>
            </a:rPr>
            <a:t> </a:t>
          </a:r>
        </a:p>
        <a:p xmlns:a="http://schemas.openxmlformats.org/drawingml/2006/main">
          <a:pPr algn="ctr"/>
          <a:r>
            <a:rPr lang="en-US" sz="1200" b="1" kern="1200" baseline="0">
              <a:latin typeface="Arial Nova Cond" panose="020B0506020202020204" pitchFamily="34" charset="0"/>
            </a:rPr>
            <a:t>CO-PRODUCT PRICE</a:t>
          </a:r>
          <a:endParaRPr lang="en-US" sz="1200" b="1" kern="1200">
            <a:latin typeface="Arial Nova Cond" panose="020B0506020202020204" pitchFamily="34" charset="0"/>
          </a:endParaRPr>
        </a:p>
      </cdr:txBody>
    </cdr:sp>
  </cdr:relSizeAnchor>
  <cdr:relSizeAnchor xmlns:cdr="http://schemas.openxmlformats.org/drawingml/2006/chartDrawing">
    <cdr:from>
      <cdr:x>0.37785</cdr:x>
      <cdr:y>0.89386</cdr:y>
    </cdr:from>
    <cdr:to>
      <cdr:x>0.50384</cdr:x>
      <cdr:y>0.99</cdr:y>
    </cdr:to>
    <cdr:sp macro="" textlink="">
      <cdr:nvSpPr>
        <cdr:cNvPr id="16" name="TextBox 1">
          <a:extLst xmlns:a="http://schemas.openxmlformats.org/drawingml/2006/main">
            <a:ext uri="{FF2B5EF4-FFF2-40B4-BE49-F238E27FC236}">
              <a16:creationId xmlns:a16="http://schemas.microsoft.com/office/drawing/2014/main" id="{53CF7BAD-45DA-1A67-59E7-272A3215A60D}"/>
            </a:ext>
          </a:extLst>
        </cdr:cNvPr>
        <cdr:cNvSpPr txBox="1"/>
      </cdr:nvSpPr>
      <cdr:spPr>
        <a:xfrm xmlns:a="http://schemas.openxmlformats.org/drawingml/2006/main">
          <a:off x="3617453" y="6172655"/>
          <a:ext cx="1206192" cy="663907"/>
        </a:xfrm>
        <a:prstGeom xmlns:a="http://schemas.openxmlformats.org/drawingml/2006/main" prst="rect">
          <a:avLst/>
        </a:prstGeom>
        <a:solidFill xmlns:a="http://schemas.openxmlformats.org/drawingml/2006/main">
          <a:schemeClr val="bg1"/>
        </a:solidFill>
        <a:ln xmlns:a="http://schemas.openxmlformats.org/drawingml/2006/main" w="19050">
          <a:solidFill>
            <a:sysClr val="windowText" lastClr="000000"/>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1" kern="1200">
              <a:latin typeface="Arial Nova Cond" panose="020B0506020202020204" pitchFamily="34" charset="0"/>
            </a:rPr>
            <a:t>HIGH</a:t>
          </a:r>
          <a:endParaRPr lang="en-US" sz="1200" b="1" kern="1200" baseline="0">
            <a:latin typeface="Arial Nova Cond" panose="020B0506020202020204" pitchFamily="34" charset="0"/>
          </a:endParaRPr>
        </a:p>
        <a:p xmlns:a="http://schemas.openxmlformats.org/drawingml/2006/main">
          <a:pPr algn="ctr"/>
          <a:r>
            <a:rPr lang="en-US" sz="1200" b="1" kern="1200" baseline="0">
              <a:latin typeface="Arial Nova Cond" panose="020B0506020202020204" pitchFamily="34" charset="0"/>
            </a:rPr>
            <a:t>CO-PRODUCT PRICE</a:t>
          </a:r>
          <a:endParaRPr lang="en-US" sz="1200" b="1" kern="1200">
            <a:latin typeface="Arial Nova Cond" panose="020B0506020202020204" pitchFamily="34" charset="0"/>
          </a:endParaRPr>
        </a:p>
      </cdr:txBody>
    </cdr:sp>
  </cdr:relSizeAnchor>
  <cdr:relSizeAnchor xmlns:cdr="http://schemas.openxmlformats.org/drawingml/2006/chartDrawing">
    <cdr:from>
      <cdr:x>0.5145</cdr:x>
      <cdr:y>0.89707</cdr:y>
    </cdr:from>
    <cdr:to>
      <cdr:x>0.63959</cdr:x>
      <cdr:y>0.99113</cdr:y>
    </cdr:to>
    <cdr:sp macro="" textlink="">
      <cdr:nvSpPr>
        <cdr:cNvPr id="17" name="TextBox 1">
          <a:extLst xmlns:a="http://schemas.openxmlformats.org/drawingml/2006/main">
            <a:ext uri="{FF2B5EF4-FFF2-40B4-BE49-F238E27FC236}">
              <a16:creationId xmlns:a16="http://schemas.microsoft.com/office/drawing/2014/main" id="{9B7C94DC-5CC5-1D7B-24B0-9389A708B102}"/>
            </a:ext>
          </a:extLst>
        </cdr:cNvPr>
        <cdr:cNvSpPr txBox="1"/>
      </cdr:nvSpPr>
      <cdr:spPr>
        <a:xfrm xmlns:a="http://schemas.openxmlformats.org/drawingml/2006/main">
          <a:off x="4925649" y="6194806"/>
          <a:ext cx="1197565" cy="649586"/>
        </a:xfrm>
        <a:prstGeom xmlns:a="http://schemas.openxmlformats.org/drawingml/2006/main" prst="rect">
          <a:avLst/>
        </a:prstGeom>
        <a:solidFill xmlns:a="http://schemas.openxmlformats.org/drawingml/2006/main">
          <a:schemeClr val="bg1"/>
        </a:solidFill>
        <a:ln xmlns:a="http://schemas.openxmlformats.org/drawingml/2006/main" w="19050">
          <a:solidFill>
            <a:sysClr val="windowText" lastClr="000000"/>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1" kern="1200">
              <a:latin typeface="Arial Nova Cond" panose="020B0506020202020204" pitchFamily="34" charset="0"/>
            </a:rPr>
            <a:t>LOW</a:t>
          </a:r>
          <a:endParaRPr lang="en-US" sz="1200" b="1" kern="1200" baseline="0">
            <a:latin typeface="Arial Nova Cond" panose="020B0506020202020204" pitchFamily="34" charset="0"/>
          </a:endParaRPr>
        </a:p>
        <a:p xmlns:a="http://schemas.openxmlformats.org/drawingml/2006/main">
          <a:pPr algn="ctr"/>
          <a:r>
            <a:rPr lang="en-US" sz="1200" b="1" kern="1200" baseline="0">
              <a:latin typeface="Arial Nova Cond" panose="020B0506020202020204" pitchFamily="34" charset="0"/>
            </a:rPr>
            <a:t>CO-PRODUCT PRICE</a:t>
          </a:r>
          <a:endParaRPr lang="en-US" sz="1200" b="1" kern="1200">
            <a:latin typeface="Arial Nova Cond" panose="020B0506020202020204" pitchFamily="34" charset="0"/>
          </a:endParaRPr>
        </a:p>
      </cdr:txBody>
    </cdr:sp>
  </cdr:relSizeAnchor>
</c:userShapes>
</file>

<file path=xl/drawings/drawing47.xml><?xml version="1.0" encoding="utf-8"?>
<xdr:wsDr xmlns:xdr="http://schemas.openxmlformats.org/drawingml/2006/spreadsheetDrawing" xmlns:a="http://schemas.openxmlformats.org/drawingml/2006/main">
  <xdr:twoCellAnchor>
    <xdr:from>
      <xdr:col>12</xdr:col>
      <xdr:colOff>604361</xdr:colOff>
      <xdr:row>49</xdr:row>
      <xdr:rowOff>101688</xdr:rowOff>
    </xdr:from>
    <xdr:to>
      <xdr:col>22</xdr:col>
      <xdr:colOff>392546</xdr:colOff>
      <xdr:row>74</xdr:row>
      <xdr:rowOff>32727</xdr:rowOff>
    </xdr:to>
    <xdr:graphicFrame macro="">
      <xdr:nvGraphicFramePr>
        <xdr:cNvPr id="4" name="Chart 3">
          <a:extLst>
            <a:ext uri="{FF2B5EF4-FFF2-40B4-BE49-F238E27FC236}">
              <a16:creationId xmlns:a16="http://schemas.microsoft.com/office/drawing/2014/main" id="{52F75CB6-0159-415D-8DA4-BBBA97AA5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xdr:row>
      <xdr:rowOff>86591</xdr:rowOff>
    </xdr:from>
    <xdr:to>
      <xdr:col>12</xdr:col>
      <xdr:colOff>410274</xdr:colOff>
      <xdr:row>35</xdr:row>
      <xdr:rowOff>95550</xdr:rowOff>
    </xdr:to>
    <xdr:graphicFrame macro="">
      <xdr:nvGraphicFramePr>
        <xdr:cNvPr id="6" name="Chart 5">
          <a:extLst>
            <a:ext uri="{FF2B5EF4-FFF2-40B4-BE49-F238E27FC236}">
              <a16:creationId xmlns:a16="http://schemas.microsoft.com/office/drawing/2014/main" id="{BF9AE19D-98BB-44B7-AE42-3E15C6F9F2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513773</xdr:colOff>
      <xdr:row>1</xdr:row>
      <xdr:rowOff>51955</xdr:rowOff>
    </xdr:from>
    <xdr:to>
      <xdr:col>20</xdr:col>
      <xdr:colOff>428662</xdr:colOff>
      <xdr:row>35</xdr:row>
      <xdr:rowOff>53076</xdr:rowOff>
    </xdr:to>
    <xdr:pic>
      <xdr:nvPicPr>
        <xdr:cNvPr id="8" name="Picture 7">
          <a:extLst>
            <a:ext uri="{FF2B5EF4-FFF2-40B4-BE49-F238E27FC236}">
              <a16:creationId xmlns:a16="http://schemas.microsoft.com/office/drawing/2014/main" id="{9EF51301-BA91-A149-1A88-0B31AF9A35F4}"/>
            </a:ext>
          </a:extLst>
        </xdr:cNvPr>
        <xdr:cNvPicPr>
          <a:picLocks noChangeAspect="1"/>
        </xdr:cNvPicPr>
      </xdr:nvPicPr>
      <xdr:blipFill>
        <a:blip xmlns:r="http://schemas.openxmlformats.org/officeDocument/2006/relationships" r:embed="rId3"/>
        <a:stretch>
          <a:fillRect/>
        </a:stretch>
      </xdr:blipFill>
      <xdr:spPr>
        <a:xfrm>
          <a:off x="10725728" y="51955"/>
          <a:ext cx="4810161" cy="6291617"/>
        </a:xfrm>
        <a:prstGeom prst="rect">
          <a:avLst/>
        </a:prstGeom>
      </xdr:spPr>
    </xdr:pic>
    <xdr:clientData/>
  </xdr:twoCellAnchor>
</xdr:wsDr>
</file>

<file path=xl/drawings/drawing48.xml><?xml version="1.0" encoding="utf-8"?>
<c:userShapes xmlns:c="http://schemas.openxmlformats.org/drawingml/2006/chart">
  <cdr:relSizeAnchor xmlns:cdr="http://schemas.openxmlformats.org/drawingml/2006/chartDrawing">
    <cdr:from>
      <cdr:x>0.17172</cdr:x>
      <cdr:y>0.67827</cdr:y>
    </cdr:from>
    <cdr:to>
      <cdr:x>0.96974</cdr:x>
      <cdr:y>0.67956</cdr:y>
    </cdr:to>
    <cdr:cxnSp macro="">
      <cdr:nvCxnSpPr>
        <cdr:cNvPr id="3" name="Straight Connector 2">
          <a:extLst xmlns:a="http://schemas.openxmlformats.org/drawingml/2006/main">
            <a:ext uri="{FF2B5EF4-FFF2-40B4-BE49-F238E27FC236}">
              <a16:creationId xmlns:a16="http://schemas.microsoft.com/office/drawing/2014/main" id="{5D2F22BD-228A-5089-82C3-7D8C96F809CD}"/>
            </a:ext>
          </a:extLst>
        </cdr:cNvPr>
        <cdr:cNvCxnSpPr/>
      </cdr:nvCxnSpPr>
      <cdr:spPr>
        <a:xfrm xmlns:a="http://schemas.openxmlformats.org/drawingml/2006/main">
          <a:off x="825803" y="4266109"/>
          <a:ext cx="3837753" cy="8113"/>
        </a:xfrm>
        <a:prstGeom xmlns:a="http://schemas.openxmlformats.org/drawingml/2006/main" prst="line">
          <a:avLst/>
        </a:prstGeom>
        <a:ln xmlns:a="http://schemas.openxmlformats.org/drawingml/2006/main">
          <a:solidFill>
            <a:schemeClr val="tx1"/>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49.xml><?xml version="1.0" encoding="utf-8"?>
<xdr:wsDr xmlns:xdr="http://schemas.openxmlformats.org/drawingml/2006/spreadsheetDrawing" xmlns:a="http://schemas.openxmlformats.org/drawingml/2006/main">
  <xdr:twoCellAnchor>
    <xdr:from>
      <xdr:col>6</xdr:col>
      <xdr:colOff>338365</xdr:colOff>
      <xdr:row>54</xdr:row>
      <xdr:rowOff>171450</xdr:rowOff>
    </xdr:from>
    <xdr:to>
      <xdr:col>12</xdr:col>
      <xdr:colOff>594179</xdr:colOff>
      <xdr:row>69</xdr:row>
      <xdr:rowOff>134258</xdr:rowOff>
    </xdr:to>
    <xdr:graphicFrame macro="">
      <xdr:nvGraphicFramePr>
        <xdr:cNvPr id="3" name="Chart 2">
          <a:extLst>
            <a:ext uri="{FF2B5EF4-FFF2-40B4-BE49-F238E27FC236}">
              <a16:creationId xmlns:a16="http://schemas.microsoft.com/office/drawing/2014/main" id="{412D18F1-767E-69F2-53B1-6358DC324E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187325</xdr:colOff>
      <xdr:row>8</xdr:row>
      <xdr:rowOff>57150</xdr:rowOff>
    </xdr:from>
    <xdr:to>
      <xdr:col>16</xdr:col>
      <xdr:colOff>349250</xdr:colOff>
      <xdr:row>31</xdr:row>
      <xdr:rowOff>114300</xdr:rowOff>
    </xdr:to>
    <xdr:graphicFrame macro="">
      <xdr:nvGraphicFramePr>
        <xdr:cNvPr id="5" name="Chart 4">
          <a:extLst>
            <a:ext uri="{FF2B5EF4-FFF2-40B4-BE49-F238E27FC236}">
              <a16:creationId xmlns:a16="http://schemas.microsoft.com/office/drawing/2014/main" id="{64C80790-79DA-8D09-E8EE-74BE3AFC6A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450850</xdr:colOff>
      <xdr:row>7</xdr:row>
      <xdr:rowOff>133350</xdr:rowOff>
    </xdr:from>
    <xdr:to>
      <xdr:col>24</xdr:col>
      <xdr:colOff>130</xdr:colOff>
      <xdr:row>31</xdr:row>
      <xdr:rowOff>5706</xdr:rowOff>
    </xdr:to>
    <xdr:pic>
      <xdr:nvPicPr>
        <xdr:cNvPr id="6" name="Picture 5">
          <a:extLst>
            <a:ext uri="{FF2B5EF4-FFF2-40B4-BE49-F238E27FC236}">
              <a16:creationId xmlns:a16="http://schemas.microsoft.com/office/drawing/2014/main" id="{D903F524-C7FE-C4D4-558F-BA1E5A962505}"/>
            </a:ext>
          </a:extLst>
        </xdr:cNvPr>
        <xdr:cNvPicPr>
          <a:picLocks noChangeAspect="1"/>
        </xdr:cNvPicPr>
      </xdr:nvPicPr>
      <xdr:blipFill>
        <a:blip xmlns:r="http://schemas.openxmlformats.org/officeDocument/2006/relationships" r:embed="rId3"/>
        <a:stretch>
          <a:fillRect/>
        </a:stretch>
      </xdr:blipFill>
      <xdr:spPr>
        <a:xfrm>
          <a:off x="18554700" y="1428750"/>
          <a:ext cx="4426080" cy="4291956"/>
        </a:xfrm>
        <a:prstGeom prst="rect">
          <a:avLst/>
        </a:prstGeom>
      </xdr:spPr>
    </xdr:pic>
    <xdr:clientData/>
  </xdr:twoCellAnchor>
</xdr:wsDr>
</file>

<file path=xl/drawings/drawing50.xml><?xml version="1.0" encoding="utf-8"?>
<c:userShapes xmlns:c="http://schemas.openxmlformats.org/drawingml/2006/chart">
  <cdr:relSizeAnchor xmlns:cdr="http://schemas.openxmlformats.org/drawingml/2006/chartDrawing">
    <cdr:from>
      <cdr:x>0.51685</cdr:x>
      <cdr:y>0</cdr:y>
    </cdr:from>
    <cdr:to>
      <cdr:x>0.95483</cdr:x>
      <cdr:y>0.11835</cdr:y>
    </cdr:to>
    <cdr:sp macro="" textlink="">
      <cdr:nvSpPr>
        <cdr:cNvPr id="2" name="TextBox 1">
          <a:extLst xmlns:a="http://schemas.openxmlformats.org/drawingml/2006/main">
            <a:ext uri="{FF2B5EF4-FFF2-40B4-BE49-F238E27FC236}">
              <a16:creationId xmlns:a16="http://schemas.microsoft.com/office/drawing/2014/main" id="{67207B25-0D0D-2099-9700-22E17BA07F30}"/>
            </a:ext>
          </a:extLst>
        </cdr:cNvPr>
        <cdr:cNvSpPr txBox="1"/>
      </cdr:nvSpPr>
      <cdr:spPr>
        <a:xfrm xmlns:a="http://schemas.openxmlformats.org/drawingml/2006/main">
          <a:off x="2289175" y="0"/>
          <a:ext cx="1939900" cy="50802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400" b="1" kern="1200">
              <a:latin typeface="Arial Nova Cond" panose="020B0506020202020204" pitchFamily="34" charset="0"/>
            </a:rPr>
            <a:t>1.45</a:t>
          </a:r>
          <a:r>
            <a:rPr lang="en-US" sz="1400" b="1" kern="1200" baseline="0">
              <a:latin typeface="Arial Nova Cond" panose="020B0506020202020204" pitchFamily="34" charset="0"/>
            </a:rPr>
            <a:t> M TONNES-YR</a:t>
          </a:r>
          <a:r>
            <a:rPr lang="en-US" sz="1400" b="1" kern="1200" baseline="30000">
              <a:latin typeface="Arial Nova Cond" panose="020B0506020202020204" pitchFamily="34" charset="0"/>
            </a:rPr>
            <a:t>-1</a:t>
          </a:r>
        </a:p>
        <a:p xmlns:a="http://schemas.openxmlformats.org/drawingml/2006/main">
          <a:pPr algn="r"/>
          <a:r>
            <a:rPr lang="en-US" sz="1200" b="0" kern="1200" baseline="0">
              <a:latin typeface="Arial Nova Cond" panose="020B0506020202020204" pitchFamily="34" charset="0"/>
            </a:rPr>
            <a:t>ORGANIC WET WASTE FEED</a:t>
          </a:r>
          <a:endParaRPr lang="en-US" sz="1200" b="0" kern="1200">
            <a:latin typeface="Arial Nova Cond" panose="020B0506020202020204" pitchFamily="34" charset="0"/>
          </a:endParaRPr>
        </a:p>
      </cdr:txBody>
    </cdr:sp>
  </cdr:relSizeAnchor>
</c:userShapes>
</file>

<file path=xl/drawings/drawing51.xml><?xml version="1.0" encoding="utf-8"?>
<xdr:wsDr xmlns:xdr="http://schemas.openxmlformats.org/drawingml/2006/spreadsheetDrawing" xmlns:a="http://schemas.openxmlformats.org/drawingml/2006/main">
  <xdr:twoCellAnchor>
    <xdr:from>
      <xdr:col>2</xdr:col>
      <xdr:colOff>358774</xdr:colOff>
      <xdr:row>72</xdr:row>
      <xdr:rowOff>12700</xdr:rowOff>
    </xdr:from>
    <xdr:to>
      <xdr:col>4</xdr:col>
      <xdr:colOff>3276600</xdr:colOff>
      <xdr:row>90</xdr:row>
      <xdr:rowOff>63500</xdr:rowOff>
    </xdr:to>
    <xdr:graphicFrame macro="">
      <xdr:nvGraphicFramePr>
        <xdr:cNvPr id="2" name="Chart 1">
          <a:extLst>
            <a:ext uri="{FF2B5EF4-FFF2-40B4-BE49-F238E27FC236}">
              <a16:creationId xmlns:a16="http://schemas.microsoft.com/office/drawing/2014/main" id="{CF5857EF-93D0-C28D-DA77-E619378DE6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3549650</xdr:colOff>
      <xdr:row>72</xdr:row>
      <xdr:rowOff>6350</xdr:rowOff>
    </xdr:from>
    <xdr:to>
      <xdr:col>7</xdr:col>
      <xdr:colOff>673100</xdr:colOff>
      <xdr:row>90</xdr:row>
      <xdr:rowOff>50800</xdr:rowOff>
    </xdr:to>
    <xdr:graphicFrame macro="">
      <xdr:nvGraphicFramePr>
        <xdr:cNvPr id="3" name="Chart 2">
          <a:extLst>
            <a:ext uri="{FF2B5EF4-FFF2-40B4-BE49-F238E27FC236}">
              <a16:creationId xmlns:a16="http://schemas.microsoft.com/office/drawing/2014/main" id="{8407F657-FD30-4B3C-A3E8-FEE4E548D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6350</xdr:colOff>
      <xdr:row>72</xdr:row>
      <xdr:rowOff>19050</xdr:rowOff>
    </xdr:from>
    <xdr:to>
      <xdr:col>13</xdr:col>
      <xdr:colOff>324246</xdr:colOff>
      <xdr:row>90</xdr:row>
      <xdr:rowOff>75223</xdr:rowOff>
    </xdr:to>
    <xdr:pic>
      <xdr:nvPicPr>
        <xdr:cNvPr id="4" name="Picture 3">
          <a:extLst>
            <a:ext uri="{FF2B5EF4-FFF2-40B4-BE49-F238E27FC236}">
              <a16:creationId xmlns:a16="http://schemas.microsoft.com/office/drawing/2014/main" id="{9D71FC75-91C5-4057-B1C2-95BC26AE0E2F}"/>
            </a:ext>
          </a:extLst>
        </xdr:cNvPr>
        <xdr:cNvPicPr>
          <a:picLocks noChangeAspect="1"/>
        </xdr:cNvPicPr>
      </xdr:nvPicPr>
      <xdr:blipFill>
        <a:blip xmlns:r="http://schemas.openxmlformats.org/officeDocument/2006/relationships" r:embed="rId3"/>
        <a:stretch>
          <a:fillRect/>
        </a:stretch>
      </xdr:blipFill>
      <xdr:spPr>
        <a:xfrm>
          <a:off x="13601700" y="13785850"/>
          <a:ext cx="4572396" cy="3383573"/>
        </a:xfrm>
        <a:prstGeom prst="rect">
          <a:avLst/>
        </a:prstGeom>
      </xdr:spPr>
    </xdr:pic>
    <xdr:clientData/>
  </xdr:twoCellAnchor>
</xdr:wsDr>
</file>

<file path=xl/drawings/drawing52.xml><?xml version="1.0" encoding="utf-8"?>
<c:userShapes xmlns:c="http://schemas.openxmlformats.org/drawingml/2006/chart">
  <cdr:relSizeAnchor xmlns:cdr="http://schemas.openxmlformats.org/drawingml/2006/chartDrawing">
    <cdr:from>
      <cdr:x>0.57262</cdr:x>
      <cdr:y>0</cdr:y>
    </cdr:from>
    <cdr:to>
      <cdr:x>0.99721</cdr:x>
      <cdr:y>0.15038</cdr:y>
    </cdr:to>
    <cdr:sp macro="" textlink="">
      <cdr:nvSpPr>
        <cdr:cNvPr id="2" name="TextBox 1">
          <a:extLst xmlns:a="http://schemas.openxmlformats.org/drawingml/2006/main">
            <a:ext uri="{FF2B5EF4-FFF2-40B4-BE49-F238E27FC236}">
              <a16:creationId xmlns:a16="http://schemas.microsoft.com/office/drawing/2014/main" id="{6EC6F90A-0D36-75C0-84C9-7EB75EA07E48}"/>
            </a:ext>
          </a:extLst>
        </cdr:cNvPr>
        <cdr:cNvSpPr txBox="1"/>
      </cdr:nvSpPr>
      <cdr:spPr>
        <a:xfrm xmlns:a="http://schemas.openxmlformats.org/drawingml/2006/main">
          <a:off x="2616200" y="0"/>
          <a:ext cx="1939900" cy="50802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200" b="1" kern="1200">
              <a:latin typeface="Arial Nova Cond" panose="020B0506020202020204" pitchFamily="34" charset="0"/>
            </a:rPr>
            <a:t>1.45</a:t>
          </a:r>
          <a:r>
            <a:rPr lang="en-US" sz="1200" b="1" kern="1200" baseline="0">
              <a:latin typeface="Arial Nova Cond" panose="020B0506020202020204" pitchFamily="34" charset="0"/>
            </a:rPr>
            <a:t> M TONNES-YR</a:t>
          </a:r>
          <a:r>
            <a:rPr lang="en-US" sz="1200" b="1" kern="1200" baseline="30000">
              <a:latin typeface="Arial Nova Cond" panose="020B0506020202020204" pitchFamily="34" charset="0"/>
            </a:rPr>
            <a:t>-1</a:t>
          </a:r>
        </a:p>
        <a:p xmlns:a="http://schemas.openxmlformats.org/drawingml/2006/main">
          <a:pPr algn="r"/>
          <a:r>
            <a:rPr lang="en-US" sz="1100" b="0" kern="1200" baseline="0">
              <a:latin typeface="Arial Nova Cond" panose="020B0506020202020204" pitchFamily="34" charset="0"/>
            </a:rPr>
            <a:t>ORGANIC WET WASTE FEED</a:t>
          </a:r>
          <a:endParaRPr lang="en-US" sz="1100" b="0" kern="1200">
            <a:latin typeface="Arial Nova Cond" panose="020B0506020202020204" pitchFamily="34" charset="0"/>
          </a:endParaRPr>
        </a:p>
      </cdr:txBody>
    </cdr:sp>
  </cdr:relSizeAnchor>
</c:userShapes>
</file>

<file path=xl/drawings/drawing53.xml><?xml version="1.0" encoding="utf-8"?>
<c:userShapes xmlns:c="http://schemas.openxmlformats.org/drawingml/2006/chart">
  <cdr:relSizeAnchor xmlns:cdr="http://schemas.openxmlformats.org/drawingml/2006/chartDrawing">
    <cdr:from>
      <cdr:x>0.57511</cdr:x>
      <cdr:y>0.00753</cdr:y>
    </cdr:from>
    <cdr:to>
      <cdr:x>1</cdr:x>
      <cdr:y>0.1582</cdr:y>
    </cdr:to>
    <cdr:sp macro="" textlink="">
      <cdr:nvSpPr>
        <cdr:cNvPr id="2" name="TextBox 1">
          <a:extLst xmlns:a="http://schemas.openxmlformats.org/drawingml/2006/main">
            <a:ext uri="{FF2B5EF4-FFF2-40B4-BE49-F238E27FC236}">
              <a16:creationId xmlns:a16="http://schemas.microsoft.com/office/drawing/2014/main" id="{4839B4D7-0F00-9C88-4C7C-F972C9F5A6CA}"/>
            </a:ext>
          </a:extLst>
        </cdr:cNvPr>
        <cdr:cNvSpPr txBox="1"/>
      </cdr:nvSpPr>
      <cdr:spPr>
        <a:xfrm xmlns:a="http://schemas.openxmlformats.org/drawingml/2006/main">
          <a:off x="2625750" y="25400"/>
          <a:ext cx="1939900" cy="50802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200" b="1" kern="1200">
              <a:latin typeface="Arial Nova Cond" panose="020B0506020202020204" pitchFamily="34" charset="0"/>
            </a:rPr>
            <a:t>1.45</a:t>
          </a:r>
          <a:r>
            <a:rPr lang="en-US" sz="1200" b="1" kern="1200" baseline="0">
              <a:latin typeface="Arial Nova Cond" panose="020B0506020202020204" pitchFamily="34" charset="0"/>
            </a:rPr>
            <a:t> M TONNES-YR</a:t>
          </a:r>
          <a:r>
            <a:rPr lang="en-US" sz="1200" b="1" kern="1200" baseline="30000">
              <a:latin typeface="Arial Nova Cond" panose="020B0506020202020204" pitchFamily="34" charset="0"/>
            </a:rPr>
            <a:t>-1</a:t>
          </a:r>
        </a:p>
        <a:p xmlns:a="http://schemas.openxmlformats.org/drawingml/2006/main">
          <a:pPr algn="r"/>
          <a:r>
            <a:rPr lang="en-US" sz="1100" b="0" kern="1200" baseline="0">
              <a:latin typeface="Arial Nova Cond" panose="020B0506020202020204" pitchFamily="34" charset="0"/>
            </a:rPr>
            <a:t>ORGANIC WET WASTE FEED</a:t>
          </a:r>
          <a:endParaRPr lang="en-US" sz="1100" b="0" kern="1200">
            <a:latin typeface="Arial Nova Cond" panose="020B0506020202020204" pitchFamily="34" charset="0"/>
          </a:endParaRPr>
        </a:p>
      </cdr:txBody>
    </cdr:sp>
  </cdr:relSizeAnchor>
</c:userShapes>
</file>

<file path=xl/drawings/drawing54.xml><?xml version="1.0" encoding="utf-8"?>
<xdr:wsDr xmlns:xdr="http://schemas.openxmlformats.org/drawingml/2006/spreadsheetDrawing" xmlns:a="http://schemas.openxmlformats.org/drawingml/2006/main">
  <xdr:twoCellAnchor>
    <xdr:from>
      <xdr:col>14</xdr:col>
      <xdr:colOff>184150</xdr:colOff>
      <xdr:row>39</xdr:row>
      <xdr:rowOff>95250</xdr:rowOff>
    </xdr:from>
    <xdr:to>
      <xdr:col>21</xdr:col>
      <xdr:colOff>488950</xdr:colOff>
      <xdr:row>52</xdr:row>
      <xdr:rowOff>114300</xdr:rowOff>
    </xdr:to>
    <xdr:graphicFrame macro="">
      <xdr:nvGraphicFramePr>
        <xdr:cNvPr id="2" name="Chart 1">
          <a:extLst>
            <a:ext uri="{FF2B5EF4-FFF2-40B4-BE49-F238E27FC236}">
              <a16:creationId xmlns:a16="http://schemas.microsoft.com/office/drawing/2014/main" id="{7B9D403B-A5A6-D88E-70BA-63F53898E3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228600</xdr:colOff>
      <xdr:row>120</xdr:row>
      <xdr:rowOff>120650</xdr:rowOff>
    </xdr:from>
    <xdr:to>
      <xdr:col>6</xdr:col>
      <xdr:colOff>400050</xdr:colOff>
      <xdr:row>138</xdr:row>
      <xdr:rowOff>177800</xdr:rowOff>
    </xdr:to>
    <xdr:graphicFrame macro="">
      <xdr:nvGraphicFramePr>
        <xdr:cNvPr id="4" name="Chart 3">
          <a:extLst>
            <a:ext uri="{FF2B5EF4-FFF2-40B4-BE49-F238E27FC236}">
              <a16:creationId xmlns:a16="http://schemas.microsoft.com/office/drawing/2014/main" id="{375278FB-1AD4-4F79-838E-E7C23BFDC0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520700</xdr:colOff>
      <xdr:row>120</xdr:row>
      <xdr:rowOff>158750</xdr:rowOff>
    </xdr:from>
    <xdr:to>
      <xdr:col>11</xdr:col>
      <xdr:colOff>143</xdr:colOff>
      <xdr:row>139</xdr:row>
      <xdr:rowOff>31280</xdr:rowOff>
    </xdr:to>
    <xdr:pic>
      <xdr:nvPicPr>
        <xdr:cNvPr id="5" name="Picture 4">
          <a:extLst>
            <a:ext uri="{FF2B5EF4-FFF2-40B4-BE49-F238E27FC236}">
              <a16:creationId xmlns:a16="http://schemas.microsoft.com/office/drawing/2014/main" id="{F374F869-37E3-49D5-85D7-83A6A60D87A4}"/>
            </a:ext>
          </a:extLst>
        </xdr:cNvPr>
        <xdr:cNvPicPr>
          <a:picLocks noChangeAspect="1"/>
        </xdr:cNvPicPr>
      </xdr:nvPicPr>
      <xdr:blipFill>
        <a:blip xmlns:r="http://schemas.openxmlformats.org/officeDocument/2006/relationships" r:embed="rId3"/>
        <a:stretch>
          <a:fillRect/>
        </a:stretch>
      </xdr:blipFill>
      <xdr:spPr>
        <a:xfrm>
          <a:off x="8242300" y="24034750"/>
          <a:ext cx="4578493" cy="3371380"/>
        </a:xfrm>
        <a:prstGeom prst="rect">
          <a:avLst/>
        </a:prstGeom>
      </xdr:spPr>
    </xdr:pic>
    <xdr:clientData/>
  </xdr:twoCellAnchor>
</xdr:wsDr>
</file>

<file path=xl/drawings/drawing55.xml><?xml version="1.0" encoding="utf-8"?>
<c:userShapes xmlns:c="http://schemas.openxmlformats.org/drawingml/2006/chart">
  <cdr:relSizeAnchor xmlns:cdr="http://schemas.openxmlformats.org/drawingml/2006/chartDrawing">
    <cdr:from>
      <cdr:x>0.57511</cdr:x>
      <cdr:y>0.00753</cdr:y>
    </cdr:from>
    <cdr:to>
      <cdr:x>1</cdr:x>
      <cdr:y>0.1582</cdr:y>
    </cdr:to>
    <cdr:sp macro="" textlink="">
      <cdr:nvSpPr>
        <cdr:cNvPr id="2" name="TextBox 1">
          <a:extLst xmlns:a="http://schemas.openxmlformats.org/drawingml/2006/main">
            <a:ext uri="{FF2B5EF4-FFF2-40B4-BE49-F238E27FC236}">
              <a16:creationId xmlns:a16="http://schemas.microsoft.com/office/drawing/2014/main" id="{4839B4D7-0F00-9C88-4C7C-F972C9F5A6CA}"/>
            </a:ext>
          </a:extLst>
        </cdr:cNvPr>
        <cdr:cNvSpPr txBox="1"/>
      </cdr:nvSpPr>
      <cdr:spPr>
        <a:xfrm xmlns:a="http://schemas.openxmlformats.org/drawingml/2006/main">
          <a:off x="2625750" y="25400"/>
          <a:ext cx="1939900" cy="50802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200" b="1" kern="1200">
              <a:latin typeface="Arial Nova Cond" panose="020B0506020202020204" pitchFamily="34" charset="0"/>
            </a:rPr>
            <a:t>1.45</a:t>
          </a:r>
          <a:r>
            <a:rPr lang="en-US" sz="1200" b="1" kern="1200" baseline="0">
              <a:latin typeface="Arial Nova Cond" panose="020B0506020202020204" pitchFamily="34" charset="0"/>
            </a:rPr>
            <a:t> M TONNES-YR</a:t>
          </a:r>
          <a:r>
            <a:rPr lang="en-US" sz="1200" b="1" kern="1200" baseline="30000">
              <a:latin typeface="Arial Nova Cond" panose="020B0506020202020204" pitchFamily="34" charset="0"/>
            </a:rPr>
            <a:t>-1</a:t>
          </a:r>
        </a:p>
        <a:p xmlns:a="http://schemas.openxmlformats.org/drawingml/2006/main">
          <a:pPr algn="r"/>
          <a:r>
            <a:rPr lang="en-US" sz="1100" b="0" kern="1200" baseline="0">
              <a:latin typeface="Arial Nova Cond" panose="020B0506020202020204" pitchFamily="34" charset="0"/>
            </a:rPr>
            <a:t>ORGANIC WET WASTE FEED</a:t>
          </a:r>
          <a:endParaRPr lang="en-US" sz="1100" b="0" kern="1200">
            <a:latin typeface="Arial Nova Cond" panose="020B0506020202020204" pitchFamily="34" charset="0"/>
          </a:endParaRPr>
        </a:p>
      </cdr:txBody>
    </cdr:sp>
  </cdr:relSizeAnchor>
</c:userShapes>
</file>

<file path=xl/drawings/drawing56.xml><?xml version="1.0" encoding="utf-8"?>
<xdr:wsDr xmlns:xdr="http://schemas.openxmlformats.org/drawingml/2006/spreadsheetDrawing" xmlns:a="http://schemas.openxmlformats.org/drawingml/2006/main">
  <xdr:twoCellAnchor>
    <xdr:from>
      <xdr:col>35</xdr:col>
      <xdr:colOff>221115</xdr:colOff>
      <xdr:row>102</xdr:row>
      <xdr:rowOff>12924</xdr:rowOff>
    </xdr:from>
    <xdr:to>
      <xdr:col>49</xdr:col>
      <xdr:colOff>128815</xdr:colOff>
      <xdr:row>131</xdr:row>
      <xdr:rowOff>85271</xdr:rowOff>
    </xdr:to>
    <xdr:graphicFrame macro="">
      <xdr:nvGraphicFramePr>
        <xdr:cNvPr id="5" name="Chart 4">
          <a:extLst>
            <a:ext uri="{FF2B5EF4-FFF2-40B4-BE49-F238E27FC236}">
              <a16:creationId xmlns:a16="http://schemas.microsoft.com/office/drawing/2014/main" id="{6C7EB9EE-8CA7-4F14-9047-12BCB3F507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501196</xdr:colOff>
      <xdr:row>136</xdr:row>
      <xdr:rowOff>136979</xdr:rowOff>
    </xdr:from>
    <xdr:to>
      <xdr:col>7</xdr:col>
      <xdr:colOff>157844</xdr:colOff>
      <xdr:row>161</xdr:row>
      <xdr:rowOff>69850</xdr:rowOff>
    </xdr:to>
    <xdr:graphicFrame macro="">
      <xdr:nvGraphicFramePr>
        <xdr:cNvPr id="10" name="Chart 9">
          <a:extLst>
            <a:ext uri="{FF2B5EF4-FFF2-40B4-BE49-F238E27FC236}">
              <a16:creationId xmlns:a16="http://schemas.microsoft.com/office/drawing/2014/main" id="{01C31FD3-B361-716E-DFB0-523A919151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7.xml><?xml version="1.0" encoding="utf-8"?>
<c:userShapes xmlns:c="http://schemas.openxmlformats.org/drawingml/2006/chart">
  <cdr:relSizeAnchor xmlns:cdr="http://schemas.openxmlformats.org/drawingml/2006/chartDrawing">
    <cdr:from>
      <cdr:x>0.67305</cdr:x>
      <cdr:y>0.0112</cdr:y>
    </cdr:from>
    <cdr:to>
      <cdr:x>0.99832</cdr:x>
      <cdr:y>0.12326</cdr:y>
    </cdr:to>
    <cdr:sp macro="" textlink="">
      <cdr:nvSpPr>
        <cdr:cNvPr id="2" name="TextBox 1">
          <a:extLst xmlns:a="http://schemas.openxmlformats.org/drawingml/2006/main">
            <a:ext uri="{FF2B5EF4-FFF2-40B4-BE49-F238E27FC236}">
              <a16:creationId xmlns:a16="http://schemas.microsoft.com/office/drawing/2014/main" id="{B01C7DBB-6ED1-8BC7-61CC-339AC36A42B9}"/>
            </a:ext>
          </a:extLst>
        </cdr:cNvPr>
        <cdr:cNvSpPr txBox="1"/>
      </cdr:nvSpPr>
      <cdr:spPr>
        <a:xfrm xmlns:a="http://schemas.openxmlformats.org/drawingml/2006/main">
          <a:off x="4019550" y="50800"/>
          <a:ext cx="1942597" cy="50803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200" b="1" kern="1200">
              <a:latin typeface="Arial Nova Cond" panose="020B0506020202020204" pitchFamily="34" charset="0"/>
            </a:rPr>
            <a:t>1.45</a:t>
          </a:r>
          <a:r>
            <a:rPr lang="en-US" sz="1200" b="1" kern="1200" baseline="0">
              <a:latin typeface="Arial Nova Cond" panose="020B0506020202020204" pitchFamily="34" charset="0"/>
            </a:rPr>
            <a:t> M TONNES-YR</a:t>
          </a:r>
          <a:r>
            <a:rPr lang="en-US" sz="1200" b="1" kern="1200" baseline="30000">
              <a:latin typeface="Arial Nova Cond" panose="020B0506020202020204" pitchFamily="34" charset="0"/>
            </a:rPr>
            <a:t>-1</a:t>
          </a:r>
        </a:p>
        <a:p xmlns:a="http://schemas.openxmlformats.org/drawingml/2006/main">
          <a:pPr algn="r"/>
          <a:r>
            <a:rPr lang="en-US" sz="1100" b="0" kern="1200" baseline="0">
              <a:latin typeface="Arial Nova Cond" panose="020B0506020202020204" pitchFamily="34" charset="0"/>
            </a:rPr>
            <a:t>ORGANIC WET WASTE FEED</a:t>
          </a:r>
          <a:endParaRPr lang="en-US" sz="1100" b="0" kern="1200">
            <a:latin typeface="Arial Nova Cond" panose="020B0506020202020204" pitchFamily="34" charset="0"/>
          </a:endParaRPr>
        </a:p>
      </cdr:txBody>
    </cdr:sp>
  </cdr:relSizeAnchor>
</c:userShapes>
</file>

<file path=xl/drawings/drawing58.xml><?xml version="1.0" encoding="utf-8"?>
<xdr:wsDr xmlns:xdr="http://schemas.openxmlformats.org/drawingml/2006/spreadsheetDrawing" xmlns:a="http://schemas.openxmlformats.org/drawingml/2006/main">
  <xdr:twoCellAnchor editAs="oneCell">
    <xdr:from>
      <xdr:col>4</xdr:col>
      <xdr:colOff>38099</xdr:colOff>
      <xdr:row>4</xdr:row>
      <xdr:rowOff>1</xdr:rowOff>
    </xdr:from>
    <xdr:to>
      <xdr:col>8</xdr:col>
      <xdr:colOff>172270</xdr:colOff>
      <xdr:row>16</xdr:row>
      <xdr:rowOff>158750</xdr:rowOff>
    </xdr:to>
    <xdr:pic>
      <xdr:nvPicPr>
        <xdr:cNvPr id="2" name="Picture 1">
          <a:extLst>
            <a:ext uri="{FF2B5EF4-FFF2-40B4-BE49-F238E27FC236}">
              <a16:creationId xmlns:a16="http://schemas.microsoft.com/office/drawing/2014/main" id="{FA15D69F-2E3A-474F-B7E7-80893C0DF7EE}"/>
            </a:ext>
          </a:extLst>
        </xdr:cNvPr>
        <xdr:cNvPicPr>
          <a:picLocks noChangeAspect="1"/>
        </xdr:cNvPicPr>
      </xdr:nvPicPr>
      <xdr:blipFill rotWithShape="1">
        <a:blip xmlns:r="http://schemas.openxmlformats.org/officeDocument/2006/relationships" r:embed="rId1"/>
        <a:srcRect t="20574" b="16522"/>
        <a:stretch>
          <a:fillRect/>
        </a:stretch>
      </xdr:blipFill>
      <xdr:spPr>
        <a:xfrm>
          <a:off x="6991349" y="736601"/>
          <a:ext cx="5201471" cy="2368549"/>
        </a:xfrm>
        <a:prstGeom prst="rect">
          <a:avLst/>
        </a:prstGeom>
      </xdr:spPr>
    </xdr:pic>
    <xdr:clientData/>
  </xdr:twoCellAnchor>
  <xdr:twoCellAnchor>
    <xdr:from>
      <xdr:col>0</xdr:col>
      <xdr:colOff>361950</xdr:colOff>
      <xdr:row>92</xdr:row>
      <xdr:rowOff>107950</xdr:rowOff>
    </xdr:from>
    <xdr:to>
      <xdr:col>5</xdr:col>
      <xdr:colOff>838200</xdr:colOff>
      <xdr:row>120</xdr:row>
      <xdr:rowOff>146050</xdr:rowOff>
    </xdr:to>
    <xdr:graphicFrame macro="">
      <xdr:nvGraphicFramePr>
        <xdr:cNvPr id="3" name="Chart 2">
          <a:extLst>
            <a:ext uri="{FF2B5EF4-FFF2-40B4-BE49-F238E27FC236}">
              <a16:creationId xmlns:a16="http://schemas.microsoft.com/office/drawing/2014/main" id="{02E6F675-4A0B-45C1-8053-897F67D391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165100</xdr:colOff>
      <xdr:row>3</xdr:row>
      <xdr:rowOff>133350</xdr:rowOff>
    </xdr:from>
    <xdr:to>
      <xdr:col>12</xdr:col>
      <xdr:colOff>882650</xdr:colOff>
      <xdr:row>16</xdr:row>
      <xdr:rowOff>119496</xdr:rowOff>
    </xdr:to>
    <xdr:pic>
      <xdr:nvPicPr>
        <xdr:cNvPr id="6" name="Picture 5">
          <a:extLst>
            <a:ext uri="{FF2B5EF4-FFF2-40B4-BE49-F238E27FC236}">
              <a16:creationId xmlns:a16="http://schemas.microsoft.com/office/drawing/2014/main" id="{F0776173-A425-46C4-8389-A22D360190CD}"/>
            </a:ext>
          </a:extLst>
        </xdr:cNvPr>
        <xdr:cNvPicPr>
          <a:picLocks noChangeAspect="1"/>
        </xdr:cNvPicPr>
      </xdr:nvPicPr>
      <xdr:blipFill>
        <a:blip xmlns:r="http://schemas.openxmlformats.org/officeDocument/2006/relationships" r:embed="rId3"/>
        <a:stretch>
          <a:fillRect/>
        </a:stretch>
      </xdr:blipFill>
      <xdr:spPr>
        <a:xfrm>
          <a:off x="12185650" y="685800"/>
          <a:ext cx="6432550" cy="2380096"/>
        </a:xfrm>
        <a:prstGeom prst="rect">
          <a:avLst/>
        </a:prstGeom>
      </xdr:spPr>
    </xdr:pic>
    <xdr:clientData/>
  </xdr:twoCellAnchor>
</xdr:wsDr>
</file>

<file path=xl/drawings/drawing59.xml><?xml version="1.0" encoding="utf-8"?>
<c:userShapes xmlns:c="http://schemas.openxmlformats.org/drawingml/2006/chart">
  <cdr:relSizeAnchor xmlns:cdr="http://schemas.openxmlformats.org/drawingml/2006/chartDrawing">
    <cdr:from>
      <cdr:x>0.07855</cdr:x>
      <cdr:y>0.10714</cdr:y>
    </cdr:from>
    <cdr:to>
      <cdr:x>0.52753</cdr:x>
      <cdr:y>0.91565</cdr:y>
    </cdr:to>
    <cdr:sp macro="" textlink="">
      <cdr:nvSpPr>
        <cdr:cNvPr id="2" name="Rectangle 1">
          <a:extLst xmlns:a="http://schemas.openxmlformats.org/drawingml/2006/main">
            <a:ext uri="{FF2B5EF4-FFF2-40B4-BE49-F238E27FC236}">
              <a16:creationId xmlns:a16="http://schemas.microsoft.com/office/drawing/2014/main" id="{BDF87181-9063-8789-7B5E-2C7218FD17F5}"/>
            </a:ext>
          </a:extLst>
        </cdr:cNvPr>
        <cdr:cNvSpPr/>
      </cdr:nvSpPr>
      <cdr:spPr>
        <a:xfrm xmlns:a="http://schemas.openxmlformats.org/drawingml/2006/main">
          <a:off x="670393" y="556532"/>
          <a:ext cx="3831757" cy="4199618"/>
        </a:xfrm>
        <a:prstGeom xmlns:a="http://schemas.openxmlformats.org/drawingml/2006/main" prst="rect">
          <a:avLst/>
        </a:prstGeom>
        <a:noFill xmlns:a="http://schemas.openxmlformats.org/drawingml/2006/main"/>
        <a:ln xmlns:a="http://schemas.openxmlformats.org/drawingml/2006/main">
          <a:solidFill>
            <a:sysClr val="windowText" lastClr="00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0.53348</cdr:x>
      <cdr:y>0.10714</cdr:y>
    </cdr:from>
    <cdr:to>
      <cdr:x>0.98586</cdr:x>
      <cdr:y>0.91565</cdr:y>
    </cdr:to>
    <cdr:sp macro="" textlink="">
      <cdr:nvSpPr>
        <cdr:cNvPr id="3" name="Rectangle 2">
          <a:extLst xmlns:a="http://schemas.openxmlformats.org/drawingml/2006/main">
            <a:ext uri="{FF2B5EF4-FFF2-40B4-BE49-F238E27FC236}">
              <a16:creationId xmlns:a16="http://schemas.microsoft.com/office/drawing/2014/main" id="{2846CB3E-CBBD-DF86-480E-49A68DEB54D4}"/>
            </a:ext>
          </a:extLst>
        </cdr:cNvPr>
        <cdr:cNvSpPr/>
      </cdr:nvSpPr>
      <cdr:spPr>
        <a:xfrm xmlns:a="http://schemas.openxmlformats.org/drawingml/2006/main">
          <a:off x="4552950" y="556532"/>
          <a:ext cx="3860800" cy="4199618"/>
        </a:xfrm>
        <a:prstGeom xmlns:a="http://schemas.openxmlformats.org/drawingml/2006/main" prst="rect">
          <a:avLst/>
        </a:prstGeom>
        <a:noFill xmlns:a="http://schemas.openxmlformats.org/drawingml/2006/main"/>
        <a:ln xmlns:a="http://schemas.openxmlformats.org/drawingml/2006/main">
          <a:solidFill>
            <a:sysClr val="windowText" lastClr="00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0.17932</cdr:x>
      <cdr:y>0.83863</cdr:y>
    </cdr:from>
    <cdr:to>
      <cdr:x>0.42336</cdr:x>
      <cdr:y>0.8802</cdr:y>
    </cdr:to>
    <cdr:sp macro="" textlink="">
      <cdr:nvSpPr>
        <cdr:cNvPr id="4" name="TextBox 3">
          <a:extLst xmlns:a="http://schemas.openxmlformats.org/drawingml/2006/main">
            <a:ext uri="{FF2B5EF4-FFF2-40B4-BE49-F238E27FC236}">
              <a16:creationId xmlns:a16="http://schemas.microsoft.com/office/drawing/2014/main" id="{9D86BA02-F146-FC26-FC2F-CB5A7D09863A}"/>
            </a:ext>
          </a:extLst>
        </cdr:cNvPr>
        <cdr:cNvSpPr txBox="1"/>
      </cdr:nvSpPr>
      <cdr:spPr>
        <a:xfrm xmlns:a="http://schemas.openxmlformats.org/drawingml/2006/main">
          <a:off x="1530350" y="4356100"/>
          <a:ext cx="2082800" cy="215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0.17485</cdr:x>
      <cdr:y>0.82763</cdr:y>
    </cdr:from>
    <cdr:to>
      <cdr:x>0.43676</cdr:x>
      <cdr:y>0.87897</cdr:y>
    </cdr:to>
    <cdr:sp macro="" textlink="">
      <cdr:nvSpPr>
        <cdr:cNvPr id="5" name="TextBox 4">
          <a:extLst xmlns:a="http://schemas.openxmlformats.org/drawingml/2006/main">
            <a:ext uri="{FF2B5EF4-FFF2-40B4-BE49-F238E27FC236}">
              <a16:creationId xmlns:a16="http://schemas.microsoft.com/office/drawing/2014/main" id="{9905D152-C3FB-4CED-EE4C-7F736214A0C4}"/>
            </a:ext>
          </a:extLst>
        </cdr:cNvPr>
        <cdr:cNvSpPr txBox="1"/>
      </cdr:nvSpPr>
      <cdr:spPr>
        <a:xfrm xmlns:a="http://schemas.openxmlformats.org/drawingml/2006/main">
          <a:off x="1492250" y="4298950"/>
          <a:ext cx="2235200" cy="2667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200" b="1" kern="1200">
              <a:latin typeface="Arial Nova Cond" panose="020B0506020202020204" pitchFamily="34" charset="0"/>
            </a:rPr>
            <a:t>Pilot Scale</a:t>
          </a:r>
          <a:r>
            <a:rPr lang="en-US" sz="1200" b="1" kern="1200" baseline="0">
              <a:latin typeface="Arial Nova Cond" panose="020B0506020202020204" pitchFamily="34" charset="0"/>
            </a:rPr>
            <a:t> - 483,000 Tonne/Year</a:t>
          </a:r>
          <a:endParaRPr lang="en-US" sz="1200" b="1" kern="1200">
            <a:latin typeface="Arial Nova Cond" panose="020B0506020202020204" pitchFamily="34" charset="0"/>
          </a:endParaRPr>
        </a:p>
      </cdr:txBody>
    </cdr:sp>
  </cdr:relSizeAnchor>
  <cdr:relSizeAnchor xmlns:cdr="http://schemas.openxmlformats.org/drawingml/2006/chartDrawing">
    <cdr:from>
      <cdr:x>0.13914</cdr:x>
      <cdr:y>0.86675</cdr:y>
    </cdr:from>
    <cdr:to>
      <cdr:x>0.47619</cdr:x>
      <cdr:y>0.91809</cdr:y>
    </cdr:to>
    <cdr:sp macro="" textlink="">
      <cdr:nvSpPr>
        <cdr:cNvPr id="6" name="TextBox 1">
          <a:extLst xmlns:a="http://schemas.openxmlformats.org/drawingml/2006/main">
            <a:ext uri="{FF2B5EF4-FFF2-40B4-BE49-F238E27FC236}">
              <a16:creationId xmlns:a16="http://schemas.microsoft.com/office/drawing/2014/main" id="{06046157-46C6-42CA-A7D3-5DE60D39F0C2}"/>
            </a:ext>
          </a:extLst>
        </cdr:cNvPr>
        <cdr:cNvSpPr txBox="1"/>
      </cdr:nvSpPr>
      <cdr:spPr>
        <a:xfrm xmlns:a="http://schemas.openxmlformats.org/drawingml/2006/main">
          <a:off x="1187450" y="4502150"/>
          <a:ext cx="2876550" cy="2667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050" b="0" kern="1200">
              <a:latin typeface="Arial Nova Cond" panose="020B0506020202020204" pitchFamily="34" charset="0"/>
            </a:rPr>
            <a:t>Path A SAF Production | Coproducts Excluded</a:t>
          </a:r>
        </a:p>
      </cdr:txBody>
    </cdr:sp>
  </cdr:relSizeAnchor>
  <cdr:relSizeAnchor xmlns:cdr="http://schemas.openxmlformats.org/drawingml/2006/chartDrawing">
    <cdr:from>
      <cdr:x>0.08408</cdr:x>
      <cdr:y>0.11736</cdr:y>
    </cdr:from>
    <cdr:to>
      <cdr:x>0.30283</cdr:x>
      <cdr:y>0.82684</cdr:y>
    </cdr:to>
    <cdr:sp macro="" textlink="">
      <cdr:nvSpPr>
        <cdr:cNvPr id="12" name="Rectangle 11">
          <a:extLst xmlns:a="http://schemas.openxmlformats.org/drawingml/2006/main">
            <a:ext uri="{FF2B5EF4-FFF2-40B4-BE49-F238E27FC236}">
              <a16:creationId xmlns:a16="http://schemas.microsoft.com/office/drawing/2014/main" id="{F6A99D0C-574F-3983-43CF-732BBCD48CA9}"/>
            </a:ext>
          </a:extLst>
        </cdr:cNvPr>
        <cdr:cNvSpPr/>
      </cdr:nvSpPr>
      <cdr:spPr>
        <a:xfrm xmlns:a="http://schemas.openxmlformats.org/drawingml/2006/main">
          <a:off x="717550" y="609600"/>
          <a:ext cx="1866900" cy="3685268"/>
        </a:xfrm>
        <a:prstGeom xmlns:a="http://schemas.openxmlformats.org/drawingml/2006/main" prst="rect">
          <a:avLst/>
        </a:prstGeom>
        <a:noFill xmlns:a="http://schemas.openxmlformats.org/drawingml/2006/main"/>
        <a:ln xmlns:a="http://schemas.openxmlformats.org/drawingml/2006/main">
          <a:solidFill>
            <a:schemeClr val="bg2">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0.08482</cdr:x>
      <cdr:y>0.76773</cdr:y>
    </cdr:from>
    <cdr:to>
      <cdr:x>0.30283</cdr:x>
      <cdr:y>0.81907</cdr:y>
    </cdr:to>
    <cdr:sp macro="" textlink="">
      <cdr:nvSpPr>
        <cdr:cNvPr id="13" name="TextBox 1">
          <a:extLst xmlns:a="http://schemas.openxmlformats.org/drawingml/2006/main">
            <a:ext uri="{FF2B5EF4-FFF2-40B4-BE49-F238E27FC236}">
              <a16:creationId xmlns:a16="http://schemas.microsoft.com/office/drawing/2014/main" id="{49AA5B88-9004-CD1E-8490-85EEDC468CD5}"/>
            </a:ext>
          </a:extLst>
        </cdr:cNvPr>
        <cdr:cNvSpPr txBox="1"/>
      </cdr:nvSpPr>
      <cdr:spPr>
        <a:xfrm xmlns:a="http://schemas.openxmlformats.org/drawingml/2006/main">
          <a:off x="723900" y="3987800"/>
          <a:ext cx="1860550" cy="2667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1" kern="1200">
              <a:latin typeface="Arial Nova Cond" panose="020B0506020202020204" pitchFamily="34" charset="0"/>
            </a:rPr>
            <a:t>Energy </a:t>
          </a:r>
          <a:r>
            <a:rPr lang="en-US" sz="1200" b="0" kern="1200">
              <a:latin typeface="Arial Nova Cond" panose="020B0506020202020204" pitchFamily="34" charset="0"/>
            </a:rPr>
            <a:t>[$/kWh]</a:t>
          </a:r>
        </a:p>
      </cdr:txBody>
    </cdr:sp>
  </cdr:relSizeAnchor>
  <cdr:relSizeAnchor xmlns:cdr="http://schemas.openxmlformats.org/drawingml/2006/chartDrawing">
    <cdr:from>
      <cdr:x>0.30878</cdr:x>
      <cdr:y>0.11736</cdr:y>
    </cdr:from>
    <cdr:to>
      <cdr:x>0.52158</cdr:x>
      <cdr:y>0.82684</cdr:y>
    </cdr:to>
    <cdr:sp macro="" textlink="">
      <cdr:nvSpPr>
        <cdr:cNvPr id="14" name="Rectangle 13">
          <a:extLst xmlns:a="http://schemas.openxmlformats.org/drawingml/2006/main">
            <a:ext uri="{FF2B5EF4-FFF2-40B4-BE49-F238E27FC236}">
              <a16:creationId xmlns:a16="http://schemas.microsoft.com/office/drawing/2014/main" id="{A640DEF2-D1E5-79B4-65D9-342DD1502743}"/>
            </a:ext>
          </a:extLst>
        </cdr:cNvPr>
        <cdr:cNvSpPr/>
      </cdr:nvSpPr>
      <cdr:spPr>
        <a:xfrm xmlns:a="http://schemas.openxmlformats.org/drawingml/2006/main">
          <a:off x="2635250" y="609600"/>
          <a:ext cx="1816100" cy="3685268"/>
        </a:xfrm>
        <a:prstGeom xmlns:a="http://schemas.openxmlformats.org/drawingml/2006/main" prst="rect">
          <a:avLst/>
        </a:prstGeom>
        <a:noFill xmlns:a="http://schemas.openxmlformats.org/drawingml/2006/main"/>
        <a:ln xmlns:a="http://schemas.openxmlformats.org/drawingml/2006/main">
          <a:solidFill>
            <a:schemeClr val="bg2">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0.30952</cdr:x>
      <cdr:y>0.76895</cdr:y>
    </cdr:from>
    <cdr:to>
      <cdr:x>0.52232</cdr:x>
      <cdr:y>0.82029</cdr:y>
    </cdr:to>
    <cdr:sp macro="" textlink="">
      <cdr:nvSpPr>
        <cdr:cNvPr id="15" name="TextBox 1">
          <a:extLst xmlns:a="http://schemas.openxmlformats.org/drawingml/2006/main">
            <a:ext uri="{FF2B5EF4-FFF2-40B4-BE49-F238E27FC236}">
              <a16:creationId xmlns:a16="http://schemas.microsoft.com/office/drawing/2014/main" id="{FA134152-D6DA-FB79-DBA4-A7846C20816F}"/>
            </a:ext>
          </a:extLst>
        </cdr:cNvPr>
        <cdr:cNvSpPr txBox="1"/>
      </cdr:nvSpPr>
      <cdr:spPr>
        <a:xfrm xmlns:a="http://schemas.openxmlformats.org/drawingml/2006/main">
          <a:off x="2641600" y="3994150"/>
          <a:ext cx="1816100" cy="2667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1" kern="1200">
              <a:latin typeface="Arial Nova Cond" panose="020B0506020202020204" pitchFamily="34" charset="0"/>
            </a:rPr>
            <a:t>Disposal </a:t>
          </a:r>
          <a:r>
            <a:rPr lang="en-US" sz="1200" b="0" kern="1200">
              <a:latin typeface="Arial Nova Cond" panose="020B0506020202020204" pitchFamily="34" charset="0"/>
            </a:rPr>
            <a:t>[$/kg]</a:t>
          </a:r>
        </a:p>
      </cdr:txBody>
    </cdr:sp>
  </cdr:relSizeAnchor>
  <cdr:relSizeAnchor xmlns:cdr="http://schemas.openxmlformats.org/drawingml/2006/chartDrawing">
    <cdr:from>
      <cdr:x>0.53869</cdr:x>
      <cdr:y>0.11614</cdr:y>
    </cdr:from>
    <cdr:to>
      <cdr:x>0.75744</cdr:x>
      <cdr:y>0.82562</cdr:y>
    </cdr:to>
    <cdr:sp macro="" textlink="">
      <cdr:nvSpPr>
        <cdr:cNvPr id="16" name="Rectangle 15">
          <a:extLst xmlns:a="http://schemas.openxmlformats.org/drawingml/2006/main">
            <a:ext uri="{FF2B5EF4-FFF2-40B4-BE49-F238E27FC236}">
              <a16:creationId xmlns:a16="http://schemas.microsoft.com/office/drawing/2014/main" id="{7D33B3C8-5CF2-874B-AC88-5226C0FF7406}"/>
            </a:ext>
          </a:extLst>
        </cdr:cNvPr>
        <cdr:cNvSpPr/>
      </cdr:nvSpPr>
      <cdr:spPr>
        <a:xfrm xmlns:a="http://schemas.openxmlformats.org/drawingml/2006/main">
          <a:off x="4597400" y="603250"/>
          <a:ext cx="1866900" cy="3685268"/>
        </a:xfrm>
        <a:prstGeom xmlns:a="http://schemas.openxmlformats.org/drawingml/2006/main" prst="rect">
          <a:avLst/>
        </a:prstGeom>
        <a:noFill xmlns:a="http://schemas.openxmlformats.org/drawingml/2006/main"/>
        <a:ln xmlns:a="http://schemas.openxmlformats.org/drawingml/2006/main">
          <a:solidFill>
            <a:schemeClr val="bg2">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0.76265</cdr:x>
      <cdr:y>0.11614</cdr:y>
    </cdr:from>
    <cdr:to>
      <cdr:x>0.9814</cdr:x>
      <cdr:y>0.82562</cdr:y>
    </cdr:to>
    <cdr:sp macro="" textlink="">
      <cdr:nvSpPr>
        <cdr:cNvPr id="17" name="Rectangle 16">
          <a:extLst xmlns:a="http://schemas.openxmlformats.org/drawingml/2006/main">
            <a:ext uri="{FF2B5EF4-FFF2-40B4-BE49-F238E27FC236}">
              <a16:creationId xmlns:a16="http://schemas.microsoft.com/office/drawing/2014/main" id="{5D3072C3-5BD3-C418-BF2D-50FB6AC79599}"/>
            </a:ext>
          </a:extLst>
        </cdr:cNvPr>
        <cdr:cNvSpPr/>
      </cdr:nvSpPr>
      <cdr:spPr>
        <a:xfrm xmlns:a="http://schemas.openxmlformats.org/drawingml/2006/main">
          <a:off x="6508750" y="603250"/>
          <a:ext cx="1866900" cy="3685268"/>
        </a:xfrm>
        <a:prstGeom xmlns:a="http://schemas.openxmlformats.org/drawingml/2006/main" prst="rect">
          <a:avLst/>
        </a:prstGeom>
        <a:noFill xmlns:a="http://schemas.openxmlformats.org/drawingml/2006/main"/>
        <a:ln xmlns:a="http://schemas.openxmlformats.org/drawingml/2006/main">
          <a:solidFill>
            <a:schemeClr val="bg2">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0.53943</cdr:x>
      <cdr:y>0.82641</cdr:y>
    </cdr:from>
    <cdr:to>
      <cdr:x>0.97991</cdr:x>
      <cdr:y>0.87775</cdr:y>
    </cdr:to>
    <cdr:sp macro="" textlink="">
      <cdr:nvSpPr>
        <cdr:cNvPr id="18" name="TextBox 1">
          <a:extLst xmlns:a="http://schemas.openxmlformats.org/drawingml/2006/main">
            <a:ext uri="{FF2B5EF4-FFF2-40B4-BE49-F238E27FC236}">
              <a16:creationId xmlns:a16="http://schemas.microsoft.com/office/drawing/2014/main" id="{CB865CF9-BF3F-DC09-5ECF-EB095FAA6F44}"/>
            </a:ext>
          </a:extLst>
        </cdr:cNvPr>
        <cdr:cNvSpPr txBox="1"/>
      </cdr:nvSpPr>
      <cdr:spPr>
        <a:xfrm xmlns:a="http://schemas.openxmlformats.org/drawingml/2006/main">
          <a:off x="4603750" y="4292600"/>
          <a:ext cx="3759200" cy="2667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1" kern="1200">
              <a:latin typeface="Arial Nova Cond" panose="020B0506020202020204" pitchFamily="34" charset="0"/>
            </a:rPr>
            <a:t>Commercial Scale </a:t>
          </a:r>
          <a:r>
            <a:rPr lang="en-US" sz="1200" b="1" kern="1200" baseline="0">
              <a:latin typeface="Arial Nova Cond" panose="020B0506020202020204" pitchFamily="34" charset="0"/>
            </a:rPr>
            <a:t>- 1,450,000 Tonne/Year</a:t>
          </a:r>
          <a:endParaRPr lang="en-US" sz="1200" b="1" kern="1200">
            <a:latin typeface="Arial Nova Cond" panose="020B0506020202020204" pitchFamily="34" charset="0"/>
          </a:endParaRPr>
        </a:p>
      </cdr:txBody>
    </cdr:sp>
  </cdr:relSizeAnchor>
  <cdr:relSizeAnchor xmlns:cdr="http://schemas.openxmlformats.org/drawingml/2006/chartDrawing">
    <cdr:from>
      <cdr:x>0.53497</cdr:x>
      <cdr:y>0.8643</cdr:y>
    </cdr:from>
    <cdr:to>
      <cdr:x>0.98661</cdr:x>
      <cdr:y>0.91565</cdr:y>
    </cdr:to>
    <cdr:sp macro="" textlink="">
      <cdr:nvSpPr>
        <cdr:cNvPr id="19" name="TextBox 1">
          <a:extLst xmlns:a="http://schemas.openxmlformats.org/drawingml/2006/main">
            <a:ext uri="{FF2B5EF4-FFF2-40B4-BE49-F238E27FC236}">
              <a16:creationId xmlns:a16="http://schemas.microsoft.com/office/drawing/2014/main" id="{F0F20770-71A6-3FC2-9667-6BF3D29DBB87}"/>
            </a:ext>
          </a:extLst>
        </cdr:cNvPr>
        <cdr:cNvSpPr txBox="1"/>
      </cdr:nvSpPr>
      <cdr:spPr>
        <a:xfrm xmlns:a="http://schemas.openxmlformats.org/drawingml/2006/main">
          <a:off x="4565650" y="4489450"/>
          <a:ext cx="3854450" cy="2667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050" b="0" kern="1200">
              <a:latin typeface="Arial Nova Cond" panose="020B0506020202020204" pitchFamily="34" charset="0"/>
            </a:rPr>
            <a:t>Path AB SAF &amp; Ester Production | Coproducts Included</a:t>
          </a:r>
        </a:p>
      </cdr:txBody>
    </cdr:sp>
  </cdr:relSizeAnchor>
  <cdr:relSizeAnchor xmlns:cdr="http://schemas.openxmlformats.org/drawingml/2006/chartDrawing">
    <cdr:from>
      <cdr:x>0.53943</cdr:x>
      <cdr:y>0.76773</cdr:y>
    </cdr:from>
    <cdr:to>
      <cdr:x>0.75744</cdr:x>
      <cdr:y>0.81907</cdr:y>
    </cdr:to>
    <cdr:sp macro="" textlink="">
      <cdr:nvSpPr>
        <cdr:cNvPr id="20" name="TextBox 1">
          <a:extLst xmlns:a="http://schemas.openxmlformats.org/drawingml/2006/main">
            <a:ext uri="{FF2B5EF4-FFF2-40B4-BE49-F238E27FC236}">
              <a16:creationId xmlns:a16="http://schemas.microsoft.com/office/drawing/2014/main" id="{898C5210-081B-31D4-E60F-37544C1AB488}"/>
            </a:ext>
          </a:extLst>
        </cdr:cNvPr>
        <cdr:cNvSpPr txBox="1"/>
      </cdr:nvSpPr>
      <cdr:spPr>
        <a:xfrm xmlns:a="http://schemas.openxmlformats.org/drawingml/2006/main">
          <a:off x="4603750" y="3987800"/>
          <a:ext cx="1860550" cy="2667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1" kern="1200">
              <a:latin typeface="Arial Nova Cond" panose="020B0506020202020204" pitchFamily="34" charset="0"/>
            </a:rPr>
            <a:t>Energy </a:t>
          </a:r>
          <a:r>
            <a:rPr lang="en-US" sz="1200" b="0" kern="1200">
              <a:latin typeface="Arial Nova Cond" panose="020B0506020202020204" pitchFamily="34" charset="0"/>
            </a:rPr>
            <a:t>[$/kWh]</a:t>
          </a:r>
        </a:p>
      </cdr:txBody>
    </cdr:sp>
  </cdr:relSizeAnchor>
  <cdr:relSizeAnchor xmlns:cdr="http://schemas.openxmlformats.org/drawingml/2006/chartDrawing">
    <cdr:from>
      <cdr:x>0.76414</cdr:x>
      <cdr:y>0.7665</cdr:y>
    </cdr:from>
    <cdr:to>
      <cdr:x>0.97693</cdr:x>
      <cdr:y>0.81785</cdr:y>
    </cdr:to>
    <cdr:sp macro="" textlink="">
      <cdr:nvSpPr>
        <cdr:cNvPr id="21" name="TextBox 1">
          <a:extLst xmlns:a="http://schemas.openxmlformats.org/drawingml/2006/main">
            <a:ext uri="{FF2B5EF4-FFF2-40B4-BE49-F238E27FC236}">
              <a16:creationId xmlns:a16="http://schemas.microsoft.com/office/drawing/2014/main" id="{0C1D320B-EA21-3172-EA16-F68895A1736B}"/>
            </a:ext>
          </a:extLst>
        </cdr:cNvPr>
        <cdr:cNvSpPr txBox="1"/>
      </cdr:nvSpPr>
      <cdr:spPr>
        <a:xfrm xmlns:a="http://schemas.openxmlformats.org/drawingml/2006/main">
          <a:off x="6521450" y="3981450"/>
          <a:ext cx="1816100" cy="2667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200" b="1" kern="1200">
              <a:latin typeface="Arial Nova Cond" panose="020B0506020202020204" pitchFamily="34" charset="0"/>
            </a:rPr>
            <a:t>Disposal </a:t>
          </a:r>
          <a:r>
            <a:rPr lang="en-US" sz="1200" b="0" kern="1200">
              <a:latin typeface="Arial Nova Cond" panose="020B0506020202020204" pitchFamily="34" charset="0"/>
            </a:rPr>
            <a:t>[$/kg]</a:t>
          </a:r>
        </a:p>
      </cdr:txBody>
    </cdr:sp>
  </cdr:relSizeAnchor>
  <cdr:relSizeAnchor xmlns:cdr="http://schemas.openxmlformats.org/drawingml/2006/chartDrawing">
    <cdr:from>
      <cdr:x>0.38467</cdr:x>
      <cdr:y>0.0489</cdr:y>
    </cdr:from>
    <cdr:to>
      <cdr:x>1</cdr:x>
      <cdr:y>0.12714</cdr:y>
    </cdr:to>
    <cdr:sp macro="" textlink="">
      <cdr:nvSpPr>
        <cdr:cNvPr id="22" name="TextBox 1">
          <a:extLst xmlns:a="http://schemas.openxmlformats.org/drawingml/2006/main">
            <a:ext uri="{FF2B5EF4-FFF2-40B4-BE49-F238E27FC236}">
              <a16:creationId xmlns:a16="http://schemas.microsoft.com/office/drawing/2014/main" id="{68C2EDFE-7BA7-E7BF-69E3-0AB7290A2E99}"/>
            </a:ext>
          </a:extLst>
        </cdr:cNvPr>
        <cdr:cNvSpPr txBox="1"/>
      </cdr:nvSpPr>
      <cdr:spPr>
        <a:xfrm xmlns:a="http://schemas.openxmlformats.org/drawingml/2006/main">
          <a:off x="3282950" y="254000"/>
          <a:ext cx="5251450" cy="4064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400" b="1" kern="1200">
              <a:latin typeface="Arial Nova Cond" panose="020B0506020202020204" pitchFamily="34" charset="0"/>
            </a:rPr>
            <a:t>of Conventional Biomethane (BM) and Proposed Aviation </a:t>
          </a:r>
          <a:r>
            <a:rPr lang="en-US" sz="1400" b="1" kern="1200" baseline="0">
              <a:latin typeface="Arial Nova Cond" panose="020B0506020202020204" pitchFamily="34" charset="0"/>
            </a:rPr>
            <a:t>Fuel (SAF)</a:t>
          </a:r>
          <a:endParaRPr lang="en-US" sz="1400" b="1" kern="1200">
            <a:latin typeface="Arial Nova Cond" panose="020B0506020202020204" pitchFamily="34" charset="0"/>
          </a:endParaRPr>
        </a:p>
      </cdr:txBody>
    </cdr:sp>
  </cdr:relSizeAnchor>
</c:userShapes>
</file>

<file path=xl/drawings/drawing60.xml><?xml version="1.0" encoding="utf-8"?>
<xdr:wsDr xmlns:xdr="http://schemas.openxmlformats.org/drawingml/2006/spreadsheetDrawing" xmlns:a="http://schemas.openxmlformats.org/drawingml/2006/main">
  <xdr:twoCellAnchor editAs="oneCell">
    <xdr:from>
      <xdr:col>4</xdr:col>
      <xdr:colOff>38099</xdr:colOff>
      <xdr:row>4</xdr:row>
      <xdr:rowOff>1</xdr:rowOff>
    </xdr:from>
    <xdr:to>
      <xdr:col>7</xdr:col>
      <xdr:colOff>1378770</xdr:colOff>
      <xdr:row>16</xdr:row>
      <xdr:rowOff>112889</xdr:rowOff>
    </xdr:to>
    <xdr:pic>
      <xdr:nvPicPr>
        <xdr:cNvPr id="2" name="Picture 1">
          <a:extLst>
            <a:ext uri="{FF2B5EF4-FFF2-40B4-BE49-F238E27FC236}">
              <a16:creationId xmlns:a16="http://schemas.microsoft.com/office/drawing/2014/main" id="{3227B510-C30E-493D-A7FD-5B964FA36A6E}"/>
            </a:ext>
          </a:extLst>
        </xdr:cNvPr>
        <xdr:cNvPicPr>
          <a:picLocks noChangeAspect="1"/>
        </xdr:cNvPicPr>
      </xdr:nvPicPr>
      <xdr:blipFill rotWithShape="1">
        <a:blip xmlns:r="http://schemas.openxmlformats.org/officeDocument/2006/relationships" r:embed="rId1"/>
        <a:srcRect t="20574" b="17742"/>
        <a:stretch>
          <a:fillRect/>
        </a:stretch>
      </xdr:blipFill>
      <xdr:spPr>
        <a:xfrm>
          <a:off x="6987821" y="733779"/>
          <a:ext cx="5214171" cy="2314221"/>
        </a:xfrm>
        <a:prstGeom prst="rect">
          <a:avLst/>
        </a:prstGeom>
      </xdr:spPr>
    </xdr:pic>
    <xdr:clientData/>
  </xdr:twoCellAnchor>
  <xdr:twoCellAnchor editAs="oneCell">
    <xdr:from>
      <xdr:col>7</xdr:col>
      <xdr:colOff>1382889</xdr:colOff>
      <xdr:row>4</xdr:row>
      <xdr:rowOff>14111</xdr:rowOff>
    </xdr:from>
    <xdr:to>
      <xdr:col>12</xdr:col>
      <xdr:colOff>517172</xdr:colOff>
      <xdr:row>16</xdr:row>
      <xdr:rowOff>106090</xdr:rowOff>
    </xdr:to>
    <xdr:pic>
      <xdr:nvPicPr>
        <xdr:cNvPr id="3" name="Picture 2">
          <a:extLst>
            <a:ext uri="{FF2B5EF4-FFF2-40B4-BE49-F238E27FC236}">
              <a16:creationId xmlns:a16="http://schemas.microsoft.com/office/drawing/2014/main" id="{82366878-3DF7-1345-B259-33F8467C00E9}"/>
            </a:ext>
          </a:extLst>
        </xdr:cNvPr>
        <xdr:cNvPicPr>
          <a:picLocks noChangeAspect="1"/>
        </xdr:cNvPicPr>
      </xdr:nvPicPr>
      <xdr:blipFill>
        <a:blip xmlns:r="http://schemas.openxmlformats.org/officeDocument/2006/relationships" r:embed="rId2"/>
        <a:stretch>
          <a:fillRect/>
        </a:stretch>
      </xdr:blipFill>
      <xdr:spPr>
        <a:xfrm>
          <a:off x="13222111" y="1016000"/>
          <a:ext cx="6965950" cy="2462646"/>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6</xdr:col>
      <xdr:colOff>363869</xdr:colOff>
      <xdr:row>17</xdr:row>
      <xdr:rowOff>36787</xdr:rowOff>
    </xdr:from>
    <xdr:to>
      <xdr:col>16</xdr:col>
      <xdr:colOff>375861</xdr:colOff>
      <xdr:row>48</xdr:row>
      <xdr:rowOff>152223</xdr:rowOff>
    </xdr:to>
    <xdr:graphicFrame macro="">
      <xdr:nvGraphicFramePr>
        <xdr:cNvPr id="2" name="Chart 1">
          <a:extLst>
            <a:ext uri="{FF2B5EF4-FFF2-40B4-BE49-F238E27FC236}">
              <a16:creationId xmlns:a16="http://schemas.microsoft.com/office/drawing/2014/main" id="{DA0B9F00-F015-4A3A-B7DD-68F53F6C8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440620</xdr:colOff>
      <xdr:row>76</xdr:row>
      <xdr:rowOff>94897</xdr:rowOff>
    </xdr:from>
    <xdr:to>
      <xdr:col>12</xdr:col>
      <xdr:colOff>654054</xdr:colOff>
      <xdr:row>108</xdr:row>
      <xdr:rowOff>24416</xdr:rowOff>
    </xdr:to>
    <xdr:graphicFrame macro="">
      <xdr:nvGraphicFramePr>
        <xdr:cNvPr id="3" name="Chart 2">
          <a:extLst>
            <a:ext uri="{FF2B5EF4-FFF2-40B4-BE49-F238E27FC236}">
              <a16:creationId xmlns:a16="http://schemas.microsoft.com/office/drawing/2014/main" id="{4E3958BA-19E3-4204-8A96-440357D340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98778</xdr:colOff>
      <xdr:row>124</xdr:row>
      <xdr:rowOff>176391</xdr:rowOff>
    </xdr:from>
    <xdr:to>
      <xdr:col>12</xdr:col>
      <xdr:colOff>313800</xdr:colOff>
      <xdr:row>156</xdr:row>
      <xdr:rowOff>107676</xdr:rowOff>
    </xdr:to>
    <xdr:graphicFrame macro="">
      <xdr:nvGraphicFramePr>
        <xdr:cNvPr id="4" name="Chart 3">
          <a:extLst>
            <a:ext uri="{FF2B5EF4-FFF2-40B4-BE49-F238E27FC236}">
              <a16:creationId xmlns:a16="http://schemas.microsoft.com/office/drawing/2014/main" id="{A214F055-4A0F-4718-8973-1D685DB5A5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848446</xdr:colOff>
      <xdr:row>224</xdr:row>
      <xdr:rowOff>57536</xdr:rowOff>
    </xdr:from>
    <xdr:to>
      <xdr:col>13</xdr:col>
      <xdr:colOff>215598</xdr:colOff>
      <xdr:row>255</xdr:row>
      <xdr:rowOff>162437</xdr:rowOff>
    </xdr:to>
    <xdr:graphicFrame macro="">
      <xdr:nvGraphicFramePr>
        <xdr:cNvPr id="6" name="Chart 5">
          <a:extLst>
            <a:ext uri="{FF2B5EF4-FFF2-40B4-BE49-F238E27FC236}">
              <a16:creationId xmlns:a16="http://schemas.microsoft.com/office/drawing/2014/main" id="{84485838-4982-4F97-BEAF-1BE157A6E7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472343</xdr:colOff>
      <xdr:row>711</xdr:row>
      <xdr:rowOff>29432</xdr:rowOff>
    </xdr:from>
    <xdr:to>
      <xdr:col>4</xdr:col>
      <xdr:colOff>8547</xdr:colOff>
      <xdr:row>746</xdr:row>
      <xdr:rowOff>20028</xdr:rowOff>
    </xdr:to>
    <xdr:graphicFrame macro="">
      <xdr:nvGraphicFramePr>
        <xdr:cNvPr id="8" name="Chart 7">
          <a:extLst>
            <a:ext uri="{FF2B5EF4-FFF2-40B4-BE49-F238E27FC236}">
              <a16:creationId xmlns:a16="http://schemas.microsoft.com/office/drawing/2014/main" id="{7C8F4012-FB0B-44A9-912C-BDEF72030C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1408249</xdr:colOff>
      <xdr:row>470</xdr:row>
      <xdr:rowOff>80486</xdr:rowOff>
    </xdr:from>
    <xdr:to>
      <xdr:col>13</xdr:col>
      <xdr:colOff>723046</xdr:colOff>
      <xdr:row>501</xdr:row>
      <xdr:rowOff>185868</xdr:rowOff>
    </xdr:to>
    <xdr:graphicFrame macro="">
      <xdr:nvGraphicFramePr>
        <xdr:cNvPr id="9" name="Chart 8">
          <a:extLst>
            <a:ext uri="{FF2B5EF4-FFF2-40B4-BE49-F238E27FC236}">
              <a16:creationId xmlns:a16="http://schemas.microsoft.com/office/drawing/2014/main" id="{353150A2-5E7A-409B-811F-8444FD7829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273051</xdr:colOff>
      <xdr:row>506</xdr:row>
      <xdr:rowOff>63500</xdr:rowOff>
    </xdr:from>
    <xdr:to>
      <xdr:col>14</xdr:col>
      <xdr:colOff>215900</xdr:colOff>
      <xdr:row>537</xdr:row>
      <xdr:rowOff>168882</xdr:rowOff>
    </xdr:to>
    <xdr:graphicFrame macro="">
      <xdr:nvGraphicFramePr>
        <xdr:cNvPr id="10" name="Chart 9">
          <a:extLst>
            <a:ext uri="{FF2B5EF4-FFF2-40B4-BE49-F238E27FC236}">
              <a16:creationId xmlns:a16="http://schemas.microsoft.com/office/drawing/2014/main" id="{059F8476-BC95-4818-A4BB-BCE849C41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609600</xdr:colOff>
      <xdr:row>16</xdr:row>
      <xdr:rowOff>177800</xdr:rowOff>
    </xdr:from>
    <xdr:to>
      <xdr:col>29</xdr:col>
      <xdr:colOff>247643</xdr:colOff>
      <xdr:row>48</xdr:row>
      <xdr:rowOff>113281</xdr:rowOff>
    </xdr:to>
    <xdr:pic>
      <xdr:nvPicPr>
        <xdr:cNvPr id="13" name="Picture 12">
          <a:extLst>
            <a:ext uri="{FF2B5EF4-FFF2-40B4-BE49-F238E27FC236}">
              <a16:creationId xmlns:a16="http://schemas.microsoft.com/office/drawing/2014/main" id="{6A7F6375-265F-7721-8F64-0DF47C2DB77C}"/>
            </a:ext>
          </a:extLst>
        </xdr:cNvPr>
        <xdr:cNvPicPr>
          <a:picLocks noChangeAspect="1"/>
        </xdr:cNvPicPr>
      </xdr:nvPicPr>
      <xdr:blipFill>
        <a:blip xmlns:r="http://schemas.openxmlformats.org/officeDocument/2006/relationships" r:embed="rId8"/>
        <a:stretch>
          <a:fillRect/>
        </a:stretch>
      </xdr:blipFill>
      <xdr:spPr>
        <a:xfrm>
          <a:off x="17786350" y="3511550"/>
          <a:ext cx="8705843" cy="5828281"/>
        </a:xfrm>
        <a:prstGeom prst="rect">
          <a:avLst/>
        </a:prstGeom>
      </xdr:spPr>
    </xdr:pic>
    <xdr:clientData/>
  </xdr:twoCellAnchor>
  <xdr:twoCellAnchor editAs="oneCell">
    <xdr:from>
      <xdr:col>12</xdr:col>
      <xdr:colOff>787400</xdr:colOff>
      <xdr:row>75</xdr:row>
      <xdr:rowOff>177800</xdr:rowOff>
    </xdr:from>
    <xdr:to>
      <xdr:col>24</xdr:col>
      <xdr:colOff>146043</xdr:colOff>
      <xdr:row>107</xdr:row>
      <xdr:rowOff>107185</xdr:rowOff>
    </xdr:to>
    <xdr:pic>
      <xdr:nvPicPr>
        <xdr:cNvPr id="15" name="Picture 14">
          <a:extLst>
            <a:ext uri="{FF2B5EF4-FFF2-40B4-BE49-F238E27FC236}">
              <a16:creationId xmlns:a16="http://schemas.microsoft.com/office/drawing/2014/main" id="{E74EF94F-0371-2E20-06CC-9B2AECDFC3EA}"/>
            </a:ext>
          </a:extLst>
        </xdr:cNvPr>
        <xdr:cNvPicPr>
          <a:picLocks noChangeAspect="1"/>
        </xdr:cNvPicPr>
      </xdr:nvPicPr>
      <xdr:blipFill>
        <a:blip xmlns:r="http://schemas.openxmlformats.org/officeDocument/2006/relationships" r:embed="rId9"/>
        <a:stretch>
          <a:fillRect/>
        </a:stretch>
      </xdr:blipFill>
      <xdr:spPr>
        <a:xfrm>
          <a:off x="14636750" y="14592300"/>
          <a:ext cx="8705843" cy="5822185"/>
        </a:xfrm>
        <a:prstGeom prst="rect">
          <a:avLst/>
        </a:prstGeom>
      </xdr:spPr>
    </xdr:pic>
    <xdr:clientData/>
  </xdr:twoCellAnchor>
  <xdr:twoCellAnchor editAs="oneCell">
    <xdr:from>
      <xdr:col>12</xdr:col>
      <xdr:colOff>501650</xdr:colOff>
      <xdr:row>124</xdr:row>
      <xdr:rowOff>88900</xdr:rowOff>
    </xdr:from>
    <xdr:to>
      <xdr:col>23</xdr:col>
      <xdr:colOff>469893</xdr:colOff>
      <xdr:row>156</xdr:row>
      <xdr:rowOff>24381</xdr:rowOff>
    </xdr:to>
    <xdr:pic>
      <xdr:nvPicPr>
        <xdr:cNvPr id="16" name="Picture 15">
          <a:extLst>
            <a:ext uri="{FF2B5EF4-FFF2-40B4-BE49-F238E27FC236}">
              <a16:creationId xmlns:a16="http://schemas.microsoft.com/office/drawing/2014/main" id="{C7858061-A17F-981D-AF26-82D3612E53B6}"/>
            </a:ext>
          </a:extLst>
        </xdr:cNvPr>
        <xdr:cNvPicPr>
          <a:picLocks noChangeAspect="1"/>
        </xdr:cNvPicPr>
      </xdr:nvPicPr>
      <xdr:blipFill>
        <a:blip xmlns:r="http://schemas.openxmlformats.org/officeDocument/2006/relationships" r:embed="rId10"/>
        <a:stretch>
          <a:fillRect/>
        </a:stretch>
      </xdr:blipFill>
      <xdr:spPr>
        <a:xfrm>
          <a:off x="14351000" y="23926800"/>
          <a:ext cx="8705843" cy="5828281"/>
        </a:xfrm>
        <a:prstGeom prst="rect">
          <a:avLst/>
        </a:prstGeom>
      </xdr:spPr>
    </xdr:pic>
    <xdr:clientData/>
  </xdr:twoCellAnchor>
  <xdr:twoCellAnchor editAs="oneCell">
    <xdr:from>
      <xdr:col>13</xdr:col>
      <xdr:colOff>260350</xdr:colOff>
      <xdr:row>224</xdr:row>
      <xdr:rowOff>50800</xdr:rowOff>
    </xdr:from>
    <xdr:to>
      <xdr:col>24</xdr:col>
      <xdr:colOff>438649</xdr:colOff>
      <xdr:row>255</xdr:row>
      <xdr:rowOff>158238</xdr:rowOff>
    </xdr:to>
    <xdr:pic>
      <xdr:nvPicPr>
        <xdr:cNvPr id="22" name="Picture 21">
          <a:extLst>
            <a:ext uri="{FF2B5EF4-FFF2-40B4-BE49-F238E27FC236}">
              <a16:creationId xmlns:a16="http://schemas.microsoft.com/office/drawing/2014/main" id="{8B42B6AA-6017-13E0-0B78-5A475773E623}"/>
            </a:ext>
          </a:extLst>
        </xdr:cNvPr>
        <xdr:cNvPicPr>
          <a:picLocks noChangeAspect="1"/>
        </xdr:cNvPicPr>
      </xdr:nvPicPr>
      <xdr:blipFill>
        <a:blip xmlns:r="http://schemas.openxmlformats.org/officeDocument/2006/relationships" r:embed="rId11"/>
        <a:stretch>
          <a:fillRect/>
        </a:stretch>
      </xdr:blipFill>
      <xdr:spPr>
        <a:xfrm>
          <a:off x="14941550" y="42722800"/>
          <a:ext cx="8693649" cy="5816088"/>
        </a:xfrm>
        <a:prstGeom prst="rect">
          <a:avLst/>
        </a:prstGeom>
      </xdr:spPr>
    </xdr:pic>
    <xdr:clientData/>
  </xdr:twoCellAnchor>
  <xdr:twoCellAnchor editAs="oneCell">
    <xdr:from>
      <xdr:col>14</xdr:col>
      <xdr:colOff>139700</xdr:colOff>
      <xdr:row>470</xdr:row>
      <xdr:rowOff>25400</xdr:rowOff>
    </xdr:from>
    <xdr:to>
      <xdr:col>25</xdr:col>
      <xdr:colOff>540249</xdr:colOff>
      <xdr:row>501</xdr:row>
      <xdr:rowOff>132838</xdr:rowOff>
    </xdr:to>
    <xdr:pic>
      <xdr:nvPicPr>
        <xdr:cNvPr id="27" name="Picture 26">
          <a:extLst>
            <a:ext uri="{FF2B5EF4-FFF2-40B4-BE49-F238E27FC236}">
              <a16:creationId xmlns:a16="http://schemas.microsoft.com/office/drawing/2014/main" id="{8D029B4A-03BC-0088-3972-C10A4C633E55}"/>
            </a:ext>
          </a:extLst>
        </xdr:cNvPr>
        <xdr:cNvPicPr>
          <a:picLocks noChangeAspect="1"/>
        </xdr:cNvPicPr>
      </xdr:nvPicPr>
      <xdr:blipFill>
        <a:blip xmlns:r="http://schemas.openxmlformats.org/officeDocument/2006/relationships" r:embed="rId12"/>
        <a:stretch>
          <a:fillRect/>
        </a:stretch>
      </xdr:blipFill>
      <xdr:spPr>
        <a:xfrm>
          <a:off x="15652750" y="89287350"/>
          <a:ext cx="8693649" cy="5816088"/>
        </a:xfrm>
        <a:prstGeom prst="rect">
          <a:avLst/>
        </a:prstGeom>
      </xdr:spPr>
    </xdr:pic>
    <xdr:clientData/>
  </xdr:twoCellAnchor>
  <xdr:twoCellAnchor editAs="oneCell">
    <xdr:from>
      <xdr:col>14</xdr:col>
      <xdr:colOff>368300</xdr:colOff>
      <xdr:row>505</xdr:row>
      <xdr:rowOff>158750</xdr:rowOff>
    </xdr:from>
    <xdr:to>
      <xdr:col>26</xdr:col>
      <xdr:colOff>238504</xdr:colOff>
      <xdr:row>537</xdr:row>
      <xdr:rowOff>75942</xdr:rowOff>
    </xdr:to>
    <xdr:pic>
      <xdr:nvPicPr>
        <xdr:cNvPr id="28" name="Picture 27">
          <a:extLst>
            <a:ext uri="{FF2B5EF4-FFF2-40B4-BE49-F238E27FC236}">
              <a16:creationId xmlns:a16="http://schemas.microsoft.com/office/drawing/2014/main" id="{A7BECCA8-7CE4-A47B-15B5-3C4C1E7B89F1}"/>
            </a:ext>
          </a:extLst>
        </xdr:cNvPr>
        <xdr:cNvPicPr>
          <a:picLocks noChangeAspect="1"/>
        </xdr:cNvPicPr>
      </xdr:nvPicPr>
      <xdr:blipFill>
        <a:blip xmlns:r="http://schemas.openxmlformats.org/officeDocument/2006/relationships" r:embed="rId13"/>
        <a:stretch>
          <a:fillRect/>
        </a:stretch>
      </xdr:blipFill>
      <xdr:spPr>
        <a:xfrm>
          <a:off x="15881350" y="95865950"/>
          <a:ext cx="8772904" cy="5809992"/>
        </a:xfrm>
        <a:prstGeom prst="rect">
          <a:avLst/>
        </a:prstGeom>
      </xdr:spPr>
    </xdr:pic>
    <xdr:clientData/>
  </xdr:twoCellAnchor>
  <xdr:twoCellAnchor editAs="oneCell">
    <xdr:from>
      <xdr:col>4</xdr:col>
      <xdr:colOff>300893</xdr:colOff>
      <xdr:row>711</xdr:row>
      <xdr:rowOff>105019</xdr:rowOff>
    </xdr:from>
    <xdr:to>
      <xdr:col>11</xdr:col>
      <xdr:colOff>277643</xdr:colOff>
      <xdr:row>746</xdr:row>
      <xdr:rowOff>55027</xdr:rowOff>
    </xdr:to>
    <xdr:pic>
      <xdr:nvPicPr>
        <xdr:cNvPr id="29" name="Picture 28">
          <a:extLst>
            <a:ext uri="{FF2B5EF4-FFF2-40B4-BE49-F238E27FC236}">
              <a16:creationId xmlns:a16="http://schemas.microsoft.com/office/drawing/2014/main" id="{60B7D767-8573-2E38-EC73-85C5ADA9E5E3}"/>
            </a:ext>
          </a:extLst>
        </xdr:cNvPr>
        <xdr:cNvPicPr>
          <a:picLocks noChangeAspect="1"/>
        </xdr:cNvPicPr>
      </xdr:nvPicPr>
      <xdr:blipFill>
        <a:blip xmlns:r="http://schemas.openxmlformats.org/officeDocument/2006/relationships" r:embed="rId14"/>
        <a:stretch>
          <a:fillRect/>
        </a:stretch>
      </xdr:blipFill>
      <xdr:spPr>
        <a:xfrm>
          <a:off x="7608278" y="142931173"/>
          <a:ext cx="6864057" cy="6788469"/>
        </a:xfrm>
        <a:prstGeom prst="rect">
          <a:avLst/>
        </a:prstGeom>
      </xdr:spPr>
    </xdr:pic>
    <xdr:clientData/>
  </xdr:twoCellAnchor>
</xdr:wsDr>
</file>

<file path=xl/drawings/drawing62.xml><?xml version="1.0" encoding="utf-8"?>
<c:userShapes xmlns:c="http://schemas.openxmlformats.org/drawingml/2006/chart">
  <cdr:relSizeAnchor xmlns:cdr="http://schemas.openxmlformats.org/drawingml/2006/chartDrawing">
    <cdr:from>
      <cdr:x>0.06038</cdr:x>
      <cdr:y>0.1973</cdr:y>
    </cdr:from>
    <cdr:to>
      <cdr:x>0.99043</cdr:x>
      <cdr:y>0.24693</cdr:y>
    </cdr:to>
    <cdr:sp macro="" textlink="">
      <cdr:nvSpPr>
        <cdr:cNvPr id="2" name="Rectangle 1">
          <a:extLst xmlns:a="http://schemas.openxmlformats.org/drawingml/2006/main">
            <a:ext uri="{FF2B5EF4-FFF2-40B4-BE49-F238E27FC236}">
              <a16:creationId xmlns:a16="http://schemas.microsoft.com/office/drawing/2014/main" id="{2C2C4324-6151-B033-6D63-6E4C1C0F4FC7}"/>
            </a:ext>
          </a:extLst>
        </cdr:cNvPr>
        <cdr:cNvSpPr/>
      </cdr:nvSpPr>
      <cdr:spPr>
        <a:xfrm xmlns:a="http://schemas.openxmlformats.org/drawingml/2006/main">
          <a:off x="524914" y="1155774"/>
          <a:ext cx="8085389" cy="290730"/>
        </a:xfrm>
        <a:prstGeom xmlns:a="http://schemas.openxmlformats.org/drawingml/2006/main" prst="rect">
          <a:avLst/>
        </a:prstGeom>
        <a:solidFill xmlns:a="http://schemas.openxmlformats.org/drawingml/2006/main">
          <a:schemeClr val="bg1"/>
        </a:solidFill>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0.07945</cdr:x>
      <cdr:y>0.642</cdr:y>
    </cdr:from>
    <cdr:to>
      <cdr:x>0.12454</cdr:x>
      <cdr:y>0.83401</cdr:y>
    </cdr:to>
    <cdr:sp macro="" textlink="">
      <cdr:nvSpPr>
        <cdr:cNvPr id="4" name="Rectangle 3">
          <a:extLst xmlns:a="http://schemas.openxmlformats.org/drawingml/2006/main">
            <a:ext uri="{FF2B5EF4-FFF2-40B4-BE49-F238E27FC236}">
              <a16:creationId xmlns:a16="http://schemas.microsoft.com/office/drawing/2014/main" id="{A4AA6EBC-AA64-2CE5-EF85-A134F712A8BC}"/>
            </a:ext>
          </a:extLst>
        </cdr:cNvPr>
        <cdr:cNvSpPr/>
      </cdr:nvSpPr>
      <cdr:spPr>
        <a:xfrm xmlns:a="http://schemas.openxmlformats.org/drawingml/2006/main" rot="16200000">
          <a:off x="324231" y="4128253"/>
          <a:ext cx="1125066" cy="39200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Acidification</a:t>
          </a:r>
        </a:p>
      </cdr:txBody>
    </cdr:sp>
  </cdr:relSizeAnchor>
  <cdr:relSizeAnchor xmlns:cdr="http://schemas.openxmlformats.org/drawingml/2006/chartDrawing">
    <cdr:from>
      <cdr:x>0.06038</cdr:x>
      <cdr:y>0.14935</cdr:y>
    </cdr:from>
    <cdr:to>
      <cdr:x>0.14733</cdr:x>
      <cdr:y>0.82015</cdr:y>
    </cdr:to>
    <cdr:sp macro="" textlink="">
      <cdr:nvSpPr>
        <cdr:cNvPr id="12" name="Rectangle 11">
          <a:extLst xmlns:a="http://schemas.openxmlformats.org/drawingml/2006/main">
            <a:ext uri="{FF2B5EF4-FFF2-40B4-BE49-F238E27FC236}">
              <a16:creationId xmlns:a16="http://schemas.microsoft.com/office/drawing/2014/main" id="{8F93B1DC-81D6-704E-7B1A-2DF681A21527}"/>
            </a:ext>
          </a:extLst>
        </cdr:cNvPr>
        <cdr:cNvSpPr/>
      </cdr:nvSpPr>
      <cdr:spPr>
        <a:xfrm xmlns:a="http://schemas.openxmlformats.org/drawingml/2006/main">
          <a:off x="524524" y="878740"/>
          <a:ext cx="755340" cy="3946676"/>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0.15317</cdr:x>
      <cdr:y>0.14935</cdr:y>
    </cdr:from>
    <cdr:to>
      <cdr:x>0.24012</cdr:x>
      <cdr:y>0.82124</cdr:y>
    </cdr:to>
    <cdr:sp macro="" textlink="">
      <cdr:nvSpPr>
        <cdr:cNvPr id="13" name="Rectangle 12">
          <a:extLst xmlns:a="http://schemas.openxmlformats.org/drawingml/2006/main">
            <a:ext uri="{FF2B5EF4-FFF2-40B4-BE49-F238E27FC236}">
              <a16:creationId xmlns:a16="http://schemas.microsoft.com/office/drawing/2014/main" id="{53397101-523D-1381-5961-A2C3AFBB67C7}"/>
            </a:ext>
          </a:extLst>
        </cdr:cNvPr>
        <cdr:cNvSpPr/>
      </cdr:nvSpPr>
      <cdr:spPr>
        <a:xfrm xmlns:a="http://schemas.openxmlformats.org/drawingml/2006/main">
          <a:off x="1331451" y="876854"/>
          <a:ext cx="755826" cy="3944604"/>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0.34021</cdr:x>
      <cdr:y>0.15012</cdr:y>
    </cdr:from>
    <cdr:to>
      <cdr:x>0.42716</cdr:x>
      <cdr:y>0.81992</cdr:y>
    </cdr:to>
    <cdr:sp macro="" textlink="">
      <cdr:nvSpPr>
        <cdr:cNvPr id="15" name="Rectangle 14">
          <a:extLst xmlns:a="http://schemas.openxmlformats.org/drawingml/2006/main">
            <a:ext uri="{FF2B5EF4-FFF2-40B4-BE49-F238E27FC236}">
              <a16:creationId xmlns:a16="http://schemas.microsoft.com/office/drawing/2014/main" id="{763C7CC9-F842-D040-2FFE-F75B09255240}"/>
            </a:ext>
          </a:extLst>
        </cdr:cNvPr>
        <cdr:cNvSpPr/>
      </cdr:nvSpPr>
      <cdr:spPr>
        <a:xfrm xmlns:a="http://schemas.openxmlformats.org/drawingml/2006/main">
          <a:off x="2955423" y="883276"/>
          <a:ext cx="755340" cy="3940818"/>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0.43373</cdr:x>
      <cdr:y>0.15012</cdr:y>
    </cdr:from>
    <cdr:to>
      <cdr:x>0.52068</cdr:x>
      <cdr:y>0.82082</cdr:y>
    </cdr:to>
    <cdr:sp macro="" textlink="">
      <cdr:nvSpPr>
        <cdr:cNvPr id="16" name="Rectangle 15">
          <a:extLst xmlns:a="http://schemas.openxmlformats.org/drawingml/2006/main">
            <a:ext uri="{FF2B5EF4-FFF2-40B4-BE49-F238E27FC236}">
              <a16:creationId xmlns:a16="http://schemas.microsoft.com/office/drawing/2014/main" id="{4D31B2F8-EB0A-1599-D708-2C46D5AC4370}"/>
            </a:ext>
          </a:extLst>
        </cdr:cNvPr>
        <cdr:cNvSpPr/>
      </cdr:nvSpPr>
      <cdr:spPr>
        <a:xfrm xmlns:a="http://schemas.openxmlformats.org/drawingml/2006/main">
          <a:off x="3767837" y="883276"/>
          <a:ext cx="755339" cy="3946132"/>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0.52725</cdr:x>
      <cdr:y>0.15023</cdr:y>
    </cdr:from>
    <cdr:to>
      <cdr:x>0.6142</cdr:x>
      <cdr:y>0.82173</cdr:y>
    </cdr:to>
    <cdr:sp macro="" textlink="">
      <cdr:nvSpPr>
        <cdr:cNvPr id="17" name="Rectangle 16">
          <a:extLst xmlns:a="http://schemas.openxmlformats.org/drawingml/2006/main">
            <a:ext uri="{FF2B5EF4-FFF2-40B4-BE49-F238E27FC236}">
              <a16:creationId xmlns:a16="http://schemas.microsoft.com/office/drawing/2014/main" id="{3615032F-D089-16C2-E6E1-A54F75B6C4D8}"/>
            </a:ext>
          </a:extLst>
        </cdr:cNvPr>
        <cdr:cNvSpPr/>
      </cdr:nvSpPr>
      <cdr:spPr>
        <a:xfrm xmlns:a="http://schemas.openxmlformats.org/drawingml/2006/main">
          <a:off x="4583837" y="880251"/>
          <a:ext cx="755931" cy="3934591"/>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0.62077</cdr:x>
      <cdr:y>0.15023</cdr:y>
    </cdr:from>
    <cdr:to>
      <cdr:x>0.70772</cdr:x>
      <cdr:y>0.82173</cdr:y>
    </cdr:to>
    <cdr:sp macro="" textlink="">
      <cdr:nvSpPr>
        <cdr:cNvPr id="18" name="Rectangle 17">
          <a:extLst xmlns:a="http://schemas.openxmlformats.org/drawingml/2006/main">
            <a:ext uri="{FF2B5EF4-FFF2-40B4-BE49-F238E27FC236}">
              <a16:creationId xmlns:a16="http://schemas.microsoft.com/office/drawing/2014/main" id="{22C17833-ADB0-7797-0E08-DB7494E70DF4}"/>
            </a:ext>
          </a:extLst>
        </cdr:cNvPr>
        <cdr:cNvSpPr/>
      </cdr:nvSpPr>
      <cdr:spPr>
        <a:xfrm xmlns:a="http://schemas.openxmlformats.org/drawingml/2006/main">
          <a:off x="5396887" y="880253"/>
          <a:ext cx="755931" cy="3934590"/>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0.71429</cdr:x>
      <cdr:y>0.1509</cdr:y>
    </cdr:from>
    <cdr:to>
      <cdr:x>0.80124</cdr:x>
      <cdr:y>0.82173</cdr:y>
    </cdr:to>
    <cdr:sp macro="" textlink="">
      <cdr:nvSpPr>
        <cdr:cNvPr id="19" name="Rectangle 18">
          <a:extLst xmlns:a="http://schemas.openxmlformats.org/drawingml/2006/main">
            <a:ext uri="{FF2B5EF4-FFF2-40B4-BE49-F238E27FC236}">
              <a16:creationId xmlns:a16="http://schemas.microsoft.com/office/drawing/2014/main" id="{C4E5A007-18D2-4BC1-DF52-4B5EECB27F0E}"/>
            </a:ext>
          </a:extLst>
        </cdr:cNvPr>
        <cdr:cNvSpPr/>
      </cdr:nvSpPr>
      <cdr:spPr>
        <a:xfrm xmlns:a="http://schemas.openxmlformats.org/drawingml/2006/main">
          <a:off x="6205076" y="887812"/>
          <a:ext cx="755339" cy="3946908"/>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0.80781</cdr:x>
      <cdr:y>0.1509</cdr:y>
    </cdr:from>
    <cdr:to>
      <cdr:x>0.89476</cdr:x>
      <cdr:y>0.82173</cdr:y>
    </cdr:to>
    <cdr:sp macro="" textlink="">
      <cdr:nvSpPr>
        <cdr:cNvPr id="20" name="Rectangle 19">
          <a:extLst xmlns:a="http://schemas.openxmlformats.org/drawingml/2006/main">
            <a:ext uri="{FF2B5EF4-FFF2-40B4-BE49-F238E27FC236}">
              <a16:creationId xmlns:a16="http://schemas.microsoft.com/office/drawing/2014/main" id="{2A208449-ACA3-AEC4-0212-470095E3609A}"/>
            </a:ext>
          </a:extLst>
        </cdr:cNvPr>
        <cdr:cNvSpPr/>
      </cdr:nvSpPr>
      <cdr:spPr>
        <a:xfrm xmlns:a="http://schemas.openxmlformats.org/drawingml/2006/main">
          <a:off x="7017491" y="887812"/>
          <a:ext cx="755338" cy="3946908"/>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0.90353</cdr:x>
      <cdr:y>0.15012</cdr:y>
    </cdr:from>
    <cdr:to>
      <cdr:x>0.99049</cdr:x>
      <cdr:y>0.82082</cdr:y>
    </cdr:to>
    <cdr:sp macro="" textlink="">
      <cdr:nvSpPr>
        <cdr:cNvPr id="21" name="Rectangle 20">
          <a:extLst xmlns:a="http://schemas.openxmlformats.org/drawingml/2006/main">
            <a:ext uri="{FF2B5EF4-FFF2-40B4-BE49-F238E27FC236}">
              <a16:creationId xmlns:a16="http://schemas.microsoft.com/office/drawing/2014/main" id="{61351FB1-0038-4B90-AB07-4E583C8E7DE4}"/>
            </a:ext>
          </a:extLst>
        </cdr:cNvPr>
        <cdr:cNvSpPr/>
      </cdr:nvSpPr>
      <cdr:spPr>
        <a:xfrm xmlns:a="http://schemas.openxmlformats.org/drawingml/2006/main">
          <a:off x="7849015" y="883276"/>
          <a:ext cx="755427" cy="3946131"/>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0.17084</cdr:x>
      <cdr:y>0.64357</cdr:y>
    </cdr:from>
    <cdr:to>
      <cdr:x>0.2204</cdr:x>
      <cdr:y>0.8358</cdr:y>
    </cdr:to>
    <cdr:sp macro="" textlink="">
      <cdr:nvSpPr>
        <cdr:cNvPr id="22" name="Rectangle 21">
          <a:extLst xmlns:a="http://schemas.openxmlformats.org/drawingml/2006/main">
            <a:ext uri="{FF2B5EF4-FFF2-40B4-BE49-F238E27FC236}">
              <a16:creationId xmlns:a16="http://schemas.microsoft.com/office/drawing/2014/main" id="{5C33C0A9-6375-A84C-B005-81A2639AC214}"/>
            </a:ext>
          </a:extLst>
        </cdr:cNvPr>
        <cdr:cNvSpPr/>
      </cdr:nvSpPr>
      <cdr:spPr>
        <a:xfrm xmlns:a="http://schemas.openxmlformats.org/drawingml/2006/main" rot="16200000">
          <a:off x="1137520" y="4118694"/>
          <a:ext cx="1126356" cy="43086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Carcinogenics</a:t>
          </a:r>
        </a:p>
      </cdr:txBody>
    </cdr:sp>
  </cdr:relSizeAnchor>
  <cdr:relSizeAnchor xmlns:cdr="http://schemas.openxmlformats.org/drawingml/2006/chartDrawing">
    <cdr:from>
      <cdr:x>0.24669</cdr:x>
      <cdr:y>0.15012</cdr:y>
    </cdr:from>
    <cdr:to>
      <cdr:x>0.33364</cdr:x>
      <cdr:y>0.82082</cdr:y>
    </cdr:to>
    <cdr:sp macro="" textlink="">
      <cdr:nvSpPr>
        <cdr:cNvPr id="14" name="Rectangle 13">
          <a:extLst xmlns:a="http://schemas.openxmlformats.org/drawingml/2006/main">
            <a:ext uri="{FF2B5EF4-FFF2-40B4-BE49-F238E27FC236}">
              <a16:creationId xmlns:a16="http://schemas.microsoft.com/office/drawing/2014/main" id="{03997162-066B-80D3-16A3-060B8886A472}"/>
            </a:ext>
          </a:extLst>
        </cdr:cNvPr>
        <cdr:cNvSpPr/>
      </cdr:nvSpPr>
      <cdr:spPr>
        <a:xfrm xmlns:a="http://schemas.openxmlformats.org/drawingml/2006/main">
          <a:off x="2143010" y="883276"/>
          <a:ext cx="755339" cy="3946132"/>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0.26364</cdr:x>
      <cdr:y>0.64177</cdr:y>
    </cdr:from>
    <cdr:to>
      <cdr:x>0.31319</cdr:x>
      <cdr:y>0.834</cdr:y>
    </cdr:to>
    <cdr:sp macro="" textlink="">
      <cdr:nvSpPr>
        <cdr:cNvPr id="24" name="Rectangle 23">
          <a:extLst xmlns:a="http://schemas.openxmlformats.org/drawingml/2006/main">
            <a:ext uri="{FF2B5EF4-FFF2-40B4-BE49-F238E27FC236}">
              <a16:creationId xmlns:a16="http://schemas.microsoft.com/office/drawing/2014/main" id="{19295FFD-4759-F95C-D58D-6CB60267854B}"/>
            </a:ext>
          </a:extLst>
        </cdr:cNvPr>
        <cdr:cNvSpPr/>
      </cdr:nvSpPr>
      <cdr:spPr>
        <a:xfrm xmlns:a="http://schemas.openxmlformats.org/drawingml/2006/main" rot="16200000">
          <a:off x="1944269" y="4108170"/>
          <a:ext cx="1126355"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Ecotoxicity</a:t>
          </a:r>
        </a:p>
      </cdr:txBody>
    </cdr:sp>
  </cdr:relSizeAnchor>
  <cdr:relSizeAnchor xmlns:cdr="http://schemas.openxmlformats.org/drawingml/2006/chartDrawing">
    <cdr:from>
      <cdr:x>0.35642</cdr:x>
      <cdr:y>0.6385</cdr:y>
    </cdr:from>
    <cdr:to>
      <cdr:x>0.40597</cdr:x>
      <cdr:y>0.83073</cdr:y>
    </cdr:to>
    <cdr:sp macro="" textlink="">
      <cdr:nvSpPr>
        <cdr:cNvPr id="25" name="Rectangle 24">
          <a:extLst xmlns:a="http://schemas.openxmlformats.org/drawingml/2006/main">
            <a:ext uri="{FF2B5EF4-FFF2-40B4-BE49-F238E27FC236}">
              <a16:creationId xmlns:a16="http://schemas.microsoft.com/office/drawing/2014/main" id="{2488C2AD-7EB1-EB2D-09BD-3E9644D403FE}"/>
            </a:ext>
          </a:extLst>
        </cdr:cNvPr>
        <cdr:cNvSpPr/>
      </cdr:nvSpPr>
      <cdr:spPr>
        <a:xfrm xmlns:a="http://schemas.openxmlformats.org/drawingml/2006/main" rot="16200000">
          <a:off x="2757772" y="4063895"/>
          <a:ext cx="1119846" cy="431253"/>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00" b="1" kern="1200">
              <a:solidFill>
                <a:sysClr val="windowText" lastClr="000000"/>
              </a:solidFill>
              <a:latin typeface="Arial Nova Cond" panose="020B0506020202020204" pitchFamily="34" charset="0"/>
            </a:rPr>
            <a:t>Eutrophication</a:t>
          </a:r>
          <a:r>
            <a:rPr lang="en-US" sz="1100" b="1" kern="1200" baseline="0">
              <a:solidFill>
                <a:sysClr val="windowText" lastClr="000000"/>
              </a:solidFill>
              <a:latin typeface="Arial Nova Cond" panose="020B0506020202020204" pitchFamily="34" charset="0"/>
            </a:rPr>
            <a:t> - </a:t>
          </a:r>
          <a:r>
            <a:rPr lang="en-US" sz="1050" b="1" kern="1200" baseline="0">
              <a:solidFill>
                <a:sysClr val="windowText" lastClr="000000"/>
              </a:solidFill>
              <a:latin typeface="Arial Nova Cond" panose="020B0506020202020204" pitchFamily="34" charset="0"/>
            </a:rPr>
            <a:t>Freshwater</a:t>
          </a:r>
          <a:endParaRPr lang="en-US" sz="1050" b="1" kern="1200">
            <a:solidFill>
              <a:sysClr val="windowText" lastClr="000000"/>
            </a:solidFill>
            <a:latin typeface="Arial Nova Cond" panose="020B0506020202020204" pitchFamily="34" charset="0"/>
          </a:endParaRPr>
        </a:p>
      </cdr:txBody>
    </cdr:sp>
  </cdr:relSizeAnchor>
  <cdr:relSizeAnchor xmlns:cdr="http://schemas.openxmlformats.org/drawingml/2006/chartDrawing">
    <cdr:from>
      <cdr:x>0.45068</cdr:x>
      <cdr:y>0.64142</cdr:y>
    </cdr:from>
    <cdr:to>
      <cdr:x>0.50023</cdr:x>
      <cdr:y>0.83365</cdr:y>
    </cdr:to>
    <cdr:sp macro="" textlink="">
      <cdr:nvSpPr>
        <cdr:cNvPr id="26" name="Rectangle 25">
          <a:extLst xmlns:a="http://schemas.openxmlformats.org/drawingml/2006/main">
            <a:ext uri="{FF2B5EF4-FFF2-40B4-BE49-F238E27FC236}">
              <a16:creationId xmlns:a16="http://schemas.microsoft.com/office/drawing/2014/main" id="{C9EBE32C-823A-DE45-8E06-939CE51C6EA3}"/>
            </a:ext>
          </a:extLst>
        </cdr:cNvPr>
        <cdr:cNvSpPr/>
      </cdr:nvSpPr>
      <cdr:spPr>
        <a:xfrm xmlns:a="http://schemas.openxmlformats.org/drawingml/2006/main" rot="16200000">
          <a:off x="3578153" y="4080934"/>
          <a:ext cx="1119846" cy="431253"/>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00" b="1" kern="1200">
              <a:solidFill>
                <a:sysClr val="windowText" lastClr="000000"/>
              </a:solidFill>
              <a:latin typeface="Arial Nova Cond" panose="020B0506020202020204" pitchFamily="34" charset="0"/>
            </a:rPr>
            <a:t>Eutrophication</a:t>
          </a:r>
          <a:r>
            <a:rPr lang="en-US" sz="1100" b="1" kern="1200">
              <a:solidFill>
                <a:sysClr val="windowText" lastClr="000000"/>
              </a:solidFill>
              <a:latin typeface="Arial Nova Cond" panose="020B0506020202020204" pitchFamily="34" charset="0"/>
            </a:rPr>
            <a:t> - </a:t>
          </a:r>
          <a:r>
            <a:rPr lang="en-US" sz="1050" b="1" kern="1200">
              <a:solidFill>
                <a:sysClr val="windowText" lastClr="000000"/>
              </a:solidFill>
              <a:latin typeface="Arial Nova Cond" panose="020B0506020202020204" pitchFamily="34" charset="0"/>
            </a:rPr>
            <a:t>Marine</a:t>
          </a:r>
        </a:p>
      </cdr:txBody>
    </cdr:sp>
  </cdr:relSizeAnchor>
  <cdr:relSizeAnchor xmlns:cdr="http://schemas.openxmlformats.org/drawingml/2006/chartDrawing">
    <cdr:from>
      <cdr:x>0.54407</cdr:x>
      <cdr:y>0.63776</cdr:y>
    </cdr:from>
    <cdr:to>
      <cdr:x>0.59362</cdr:x>
      <cdr:y>0.82999</cdr:y>
    </cdr:to>
    <cdr:sp macro="" textlink="">
      <cdr:nvSpPr>
        <cdr:cNvPr id="27" name="Rectangle 26">
          <a:extLst xmlns:a="http://schemas.openxmlformats.org/drawingml/2006/main">
            <a:ext uri="{FF2B5EF4-FFF2-40B4-BE49-F238E27FC236}">
              <a16:creationId xmlns:a16="http://schemas.microsoft.com/office/drawing/2014/main" id="{D173380F-7295-0B39-EA3D-AD3ACE5848C2}"/>
            </a:ext>
          </a:extLst>
        </cdr:cNvPr>
        <cdr:cNvSpPr/>
      </cdr:nvSpPr>
      <cdr:spPr>
        <a:xfrm xmlns:a="http://schemas.openxmlformats.org/drawingml/2006/main" rot="16200000">
          <a:off x="4382276" y="4084679"/>
          <a:ext cx="1126355"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400" b="1" kern="1200">
              <a:solidFill>
                <a:sysClr val="windowText" lastClr="000000"/>
              </a:solidFill>
              <a:latin typeface="Arial Nova Cond" panose="020B0506020202020204" pitchFamily="34" charset="0"/>
            </a:rPr>
            <a:t>Global Warming</a:t>
          </a:r>
        </a:p>
      </cdr:txBody>
    </cdr:sp>
  </cdr:relSizeAnchor>
  <cdr:relSizeAnchor xmlns:cdr="http://schemas.openxmlformats.org/drawingml/2006/chartDrawing">
    <cdr:from>
      <cdr:x>0.63699</cdr:x>
      <cdr:y>0.63865</cdr:y>
    </cdr:from>
    <cdr:to>
      <cdr:x>0.68654</cdr:x>
      <cdr:y>0.83089</cdr:y>
    </cdr:to>
    <cdr:sp macro="" textlink="">
      <cdr:nvSpPr>
        <cdr:cNvPr id="28" name="Rectangle 27">
          <a:extLst xmlns:a="http://schemas.openxmlformats.org/drawingml/2006/main">
            <a:ext uri="{FF2B5EF4-FFF2-40B4-BE49-F238E27FC236}">
              <a16:creationId xmlns:a16="http://schemas.microsoft.com/office/drawing/2014/main" id="{2C74F8C8-D70A-0429-AA81-EED59264D1F3}"/>
            </a:ext>
          </a:extLst>
        </cdr:cNvPr>
        <cdr:cNvSpPr/>
      </cdr:nvSpPr>
      <cdr:spPr>
        <a:xfrm xmlns:a="http://schemas.openxmlformats.org/drawingml/2006/main" rot="16200000">
          <a:off x="5199654" y="4064829"/>
          <a:ext cx="1119903" cy="431253"/>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Non - Carcinogenics</a:t>
          </a:r>
        </a:p>
      </cdr:txBody>
    </cdr:sp>
  </cdr:relSizeAnchor>
  <cdr:relSizeAnchor xmlns:cdr="http://schemas.openxmlformats.org/drawingml/2006/chartDrawing">
    <cdr:from>
      <cdr:x>0.73196</cdr:x>
      <cdr:y>0.64319</cdr:y>
    </cdr:from>
    <cdr:to>
      <cdr:x>0.78151</cdr:x>
      <cdr:y>0.83542</cdr:y>
    </cdr:to>
    <cdr:sp macro="" textlink="">
      <cdr:nvSpPr>
        <cdr:cNvPr id="29" name="Rectangle 28">
          <a:extLst xmlns:a="http://schemas.openxmlformats.org/drawingml/2006/main">
            <a:ext uri="{FF2B5EF4-FFF2-40B4-BE49-F238E27FC236}">
              <a16:creationId xmlns:a16="http://schemas.microsoft.com/office/drawing/2014/main" id="{0F47EA4A-8642-900E-DB98-9F76F2FD3399}"/>
            </a:ext>
          </a:extLst>
        </cdr:cNvPr>
        <cdr:cNvSpPr/>
      </cdr:nvSpPr>
      <cdr:spPr>
        <a:xfrm xmlns:a="http://schemas.openxmlformats.org/drawingml/2006/main" rot="16200000">
          <a:off x="6015772" y="4116497"/>
          <a:ext cx="1126356"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200" b="1" kern="1200">
              <a:solidFill>
                <a:sysClr val="windowText" lastClr="000000"/>
              </a:solidFill>
              <a:latin typeface="Arial Nova Cond" panose="020B0506020202020204" pitchFamily="34" charset="0"/>
            </a:rPr>
            <a:t>Ozone</a:t>
          </a:r>
          <a:r>
            <a:rPr lang="en-US" sz="1200" b="1" kern="1200" baseline="0">
              <a:solidFill>
                <a:sysClr val="windowText" lastClr="000000"/>
              </a:solidFill>
              <a:latin typeface="Arial Nova Cond" panose="020B0506020202020204" pitchFamily="34" charset="0"/>
            </a:rPr>
            <a:t> Depletion</a:t>
          </a:r>
          <a:endParaRPr lang="en-US" sz="1200" b="1" kern="1200">
            <a:solidFill>
              <a:sysClr val="windowText" lastClr="000000"/>
            </a:solidFill>
            <a:latin typeface="Arial Nova Cond" panose="020B0506020202020204" pitchFamily="34" charset="0"/>
          </a:endParaRPr>
        </a:p>
      </cdr:txBody>
    </cdr:sp>
  </cdr:relSizeAnchor>
  <cdr:relSizeAnchor xmlns:cdr="http://schemas.openxmlformats.org/drawingml/2006/chartDrawing">
    <cdr:from>
      <cdr:x>0.82475</cdr:x>
      <cdr:y>0.64045</cdr:y>
    </cdr:from>
    <cdr:to>
      <cdr:x>0.8743</cdr:x>
      <cdr:y>0.83268</cdr:y>
    </cdr:to>
    <cdr:sp macro="" textlink="">
      <cdr:nvSpPr>
        <cdr:cNvPr id="30" name="Rectangle 29">
          <a:extLst xmlns:a="http://schemas.openxmlformats.org/drawingml/2006/main">
            <a:ext uri="{FF2B5EF4-FFF2-40B4-BE49-F238E27FC236}">
              <a16:creationId xmlns:a16="http://schemas.microsoft.com/office/drawing/2014/main" id="{0C906ECB-20AE-B8F1-237F-05CDF89DC515}"/>
            </a:ext>
          </a:extLst>
        </cdr:cNvPr>
        <cdr:cNvSpPr/>
      </cdr:nvSpPr>
      <cdr:spPr>
        <a:xfrm xmlns:a="http://schemas.openxmlformats.org/drawingml/2006/main" rot="16200000">
          <a:off x="6822479" y="4100470"/>
          <a:ext cx="1126356"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Respiratory Effects - Particulate</a:t>
          </a:r>
        </a:p>
      </cdr:txBody>
    </cdr:sp>
  </cdr:relSizeAnchor>
  <cdr:relSizeAnchor xmlns:cdr="http://schemas.openxmlformats.org/drawingml/2006/chartDrawing">
    <cdr:from>
      <cdr:x>0.92034</cdr:x>
      <cdr:y>0.64102</cdr:y>
    </cdr:from>
    <cdr:to>
      <cdr:x>0.96989</cdr:x>
      <cdr:y>0.83325</cdr:y>
    </cdr:to>
    <cdr:sp macro="" textlink="">
      <cdr:nvSpPr>
        <cdr:cNvPr id="31" name="Rectangle 30">
          <a:extLst xmlns:a="http://schemas.openxmlformats.org/drawingml/2006/main">
            <a:ext uri="{FF2B5EF4-FFF2-40B4-BE49-F238E27FC236}">
              <a16:creationId xmlns:a16="http://schemas.microsoft.com/office/drawing/2014/main" id="{C6DBBBFA-9075-166D-CC75-935315F7D494}"/>
            </a:ext>
          </a:extLst>
        </cdr:cNvPr>
        <cdr:cNvSpPr/>
      </cdr:nvSpPr>
      <cdr:spPr>
        <a:xfrm xmlns:a="http://schemas.openxmlformats.org/drawingml/2006/main" rot="16200000">
          <a:off x="7653507" y="4103772"/>
          <a:ext cx="1126356"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00" b="1" kern="1200">
              <a:solidFill>
                <a:sysClr val="windowText" lastClr="000000"/>
              </a:solidFill>
              <a:latin typeface="Arial Nova Cond" panose="020B0506020202020204" pitchFamily="34" charset="0"/>
            </a:rPr>
            <a:t>Photochemical</a:t>
          </a:r>
          <a:r>
            <a:rPr lang="en-US" sz="1000" b="1" kern="1200" baseline="0">
              <a:solidFill>
                <a:sysClr val="windowText" lastClr="000000"/>
              </a:solidFill>
              <a:latin typeface="Arial Nova Cond" panose="020B0506020202020204" pitchFamily="34" charset="0"/>
            </a:rPr>
            <a:t> </a:t>
          </a:r>
          <a:r>
            <a:rPr lang="en-US" sz="1050" b="1" kern="1200" baseline="0">
              <a:solidFill>
                <a:sysClr val="windowText" lastClr="000000"/>
              </a:solidFill>
              <a:latin typeface="Arial Nova Cond" panose="020B0506020202020204" pitchFamily="34" charset="0"/>
            </a:rPr>
            <a:t>Oxidation Formation</a:t>
          </a:r>
          <a:endParaRPr lang="en-US" sz="1050" b="1" kern="1200">
            <a:solidFill>
              <a:sysClr val="windowText" lastClr="000000"/>
            </a:solidFill>
            <a:latin typeface="Arial Nova Cond" panose="020B0506020202020204" pitchFamily="34" charset="0"/>
          </a:endParaRPr>
        </a:p>
      </cdr:txBody>
    </cdr:sp>
  </cdr:relSizeAnchor>
  <cdr:relSizeAnchor xmlns:cdr="http://schemas.openxmlformats.org/drawingml/2006/chartDrawing">
    <cdr:from>
      <cdr:x>0.0601</cdr:x>
      <cdr:y>0.24554</cdr:y>
    </cdr:from>
    <cdr:to>
      <cdr:x>0.1486</cdr:x>
      <cdr:y>0.32528</cdr:y>
    </cdr:to>
    <mc:AlternateContent xmlns:mc="http://schemas.openxmlformats.org/markup-compatibility/2006" xmlns:a14="http://schemas.microsoft.com/office/drawing/2010/main">
      <mc:Choice Requires="a14">
        <cdr:sp macro="" textlink="">
          <cdr:nvSpPr>
            <cdr:cNvPr id="32" name="Rectangle 31">
              <a:extLst xmlns:a="http://schemas.openxmlformats.org/drawingml/2006/main">
                <a:ext uri="{FF2B5EF4-FFF2-40B4-BE49-F238E27FC236}">
                  <a16:creationId xmlns:a16="http://schemas.microsoft.com/office/drawing/2014/main" id="{AAFE8437-5891-F732-1512-AF787AAD7DB4}"/>
                </a:ext>
              </a:extLst>
            </cdr:cNvPr>
            <cdr:cNvSpPr/>
          </cdr:nvSpPr>
          <cdr:spPr>
            <a:xfrm xmlns:a="http://schemas.openxmlformats.org/drawingml/2006/main">
              <a:off x="523179" y="1430063"/>
              <a:ext cx="770405" cy="46439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kg S</m:t>
                        </m:r>
                        <m:sSub>
                          <m:sSubPr>
                            <m:ctrlPr>
                              <a:rPr lang="en-US" sz="1050" b="0" i="0" kern="1200">
                                <a:solidFill>
                                  <a:sysClr val="windowText" lastClr="000000"/>
                                </a:solidFill>
                                <a:latin typeface="Arial Nova Cond" panose="020B0506020202020204" pitchFamily="34" charset="0"/>
                              </a:rPr>
                            </m:ctrlPr>
                          </m:sSubPr>
                          <m:e>
                            <m:r>
                              <m:rPr>
                                <m:nor/>
                              </m:rPr>
                              <a:rPr lang="en-US" sz="1050" b="0" i="0" kern="1200">
                                <a:solidFill>
                                  <a:sysClr val="windowText" lastClr="000000"/>
                                </a:solidFill>
                                <a:latin typeface="Arial Nova Cond" panose="020B0506020202020204" pitchFamily="34" charset="0"/>
                              </a:rPr>
                              <m:t>O</m:t>
                            </m:r>
                          </m:e>
                          <m:sub>
                            <m:r>
                              <m:rPr>
                                <m:nor/>
                              </m:rPr>
                              <a:rPr lang="en-US" sz="1050" b="0" i="0" kern="1200">
                                <a:solidFill>
                                  <a:sysClr val="windowText" lastClr="000000"/>
                                </a:solidFill>
                                <a:latin typeface="Arial Nova Cond" panose="020B0506020202020204" pitchFamily="34" charset="0"/>
                              </a:rPr>
                              <m:t>2−eq</m:t>
                            </m:r>
                          </m:sub>
                        </m:sSub>
                      </m:num>
                      <m:den>
                        <m:r>
                          <m:rPr>
                            <m:nor/>
                          </m:rPr>
                          <a:rPr lang="en-US" sz="1050" b="0" i="0" kern="1200">
                            <a:solidFill>
                              <a:sysClr val="windowText" lastClr="000000"/>
                            </a:solidFill>
                            <a:latin typeface="Arial Nova Cond" panose="020B0506020202020204" pitchFamily="34" charset="0"/>
                          </a:rPr>
                          <m:t>kg NaOH</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32" name="Rectangle 31">
              <a:extLst xmlns:a="http://schemas.openxmlformats.org/drawingml/2006/main">
                <a:ext uri="{FF2B5EF4-FFF2-40B4-BE49-F238E27FC236}">
                  <a16:creationId xmlns:a16="http://schemas.microsoft.com/office/drawing/2014/main" id="{AAFE8437-5891-F732-1512-AF787AAD7DB4}"/>
                </a:ext>
              </a:extLst>
            </cdr:cNvPr>
            <cdr:cNvSpPr/>
          </cdr:nvSpPr>
          <cdr:spPr>
            <a:xfrm xmlns:a="http://schemas.openxmlformats.org/drawingml/2006/main">
              <a:off x="523179" y="1430063"/>
              <a:ext cx="770405" cy="46439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S</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O</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2−eq</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kg NaOH</a:t>
              </a:r>
              <a:r>
                <a:rPr lang="en-US" sz="1050" b="1" i="0" kern="1200">
                  <a:solidFill>
                    <a:sysClr val="windowText" lastClr="000000"/>
                  </a:solidFill>
                  <a:latin typeface="Cambria Math" panose="02040503050406030204" pitchFamily="18" charset="0"/>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0.00378</cdr:x>
      <cdr:y>0.20117</cdr:y>
    </cdr:from>
    <cdr:to>
      <cdr:x>0.05767</cdr:x>
      <cdr:y>0.24499</cdr:y>
    </cdr:to>
    <cdr:sp macro="" textlink="">
      <cdr:nvSpPr>
        <cdr:cNvPr id="35" name="Rectangle 34">
          <a:extLst xmlns:a="http://schemas.openxmlformats.org/drawingml/2006/main">
            <a:ext uri="{FF2B5EF4-FFF2-40B4-BE49-F238E27FC236}">
              <a16:creationId xmlns:a16="http://schemas.microsoft.com/office/drawing/2014/main" id="{A2087C0C-F51B-50AA-185A-F1CB59ECEE41}"/>
            </a:ext>
          </a:extLst>
        </cdr:cNvPr>
        <cdr:cNvSpPr/>
      </cdr:nvSpPr>
      <cdr:spPr>
        <a:xfrm xmlns:a="http://schemas.openxmlformats.org/drawingml/2006/main">
          <a:off x="32871" y="1178457"/>
          <a:ext cx="468493" cy="256695"/>
        </a:xfrm>
        <a:prstGeom xmlns:a="http://schemas.openxmlformats.org/drawingml/2006/main" prst="rect">
          <a:avLst/>
        </a:prstGeom>
        <a:solidFill xmlns:a="http://schemas.openxmlformats.org/drawingml/2006/main">
          <a:schemeClr val="bg1"/>
        </a:solidFill>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horz"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900" b="1" kern="1200">
              <a:solidFill>
                <a:srgbClr val="00B0F0"/>
              </a:solidFill>
              <a:latin typeface="Arial Nova Cond" panose="020B0506020202020204" pitchFamily="34" charset="0"/>
            </a:rPr>
            <a:t>PROP</a:t>
          </a:r>
        </a:p>
      </cdr:txBody>
    </cdr:sp>
  </cdr:relSizeAnchor>
  <cdr:relSizeAnchor xmlns:cdr="http://schemas.openxmlformats.org/drawingml/2006/chartDrawing">
    <cdr:from>
      <cdr:x>0.00589</cdr:x>
      <cdr:y>0.67385</cdr:y>
    </cdr:from>
    <cdr:to>
      <cdr:x>0.05596</cdr:x>
      <cdr:y>0.81899</cdr:y>
    </cdr:to>
    <cdr:sp macro="" textlink="">
      <cdr:nvSpPr>
        <cdr:cNvPr id="36" name="Rectangle 35">
          <a:extLst xmlns:a="http://schemas.openxmlformats.org/drawingml/2006/main">
            <a:ext uri="{FF2B5EF4-FFF2-40B4-BE49-F238E27FC236}">
              <a16:creationId xmlns:a16="http://schemas.microsoft.com/office/drawing/2014/main" id="{E736BAA7-EF69-0A3E-732A-35EC6878566F}"/>
            </a:ext>
          </a:extLst>
        </cdr:cNvPr>
        <cdr:cNvSpPr/>
      </cdr:nvSpPr>
      <cdr:spPr>
        <a:xfrm xmlns:a="http://schemas.openxmlformats.org/drawingml/2006/main">
          <a:off x="51263" y="3925571"/>
          <a:ext cx="435778" cy="845521"/>
        </a:xfrm>
        <a:prstGeom xmlns:a="http://schemas.openxmlformats.org/drawingml/2006/main" prst="rect">
          <a:avLst/>
        </a:prstGeom>
        <a:solidFill xmlns:a="http://schemas.openxmlformats.org/drawingml/2006/main">
          <a:schemeClr val="bg1"/>
        </a:solidFill>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vert270"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100" b="1" kern="1200">
              <a:solidFill>
                <a:sysClr val="windowText" lastClr="000000"/>
              </a:solidFill>
              <a:latin typeface="Arial Nova Cond" panose="020B0506020202020204" pitchFamily="34" charset="0"/>
            </a:rPr>
            <a:t>CATEGORY</a:t>
          </a:r>
        </a:p>
      </cdr:txBody>
    </cdr:sp>
  </cdr:relSizeAnchor>
  <cdr:relSizeAnchor xmlns:cdr="http://schemas.openxmlformats.org/drawingml/2006/chartDrawing">
    <cdr:from>
      <cdr:x>0.15282</cdr:x>
      <cdr:y>0.2498</cdr:y>
    </cdr:from>
    <cdr:to>
      <cdr:x>0.24008</cdr:x>
      <cdr:y>0.31886</cdr:y>
    </cdr:to>
    <mc:AlternateContent xmlns:mc="http://schemas.openxmlformats.org/markup-compatibility/2006" xmlns:a14="http://schemas.microsoft.com/office/drawing/2010/main">
      <mc:Choice Requires="a14">
        <cdr:sp macro="" textlink="">
          <cdr:nvSpPr>
            <cdr:cNvPr id="37" name="Rectangle 36">
              <a:extLst xmlns:a="http://schemas.openxmlformats.org/drawingml/2006/main">
                <a:ext uri="{FF2B5EF4-FFF2-40B4-BE49-F238E27FC236}">
                  <a16:creationId xmlns:a16="http://schemas.microsoft.com/office/drawing/2014/main" id="{6F6C0593-74C2-EDC8-2A46-DFBEED548368}"/>
                </a:ext>
              </a:extLst>
            </cdr:cNvPr>
            <cdr:cNvSpPr/>
          </cdr:nvSpPr>
          <cdr:spPr>
            <a:xfrm xmlns:a="http://schemas.openxmlformats.org/drawingml/2006/main">
              <a:off x="1328425" y="1466569"/>
              <a:ext cx="758503" cy="40542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CTUh</m:t>
                        </m:r>
                      </m:num>
                      <m:den>
                        <m:r>
                          <m:rPr>
                            <m:nor/>
                          </m:rPr>
                          <a:rPr lang="en-US" sz="1100" b="0" i="0">
                            <a:solidFill>
                              <a:sysClr val="windowText" lastClr="000000"/>
                            </a:solidFill>
                            <a:effectLst/>
                            <a:latin typeface="Arial Nova Cond" panose="020B0506020202020204" pitchFamily="34" charset="0"/>
                            <a:ea typeface="+mn-ea"/>
                            <a:cs typeface="+mn-cs"/>
                          </a:rPr>
                          <m:t>kg NaOH</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37" name="Rectangle 36">
              <a:extLst xmlns:a="http://schemas.openxmlformats.org/drawingml/2006/main">
                <a:ext uri="{FF2B5EF4-FFF2-40B4-BE49-F238E27FC236}">
                  <a16:creationId xmlns:a16="http://schemas.microsoft.com/office/drawing/2014/main" id="{6F6C0593-74C2-EDC8-2A46-DFBEED548368}"/>
                </a:ext>
              </a:extLst>
            </cdr:cNvPr>
            <cdr:cNvSpPr/>
          </cdr:nvSpPr>
          <cdr:spPr>
            <a:xfrm xmlns:a="http://schemas.openxmlformats.org/drawingml/2006/main">
              <a:off x="1328425" y="1466569"/>
              <a:ext cx="758503" cy="40542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"CTUh</a:t>
              </a:r>
              <a:r>
                <a:rPr lang="en-US" sz="1050" b="1" i="0" kern="1200">
                  <a:solidFill>
                    <a:sysClr val="windowText" lastClr="000000"/>
                  </a:solidFill>
                  <a:latin typeface="Cambria Math" panose="02040503050406030204" pitchFamily="18" charset="0"/>
                </a:rPr>
                <a:t>" /</a:t>
              </a:r>
              <a:r>
                <a:rPr lang="en-US" sz="1100" b="1" i="0" kern="1200">
                  <a:solidFill>
                    <a:sysClr val="windowText" lastClr="000000"/>
                  </a:solidFill>
                  <a:effectLst/>
                  <a:latin typeface="Cambria Math" panose="02040503050406030204" pitchFamily="18" charset="0"/>
                  <a:ea typeface="+mn-ea"/>
                  <a:cs typeface="+mn-cs"/>
                </a:rPr>
                <a:t>"</a:t>
              </a:r>
              <a:r>
                <a:rPr lang="en-US" sz="1100" b="1" i="0">
                  <a:solidFill>
                    <a:sysClr val="windowText" lastClr="000000"/>
                  </a:solidFill>
                  <a:effectLst/>
                  <a:latin typeface="Arial Nova Cond" panose="020B0506020202020204" pitchFamily="34" charset="0"/>
                  <a:ea typeface="+mn-ea"/>
                  <a:cs typeface="+mn-cs"/>
                </a:rPr>
                <a:t>kg NaOH</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0.24723</cdr:x>
      <cdr:y>0.24647</cdr:y>
    </cdr:from>
    <cdr:to>
      <cdr:x>0.33312</cdr:x>
      <cdr:y>0.32135</cdr:y>
    </cdr:to>
    <mc:AlternateContent xmlns:mc="http://schemas.openxmlformats.org/markup-compatibility/2006" xmlns:a14="http://schemas.microsoft.com/office/drawing/2010/main">
      <mc:Choice Requires="a14">
        <cdr:sp macro="" textlink="">
          <cdr:nvSpPr>
            <cdr:cNvPr id="38" name="Rectangle 37">
              <a:extLst xmlns:a="http://schemas.openxmlformats.org/drawingml/2006/main">
                <a:ext uri="{FF2B5EF4-FFF2-40B4-BE49-F238E27FC236}">
                  <a16:creationId xmlns:a16="http://schemas.microsoft.com/office/drawing/2014/main" id="{31E9AFB0-C834-DFB0-9095-CE06D96D44AE}"/>
                </a:ext>
              </a:extLst>
            </cdr:cNvPr>
            <cdr:cNvSpPr/>
          </cdr:nvSpPr>
          <cdr:spPr>
            <a:xfrm xmlns:a="http://schemas.openxmlformats.org/drawingml/2006/main">
              <a:off x="2149041" y="1447030"/>
              <a:ext cx="746673" cy="43961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CTUe</m:t>
                        </m:r>
                      </m:num>
                      <m:den>
                        <m:r>
                          <m:rPr>
                            <m:nor/>
                          </m:rPr>
                          <a:rPr lang="en-US" sz="1100" b="0" i="0">
                            <a:solidFill>
                              <a:sysClr val="windowText" lastClr="000000"/>
                            </a:solidFill>
                            <a:effectLst/>
                            <a:latin typeface="Arial Nova Cond" panose="020B0506020202020204" pitchFamily="34" charset="0"/>
                            <a:ea typeface="+mn-ea"/>
                            <a:cs typeface="+mn-cs"/>
                          </a:rPr>
                          <m:t>kg NaOH</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38" name="Rectangle 37">
              <a:extLst xmlns:a="http://schemas.openxmlformats.org/drawingml/2006/main">
                <a:ext uri="{FF2B5EF4-FFF2-40B4-BE49-F238E27FC236}">
                  <a16:creationId xmlns:a16="http://schemas.microsoft.com/office/drawing/2014/main" id="{31E9AFB0-C834-DFB0-9095-CE06D96D44AE}"/>
                </a:ext>
              </a:extLst>
            </cdr:cNvPr>
            <cdr:cNvSpPr/>
          </cdr:nvSpPr>
          <cdr:spPr>
            <a:xfrm xmlns:a="http://schemas.openxmlformats.org/drawingml/2006/main">
              <a:off x="2149041" y="1447030"/>
              <a:ext cx="746673" cy="43961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"CTUe</a:t>
              </a:r>
              <a:r>
                <a:rPr lang="en-US" sz="1050" b="1" i="0" kern="1200">
                  <a:solidFill>
                    <a:sysClr val="windowText" lastClr="000000"/>
                  </a:solidFill>
                  <a:latin typeface="Cambria Math" panose="02040503050406030204" pitchFamily="18" charset="0"/>
                </a:rPr>
                <a:t>" /</a:t>
              </a:r>
              <a:r>
                <a:rPr lang="en-US" sz="1100" b="1" i="0" kern="1200">
                  <a:solidFill>
                    <a:sysClr val="windowText" lastClr="000000"/>
                  </a:solidFill>
                  <a:effectLst/>
                  <a:latin typeface="Cambria Math" panose="02040503050406030204" pitchFamily="18" charset="0"/>
                  <a:ea typeface="+mn-ea"/>
                  <a:cs typeface="+mn-cs"/>
                </a:rPr>
                <a:t>"</a:t>
              </a:r>
              <a:r>
                <a:rPr lang="en-US" sz="1100" b="1" i="0">
                  <a:solidFill>
                    <a:sysClr val="windowText" lastClr="000000"/>
                  </a:solidFill>
                  <a:effectLst/>
                  <a:latin typeface="Arial Nova Cond" panose="020B0506020202020204" pitchFamily="34" charset="0"/>
                  <a:ea typeface="+mn-ea"/>
                  <a:cs typeface="+mn-cs"/>
                </a:rPr>
                <a:t>kg NaOH</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0.33938</cdr:x>
      <cdr:y>0.2473</cdr:y>
    </cdr:from>
    <cdr:to>
      <cdr:x>0.42859</cdr:x>
      <cdr:y>0.32052</cdr:y>
    </cdr:to>
    <mc:AlternateContent xmlns:mc="http://schemas.openxmlformats.org/markup-compatibility/2006" xmlns:a14="http://schemas.microsoft.com/office/drawing/2010/main">
      <mc:Choice Requires="a14">
        <cdr:sp macro="" textlink="">
          <cdr:nvSpPr>
            <cdr:cNvPr id="39" name="Rectangle 38">
              <a:extLst xmlns:a="http://schemas.openxmlformats.org/drawingml/2006/main">
                <a:ext uri="{FF2B5EF4-FFF2-40B4-BE49-F238E27FC236}">
                  <a16:creationId xmlns:a16="http://schemas.microsoft.com/office/drawing/2014/main" id="{AC840EDB-41D4-2D04-1BF8-4B5FBF088B61}"/>
                </a:ext>
              </a:extLst>
            </cdr:cNvPr>
            <cdr:cNvSpPr/>
          </cdr:nvSpPr>
          <cdr:spPr>
            <a:xfrm xmlns:a="http://schemas.openxmlformats.org/drawingml/2006/main">
              <a:off x="2950119" y="1451915"/>
              <a:ext cx="775460" cy="42984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kg </m:t>
                        </m:r>
                        <m:sSub>
                          <m:sSubPr>
                            <m:ctrlPr>
                              <a:rPr lang="en-US" sz="1050" b="0" i="0" kern="1200">
                                <a:solidFill>
                                  <a:sysClr val="windowText" lastClr="000000"/>
                                </a:solidFill>
                                <a:latin typeface="Arial Nova Cond" panose="020B0506020202020204" pitchFamily="34" charset="0"/>
                              </a:rPr>
                            </m:ctrlPr>
                          </m:sSubPr>
                          <m:e>
                            <m:r>
                              <m:rPr>
                                <m:nor/>
                              </m:rPr>
                              <a:rPr lang="en-US" sz="1050" b="0" i="0" kern="1200">
                                <a:solidFill>
                                  <a:sysClr val="windowText" lastClr="000000"/>
                                </a:solidFill>
                                <a:latin typeface="Arial Nova Cond" panose="020B0506020202020204" pitchFamily="34" charset="0"/>
                              </a:rPr>
                              <m:t>P</m:t>
                            </m:r>
                          </m:e>
                          <m:sub>
                            <m:r>
                              <m:rPr>
                                <m:nor/>
                              </m:rPr>
                              <a:rPr lang="en-US" sz="1050" b="0" i="0" kern="1200">
                                <a:solidFill>
                                  <a:sysClr val="windowText" lastClr="000000"/>
                                </a:solidFill>
                                <a:latin typeface="Arial Nova Cond" panose="020B0506020202020204" pitchFamily="34" charset="0"/>
                              </a:rPr>
                              <m:t>eq</m:t>
                            </m:r>
                          </m:sub>
                        </m:sSub>
                      </m:num>
                      <m:den>
                        <m:r>
                          <m:rPr>
                            <m:nor/>
                          </m:rPr>
                          <a:rPr lang="en-US" sz="1100" b="0" i="0">
                            <a:solidFill>
                              <a:sysClr val="windowText" lastClr="000000"/>
                            </a:solidFill>
                            <a:effectLst/>
                            <a:latin typeface="Arial Nova Cond" panose="020B0506020202020204" pitchFamily="34" charset="0"/>
                            <a:ea typeface="+mn-ea"/>
                            <a:cs typeface="+mn-cs"/>
                          </a:rPr>
                          <m:t>kg NaOH</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39" name="Rectangle 38">
              <a:extLst xmlns:a="http://schemas.openxmlformats.org/drawingml/2006/main">
                <a:ext uri="{FF2B5EF4-FFF2-40B4-BE49-F238E27FC236}">
                  <a16:creationId xmlns:a16="http://schemas.microsoft.com/office/drawing/2014/main" id="{AC840EDB-41D4-2D04-1BF8-4B5FBF088B61}"/>
                </a:ext>
              </a:extLst>
            </cdr:cNvPr>
            <cdr:cNvSpPr/>
          </cdr:nvSpPr>
          <cdr:spPr>
            <a:xfrm xmlns:a="http://schemas.openxmlformats.org/drawingml/2006/main">
              <a:off x="2950119" y="1451915"/>
              <a:ext cx="775460" cy="42984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P</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eq</a:t>
              </a:r>
              <a:r>
                <a:rPr lang="en-US" sz="1050" b="1" i="0" kern="1200">
                  <a:solidFill>
                    <a:sysClr val="windowText" lastClr="000000"/>
                  </a:solidFill>
                  <a:latin typeface="Cambria Math" panose="02040503050406030204" pitchFamily="18" charset="0"/>
                </a:rPr>
                <a:t>" )/</a:t>
              </a:r>
              <a:r>
                <a:rPr lang="en-US" sz="1100" b="1" i="0" kern="1200">
                  <a:solidFill>
                    <a:sysClr val="windowText" lastClr="000000"/>
                  </a:solidFill>
                  <a:effectLst/>
                  <a:latin typeface="Cambria Math" panose="02040503050406030204" pitchFamily="18" charset="0"/>
                  <a:ea typeface="+mn-ea"/>
                  <a:cs typeface="+mn-cs"/>
                </a:rPr>
                <a:t>"</a:t>
              </a:r>
              <a:r>
                <a:rPr lang="en-US" sz="1100" b="1" i="0">
                  <a:solidFill>
                    <a:sysClr val="windowText" lastClr="000000"/>
                  </a:solidFill>
                  <a:effectLst/>
                  <a:latin typeface="Arial Nova Cond" panose="020B0506020202020204" pitchFamily="34" charset="0"/>
                  <a:ea typeface="+mn-ea"/>
                  <a:cs typeface="+mn-cs"/>
                </a:rPr>
                <a:t>kg NaOH</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0.43435</cdr:x>
      <cdr:y>0.24647</cdr:y>
    </cdr:from>
    <cdr:to>
      <cdr:x>0.52199</cdr:x>
      <cdr:y>0.31969</cdr:y>
    </cdr:to>
    <mc:AlternateContent xmlns:mc="http://schemas.openxmlformats.org/markup-compatibility/2006" xmlns:a14="http://schemas.microsoft.com/office/drawing/2010/main">
      <mc:Choice Requires="a14">
        <cdr:sp macro="" textlink="">
          <cdr:nvSpPr>
            <cdr:cNvPr id="40" name="Rectangle 39">
              <a:extLst xmlns:a="http://schemas.openxmlformats.org/drawingml/2006/main">
                <a:ext uri="{FF2B5EF4-FFF2-40B4-BE49-F238E27FC236}">
                  <a16:creationId xmlns:a16="http://schemas.microsoft.com/office/drawing/2014/main" id="{586CB80F-27C6-AAE0-C6AB-154855B78E61}"/>
                </a:ext>
              </a:extLst>
            </cdr:cNvPr>
            <cdr:cNvSpPr/>
          </cdr:nvSpPr>
          <cdr:spPr>
            <a:xfrm xmlns:a="http://schemas.openxmlformats.org/drawingml/2006/main">
              <a:off x="3775619" y="1447030"/>
              <a:ext cx="761840" cy="42984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kg </m:t>
                        </m:r>
                        <m:sSub>
                          <m:sSubPr>
                            <m:ctrlPr>
                              <a:rPr lang="en-US" sz="1050" b="0" i="0" kern="1200">
                                <a:solidFill>
                                  <a:sysClr val="windowText" lastClr="000000"/>
                                </a:solidFill>
                                <a:latin typeface="Arial Nova Cond" panose="020B0506020202020204" pitchFamily="34" charset="0"/>
                              </a:rPr>
                            </m:ctrlPr>
                          </m:sSubPr>
                          <m:e>
                            <m:r>
                              <m:rPr>
                                <m:nor/>
                              </m:rPr>
                              <a:rPr lang="en-US" sz="1050" b="0" i="0" kern="1200">
                                <a:solidFill>
                                  <a:sysClr val="windowText" lastClr="000000"/>
                                </a:solidFill>
                                <a:latin typeface="Arial Nova Cond" panose="020B0506020202020204" pitchFamily="34" charset="0"/>
                              </a:rPr>
                              <m:t>N</m:t>
                            </m:r>
                          </m:e>
                          <m:sub>
                            <m:r>
                              <m:rPr>
                                <m:nor/>
                              </m:rPr>
                              <a:rPr lang="en-US" sz="1050" b="0" i="0" kern="1200">
                                <a:solidFill>
                                  <a:sysClr val="windowText" lastClr="000000"/>
                                </a:solidFill>
                                <a:latin typeface="Arial Nova Cond" panose="020B0506020202020204" pitchFamily="34" charset="0"/>
                              </a:rPr>
                              <m:t>eq</m:t>
                            </m:r>
                          </m:sub>
                        </m:sSub>
                      </m:num>
                      <m:den>
                        <m:r>
                          <m:rPr>
                            <m:nor/>
                          </m:rPr>
                          <a:rPr lang="en-US" sz="1100" b="0" i="0">
                            <a:solidFill>
                              <a:sysClr val="windowText" lastClr="000000"/>
                            </a:solidFill>
                            <a:effectLst/>
                            <a:latin typeface="Arial Nova Cond" panose="020B0506020202020204" pitchFamily="34" charset="0"/>
                            <a:ea typeface="+mn-ea"/>
                            <a:cs typeface="+mn-cs"/>
                          </a:rPr>
                          <m:t>kg NaOH</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0" name="Rectangle 39">
              <a:extLst xmlns:a="http://schemas.openxmlformats.org/drawingml/2006/main">
                <a:ext uri="{FF2B5EF4-FFF2-40B4-BE49-F238E27FC236}">
                  <a16:creationId xmlns:a16="http://schemas.microsoft.com/office/drawing/2014/main" id="{586CB80F-27C6-AAE0-C6AB-154855B78E61}"/>
                </a:ext>
              </a:extLst>
            </cdr:cNvPr>
            <cdr:cNvSpPr/>
          </cdr:nvSpPr>
          <cdr:spPr>
            <a:xfrm xmlns:a="http://schemas.openxmlformats.org/drawingml/2006/main">
              <a:off x="3775619" y="1447030"/>
              <a:ext cx="761840" cy="42984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N</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eq</a:t>
              </a:r>
              <a:r>
                <a:rPr lang="en-US" sz="1050" b="1" i="0" kern="1200">
                  <a:solidFill>
                    <a:sysClr val="windowText" lastClr="000000"/>
                  </a:solidFill>
                  <a:latin typeface="Cambria Math" panose="02040503050406030204" pitchFamily="18" charset="0"/>
                </a:rPr>
                <a:t>" )/</a:t>
              </a:r>
              <a:r>
                <a:rPr lang="en-US" sz="1100" b="1" i="0" kern="1200">
                  <a:solidFill>
                    <a:sysClr val="windowText" lastClr="000000"/>
                  </a:solidFill>
                  <a:effectLst/>
                  <a:latin typeface="Cambria Math" panose="02040503050406030204" pitchFamily="18" charset="0"/>
                  <a:ea typeface="+mn-ea"/>
                  <a:cs typeface="+mn-cs"/>
                </a:rPr>
                <a:t>"</a:t>
              </a:r>
              <a:r>
                <a:rPr lang="en-US" sz="1100" b="1" i="0">
                  <a:solidFill>
                    <a:sysClr val="windowText" lastClr="000000"/>
                  </a:solidFill>
                  <a:effectLst/>
                  <a:latin typeface="Arial Nova Cond" panose="020B0506020202020204" pitchFamily="34" charset="0"/>
                  <a:ea typeface="+mn-ea"/>
                  <a:cs typeface="+mn-cs"/>
                </a:rPr>
                <a:t>kg NaOH</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0.52706</cdr:x>
      <cdr:y>0.24647</cdr:y>
    </cdr:from>
    <cdr:to>
      <cdr:x>0.61563</cdr:x>
      <cdr:y>0.32135</cdr:y>
    </cdr:to>
    <mc:AlternateContent xmlns:mc="http://schemas.openxmlformats.org/markup-compatibility/2006" xmlns:a14="http://schemas.microsoft.com/office/drawing/2010/main">
      <mc:Choice Requires="a14">
        <cdr:sp macro="" textlink="">
          <cdr:nvSpPr>
            <cdr:cNvPr id="41" name="Rectangle 40">
              <a:extLst xmlns:a="http://schemas.openxmlformats.org/drawingml/2006/main">
                <a:ext uri="{FF2B5EF4-FFF2-40B4-BE49-F238E27FC236}">
                  <a16:creationId xmlns:a16="http://schemas.microsoft.com/office/drawing/2014/main" id="{E4B9830C-75A7-CA5D-03C1-6A0D5D70DB95}"/>
                </a:ext>
              </a:extLst>
            </cdr:cNvPr>
            <cdr:cNvSpPr/>
          </cdr:nvSpPr>
          <cdr:spPr>
            <a:xfrm xmlns:a="http://schemas.openxmlformats.org/drawingml/2006/main">
              <a:off x="4581579" y="1447030"/>
              <a:ext cx="769869" cy="43961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kg C</m:t>
                        </m:r>
                        <m:sSub>
                          <m:sSubPr>
                            <m:ctrlPr>
                              <a:rPr lang="en-US" sz="1050" b="0" i="0" kern="1200">
                                <a:solidFill>
                                  <a:sysClr val="windowText" lastClr="000000"/>
                                </a:solidFill>
                                <a:latin typeface="Arial Nova Cond" panose="020B0506020202020204" pitchFamily="34" charset="0"/>
                              </a:rPr>
                            </m:ctrlPr>
                          </m:sSubPr>
                          <m:e>
                            <m:r>
                              <m:rPr>
                                <m:nor/>
                              </m:rPr>
                              <a:rPr lang="en-US" sz="1050" b="0" i="0" kern="1200">
                                <a:solidFill>
                                  <a:sysClr val="windowText" lastClr="000000"/>
                                </a:solidFill>
                                <a:latin typeface="Arial Nova Cond" panose="020B0506020202020204" pitchFamily="34" charset="0"/>
                              </a:rPr>
                              <m:t>O</m:t>
                            </m:r>
                          </m:e>
                          <m:sub>
                            <m:r>
                              <m:rPr>
                                <m:nor/>
                              </m:rPr>
                              <a:rPr lang="en-US" sz="1050" b="0" i="0" kern="1200">
                                <a:solidFill>
                                  <a:sysClr val="windowText" lastClr="000000"/>
                                </a:solidFill>
                                <a:latin typeface="Arial Nova Cond" panose="020B0506020202020204" pitchFamily="34" charset="0"/>
                              </a:rPr>
                              <m:t>2−eq</m:t>
                            </m:r>
                          </m:sub>
                        </m:sSub>
                      </m:num>
                      <m:den>
                        <m:r>
                          <m:rPr>
                            <m:nor/>
                          </m:rPr>
                          <a:rPr lang="en-US" sz="1100" b="0" i="0">
                            <a:solidFill>
                              <a:sysClr val="windowText" lastClr="000000"/>
                            </a:solidFill>
                            <a:effectLst/>
                            <a:latin typeface="Arial Nova Cond" panose="020B0506020202020204" pitchFamily="34" charset="0"/>
                            <a:ea typeface="+mn-ea"/>
                            <a:cs typeface="+mn-cs"/>
                          </a:rPr>
                          <m:t>kg NaOH</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1" name="Rectangle 40">
              <a:extLst xmlns:a="http://schemas.openxmlformats.org/drawingml/2006/main">
                <a:ext uri="{FF2B5EF4-FFF2-40B4-BE49-F238E27FC236}">
                  <a16:creationId xmlns:a16="http://schemas.microsoft.com/office/drawing/2014/main" id="{E4B9830C-75A7-CA5D-03C1-6A0D5D70DB95}"/>
                </a:ext>
              </a:extLst>
            </cdr:cNvPr>
            <cdr:cNvSpPr/>
          </cdr:nvSpPr>
          <cdr:spPr>
            <a:xfrm xmlns:a="http://schemas.openxmlformats.org/drawingml/2006/main">
              <a:off x="4581579" y="1447030"/>
              <a:ext cx="769869" cy="43961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C</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O</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2−eq</a:t>
              </a:r>
              <a:r>
                <a:rPr lang="en-US" sz="1050" b="1" i="0" kern="1200">
                  <a:solidFill>
                    <a:sysClr val="windowText" lastClr="000000"/>
                  </a:solidFill>
                  <a:latin typeface="Cambria Math" panose="02040503050406030204" pitchFamily="18" charset="0"/>
                </a:rPr>
                <a:t>" )/</a:t>
              </a:r>
              <a:r>
                <a:rPr lang="en-US" sz="1100" b="1" i="0" kern="1200">
                  <a:solidFill>
                    <a:sysClr val="windowText" lastClr="000000"/>
                  </a:solidFill>
                  <a:effectLst/>
                  <a:latin typeface="Cambria Math" panose="02040503050406030204" pitchFamily="18" charset="0"/>
                  <a:ea typeface="+mn-ea"/>
                  <a:cs typeface="+mn-cs"/>
                </a:rPr>
                <a:t>"</a:t>
              </a:r>
              <a:r>
                <a:rPr lang="en-US" sz="1100" b="1" i="0">
                  <a:solidFill>
                    <a:sysClr val="windowText" lastClr="000000"/>
                  </a:solidFill>
                  <a:effectLst/>
                  <a:latin typeface="Arial Nova Cond" panose="020B0506020202020204" pitchFamily="34" charset="0"/>
                  <a:ea typeface="+mn-ea"/>
                  <a:cs typeface="+mn-cs"/>
                </a:rPr>
                <a:t>kg NaOH</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0.62034</cdr:x>
      <cdr:y>0.2473</cdr:y>
    </cdr:from>
    <cdr:to>
      <cdr:x>0.70915</cdr:x>
      <cdr:y>0.32302</cdr:y>
    </cdr:to>
    <mc:AlternateContent xmlns:mc="http://schemas.openxmlformats.org/markup-compatibility/2006" xmlns:a14="http://schemas.microsoft.com/office/drawing/2010/main">
      <mc:Choice Requires="a14">
        <cdr:sp macro="" textlink="">
          <cdr:nvSpPr>
            <cdr:cNvPr id="42" name="Rectangle 41">
              <a:extLst xmlns:a="http://schemas.openxmlformats.org/drawingml/2006/main">
                <a:ext uri="{FF2B5EF4-FFF2-40B4-BE49-F238E27FC236}">
                  <a16:creationId xmlns:a16="http://schemas.microsoft.com/office/drawing/2014/main" id="{D8ADE223-B36C-AD36-21B1-DC5E3D66F8E0}"/>
                </a:ext>
              </a:extLst>
            </cdr:cNvPr>
            <cdr:cNvSpPr/>
          </cdr:nvSpPr>
          <cdr:spPr>
            <a:xfrm xmlns:a="http://schemas.openxmlformats.org/drawingml/2006/main">
              <a:off x="5392425" y="1451915"/>
              <a:ext cx="771959"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CTUh</m:t>
                        </m:r>
                      </m:num>
                      <m:den>
                        <m:r>
                          <m:rPr>
                            <m:nor/>
                          </m:rPr>
                          <a:rPr lang="en-US" sz="1100" b="0" i="0">
                            <a:solidFill>
                              <a:sysClr val="windowText" lastClr="000000"/>
                            </a:solidFill>
                            <a:effectLst/>
                            <a:latin typeface="Arial Nova Cond" panose="020B0506020202020204" pitchFamily="34" charset="0"/>
                            <a:ea typeface="+mn-ea"/>
                            <a:cs typeface="+mn-cs"/>
                          </a:rPr>
                          <m:t>kg NaOH</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2" name="Rectangle 41">
              <a:extLst xmlns:a="http://schemas.openxmlformats.org/drawingml/2006/main">
                <a:ext uri="{FF2B5EF4-FFF2-40B4-BE49-F238E27FC236}">
                  <a16:creationId xmlns:a16="http://schemas.microsoft.com/office/drawing/2014/main" id="{D8ADE223-B36C-AD36-21B1-DC5E3D66F8E0}"/>
                </a:ext>
              </a:extLst>
            </cdr:cNvPr>
            <cdr:cNvSpPr/>
          </cdr:nvSpPr>
          <cdr:spPr>
            <a:xfrm xmlns:a="http://schemas.openxmlformats.org/drawingml/2006/main">
              <a:off x="5392425" y="1451915"/>
              <a:ext cx="771959"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"CTUh</a:t>
              </a:r>
              <a:r>
                <a:rPr lang="en-US" sz="1050" b="1" i="0" kern="1200">
                  <a:solidFill>
                    <a:sysClr val="windowText" lastClr="000000"/>
                  </a:solidFill>
                  <a:latin typeface="Cambria Math" panose="02040503050406030204" pitchFamily="18" charset="0"/>
                </a:rPr>
                <a:t>" /</a:t>
              </a:r>
              <a:r>
                <a:rPr lang="en-US" sz="1100" b="1" i="0" kern="1200">
                  <a:solidFill>
                    <a:sysClr val="windowText" lastClr="000000"/>
                  </a:solidFill>
                  <a:effectLst/>
                  <a:latin typeface="Cambria Math" panose="02040503050406030204" pitchFamily="18" charset="0"/>
                  <a:ea typeface="+mn-ea"/>
                  <a:cs typeface="+mn-cs"/>
                </a:rPr>
                <a:t>"</a:t>
              </a:r>
              <a:r>
                <a:rPr lang="en-US" sz="1100" b="1" i="0">
                  <a:solidFill>
                    <a:sysClr val="windowText" lastClr="000000"/>
                  </a:solidFill>
                  <a:effectLst/>
                  <a:latin typeface="Arial Nova Cond" panose="020B0506020202020204" pitchFamily="34" charset="0"/>
                  <a:ea typeface="+mn-ea"/>
                  <a:cs typeface="+mn-cs"/>
                </a:rPr>
                <a:t>kg NaOH</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0.71362</cdr:x>
      <cdr:y>0.24647</cdr:y>
    </cdr:from>
    <cdr:to>
      <cdr:x>0.80194</cdr:x>
      <cdr:y>0.32218</cdr:y>
    </cdr:to>
    <mc:AlternateContent xmlns:mc="http://schemas.openxmlformats.org/markup-compatibility/2006" xmlns:a14="http://schemas.microsoft.com/office/drawing/2010/main">
      <mc:Choice Requires="a14">
        <cdr:sp macro="" textlink="">
          <cdr:nvSpPr>
            <cdr:cNvPr id="43" name="Rectangle 42">
              <a:extLst xmlns:a="http://schemas.openxmlformats.org/drawingml/2006/main">
                <a:ext uri="{FF2B5EF4-FFF2-40B4-BE49-F238E27FC236}">
                  <a16:creationId xmlns:a16="http://schemas.microsoft.com/office/drawing/2014/main" id="{1A85A80C-315C-B629-C24A-40AC9ACA6AB4}"/>
                </a:ext>
              </a:extLst>
            </cdr:cNvPr>
            <cdr:cNvSpPr/>
          </cdr:nvSpPr>
          <cdr:spPr>
            <a:xfrm xmlns:a="http://schemas.openxmlformats.org/drawingml/2006/main">
              <a:off x="6203271" y="1447030"/>
              <a:ext cx="767703"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CFC−11</m:t>
                        </m:r>
                      </m:num>
                      <m:den>
                        <m:r>
                          <m:rPr>
                            <m:nor/>
                          </m:rPr>
                          <a:rPr lang="en-US" sz="1100" b="0" i="0">
                            <a:solidFill>
                              <a:sysClr val="windowText" lastClr="000000"/>
                            </a:solidFill>
                            <a:effectLst/>
                            <a:latin typeface="Arial Nova Cond" panose="020B0506020202020204" pitchFamily="34" charset="0"/>
                            <a:ea typeface="+mn-ea"/>
                            <a:cs typeface="+mn-cs"/>
                          </a:rPr>
                          <m:t>kg NaOH</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3" name="Rectangle 42">
              <a:extLst xmlns:a="http://schemas.openxmlformats.org/drawingml/2006/main">
                <a:ext uri="{FF2B5EF4-FFF2-40B4-BE49-F238E27FC236}">
                  <a16:creationId xmlns:a16="http://schemas.microsoft.com/office/drawing/2014/main" id="{1A85A80C-315C-B629-C24A-40AC9ACA6AB4}"/>
                </a:ext>
              </a:extLst>
            </cdr:cNvPr>
            <cdr:cNvSpPr/>
          </cdr:nvSpPr>
          <cdr:spPr>
            <a:xfrm xmlns:a="http://schemas.openxmlformats.org/drawingml/2006/main">
              <a:off x="6203271" y="1447030"/>
              <a:ext cx="767703"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"CFC−11</a:t>
              </a:r>
              <a:r>
                <a:rPr lang="en-US" sz="1050" b="1" i="0" kern="1200">
                  <a:solidFill>
                    <a:sysClr val="windowText" lastClr="000000"/>
                  </a:solidFill>
                  <a:latin typeface="Cambria Math" panose="02040503050406030204" pitchFamily="18" charset="0"/>
                </a:rPr>
                <a:t>" /</a:t>
              </a:r>
              <a:r>
                <a:rPr lang="en-US" sz="1100" b="1" i="0" kern="1200">
                  <a:solidFill>
                    <a:sysClr val="windowText" lastClr="000000"/>
                  </a:solidFill>
                  <a:effectLst/>
                  <a:latin typeface="Cambria Math" panose="02040503050406030204" pitchFamily="18" charset="0"/>
                  <a:ea typeface="+mn-ea"/>
                  <a:cs typeface="+mn-cs"/>
                </a:rPr>
                <a:t>"</a:t>
              </a:r>
              <a:r>
                <a:rPr lang="en-US" sz="1100" b="1" i="0">
                  <a:solidFill>
                    <a:sysClr val="windowText" lastClr="000000"/>
                  </a:solidFill>
                  <a:effectLst/>
                  <a:latin typeface="Arial Nova Cond" panose="020B0506020202020204" pitchFamily="34" charset="0"/>
                  <a:ea typeface="+mn-ea"/>
                  <a:cs typeface="+mn-cs"/>
                </a:rPr>
                <a:t>kg NaOH</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0.80803</cdr:x>
      <cdr:y>0.24814</cdr:y>
    </cdr:from>
    <cdr:to>
      <cdr:x>0.89472</cdr:x>
      <cdr:y>0.32052</cdr:y>
    </cdr:to>
    <mc:AlternateContent xmlns:mc="http://schemas.openxmlformats.org/markup-compatibility/2006" xmlns:a14="http://schemas.microsoft.com/office/drawing/2010/main">
      <mc:Choice Requires="a14">
        <cdr:sp macro="" textlink="">
          <cdr:nvSpPr>
            <cdr:cNvPr id="44" name="Rectangle 43">
              <a:extLst xmlns:a="http://schemas.openxmlformats.org/drawingml/2006/main">
                <a:ext uri="{FF2B5EF4-FFF2-40B4-BE49-F238E27FC236}">
                  <a16:creationId xmlns:a16="http://schemas.microsoft.com/office/drawing/2014/main" id="{40A061A1-B095-537E-39C7-3D687C52D94E}"/>
                </a:ext>
              </a:extLst>
            </cdr:cNvPr>
            <cdr:cNvSpPr/>
          </cdr:nvSpPr>
          <cdr:spPr>
            <a:xfrm xmlns:a="http://schemas.openxmlformats.org/drawingml/2006/main">
              <a:off x="7023887" y="1456800"/>
              <a:ext cx="753591" cy="42496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P</m:t>
                        </m:r>
                        <m:sSub>
                          <m:sSubPr>
                            <m:ctrlPr>
                              <a:rPr lang="en-US" sz="1050" b="0" i="0" kern="1200">
                                <a:solidFill>
                                  <a:sysClr val="windowText" lastClr="000000"/>
                                </a:solidFill>
                                <a:latin typeface="Arial Nova Cond" panose="020B0506020202020204" pitchFamily="34" charset="0"/>
                              </a:rPr>
                            </m:ctrlPr>
                          </m:sSubPr>
                          <m:e>
                            <m:r>
                              <m:rPr>
                                <m:nor/>
                              </m:rPr>
                              <a:rPr lang="en-US" sz="1050" b="0" i="0" kern="1200">
                                <a:solidFill>
                                  <a:sysClr val="windowText" lastClr="000000"/>
                                </a:solidFill>
                                <a:latin typeface="Arial Nova Cond" panose="020B0506020202020204" pitchFamily="34" charset="0"/>
                              </a:rPr>
                              <m:t>M</m:t>
                            </m:r>
                          </m:e>
                          <m:sub>
                            <m:r>
                              <m:rPr>
                                <m:nor/>
                              </m:rPr>
                              <a:rPr lang="en-US" sz="1050" b="0" i="0" kern="1200">
                                <a:solidFill>
                                  <a:sysClr val="windowText" lastClr="000000"/>
                                </a:solidFill>
                                <a:latin typeface="Arial Nova Cond" panose="020B0506020202020204" pitchFamily="34" charset="0"/>
                              </a:rPr>
                              <m:t>2.5</m:t>
                            </m:r>
                          </m:sub>
                        </m:sSub>
                        <m:r>
                          <m:rPr>
                            <m:nor/>
                          </m:rPr>
                          <a:rPr lang="en-US" sz="1050" b="0" i="0" kern="1200">
                            <a:solidFill>
                              <a:sysClr val="windowText" lastClr="000000"/>
                            </a:solidFill>
                            <a:latin typeface="Arial Nova Cond" panose="020B0506020202020204" pitchFamily="34" charset="0"/>
                          </a:rPr>
                          <m:t> </m:t>
                        </m:r>
                      </m:num>
                      <m:den>
                        <m:r>
                          <m:rPr>
                            <m:nor/>
                          </m:rPr>
                          <a:rPr lang="en-US" sz="1100" b="0" i="0">
                            <a:solidFill>
                              <a:sysClr val="windowText" lastClr="000000"/>
                            </a:solidFill>
                            <a:effectLst/>
                            <a:latin typeface="Arial Nova Cond" panose="020B0506020202020204" pitchFamily="34" charset="0"/>
                            <a:ea typeface="+mn-ea"/>
                            <a:cs typeface="+mn-cs"/>
                          </a:rPr>
                          <m:t>kg NaOH</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4" name="Rectangle 43">
              <a:extLst xmlns:a="http://schemas.openxmlformats.org/drawingml/2006/main">
                <a:ext uri="{FF2B5EF4-FFF2-40B4-BE49-F238E27FC236}">
                  <a16:creationId xmlns:a16="http://schemas.microsoft.com/office/drawing/2014/main" id="{40A061A1-B095-537E-39C7-3D687C52D94E}"/>
                </a:ext>
              </a:extLst>
            </cdr:cNvPr>
            <cdr:cNvSpPr/>
          </cdr:nvSpPr>
          <cdr:spPr>
            <a:xfrm xmlns:a="http://schemas.openxmlformats.org/drawingml/2006/main">
              <a:off x="7023887" y="1456800"/>
              <a:ext cx="753591" cy="42496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P</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M</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2.5</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 </a:t>
              </a:r>
              <a:r>
                <a:rPr lang="en-US" sz="1050" b="1" i="0" kern="1200">
                  <a:solidFill>
                    <a:sysClr val="windowText" lastClr="000000"/>
                  </a:solidFill>
                  <a:latin typeface="Cambria Math" panose="02040503050406030204" pitchFamily="18" charset="0"/>
                </a:rPr>
                <a:t>" )/</a:t>
              </a:r>
              <a:r>
                <a:rPr lang="en-US" sz="1100" b="1" i="0" kern="1200">
                  <a:solidFill>
                    <a:sysClr val="windowText" lastClr="000000"/>
                  </a:solidFill>
                  <a:effectLst/>
                  <a:latin typeface="Cambria Math" panose="02040503050406030204" pitchFamily="18" charset="0"/>
                  <a:ea typeface="+mn-ea"/>
                  <a:cs typeface="+mn-cs"/>
                </a:rPr>
                <a:t>"</a:t>
              </a:r>
              <a:r>
                <a:rPr lang="en-US" sz="1100" b="1" i="0">
                  <a:solidFill>
                    <a:sysClr val="windowText" lastClr="000000"/>
                  </a:solidFill>
                  <a:effectLst/>
                  <a:latin typeface="Arial Nova Cond" panose="020B0506020202020204" pitchFamily="34" charset="0"/>
                  <a:ea typeface="+mn-ea"/>
                  <a:cs typeface="+mn-cs"/>
                </a:rPr>
                <a:t>kg NaOH</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0.90412</cdr:x>
      <cdr:y>0.24897</cdr:y>
    </cdr:from>
    <cdr:to>
      <cdr:x>0.98971</cdr:x>
      <cdr:y>0.32135</cdr:y>
    </cdr:to>
    <mc:AlternateContent xmlns:mc="http://schemas.openxmlformats.org/markup-compatibility/2006" xmlns:a14="http://schemas.microsoft.com/office/drawing/2010/main">
      <mc:Choice Requires="a14">
        <cdr:sp macro="" textlink="">
          <cdr:nvSpPr>
            <cdr:cNvPr id="45" name="Rectangle 44">
              <a:extLst xmlns:a="http://schemas.openxmlformats.org/drawingml/2006/main">
                <a:ext uri="{FF2B5EF4-FFF2-40B4-BE49-F238E27FC236}">
                  <a16:creationId xmlns:a16="http://schemas.microsoft.com/office/drawing/2014/main" id="{1E801B24-40DD-32FD-2E59-59B722406D01}"/>
                </a:ext>
              </a:extLst>
            </cdr:cNvPr>
            <cdr:cNvSpPr/>
          </cdr:nvSpPr>
          <cdr:spPr>
            <a:xfrm xmlns:a="http://schemas.openxmlformats.org/drawingml/2006/main">
              <a:off x="7859156" y="1461684"/>
              <a:ext cx="744035" cy="42496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kg </m:t>
                        </m:r>
                        <m:sSub>
                          <m:sSubPr>
                            <m:ctrlPr>
                              <a:rPr lang="en-US" sz="1050" b="0" i="0" kern="1200">
                                <a:solidFill>
                                  <a:sysClr val="windowText" lastClr="000000"/>
                                </a:solidFill>
                                <a:latin typeface="Arial Nova Cond" panose="020B0506020202020204" pitchFamily="34" charset="0"/>
                              </a:rPr>
                            </m:ctrlPr>
                          </m:sSubPr>
                          <m:e>
                            <m:r>
                              <m:rPr>
                                <m:nor/>
                              </m:rPr>
                              <a:rPr lang="en-US" sz="1050" b="0" i="0" kern="1200">
                                <a:solidFill>
                                  <a:sysClr val="windowText" lastClr="000000"/>
                                </a:solidFill>
                                <a:latin typeface="Arial Nova Cond" panose="020B0506020202020204" pitchFamily="34" charset="0"/>
                              </a:rPr>
                              <m:t>O</m:t>
                            </m:r>
                          </m:e>
                          <m:sub>
                            <m:r>
                              <m:rPr>
                                <m:nor/>
                              </m:rPr>
                              <a:rPr lang="en-US" sz="1050" b="0" i="0" kern="1200">
                                <a:solidFill>
                                  <a:sysClr val="windowText" lastClr="000000"/>
                                </a:solidFill>
                                <a:latin typeface="Arial Nova Cond" panose="020B0506020202020204" pitchFamily="34" charset="0"/>
                              </a:rPr>
                              <m:t>3−eq</m:t>
                            </m:r>
                          </m:sub>
                        </m:sSub>
                      </m:num>
                      <m:den>
                        <m:r>
                          <m:rPr>
                            <m:nor/>
                          </m:rPr>
                          <a:rPr lang="en-US" sz="1100" b="0" i="0">
                            <a:solidFill>
                              <a:sysClr val="windowText" lastClr="000000"/>
                            </a:solidFill>
                            <a:effectLst/>
                            <a:latin typeface="Arial Nova Cond" panose="020B0506020202020204" pitchFamily="34" charset="0"/>
                            <a:ea typeface="+mn-ea"/>
                            <a:cs typeface="+mn-cs"/>
                          </a:rPr>
                          <m:t>kg NaOH</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5" name="Rectangle 44">
              <a:extLst xmlns:a="http://schemas.openxmlformats.org/drawingml/2006/main">
                <a:ext uri="{FF2B5EF4-FFF2-40B4-BE49-F238E27FC236}">
                  <a16:creationId xmlns:a16="http://schemas.microsoft.com/office/drawing/2014/main" id="{1E801B24-40DD-32FD-2E59-59B722406D01}"/>
                </a:ext>
              </a:extLst>
            </cdr:cNvPr>
            <cdr:cNvSpPr/>
          </cdr:nvSpPr>
          <cdr:spPr>
            <a:xfrm xmlns:a="http://schemas.openxmlformats.org/drawingml/2006/main">
              <a:off x="7859156" y="1461684"/>
              <a:ext cx="744035" cy="42496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O</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3−eq</a:t>
              </a:r>
              <a:r>
                <a:rPr lang="en-US" sz="1050" b="1" i="0" kern="1200">
                  <a:solidFill>
                    <a:sysClr val="windowText" lastClr="000000"/>
                  </a:solidFill>
                  <a:latin typeface="Cambria Math" panose="02040503050406030204" pitchFamily="18" charset="0"/>
                </a:rPr>
                <a:t>" )/</a:t>
              </a:r>
              <a:r>
                <a:rPr lang="en-US" sz="1100" b="1" i="0" kern="1200">
                  <a:solidFill>
                    <a:sysClr val="windowText" lastClr="000000"/>
                  </a:solidFill>
                  <a:effectLst/>
                  <a:latin typeface="Cambria Math" panose="02040503050406030204" pitchFamily="18" charset="0"/>
                  <a:ea typeface="+mn-ea"/>
                  <a:cs typeface="+mn-cs"/>
                </a:rPr>
                <a:t>"</a:t>
              </a:r>
              <a:r>
                <a:rPr lang="en-US" sz="1100" b="1" i="0">
                  <a:solidFill>
                    <a:sysClr val="windowText" lastClr="000000"/>
                  </a:solidFill>
                  <a:effectLst/>
                  <a:latin typeface="Arial Nova Cond" panose="020B0506020202020204" pitchFamily="34" charset="0"/>
                  <a:ea typeface="+mn-ea"/>
                  <a:cs typeface="+mn-cs"/>
                </a:rPr>
                <a:t>kg NaOH</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0.05965</cdr:x>
      <cdr:y>0.1538</cdr:y>
    </cdr:from>
    <cdr:to>
      <cdr:x>0.14803</cdr:x>
      <cdr:y>0.19858</cdr:y>
    </cdr:to>
    <cdr:sp macro="" textlink="">
      <cdr:nvSpPr>
        <cdr:cNvPr id="46" name="Rectangle 45">
          <a:extLst xmlns:a="http://schemas.openxmlformats.org/drawingml/2006/main">
            <a:ext uri="{FF2B5EF4-FFF2-40B4-BE49-F238E27FC236}">
              <a16:creationId xmlns:a16="http://schemas.microsoft.com/office/drawing/2014/main" id="{56E65776-C183-6A93-EE21-4E50CB981602}"/>
            </a:ext>
          </a:extLst>
        </cdr:cNvPr>
        <cdr:cNvSpPr/>
      </cdr:nvSpPr>
      <cdr:spPr>
        <a:xfrm xmlns:a="http://schemas.openxmlformats.org/drawingml/2006/main">
          <a:off x="518516" y="902949"/>
          <a:ext cx="768255" cy="26293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0.01</a:t>
          </a:r>
        </a:p>
      </cdr:txBody>
    </cdr:sp>
  </cdr:relSizeAnchor>
  <cdr:relSizeAnchor xmlns:cdr="http://schemas.openxmlformats.org/drawingml/2006/chartDrawing">
    <cdr:from>
      <cdr:x>0.1539</cdr:x>
      <cdr:y>0.14913</cdr:y>
    </cdr:from>
    <cdr:to>
      <cdr:x>0.24229</cdr:x>
      <cdr:y>0.19822</cdr:y>
    </cdr:to>
    <cdr:sp macro="" textlink="">
      <cdr:nvSpPr>
        <cdr:cNvPr id="47" name="Rectangle 46">
          <a:extLst xmlns:a="http://schemas.openxmlformats.org/drawingml/2006/main">
            <a:ext uri="{FF2B5EF4-FFF2-40B4-BE49-F238E27FC236}">
              <a16:creationId xmlns:a16="http://schemas.microsoft.com/office/drawing/2014/main" id="{BA0DD814-EA4F-7E03-A0C7-9B94172B1451}"/>
            </a:ext>
          </a:extLst>
        </cdr:cNvPr>
        <cdr:cNvSpPr/>
      </cdr:nvSpPr>
      <cdr:spPr>
        <a:xfrm xmlns:a="http://schemas.openxmlformats.org/drawingml/2006/main">
          <a:off x="1337797" y="875531"/>
          <a:ext cx="768342" cy="28819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1.3E-7</a:t>
          </a:r>
        </a:p>
      </cdr:txBody>
    </cdr:sp>
  </cdr:relSizeAnchor>
  <cdr:relSizeAnchor xmlns:cdr="http://schemas.openxmlformats.org/drawingml/2006/chartDrawing">
    <cdr:from>
      <cdr:x>0.24578</cdr:x>
      <cdr:y>0.15079</cdr:y>
    </cdr:from>
    <cdr:to>
      <cdr:x>0.33581</cdr:x>
      <cdr:y>0.19738</cdr:y>
    </cdr:to>
    <mc:AlternateContent xmlns:mc="http://schemas.openxmlformats.org/markup-compatibility/2006" xmlns:a14="http://schemas.microsoft.com/office/drawing/2010/main">
      <mc:Choice Requires="a14">
        <cdr:sp macro="" textlink="">
          <cdr:nvSpPr>
            <cdr:cNvPr id="48" name="Rectangle 47">
              <a:extLst xmlns:a="http://schemas.openxmlformats.org/drawingml/2006/main">
                <a:ext uri="{FF2B5EF4-FFF2-40B4-BE49-F238E27FC236}">
                  <a16:creationId xmlns:a16="http://schemas.microsoft.com/office/drawing/2014/main" id="{AC1D82BA-5F3F-FA3B-C561-C416E432DD6F}"/>
                </a:ext>
              </a:extLst>
            </cdr:cNvPr>
            <cdr:cNvSpPr/>
          </cdr:nvSpPr>
          <cdr:spPr>
            <a:xfrm xmlns:a="http://schemas.openxmlformats.org/drawingml/2006/main">
              <a:off x="2136476" y="885301"/>
              <a:ext cx="782599" cy="27353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
                  </m:oMathParaPr>
                  <m:oMath>
                    <m:r>
                      <m:rPr>
                        <m:nor/>
                      </m:rPr>
                      <a:rPr lang="en-US" sz="1050" b="0" i="0" kern="1200">
                        <a:solidFill>
                          <a:schemeClr val="tx1"/>
                        </a:solidFill>
                        <a:latin typeface="Arial Nova Cond" panose="020B0506020202020204" pitchFamily="34" charset="0"/>
                      </a:rPr>
                      <m:t>22.13</m:t>
                    </m:r>
                  </m:oMath>
                </m:oMathPara>
              </a14:m>
              <a:endParaRPr lang="en-US" sz="900" b="1" kern="1200">
                <a:solidFill>
                  <a:schemeClr val="tx1"/>
                </a:solidFill>
                <a:latin typeface="Arial Nova Cond" panose="020B0506020202020204" pitchFamily="34" charset="0"/>
              </a:endParaRPr>
            </a:p>
          </cdr:txBody>
        </cdr:sp>
      </mc:Choice>
      <mc:Fallback xmlns="">
        <cdr:sp macro="" textlink="">
          <cdr:nvSpPr>
            <cdr:cNvPr id="48" name="Rectangle 47">
              <a:extLst xmlns:a="http://schemas.openxmlformats.org/drawingml/2006/main">
                <a:ext uri="{FF2B5EF4-FFF2-40B4-BE49-F238E27FC236}">
                  <a16:creationId xmlns:a16="http://schemas.microsoft.com/office/drawing/2014/main" id="{AC1D82BA-5F3F-FA3B-C561-C416E432DD6F}"/>
                </a:ext>
              </a:extLst>
            </cdr:cNvPr>
            <cdr:cNvSpPr/>
          </cdr:nvSpPr>
          <cdr:spPr>
            <a:xfrm xmlns:a="http://schemas.openxmlformats.org/drawingml/2006/main">
              <a:off x="2136476" y="885301"/>
              <a:ext cx="782599" cy="27353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chemeClr val="tx1"/>
                  </a:solidFill>
                  <a:latin typeface="Cambria Math" panose="02040503050406030204" pitchFamily="18" charset="0"/>
                </a:rPr>
                <a:t>"22.13</a:t>
              </a:r>
              <a:r>
                <a:rPr lang="en-US" sz="1050" b="1" i="0" kern="1200">
                  <a:solidFill>
                    <a:schemeClr val="tx1"/>
                  </a:solidFill>
                  <a:latin typeface="Arial Nova Cond" panose="020B0506020202020204" pitchFamily="34" charset="0"/>
                </a:rPr>
                <a:t>"</a:t>
              </a:r>
              <a:endParaRPr lang="en-US" sz="900" b="1" kern="1200">
                <a:solidFill>
                  <a:schemeClr val="tx1"/>
                </a:solidFill>
                <a:latin typeface="Arial Nova Cond" panose="020B0506020202020204" pitchFamily="34" charset="0"/>
              </a:endParaRPr>
            </a:p>
          </cdr:txBody>
        </cdr:sp>
      </mc:Fallback>
    </mc:AlternateContent>
  </cdr:relSizeAnchor>
  <cdr:relSizeAnchor xmlns:cdr="http://schemas.openxmlformats.org/drawingml/2006/chartDrawing">
    <cdr:from>
      <cdr:x>0.34021</cdr:x>
      <cdr:y>0.15079</cdr:y>
    </cdr:from>
    <cdr:to>
      <cdr:x>0.42859</cdr:x>
      <cdr:y>0.19655</cdr:y>
    </cdr:to>
    <cdr:sp macro="" textlink="">
      <cdr:nvSpPr>
        <cdr:cNvPr id="49" name="Rectangle 48">
          <a:extLst xmlns:a="http://schemas.openxmlformats.org/drawingml/2006/main">
            <a:ext uri="{FF2B5EF4-FFF2-40B4-BE49-F238E27FC236}">
              <a16:creationId xmlns:a16="http://schemas.microsoft.com/office/drawing/2014/main" id="{A8593A93-4E72-147A-7B78-4661359932E7}"/>
            </a:ext>
          </a:extLst>
        </cdr:cNvPr>
        <cdr:cNvSpPr/>
      </cdr:nvSpPr>
      <cdr:spPr>
        <a:xfrm xmlns:a="http://schemas.openxmlformats.org/drawingml/2006/main">
          <a:off x="2957323" y="885301"/>
          <a:ext cx="768255" cy="26865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5.6E-4</a:t>
          </a:r>
        </a:p>
      </cdr:txBody>
    </cdr:sp>
  </cdr:relSizeAnchor>
  <cdr:relSizeAnchor xmlns:cdr="http://schemas.openxmlformats.org/drawingml/2006/chartDrawing">
    <cdr:from>
      <cdr:x>0.43446</cdr:x>
      <cdr:y>0.14996</cdr:y>
    </cdr:from>
    <cdr:to>
      <cdr:x>0.52285</cdr:x>
      <cdr:y>0.19655</cdr:y>
    </cdr:to>
    <cdr:sp macro="" textlink="">
      <cdr:nvSpPr>
        <cdr:cNvPr id="50" name="Rectangle 49">
          <a:extLst xmlns:a="http://schemas.openxmlformats.org/drawingml/2006/main">
            <a:ext uri="{FF2B5EF4-FFF2-40B4-BE49-F238E27FC236}">
              <a16:creationId xmlns:a16="http://schemas.microsoft.com/office/drawing/2014/main" id="{F9145A33-E83F-2E98-13B9-4999CD251D94}"/>
            </a:ext>
          </a:extLst>
        </cdr:cNvPr>
        <cdr:cNvSpPr/>
      </cdr:nvSpPr>
      <cdr:spPr>
        <a:xfrm xmlns:a="http://schemas.openxmlformats.org/drawingml/2006/main">
          <a:off x="3776603" y="880415"/>
          <a:ext cx="768343" cy="27353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3.6E-3</a:t>
          </a:r>
        </a:p>
      </cdr:txBody>
    </cdr:sp>
  </cdr:relSizeAnchor>
  <cdr:relSizeAnchor xmlns:cdr="http://schemas.openxmlformats.org/drawingml/2006/chartDrawing">
    <cdr:from>
      <cdr:x>0.52798</cdr:x>
      <cdr:y>0.15079</cdr:y>
    </cdr:from>
    <cdr:to>
      <cdr:x>0.61637</cdr:x>
      <cdr:y>0.19988</cdr:y>
    </cdr:to>
    <cdr:sp macro="" textlink="">
      <cdr:nvSpPr>
        <cdr:cNvPr id="51" name="Rectangle 50">
          <a:extLst xmlns:a="http://schemas.openxmlformats.org/drawingml/2006/main">
            <a:ext uri="{FF2B5EF4-FFF2-40B4-BE49-F238E27FC236}">
              <a16:creationId xmlns:a16="http://schemas.microsoft.com/office/drawing/2014/main" id="{4F90D23D-E474-E255-4383-CB4217276AF9}"/>
            </a:ext>
          </a:extLst>
        </cdr:cNvPr>
        <cdr:cNvSpPr/>
      </cdr:nvSpPr>
      <cdr:spPr>
        <a:xfrm xmlns:a="http://schemas.openxmlformats.org/drawingml/2006/main">
          <a:off x="4589539" y="885300"/>
          <a:ext cx="768343" cy="28819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1.27</a:t>
          </a:r>
        </a:p>
      </cdr:txBody>
    </cdr:sp>
  </cdr:relSizeAnchor>
  <cdr:relSizeAnchor xmlns:cdr="http://schemas.openxmlformats.org/drawingml/2006/chartDrawing">
    <cdr:from>
      <cdr:x>0.62016</cdr:x>
      <cdr:y>0.14913</cdr:y>
    </cdr:from>
    <cdr:to>
      <cdr:x>0.70855</cdr:x>
      <cdr:y>0.19738</cdr:y>
    </cdr:to>
    <cdr:sp macro="" textlink="">
      <cdr:nvSpPr>
        <cdr:cNvPr id="52" name="Rectangle 51">
          <a:extLst xmlns:a="http://schemas.openxmlformats.org/drawingml/2006/main">
            <a:ext uri="{FF2B5EF4-FFF2-40B4-BE49-F238E27FC236}">
              <a16:creationId xmlns:a16="http://schemas.microsoft.com/office/drawing/2014/main" id="{DDAEBF90-0F50-9696-B4A9-4A0C8BA3611E}"/>
            </a:ext>
          </a:extLst>
        </cdr:cNvPr>
        <cdr:cNvSpPr/>
      </cdr:nvSpPr>
      <cdr:spPr>
        <a:xfrm xmlns:a="http://schemas.openxmlformats.org/drawingml/2006/main">
          <a:off x="5390830" y="875532"/>
          <a:ext cx="768342" cy="28330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4.2E-7</a:t>
          </a:r>
        </a:p>
      </cdr:txBody>
    </cdr:sp>
  </cdr:relSizeAnchor>
  <cdr:relSizeAnchor xmlns:cdr="http://schemas.openxmlformats.org/drawingml/2006/chartDrawing">
    <cdr:from>
      <cdr:x>0.71649</cdr:x>
      <cdr:y>0.14996</cdr:y>
    </cdr:from>
    <cdr:to>
      <cdr:x>0.7996</cdr:x>
      <cdr:y>0.19655</cdr:y>
    </cdr:to>
    <cdr:sp macro="" textlink="">
      <cdr:nvSpPr>
        <cdr:cNvPr id="53" name="Rectangle 52">
          <a:extLst xmlns:a="http://schemas.openxmlformats.org/drawingml/2006/main">
            <a:ext uri="{FF2B5EF4-FFF2-40B4-BE49-F238E27FC236}">
              <a16:creationId xmlns:a16="http://schemas.microsoft.com/office/drawing/2014/main" id="{5CB22B86-324E-23AC-3B14-D20A7E8846BE}"/>
            </a:ext>
          </a:extLst>
        </cdr:cNvPr>
        <cdr:cNvSpPr/>
      </cdr:nvSpPr>
      <cdr:spPr>
        <a:xfrm xmlns:a="http://schemas.openxmlformats.org/drawingml/2006/main">
          <a:off x="6228188" y="880416"/>
          <a:ext cx="722430" cy="273537"/>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7.5E-7</a:t>
          </a:r>
        </a:p>
      </cdr:txBody>
    </cdr:sp>
  </cdr:relSizeAnchor>
  <cdr:relSizeAnchor xmlns:cdr="http://schemas.openxmlformats.org/drawingml/2006/chartDrawing">
    <cdr:from>
      <cdr:x>0.81001</cdr:x>
      <cdr:y>0.15246</cdr:y>
    </cdr:from>
    <cdr:to>
      <cdr:x>0.89288</cdr:x>
      <cdr:y>0.19572</cdr:y>
    </cdr:to>
    <cdr:sp macro="" textlink="">
      <cdr:nvSpPr>
        <cdr:cNvPr id="54" name="Rectangle 53">
          <a:extLst xmlns:a="http://schemas.openxmlformats.org/drawingml/2006/main">
            <a:ext uri="{FF2B5EF4-FFF2-40B4-BE49-F238E27FC236}">
              <a16:creationId xmlns:a16="http://schemas.microsoft.com/office/drawing/2014/main" id="{EAEC0698-FAF8-E0B3-BA1D-C357CB6F587F}"/>
            </a:ext>
          </a:extLst>
        </cdr:cNvPr>
        <cdr:cNvSpPr/>
      </cdr:nvSpPr>
      <cdr:spPr>
        <a:xfrm xmlns:a="http://schemas.openxmlformats.org/drawingml/2006/main">
          <a:off x="7041124" y="895069"/>
          <a:ext cx="720340" cy="254000"/>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1.6E-3</a:t>
          </a:r>
        </a:p>
      </cdr:txBody>
    </cdr:sp>
  </cdr:relSizeAnchor>
  <cdr:relSizeAnchor xmlns:cdr="http://schemas.openxmlformats.org/drawingml/2006/chartDrawing">
    <cdr:from>
      <cdr:x>0.90501</cdr:x>
      <cdr:y>0.14996</cdr:y>
    </cdr:from>
    <cdr:to>
      <cdr:x>0.99009</cdr:x>
      <cdr:y>0.19738</cdr:y>
    </cdr:to>
    <cdr:sp macro="" textlink="">
      <cdr:nvSpPr>
        <cdr:cNvPr id="55" name="Rectangle 54">
          <a:extLst xmlns:a="http://schemas.openxmlformats.org/drawingml/2006/main">
            <a:ext uri="{FF2B5EF4-FFF2-40B4-BE49-F238E27FC236}">
              <a16:creationId xmlns:a16="http://schemas.microsoft.com/office/drawing/2014/main" id="{ED3137F6-8530-771F-4ECF-D66360899FD4}"/>
            </a:ext>
          </a:extLst>
        </cdr:cNvPr>
        <cdr:cNvSpPr/>
      </cdr:nvSpPr>
      <cdr:spPr>
        <a:xfrm xmlns:a="http://schemas.openxmlformats.org/drawingml/2006/main">
          <a:off x="7866924" y="880416"/>
          <a:ext cx="739578" cy="27842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chemeClr val="tx1"/>
              </a:solidFill>
              <a:latin typeface="Arial Nova Cond" panose="020B0506020202020204" pitchFamily="34" charset="0"/>
            </a:rPr>
            <a:t>0.08</a:t>
          </a:r>
          <a:endParaRPr lang="en-US" sz="1050" b="1" kern="1200">
            <a:solidFill>
              <a:schemeClr val="tx1"/>
            </a:solidFill>
            <a:latin typeface="Arial Nova Cond" panose="020B0506020202020204" pitchFamily="34" charset="0"/>
          </a:endParaRPr>
        </a:p>
      </cdr:txBody>
    </cdr:sp>
  </cdr:relSizeAnchor>
  <cdr:relSizeAnchor xmlns:cdr="http://schemas.openxmlformats.org/drawingml/2006/chartDrawing">
    <cdr:from>
      <cdr:x>0.64515</cdr:x>
      <cdr:y>0.00576</cdr:y>
    </cdr:from>
    <cdr:to>
      <cdr:x>1</cdr:x>
      <cdr:y>0.07335</cdr:y>
    </cdr:to>
    <mc:AlternateContent xmlns:mc="http://schemas.openxmlformats.org/markup-compatibility/2006" xmlns:a14="http://schemas.microsoft.com/office/drawing/2010/main">
      <mc:Choice Requires="a14">
        <cdr:sp macro="" textlink="">
          <cdr:nvSpPr>
            <cdr:cNvPr id="3" name="TextBox 2">
              <a:extLst xmlns:a="http://schemas.openxmlformats.org/drawingml/2006/main">
                <a:ext uri="{FF2B5EF4-FFF2-40B4-BE49-F238E27FC236}">
                  <a16:creationId xmlns:a16="http://schemas.microsoft.com/office/drawing/2014/main" id="{2E16D9B2-103F-B7DA-A891-FB3D998588DD}"/>
                </a:ext>
              </a:extLst>
            </cdr:cNvPr>
            <cdr:cNvSpPr txBox="1"/>
          </cdr:nvSpPr>
          <cdr:spPr>
            <a:xfrm xmlns:a="http://schemas.openxmlformats.org/drawingml/2006/main">
              <a:off x="5627356" y="33254"/>
              <a:ext cx="3095249" cy="39021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400" b="1" kern="1200">
                  <a:latin typeface="Arial Nova Cond" panose="020B0506020202020204" pitchFamily="34" charset="0"/>
                </a:rPr>
                <a:t>Unit Scale: </a:t>
              </a:r>
              <a:r>
                <a:rPr lang="en-US" sz="1400" kern="1200">
                  <a:latin typeface="Arial Nova Cond" panose="020B0506020202020204" pitchFamily="34" charset="0"/>
                </a:rPr>
                <a:t>~760,000 </a:t>
              </a:r>
              <a14:m>
                <m:oMath xmlns:m="http://schemas.openxmlformats.org/officeDocument/2006/math">
                  <m:f>
                    <m:fPr>
                      <m:ctrlPr>
                        <a:rPr lang="en-US" sz="1200" b="0" i="0" kern="1200">
                          <a:latin typeface="Arial Nova Cond" panose="020B0506020202020204" pitchFamily="34" charset="0"/>
                        </a:rPr>
                      </m:ctrlPr>
                    </m:fPr>
                    <m:num>
                      <m:r>
                        <m:rPr>
                          <m:nor/>
                        </m:rPr>
                        <a:rPr lang="en-US" sz="1200" b="0" i="0" kern="1200">
                          <a:latin typeface="Arial Nova Cond" panose="020B0506020202020204" pitchFamily="34" charset="0"/>
                        </a:rPr>
                        <m:t>m3</m:t>
                      </m:r>
                    </m:num>
                    <m:den>
                      <m:r>
                        <m:rPr>
                          <m:nor/>
                        </m:rPr>
                        <a:rPr lang="en-US" sz="1200" b="0" i="0" kern="1200">
                          <a:latin typeface="Arial Nova Cond" panose="020B0506020202020204" pitchFamily="34" charset="0"/>
                        </a:rPr>
                        <m:t>yr</m:t>
                      </m:r>
                    </m:den>
                  </m:f>
                </m:oMath>
              </a14:m>
              <a:r>
                <a:rPr lang="en-US" sz="1200" kern="1200">
                  <a:latin typeface="Arial Nova Cond" panose="020B0506020202020204" pitchFamily="34" charset="0"/>
                </a:rPr>
                <a:t> </a:t>
              </a:r>
              <a:r>
                <a:rPr lang="en-US" sz="1400" kern="1200" baseline="0">
                  <a:latin typeface="Arial Nova Cond" panose="020B0506020202020204" pitchFamily="34" charset="0"/>
                </a:rPr>
                <a:t> Sea W</a:t>
              </a:r>
              <a:r>
                <a:rPr lang="en-US" sz="1400" kern="1200">
                  <a:latin typeface="Arial Nova Cond" panose="020B0506020202020204" pitchFamily="34" charset="0"/>
                </a:rPr>
                <a:t>ater </a:t>
              </a:r>
            </a:p>
          </cdr:txBody>
        </cdr:sp>
      </mc:Choice>
      <mc:Fallback xmlns="">
        <cdr:sp macro="" textlink="">
          <cdr:nvSpPr>
            <cdr:cNvPr id="3" name="TextBox 2">
              <a:extLst xmlns:a="http://schemas.openxmlformats.org/drawingml/2006/main">
                <a:ext uri="{FF2B5EF4-FFF2-40B4-BE49-F238E27FC236}">
                  <a16:creationId xmlns:a16="http://schemas.microsoft.com/office/drawing/2014/main" id="{2E16D9B2-103F-B7DA-A891-FB3D998588DD}"/>
                </a:ext>
              </a:extLst>
            </cdr:cNvPr>
            <cdr:cNvSpPr txBox="1"/>
          </cdr:nvSpPr>
          <cdr:spPr>
            <a:xfrm xmlns:a="http://schemas.openxmlformats.org/drawingml/2006/main">
              <a:off x="5627356" y="33254"/>
              <a:ext cx="3095249" cy="39021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400" b="1" kern="1200">
                  <a:latin typeface="Arial Nova Cond" panose="020B0506020202020204" pitchFamily="34" charset="0"/>
                </a:rPr>
                <a:t>Unit Scale: </a:t>
              </a:r>
              <a:r>
                <a:rPr lang="en-US" sz="1400" kern="1200">
                  <a:latin typeface="Arial Nova Cond" panose="020B0506020202020204" pitchFamily="34" charset="0"/>
                </a:rPr>
                <a:t>~760,000 </a:t>
              </a:r>
              <a:r>
                <a:rPr lang="en-US" sz="1200" b="0" i="0" kern="1200">
                  <a:latin typeface="Arial Nova Cond" panose="020B0506020202020204" pitchFamily="34" charset="0"/>
                </a:rPr>
                <a:t>"m3</a:t>
              </a:r>
              <a:r>
                <a:rPr lang="en-US" sz="1200" b="0" i="0" kern="1200">
                  <a:latin typeface="Cambria Math" panose="02040503050406030204" pitchFamily="18" charset="0"/>
                </a:rPr>
                <a:t>" /"</a:t>
              </a:r>
              <a:r>
                <a:rPr lang="en-US" sz="1200" b="0" i="0" kern="1200">
                  <a:latin typeface="Arial Nova Cond" panose="020B0506020202020204" pitchFamily="34" charset="0"/>
                </a:rPr>
                <a:t>yr</a:t>
              </a:r>
              <a:r>
                <a:rPr lang="en-US" sz="1200" b="0" i="0" kern="1200">
                  <a:latin typeface="Cambria Math" panose="02040503050406030204" pitchFamily="18" charset="0"/>
                </a:rPr>
                <a:t>" </a:t>
              </a:r>
              <a:r>
                <a:rPr lang="en-US" sz="1200" kern="1200">
                  <a:latin typeface="Arial Nova Cond" panose="020B0506020202020204" pitchFamily="34" charset="0"/>
                </a:rPr>
                <a:t> </a:t>
              </a:r>
              <a:r>
                <a:rPr lang="en-US" sz="1400" kern="1200" baseline="0">
                  <a:latin typeface="Arial Nova Cond" panose="020B0506020202020204" pitchFamily="34" charset="0"/>
                </a:rPr>
                <a:t> Sea W</a:t>
              </a:r>
              <a:r>
                <a:rPr lang="en-US" sz="1400" kern="1200">
                  <a:latin typeface="Arial Nova Cond" panose="020B0506020202020204" pitchFamily="34" charset="0"/>
                </a:rPr>
                <a:t>ater </a:t>
              </a:r>
            </a:p>
          </cdr:txBody>
        </cdr:sp>
      </mc:Fallback>
    </mc:AlternateContent>
  </cdr:relSizeAnchor>
  <cdr:relSizeAnchor xmlns:cdr="http://schemas.openxmlformats.org/drawingml/2006/chartDrawing">
    <cdr:from>
      <cdr:x>0.62675</cdr:x>
      <cdr:y>0.07499</cdr:y>
    </cdr:from>
    <cdr:to>
      <cdr:x>0.99621</cdr:x>
      <cdr:y>0.14258</cdr:y>
    </cdr:to>
    <mc:AlternateContent xmlns:mc="http://schemas.openxmlformats.org/markup-compatibility/2006" xmlns:a14="http://schemas.microsoft.com/office/drawing/2010/main">
      <mc:Choice Requires="a14">
        <cdr:sp macro="" textlink="">
          <cdr:nvSpPr>
            <cdr:cNvPr id="5" name="TextBox 1">
              <a:extLst xmlns:a="http://schemas.openxmlformats.org/drawingml/2006/main">
                <a:ext uri="{FF2B5EF4-FFF2-40B4-BE49-F238E27FC236}">
                  <a16:creationId xmlns:a16="http://schemas.microsoft.com/office/drawing/2014/main" id="{78EF29C4-F20A-FAB4-2C42-012749947D5E}"/>
                </a:ext>
              </a:extLst>
            </cdr:cNvPr>
            <cdr:cNvSpPr txBox="1"/>
          </cdr:nvSpPr>
          <cdr:spPr>
            <a:xfrm xmlns:a="http://schemas.openxmlformats.org/drawingml/2006/main">
              <a:off x="5448869" y="439317"/>
              <a:ext cx="3212041" cy="39589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b="1" kern="1200">
                  <a:latin typeface="Arial Nova Cond" panose="020B0506020202020204" pitchFamily="34" charset="0"/>
                </a:rPr>
                <a:t>Plant Scale: </a:t>
              </a:r>
              <a:r>
                <a:rPr lang="en-US" sz="1400" kern="1200">
                  <a:latin typeface="Arial Nova Cond" panose="020B0506020202020204" pitchFamily="34" charset="0"/>
                </a:rPr>
                <a:t>~483,000 </a:t>
              </a:r>
              <a14:m>
                <m:oMath xmlns:m="http://schemas.openxmlformats.org/officeDocument/2006/math">
                  <m:f>
                    <m:fPr>
                      <m:ctrlPr>
                        <a:rPr lang="en-US" sz="1200" b="0" i="0" kern="1200">
                          <a:latin typeface="Arial Nova Cond" panose="020B0506020202020204" pitchFamily="34" charset="0"/>
                        </a:rPr>
                      </m:ctrlPr>
                    </m:fPr>
                    <m:num>
                      <m:r>
                        <m:rPr>
                          <m:nor/>
                        </m:rPr>
                        <a:rPr lang="en-US" sz="1200" b="0" i="0" kern="1200">
                          <a:latin typeface="Arial Nova Cond" panose="020B0506020202020204" pitchFamily="34" charset="0"/>
                        </a:rPr>
                        <m:t>MT</m:t>
                      </m:r>
                    </m:num>
                    <m:den>
                      <m:r>
                        <m:rPr>
                          <m:nor/>
                        </m:rPr>
                        <a:rPr lang="en-US" sz="1200" b="0" i="0" kern="1200">
                          <a:latin typeface="Arial Nova Cond" panose="020B0506020202020204" pitchFamily="34" charset="0"/>
                        </a:rPr>
                        <m:t>yr</m:t>
                      </m:r>
                    </m:den>
                  </m:f>
                </m:oMath>
              </a14:m>
              <a:r>
                <a:rPr lang="en-US" sz="1200" kern="1200">
                  <a:latin typeface="Arial Nova Cond" panose="020B0506020202020204" pitchFamily="34" charset="0"/>
                </a:rPr>
                <a:t> </a:t>
              </a:r>
              <a:r>
                <a:rPr lang="en-US" sz="1400" kern="1200" baseline="0">
                  <a:latin typeface="Arial Nova Cond" panose="020B0506020202020204" pitchFamily="34" charset="0"/>
                </a:rPr>
                <a:t> Organic Waste</a:t>
              </a:r>
              <a:endParaRPr lang="en-US" sz="1400" kern="1200">
                <a:latin typeface="Arial Nova Cond" panose="020B0506020202020204" pitchFamily="34" charset="0"/>
              </a:endParaRPr>
            </a:p>
          </cdr:txBody>
        </cdr:sp>
      </mc:Choice>
      <mc:Fallback xmlns="">
        <cdr:sp macro="" textlink="">
          <cdr:nvSpPr>
            <cdr:cNvPr id="5" name="TextBox 1">
              <a:extLst xmlns:a="http://schemas.openxmlformats.org/drawingml/2006/main">
                <a:ext uri="{FF2B5EF4-FFF2-40B4-BE49-F238E27FC236}">
                  <a16:creationId xmlns:a16="http://schemas.microsoft.com/office/drawing/2014/main" id="{78EF29C4-F20A-FAB4-2C42-012749947D5E}"/>
                </a:ext>
              </a:extLst>
            </cdr:cNvPr>
            <cdr:cNvSpPr txBox="1"/>
          </cdr:nvSpPr>
          <cdr:spPr>
            <a:xfrm xmlns:a="http://schemas.openxmlformats.org/drawingml/2006/main">
              <a:off x="5448869" y="439317"/>
              <a:ext cx="3212041" cy="39589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b="1" kern="1200">
                  <a:latin typeface="Arial Nova Cond" panose="020B0506020202020204" pitchFamily="34" charset="0"/>
                </a:rPr>
                <a:t>Plant Scale: </a:t>
              </a:r>
              <a:r>
                <a:rPr lang="en-US" sz="1400" kern="1200">
                  <a:latin typeface="Arial Nova Cond" panose="020B0506020202020204" pitchFamily="34" charset="0"/>
                </a:rPr>
                <a:t>~483,000 </a:t>
              </a:r>
              <a:r>
                <a:rPr lang="en-US" sz="1200" b="0" i="0" kern="1200">
                  <a:latin typeface="Arial Nova Cond" panose="020B0506020202020204" pitchFamily="34" charset="0"/>
                </a:rPr>
                <a:t>"MT</a:t>
              </a:r>
              <a:r>
                <a:rPr lang="en-US" sz="1200" b="0" i="0" kern="1200">
                  <a:latin typeface="Cambria Math" panose="02040503050406030204" pitchFamily="18" charset="0"/>
                </a:rPr>
                <a:t>" /"</a:t>
              </a:r>
              <a:r>
                <a:rPr lang="en-US" sz="1200" b="0" i="0" kern="1200">
                  <a:latin typeface="Arial Nova Cond" panose="020B0506020202020204" pitchFamily="34" charset="0"/>
                </a:rPr>
                <a:t>yr</a:t>
              </a:r>
              <a:r>
                <a:rPr lang="en-US" sz="1200" b="0" i="0" kern="1200">
                  <a:latin typeface="Cambria Math" panose="02040503050406030204" pitchFamily="18" charset="0"/>
                </a:rPr>
                <a:t>" </a:t>
              </a:r>
              <a:r>
                <a:rPr lang="en-US" sz="1200" kern="1200">
                  <a:latin typeface="Arial Nova Cond" panose="020B0506020202020204" pitchFamily="34" charset="0"/>
                </a:rPr>
                <a:t> </a:t>
              </a:r>
              <a:r>
                <a:rPr lang="en-US" sz="1400" kern="1200" baseline="0">
                  <a:latin typeface="Arial Nova Cond" panose="020B0506020202020204" pitchFamily="34" charset="0"/>
                </a:rPr>
                <a:t> Organic Waste</a:t>
              </a:r>
              <a:endParaRPr lang="en-US" sz="1400" kern="1200">
                <a:latin typeface="Arial Nova Cond" panose="020B0506020202020204" pitchFamily="34" charset="0"/>
              </a:endParaRPr>
            </a:p>
          </cdr:txBody>
        </cdr:sp>
      </mc:Fallback>
    </mc:AlternateContent>
  </cdr:relSizeAnchor>
  <cdr:relSizeAnchor xmlns:cdr="http://schemas.openxmlformats.org/drawingml/2006/chartDrawing">
    <cdr:from>
      <cdr:x>0.00379</cdr:x>
      <cdr:y>0.15121</cdr:y>
    </cdr:from>
    <cdr:to>
      <cdr:x>0.05687</cdr:x>
      <cdr:y>0.19576</cdr:y>
    </cdr:to>
    <cdr:sp macro="" textlink="">
      <cdr:nvSpPr>
        <cdr:cNvPr id="7" name="Rectangle 6">
          <a:extLst xmlns:a="http://schemas.openxmlformats.org/drawingml/2006/main">
            <a:ext uri="{FF2B5EF4-FFF2-40B4-BE49-F238E27FC236}">
              <a16:creationId xmlns:a16="http://schemas.microsoft.com/office/drawing/2014/main" id="{01C549B7-6F0D-55EB-1DF9-E46C824B8B10}"/>
            </a:ext>
          </a:extLst>
        </cdr:cNvPr>
        <cdr:cNvSpPr/>
      </cdr:nvSpPr>
      <cdr:spPr>
        <a:xfrm xmlns:a="http://schemas.openxmlformats.org/drawingml/2006/main">
          <a:off x="32957" y="885782"/>
          <a:ext cx="461482" cy="260971"/>
        </a:xfrm>
        <a:prstGeom xmlns:a="http://schemas.openxmlformats.org/drawingml/2006/main" prst="rect">
          <a:avLst/>
        </a:prstGeom>
        <a:solidFill xmlns:a="http://schemas.openxmlformats.org/drawingml/2006/main">
          <a:schemeClr val="bg1"/>
        </a:solidFill>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horz"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900" b="1" kern="1200">
              <a:solidFill>
                <a:sysClr val="windowText" lastClr="000000"/>
              </a:solidFill>
              <a:latin typeface="Arial Nova Cond" panose="020B0506020202020204" pitchFamily="34" charset="0"/>
            </a:rPr>
            <a:t>CONV</a:t>
          </a:r>
        </a:p>
      </cdr:txBody>
    </cdr:sp>
  </cdr:relSizeAnchor>
  <cdr:relSizeAnchor xmlns:cdr="http://schemas.openxmlformats.org/drawingml/2006/chartDrawing">
    <cdr:from>
      <cdr:x>0.00956</cdr:x>
      <cdr:y>0.01674</cdr:y>
    </cdr:from>
    <cdr:to>
      <cdr:x>0.66692</cdr:x>
      <cdr:y>0.12243</cdr:y>
    </cdr:to>
    <cdr:sp macro="" textlink="">
      <cdr:nvSpPr>
        <cdr:cNvPr id="8" name="TextBox 7">
          <a:extLst xmlns:a="http://schemas.openxmlformats.org/drawingml/2006/main">
            <a:ext uri="{FF2B5EF4-FFF2-40B4-BE49-F238E27FC236}">
              <a16:creationId xmlns:a16="http://schemas.microsoft.com/office/drawing/2014/main" id="{AD2C0E70-E8C1-3E10-775D-D417054915DF}"/>
            </a:ext>
          </a:extLst>
        </cdr:cNvPr>
        <cdr:cNvSpPr txBox="1"/>
      </cdr:nvSpPr>
      <cdr:spPr>
        <a:xfrm xmlns:a="http://schemas.openxmlformats.org/drawingml/2006/main">
          <a:off x="83119" y="98063"/>
          <a:ext cx="5715000" cy="619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0.01078</cdr:x>
      <cdr:y>0.01313</cdr:y>
    </cdr:from>
    <cdr:to>
      <cdr:x>0.69492</cdr:x>
      <cdr:y>0.13959</cdr:y>
    </cdr:to>
    <cdr:sp macro="" textlink="">
      <cdr:nvSpPr>
        <cdr:cNvPr id="9" name="TextBox 8">
          <a:extLst xmlns:a="http://schemas.openxmlformats.org/drawingml/2006/main">
            <a:ext uri="{FF2B5EF4-FFF2-40B4-BE49-F238E27FC236}">
              <a16:creationId xmlns:a16="http://schemas.microsoft.com/office/drawing/2014/main" id="{4894452E-5DAD-8998-6E47-2488F9C428CC}"/>
            </a:ext>
          </a:extLst>
        </cdr:cNvPr>
        <cdr:cNvSpPr txBox="1"/>
      </cdr:nvSpPr>
      <cdr:spPr>
        <a:xfrm xmlns:a="http://schemas.openxmlformats.org/drawingml/2006/main">
          <a:off x="93702" y="76895"/>
          <a:ext cx="5947833" cy="74083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2800" b="1" kern="1200">
              <a:latin typeface="Arial Nova Cond" panose="020B0506020202020204" pitchFamily="34" charset="0"/>
            </a:rPr>
            <a:t>LIFE CYCLE</a:t>
          </a:r>
          <a:r>
            <a:rPr lang="en-US" sz="2800" b="1" kern="1200" baseline="0">
              <a:latin typeface="Arial Nova Cond" panose="020B0506020202020204" pitchFamily="34" charset="0"/>
            </a:rPr>
            <a:t> ASSESSMENT</a:t>
          </a:r>
        </a:p>
        <a:p xmlns:a="http://schemas.openxmlformats.org/drawingml/2006/main">
          <a:r>
            <a:rPr lang="en-US" sz="1200" b="1" kern="1200">
              <a:latin typeface="Arial Nova Cond" panose="020B0506020202020204" pitchFamily="34" charset="0"/>
            </a:rPr>
            <a:t>of </a:t>
          </a:r>
          <a:r>
            <a:rPr lang="en-US" sz="1200" b="1" kern="1200">
              <a:solidFill>
                <a:srgbClr val="00B0F0"/>
              </a:solidFill>
              <a:latin typeface="Arial Nova Cond" panose="020B0506020202020204" pitchFamily="34" charset="0"/>
            </a:rPr>
            <a:t>Proposed</a:t>
          </a:r>
          <a:r>
            <a:rPr lang="en-US" sz="1200" b="1" kern="1200">
              <a:latin typeface="Arial Nova Cond" panose="020B0506020202020204" pitchFamily="34" charset="0"/>
            </a:rPr>
            <a:t> Sea</a:t>
          </a:r>
          <a:r>
            <a:rPr lang="en-US" sz="1200" b="1" kern="1200" baseline="0">
              <a:latin typeface="Arial Nova Cond" panose="020B0506020202020204" pitchFamily="34" charset="0"/>
            </a:rPr>
            <a:t> </a:t>
          </a:r>
          <a:r>
            <a:rPr lang="en-US" sz="1200" b="1" kern="1200">
              <a:latin typeface="Arial Nova Cond" panose="020B0506020202020204" pitchFamily="34" charset="0"/>
            </a:rPr>
            <a:t>Water Desalination </a:t>
          </a:r>
          <a:r>
            <a:rPr lang="en-US" sz="1200" b="0" kern="1200">
              <a:latin typeface="Arial Nova Cond" panose="020B0506020202020204" pitchFamily="34" charset="0"/>
            </a:rPr>
            <a:t>compared to Conventional NaOH Production</a:t>
          </a:r>
        </a:p>
      </cdr:txBody>
    </cdr:sp>
  </cdr:relSizeAnchor>
  <cdr:relSizeAnchor xmlns:cdr="http://schemas.openxmlformats.org/drawingml/2006/chartDrawing">
    <cdr:from>
      <cdr:x>0.06024</cdr:x>
      <cdr:y>0.1984</cdr:y>
    </cdr:from>
    <cdr:to>
      <cdr:x>0.14862</cdr:x>
      <cdr:y>0.24319</cdr:y>
    </cdr:to>
    <cdr:sp macro="" textlink="">
      <cdr:nvSpPr>
        <cdr:cNvPr id="10" name="Rectangle 9">
          <a:extLst xmlns:a="http://schemas.openxmlformats.org/drawingml/2006/main">
            <a:ext uri="{FF2B5EF4-FFF2-40B4-BE49-F238E27FC236}">
              <a16:creationId xmlns:a16="http://schemas.microsoft.com/office/drawing/2014/main" id="{F1142C89-5FA5-CAA1-8F74-56E178EF05F2}"/>
            </a:ext>
          </a:extLst>
        </cdr:cNvPr>
        <cdr:cNvSpPr/>
      </cdr:nvSpPr>
      <cdr:spPr>
        <a:xfrm xmlns:a="http://schemas.openxmlformats.org/drawingml/2006/main">
          <a:off x="524164" y="1159164"/>
          <a:ext cx="769001" cy="26166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00B0F0"/>
              </a:solidFill>
              <a:latin typeface="Arial Nova Cond" panose="020B0506020202020204" pitchFamily="34" charset="0"/>
            </a:rPr>
            <a:t>2.7E-4</a:t>
          </a:r>
        </a:p>
      </cdr:txBody>
    </cdr:sp>
  </cdr:relSizeAnchor>
  <cdr:relSizeAnchor xmlns:cdr="http://schemas.openxmlformats.org/drawingml/2006/chartDrawing">
    <cdr:from>
      <cdr:x>0.15275</cdr:x>
      <cdr:y>0.19751</cdr:y>
    </cdr:from>
    <cdr:to>
      <cdr:x>0.239</cdr:x>
      <cdr:y>0.24692</cdr:y>
    </cdr:to>
    <cdr:sp macro="" textlink="">
      <cdr:nvSpPr>
        <cdr:cNvPr id="11" name="Rectangle 10">
          <a:extLst xmlns:a="http://schemas.openxmlformats.org/drawingml/2006/main">
            <a:ext uri="{FF2B5EF4-FFF2-40B4-BE49-F238E27FC236}">
              <a16:creationId xmlns:a16="http://schemas.microsoft.com/office/drawing/2014/main" id="{3D394DC3-53AB-8548-C9C9-DB689270CE69}"/>
            </a:ext>
          </a:extLst>
        </cdr:cNvPr>
        <cdr:cNvSpPr/>
      </cdr:nvSpPr>
      <cdr:spPr>
        <a:xfrm xmlns:a="http://schemas.openxmlformats.org/drawingml/2006/main">
          <a:off x="1329065" y="1153991"/>
          <a:ext cx="750455"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00B0F0"/>
              </a:solidFill>
              <a:latin typeface="Arial Nova Cond" panose="020B0506020202020204" pitchFamily="34" charset="0"/>
            </a:rPr>
            <a:t>8.7E-9</a:t>
          </a:r>
        </a:p>
      </cdr:txBody>
    </cdr:sp>
  </cdr:relSizeAnchor>
  <cdr:relSizeAnchor xmlns:cdr="http://schemas.openxmlformats.org/drawingml/2006/chartDrawing">
    <cdr:from>
      <cdr:x>0.24696</cdr:x>
      <cdr:y>0.19741</cdr:y>
    </cdr:from>
    <cdr:to>
      <cdr:x>0.33321</cdr:x>
      <cdr:y>0.24681</cdr:y>
    </cdr:to>
    <cdr:sp macro="" textlink="">
      <cdr:nvSpPr>
        <cdr:cNvPr id="23" name="Rectangle 22">
          <a:extLst xmlns:a="http://schemas.openxmlformats.org/drawingml/2006/main">
            <a:ext uri="{FF2B5EF4-FFF2-40B4-BE49-F238E27FC236}">
              <a16:creationId xmlns:a16="http://schemas.microsoft.com/office/drawing/2014/main" id="{F88C6C2F-D165-2FBC-C4FD-79D188286206}"/>
            </a:ext>
          </a:extLst>
        </cdr:cNvPr>
        <cdr:cNvSpPr/>
      </cdr:nvSpPr>
      <cdr:spPr>
        <a:xfrm xmlns:a="http://schemas.openxmlformats.org/drawingml/2006/main">
          <a:off x="2148794" y="1153391"/>
          <a:ext cx="750454"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00B0F0"/>
              </a:solidFill>
              <a:latin typeface="Arial Nova Cond" panose="020B0506020202020204" pitchFamily="34" charset="0"/>
            </a:rPr>
            <a:t>1.29</a:t>
          </a:r>
        </a:p>
      </cdr:txBody>
    </cdr:sp>
  </cdr:relSizeAnchor>
  <cdr:relSizeAnchor xmlns:cdr="http://schemas.openxmlformats.org/drawingml/2006/chartDrawing">
    <cdr:from>
      <cdr:x>0.34088</cdr:x>
      <cdr:y>0.19544</cdr:y>
    </cdr:from>
    <cdr:to>
      <cdr:x>0.42713</cdr:x>
      <cdr:y>0.24484</cdr:y>
    </cdr:to>
    <cdr:sp macro="" textlink="">
      <cdr:nvSpPr>
        <cdr:cNvPr id="33" name="Rectangle 32">
          <a:extLst xmlns:a="http://schemas.openxmlformats.org/drawingml/2006/main">
            <a:ext uri="{FF2B5EF4-FFF2-40B4-BE49-F238E27FC236}">
              <a16:creationId xmlns:a16="http://schemas.microsoft.com/office/drawing/2014/main" id="{CF8E6F71-0011-BC38-BB7C-AA91624271EE}"/>
            </a:ext>
          </a:extLst>
        </cdr:cNvPr>
        <cdr:cNvSpPr/>
      </cdr:nvSpPr>
      <cdr:spPr>
        <a:xfrm xmlns:a="http://schemas.openxmlformats.org/drawingml/2006/main">
          <a:off x="2966027" y="1141845"/>
          <a:ext cx="750454"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00B0F0"/>
              </a:solidFill>
              <a:latin typeface="Arial Nova Cond" panose="020B0506020202020204" pitchFamily="34" charset="0"/>
            </a:rPr>
            <a:t>6.8E-5</a:t>
          </a:r>
        </a:p>
      </cdr:txBody>
    </cdr:sp>
  </cdr:relSizeAnchor>
  <cdr:relSizeAnchor xmlns:cdr="http://schemas.openxmlformats.org/drawingml/2006/chartDrawing">
    <cdr:from>
      <cdr:x>0.43604</cdr:x>
      <cdr:y>0.19544</cdr:y>
    </cdr:from>
    <cdr:to>
      <cdr:x>0.5203</cdr:x>
      <cdr:y>0.24484</cdr:y>
    </cdr:to>
    <cdr:sp macro="" textlink="">
      <cdr:nvSpPr>
        <cdr:cNvPr id="34" name="Rectangle 33">
          <a:extLst xmlns:a="http://schemas.openxmlformats.org/drawingml/2006/main">
            <a:ext uri="{FF2B5EF4-FFF2-40B4-BE49-F238E27FC236}">
              <a16:creationId xmlns:a16="http://schemas.microsoft.com/office/drawing/2014/main" id="{1E0A755A-A199-1A2B-4E3A-60B334DB84B2}"/>
            </a:ext>
          </a:extLst>
        </cdr:cNvPr>
        <cdr:cNvSpPr/>
      </cdr:nvSpPr>
      <cdr:spPr>
        <a:xfrm xmlns:a="http://schemas.openxmlformats.org/drawingml/2006/main">
          <a:off x="3794021" y="1141845"/>
          <a:ext cx="733136"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00B0F0"/>
              </a:solidFill>
              <a:latin typeface="Arial Nova Cond" panose="020B0506020202020204" pitchFamily="34" charset="0"/>
            </a:rPr>
            <a:t>1.7E-4</a:t>
          </a:r>
        </a:p>
      </cdr:txBody>
    </cdr:sp>
  </cdr:relSizeAnchor>
  <cdr:relSizeAnchor xmlns:cdr="http://schemas.openxmlformats.org/drawingml/2006/chartDrawing">
    <cdr:from>
      <cdr:x>0.52797</cdr:x>
      <cdr:y>0.1985</cdr:y>
    </cdr:from>
    <cdr:to>
      <cdr:x>0.61223</cdr:x>
      <cdr:y>0.24791</cdr:y>
    </cdr:to>
    <cdr:sp macro="" textlink="">
      <cdr:nvSpPr>
        <cdr:cNvPr id="56" name="Rectangle 55">
          <a:extLst xmlns:a="http://schemas.openxmlformats.org/drawingml/2006/main">
            <a:ext uri="{FF2B5EF4-FFF2-40B4-BE49-F238E27FC236}">
              <a16:creationId xmlns:a16="http://schemas.microsoft.com/office/drawing/2014/main" id="{12894642-16C3-0997-C3DD-38F93A4EDFF3}"/>
            </a:ext>
          </a:extLst>
        </cdr:cNvPr>
        <cdr:cNvSpPr/>
      </cdr:nvSpPr>
      <cdr:spPr>
        <a:xfrm xmlns:a="http://schemas.openxmlformats.org/drawingml/2006/main">
          <a:off x="4593936" y="1159763"/>
          <a:ext cx="733136" cy="288637"/>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00B0F0"/>
              </a:solidFill>
              <a:latin typeface="Arial Nova Cond" panose="020B0506020202020204" pitchFamily="34" charset="0"/>
            </a:rPr>
            <a:t>0.11</a:t>
          </a:r>
        </a:p>
      </cdr:txBody>
    </cdr:sp>
  </cdr:relSizeAnchor>
  <cdr:relSizeAnchor xmlns:cdr="http://schemas.openxmlformats.org/drawingml/2006/chartDrawing">
    <cdr:from>
      <cdr:x>0.61915</cdr:x>
      <cdr:y>0.19751</cdr:y>
    </cdr:from>
    <cdr:to>
      <cdr:x>0.70777</cdr:x>
      <cdr:y>0.24484</cdr:y>
    </cdr:to>
    <cdr:sp macro="" textlink="">
      <cdr:nvSpPr>
        <cdr:cNvPr id="57" name="Rectangle 56">
          <a:extLst xmlns:a="http://schemas.openxmlformats.org/drawingml/2006/main">
            <a:ext uri="{FF2B5EF4-FFF2-40B4-BE49-F238E27FC236}">
              <a16:creationId xmlns:a16="http://schemas.microsoft.com/office/drawing/2014/main" id="{5F906069-F3F1-1742-358F-C716FFCD387E}"/>
            </a:ext>
          </a:extLst>
        </cdr:cNvPr>
        <cdr:cNvSpPr/>
      </cdr:nvSpPr>
      <cdr:spPr>
        <a:xfrm xmlns:a="http://schemas.openxmlformats.org/drawingml/2006/main">
          <a:off x="5387293" y="1153991"/>
          <a:ext cx="771052" cy="27649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00B0F0"/>
              </a:solidFill>
              <a:latin typeface="Arial Nova Cond" panose="020B0506020202020204" pitchFamily="34" charset="0"/>
            </a:rPr>
            <a:t>2.7E-8</a:t>
          </a:r>
        </a:p>
      </cdr:txBody>
    </cdr:sp>
  </cdr:relSizeAnchor>
  <cdr:relSizeAnchor xmlns:cdr="http://schemas.openxmlformats.org/drawingml/2006/chartDrawing">
    <cdr:from>
      <cdr:x>0.71374</cdr:x>
      <cdr:y>0.1984</cdr:y>
    </cdr:from>
    <cdr:to>
      <cdr:x>0.80236</cdr:x>
      <cdr:y>0.24572</cdr:y>
    </cdr:to>
    <cdr:sp macro="" textlink="">
      <cdr:nvSpPr>
        <cdr:cNvPr id="58" name="Rectangle 57">
          <a:extLst xmlns:a="http://schemas.openxmlformats.org/drawingml/2006/main">
            <a:ext uri="{FF2B5EF4-FFF2-40B4-BE49-F238E27FC236}">
              <a16:creationId xmlns:a16="http://schemas.microsoft.com/office/drawing/2014/main" id="{119526E8-376D-46BE-92B7-15823BBBDC17}"/>
            </a:ext>
          </a:extLst>
        </cdr:cNvPr>
        <cdr:cNvSpPr/>
      </cdr:nvSpPr>
      <cdr:spPr>
        <a:xfrm xmlns:a="http://schemas.openxmlformats.org/drawingml/2006/main">
          <a:off x="6210301" y="1159164"/>
          <a:ext cx="771052" cy="27649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00B0F0"/>
              </a:solidFill>
              <a:latin typeface="Arial Nova Cond" panose="020B0506020202020204" pitchFamily="34" charset="0"/>
            </a:rPr>
            <a:t>1.1E-9</a:t>
          </a:r>
        </a:p>
      </cdr:txBody>
    </cdr:sp>
  </cdr:relSizeAnchor>
  <cdr:relSizeAnchor xmlns:cdr="http://schemas.openxmlformats.org/drawingml/2006/chartDrawing">
    <cdr:from>
      <cdr:x>0.80824</cdr:x>
      <cdr:y>0.19642</cdr:y>
    </cdr:from>
    <cdr:to>
      <cdr:x>0.89325</cdr:x>
      <cdr:y>0.24593</cdr:y>
    </cdr:to>
    <cdr:sp macro="" textlink="">
      <cdr:nvSpPr>
        <cdr:cNvPr id="59" name="Rectangle 58">
          <a:extLst xmlns:a="http://schemas.openxmlformats.org/drawingml/2006/main">
            <a:ext uri="{FF2B5EF4-FFF2-40B4-BE49-F238E27FC236}">
              <a16:creationId xmlns:a16="http://schemas.microsoft.com/office/drawing/2014/main" id="{961C3CE3-5EE6-DC90-E110-0301918CC8ED}"/>
            </a:ext>
          </a:extLst>
        </cdr:cNvPr>
        <cdr:cNvSpPr/>
      </cdr:nvSpPr>
      <cdr:spPr>
        <a:xfrm xmlns:a="http://schemas.openxmlformats.org/drawingml/2006/main">
          <a:off x="7032520" y="1147618"/>
          <a:ext cx="739695" cy="2892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00B0F0"/>
              </a:solidFill>
              <a:latin typeface="Arial Nova Cond" panose="020B0506020202020204" pitchFamily="34" charset="0"/>
            </a:rPr>
            <a:t>2.3E-4</a:t>
          </a:r>
        </a:p>
      </cdr:txBody>
    </cdr:sp>
  </cdr:relSizeAnchor>
  <cdr:relSizeAnchor xmlns:cdr="http://schemas.openxmlformats.org/drawingml/2006/chartDrawing">
    <cdr:from>
      <cdr:x>0.90415</cdr:x>
      <cdr:y>0.19741</cdr:y>
    </cdr:from>
    <cdr:to>
      <cdr:x>0.98916</cdr:x>
      <cdr:y>0.24692</cdr:y>
    </cdr:to>
    <cdr:sp macro="" textlink="">
      <cdr:nvSpPr>
        <cdr:cNvPr id="60" name="Rectangle 59">
          <a:extLst xmlns:a="http://schemas.openxmlformats.org/drawingml/2006/main">
            <a:ext uri="{FF2B5EF4-FFF2-40B4-BE49-F238E27FC236}">
              <a16:creationId xmlns:a16="http://schemas.microsoft.com/office/drawing/2014/main" id="{EA788B34-C4C2-969D-4549-3F07A1A9CA02}"/>
            </a:ext>
          </a:extLst>
        </cdr:cNvPr>
        <cdr:cNvSpPr/>
      </cdr:nvSpPr>
      <cdr:spPr>
        <a:xfrm xmlns:a="http://schemas.openxmlformats.org/drawingml/2006/main">
          <a:off x="7867073" y="1153391"/>
          <a:ext cx="739695" cy="2892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00B0F0"/>
              </a:solidFill>
              <a:latin typeface="Arial Nova Cond" panose="020B0506020202020204" pitchFamily="34" charset="0"/>
            </a:rPr>
            <a:t>4.0E-3</a:t>
          </a:r>
        </a:p>
      </cdr:txBody>
    </cdr:sp>
  </cdr:relSizeAnchor>
</c:userShapes>
</file>

<file path=xl/drawings/drawing63.xml><?xml version="1.0" encoding="utf-8"?>
<c:userShapes xmlns:c="http://schemas.openxmlformats.org/drawingml/2006/chart">
  <cdr:relSizeAnchor xmlns:cdr="http://schemas.openxmlformats.org/drawingml/2006/chartDrawing">
    <cdr:from>
      <cdr:x>0.06038</cdr:x>
      <cdr:y>0.1973</cdr:y>
    </cdr:from>
    <cdr:to>
      <cdr:x>0.99043</cdr:x>
      <cdr:y>0.24693</cdr:y>
    </cdr:to>
    <cdr:sp macro="" textlink="">
      <cdr:nvSpPr>
        <cdr:cNvPr id="2" name="Rectangle 1">
          <a:extLst xmlns:a="http://schemas.openxmlformats.org/drawingml/2006/main">
            <a:ext uri="{FF2B5EF4-FFF2-40B4-BE49-F238E27FC236}">
              <a16:creationId xmlns:a16="http://schemas.microsoft.com/office/drawing/2014/main" id="{2C2C4324-6151-B033-6D63-6E4C1C0F4FC7}"/>
            </a:ext>
          </a:extLst>
        </cdr:cNvPr>
        <cdr:cNvSpPr/>
      </cdr:nvSpPr>
      <cdr:spPr>
        <a:xfrm xmlns:a="http://schemas.openxmlformats.org/drawingml/2006/main">
          <a:off x="525371" y="1152760"/>
          <a:ext cx="8092435" cy="289943"/>
        </a:xfrm>
        <a:prstGeom xmlns:a="http://schemas.openxmlformats.org/drawingml/2006/main" prst="rect">
          <a:avLst/>
        </a:prstGeom>
        <a:noFill xmlns:a="http://schemas.openxmlformats.org/drawingml/2006/main"/>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0.07945</cdr:x>
      <cdr:y>0.642</cdr:y>
    </cdr:from>
    <cdr:to>
      <cdr:x>0.12454</cdr:x>
      <cdr:y>0.83401</cdr:y>
    </cdr:to>
    <cdr:sp macro="" textlink="">
      <cdr:nvSpPr>
        <cdr:cNvPr id="4" name="Rectangle 3">
          <a:extLst xmlns:a="http://schemas.openxmlformats.org/drawingml/2006/main">
            <a:ext uri="{FF2B5EF4-FFF2-40B4-BE49-F238E27FC236}">
              <a16:creationId xmlns:a16="http://schemas.microsoft.com/office/drawing/2014/main" id="{A4AA6EBC-AA64-2CE5-EF85-A134F712A8BC}"/>
            </a:ext>
          </a:extLst>
        </cdr:cNvPr>
        <cdr:cNvSpPr/>
      </cdr:nvSpPr>
      <cdr:spPr>
        <a:xfrm xmlns:a="http://schemas.openxmlformats.org/drawingml/2006/main" rot="16200000">
          <a:off x="324231" y="4128253"/>
          <a:ext cx="1125066" cy="39200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Acidification</a:t>
          </a:r>
        </a:p>
      </cdr:txBody>
    </cdr:sp>
  </cdr:relSizeAnchor>
  <cdr:relSizeAnchor xmlns:cdr="http://schemas.openxmlformats.org/drawingml/2006/chartDrawing">
    <cdr:from>
      <cdr:x>0.06038</cdr:x>
      <cdr:y>0.14935</cdr:y>
    </cdr:from>
    <cdr:to>
      <cdr:x>0.14733</cdr:x>
      <cdr:y>0.82015</cdr:y>
    </cdr:to>
    <cdr:sp macro="" textlink="">
      <cdr:nvSpPr>
        <cdr:cNvPr id="12" name="Rectangle 11">
          <a:extLst xmlns:a="http://schemas.openxmlformats.org/drawingml/2006/main">
            <a:ext uri="{FF2B5EF4-FFF2-40B4-BE49-F238E27FC236}">
              <a16:creationId xmlns:a16="http://schemas.microsoft.com/office/drawing/2014/main" id="{8F93B1DC-81D6-704E-7B1A-2DF681A21527}"/>
            </a:ext>
          </a:extLst>
        </cdr:cNvPr>
        <cdr:cNvSpPr/>
      </cdr:nvSpPr>
      <cdr:spPr>
        <a:xfrm xmlns:a="http://schemas.openxmlformats.org/drawingml/2006/main">
          <a:off x="524524" y="878740"/>
          <a:ext cx="755340" cy="3946676"/>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0.15317</cdr:x>
      <cdr:y>0.14935</cdr:y>
    </cdr:from>
    <cdr:to>
      <cdr:x>0.24012</cdr:x>
      <cdr:y>0.82124</cdr:y>
    </cdr:to>
    <cdr:sp macro="" textlink="">
      <cdr:nvSpPr>
        <cdr:cNvPr id="13" name="Rectangle 12">
          <a:extLst xmlns:a="http://schemas.openxmlformats.org/drawingml/2006/main">
            <a:ext uri="{FF2B5EF4-FFF2-40B4-BE49-F238E27FC236}">
              <a16:creationId xmlns:a16="http://schemas.microsoft.com/office/drawing/2014/main" id="{53397101-523D-1381-5961-A2C3AFBB67C7}"/>
            </a:ext>
          </a:extLst>
        </cdr:cNvPr>
        <cdr:cNvSpPr/>
      </cdr:nvSpPr>
      <cdr:spPr>
        <a:xfrm xmlns:a="http://schemas.openxmlformats.org/drawingml/2006/main">
          <a:off x="1331451" y="876854"/>
          <a:ext cx="755826" cy="3944604"/>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0.34021</cdr:x>
      <cdr:y>0.15012</cdr:y>
    </cdr:from>
    <cdr:to>
      <cdr:x>0.42716</cdr:x>
      <cdr:y>0.81992</cdr:y>
    </cdr:to>
    <cdr:sp macro="" textlink="">
      <cdr:nvSpPr>
        <cdr:cNvPr id="15" name="Rectangle 14">
          <a:extLst xmlns:a="http://schemas.openxmlformats.org/drawingml/2006/main">
            <a:ext uri="{FF2B5EF4-FFF2-40B4-BE49-F238E27FC236}">
              <a16:creationId xmlns:a16="http://schemas.microsoft.com/office/drawing/2014/main" id="{763C7CC9-F842-D040-2FFE-F75B09255240}"/>
            </a:ext>
          </a:extLst>
        </cdr:cNvPr>
        <cdr:cNvSpPr/>
      </cdr:nvSpPr>
      <cdr:spPr>
        <a:xfrm xmlns:a="http://schemas.openxmlformats.org/drawingml/2006/main">
          <a:off x="2955423" y="883276"/>
          <a:ext cx="755340" cy="3940818"/>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0.43373</cdr:x>
      <cdr:y>0.15012</cdr:y>
    </cdr:from>
    <cdr:to>
      <cdr:x>0.52068</cdr:x>
      <cdr:y>0.82082</cdr:y>
    </cdr:to>
    <cdr:sp macro="" textlink="">
      <cdr:nvSpPr>
        <cdr:cNvPr id="16" name="Rectangle 15">
          <a:extLst xmlns:a="http://schemas.openxmlformats.org/drawingml/2006/main">
            <a:ext uri="{FF2B5EF4-FFF2-40B4-BE49-F238E27FC236}">
              <a16:creationId xmlns:a16="http://schemas.microsoft.com/office/drawing/2014/main" id="{4D31B2F8-EB0A-1599-D708-2C46D5AC4370}"/>
            </a:ext>
          </a:extLst>
        </cdr:cNvPr>
        <cdr:cNvSpPr/>
      </cdr:nvSpPr>
      <cdr:spPr>
        <a:xfrm xmlns:a="http://schemas.openxmlformats.org/drawingml/2006/main">
          <a:off x="3767837" y="883276"/>
          <a:ext cx="755339" cy="3946132"/>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0.52725</cdr:x>
      <cdr:y>0.15023</cdr:y>
    </cdr:from>
    <cdr:to>
      <cdr:x>0.6142</cdr:x>
      <cdr:y>0.82173</cdr:y>
    </cdr:to>
    <cdr:sp macro="" textlink="">
      <cdr:nvSpPr>
        <cdr:cNvPr id="17" name="Rectangle 16">
          <a:extLst xmlns:a="http://schemas.openxmlformats.org/drawingml/2006/main">
            <a:ext uri="{FF2B5EF4-FFF2-40B4-BE49-F238E27FC236}">
              <a16:creationId xmlns:a16="http://schemas.microsoft.com/office/drawing/2014/main" id="{3615032F-D089-16C2-E6E1-A54F75B6C4D8}"/>
            </a:ext>
          </a:extLst>
        </cdr:cNvPr>
        <cdr:cNvSpPr/>
      </cdr:nvSpPr>
      <cdr:spPr>
        <a:xfrm xmlns:a="http://schemas.openxmlformats.org/drawingml/2006/main">
          <a:off x="4583837" y="880251"/>
          <a:ext cx="755931" cy="3934591"/>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0.62077</cdr:x>
      <cdr:y>0.15023</cdr:y>
    </cdr:from>
    <cdr:to>
      <cdr:x>0.70772</cdr:x>
      <cdr:y>0.82173</cdr:y>
    </cdr:to>
    <cdr:sp macro="" textlink="">
      <cdr:nvSpPr>
        <cdr:cNvPr id="18" name="Rectangle 17">
          <a:extLst xmlns:a="http://schemas.openxmlformats.org/drawingml/2006/main">
            <a:ext uri="{FF2B5EF4-FFF2-40B4-BE49-F238E27FC236}">
              <a16:creationId xmlns:a16="http://schemas.microsoft.com/office/drawing/2014/main" id="{22C17833-ADB0-7797-0E08-DB7494E70DF4}"/>
            </a:ext>
          </a:extLst>
        </cdr:cNvPr>
        <cdr:cNvSpPr/>
      </cdr:nvSpPr>
      <cdr:spPr>
        <a:xfrm xmlns:a="http://schemas.openxmlformats.org/drawingml/2006/main">
          <a:off x="5396887" y="880253"/>
          <a:ext cx="755931" cy="3934590"/>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0.71429</cdr:x>
      <cdr:y>0.1509</cdr:y>
    </cdr:from>
    <cdr:to>
      <cdr:x>0.80124</cdr:x>
      <cdr:y>0.82173</cdr:y>
    </cdr:to>
    <cdr:sp macro="" textlink="">
      <cdr:nvSpPr>
        <cdr:cNvPr id="19" name="Rectangle 18">
          <a:extLst xmlns:a="http://schemas.openxmlformats.org/drawingml/2006/main">
            <a:ext uri="{FF2B5EF4-FFF2-40B4-BE49-F238E27FC236}">
              <a16:creationId xmlns:a16="http://schemas.microsoft.com/office/drawing/2014/main" id="{C4E5A007-18D2-4BC1-DF52-4B5EECB27F0E}"/>
            </a:ext>
          </a:extLst>
        </cdr:cNvPr>
        <cdr:cNvSpPr/>
      </cdr:nvSpPr>
      <cdr:spPr>
        <a:xfrm xmlns:a="http://schemas.openxmlformats.org/drawingml/2006/main">
          <a:off x="6205076" y="887812"/>
          <a:ext cx="755339" cy="3946908"/>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0.80781</cdr:x>
      <cdr:y>0.1509</cdr:y>
    </cdr:from>
    <cdr:to>
      <cdr:x>0.89476</cdr:x>
      <cdr:y>0.82173</cdr:y>
    </cdr:to>
    <cdr:sp macro="" textlink="">
      <cdr:nvSpPr>
        <cdr:cNvPr id="20" name="Rectangle 19">
          <a:extLst xmlns:a="http://schemas.openxmlformats.org/drawingml/2006/main">
            <a:ext uri="{FF2B5EF4-FFF2-40B4-BE49-F238E27FC236}">
              <a16:creationId xmlns:a16="http://schemas.microsoft.com/office/drawing/2014/main" id="{2A208449-ACA3-AEC4-0212-470095E3609A}"/>
            </a:ext>
          </a:extLst>
        </cdr:cNvPr>
        <cdr:cNvSpPr/>
      </cdr:nvSpPr>
      <cdr:spPr>
        <a:xfrm xmlns:a="http://schemas.openxmlformats.org/drawingml/2006/main">
          <a:off x="7017491" y="887812"/>
          <a:ext cx="755338" cy="3946908"/>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0.90353</cdr:x>
      <cdr:y>0.15012</cdr:y>
    </cdr:from>
    <cdr:to>
      <cdr:x>0.99049</cdr:x>
      <cdr:y>0.82082</cdr:y>
    </cdr:to>
    <cdr:sp macro="" textlink="">
      <cdr:nvSpPr>
        <cdr:cNvPr id="21" name="Rectangle 20">
          <a:extLst xmlns:a="http://schemas.openxmlformats.org/drawingml/2006/main">
            <a:ext uri="{FF2B5EF4-FFF2-40B4-BE49-F238E27FC236}">
              <a16:creationId xmlns:a16="http://schemas.microsoft.com/office/drawing/2014/main" id="{61351FB1-0038-4B90-AB07-4E583C8E7DE4}"/>
            </a:ext>
          </a:extLst>
        </cdr:cNvPr>
        <cdr:cNvSpPr/>
      </cdr:nvSpPr>
      <cdr:spPr>
        <a:xfrm xmlns:a="http://schemas.openxmlformats.org/drawingml/2006/main">
          <a:off x="7849015" y="883276"/>
          <a:ext cx="755427" cy="3946131"/>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0.17084</cdr:x>
      <cdr:y>0.64357</cdr:y>
    </cdr:from>
    <cdr:to>
      <cdr:x>0.2204</cdr:x>
      <cdr:y>0.8358</cdr:y>
    </cdr:to>
    <cdr:sp macro="" textlink="">
      <cdr:nvSpPr>
        <cdr:cNvPr id="22" name="Rectangle 21">
          <a:extLst xmlns:a="http://schemas.openxmlformats.org/drawingml/2006/main">
            <a:ext uri="{FF2B5EF4-FFF2-40B4-BE49-F238E27FC236}">
              <a16:creationId xmlns:a16="http://schemas.microsoft.com/office/drawing/2014/main" id="{5C33C0A9-6375-A84C-B005-81A2639AC214}"/>
            </a:ext>
          </a:extLst>
        </cdr:cNvPr>
        <cdr:cNvSpPr/>
      </cdr:nvSpPr>
      <cdr:spPr>
        <a:xfrm xmlns:a="http://schemas.openxmlformats.org/drawingml/2006/main" rot="16200000">
          <a:off x="1137520" y="4118694"/>
          <a:ext cx="1126356" cy="43086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Carcinogenics</a:t>
          </a:r>
        </a:p>
      </cdr:txBody>
    </cdr:sp>
  </cdr:relSizeAnchor>
  <cdr:relSizeAnchor xmlns:cdr="http://schemas.openxmlformats.org/drawingml/2006/chartDrawing">
    <cdr:from>
      <cdr:x>0.24669</cdr:x>
      <cdr:y>0.15012</cdr:y>
    </cdr:from>
    <cdr:to>
      <cdr:x>0.33364</cdr:x>
      <cdr:y>0.82082</cdr:y>
    </cdr:to>
    <cdr:sp macro="" textlink="">
      <cdr:nvSpPr>
        <cdr:cNvPr id="14" name="Rectangle 13">
          <a:extLst xmlns:a="http://schemas.openxmlformats.org/drawingml/2006/main">
            <a:ext uri="{FF2B5EF4-FFF2-40B4-BE49-F238E27FC236}">
              <a16:creationId xmlns:a16="http://schemas.microsoft.com/office/drawing/2014/main" id="{03997162-066B-80D3-16A3-060B8886A472}"/>
            </a:ext>
          </a:extLst>
        </cdr:cNvPr>
        <cdr:cNvSpPr/>
      </cdr:nvSpPr>
      <cdr:spPr>
        <a:xfrm xmlns:a="http://schemas.openxmlformats.org/drawingml/2006/main">
          <a:off x="2143010" y="883276"/>
          <a:ext cx="755339" cy="3946132"/>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0.26364</cdr:x>
      <cdr:y>0.64177</cdr:y>
    </cdr:from>
    <cdr:to>
      <cdr:x>0.31319</cdr:x>
      <cdr:y>0.834</cdr:y>
    </cdr:to>
    <cdr:sp macro="" textlink="">
      <cdr:nvSpPr>
        <cdr:cNvPr id="24" name="Rectangle 23">
          <a:extLst xmlns:a="http://schemas.openxmlformats.org/drawingml/2006/main">
            <a:ext uri="{FF2B5EF4-FFF2-40B4-BE49-F238E27FC236}">
              <a16:creationId xmlns:a16="http://schemas.microsoft.com/office/drawing/2014/main" id="{19295FFD-4759-F95C-D58D-6CB60267854B}"/>
            </a:ext>
          </a:extLst>
        </cdr:cNvPr>
        <cdr:cNvSpPr/>
      </cdr:nvSpPr>
      <cdr:spPr>
        <a:xfrm xmlns:a="http://schemas.openxmlformats.org/drawingml/2006/main" rot="16200000">
          <a:off x="1944269" y="4108170"/>
          <a:ext cx="1126355"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Ecotoxicity</a:t>
          </a:r>
        </a:p>
      </cdr:txBody>
    </cdr:sp>
  </cdr:relSizeAnchor>
  <cdr:relSizeAnchor xmlns:cdr="http://schemas.openxmlformats.org/drawingml/2006/chartDrawing">
    <cdr:from>
      <cdr:x>0.35642</cdr:x>
      <cdr:y>0.6385</cdr:y>
    </cdr:from>
    <cdr:to>
      <cdr:x>0.40597</cdr:x>
      <cdr:y>0.83073</cdr:y>
    </cdr:to>
    <cdr:sp macro="" textlink="">
      <cdr:nvSpPr>
        <cdr:cNvPr id="25" name="Rectangle 24">
          <a:extLst xmlns:a="http://schemas.openxmlformats.org/drawingml/2006/main">
            <a:ext uri="{FF2B5EF4-FFF2-40B4-BE49-F238E27FC236}">
              <a16:creationId xmlns:a16="http://schemas.microsoft.com/office/drawing/2014/main" id="{2488C2AD-7EB1-EB2D-09BD-3E9644D403FE}"/>
            </a:ext>
          </a:extLst>
        </cdr:cNvPr>
        <cdr:cNvSpPr/>
      </cdr:nvSpPr>
      <cdr:spPr>
        <a:xfrm xmlns:a="http://schemas.openxmlformats.org/drawingml/2006/main" rot="16200000">
          <a:off x="2757772" y="4063895"/>
          <a:ext cx="1119846" cy="431253"/>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00" b="1" kern="1200">
              <a:solidFill>
                <a:sysClr val="windowText" lastClr="000000"/>
              </a:solidFill>
              <a:latin typeface="Arial Nova Cond" panose="020B0506020202020204" pitchFamily="34" charset="0"/>
            </a:rPr>
            <a:t>Eutrophication</a:t>
          </a:r>
          <a:r>
            <a:rPr lang="en-US" sz="1100" b="1" kern="1200" baseline="0">
              <a:solidFill>
                <a:sysClr val="windowText" lastClr="000000"/>
              </a:solidFill>
              <a:latin typeface="Arial Nova Cond" panose="020B0506020202020204" pitchFamily="34" charset="0"/>
            </a:rPr>
            <a:t> - </a:t>
          </a:r>
          <a:r>
            <a:rPr lang="en-US" sz="1050" b="1" kern="1200" baseline="0">
              <a:solidFill>
                <a:sysClr val="windowText" lastClr="000000"/>
              </a:solidFill>
              <a:latin typeface="Arial Nova Cond" panose="020B0506020202020204" pitchFamily="34" charset="0"/>
            </a:rPr>
            <a:t>Freshwater</a:t>
          </a:r>
          <a:endParaRPr lang="en-US" sz="1050" b="1" kern="1200">
            <a:solidFill>
              <a:sysClr val="windowText" lastClr="000000"/>
            </a:solidFill>
            <a:latin typeface="Arial Nova Cond" panose="020B0506020202020204" pitchFamily="34" charset="0"/>
          </a:endParaRPr>
        </a:p>
      </cdr:txBody>
    </cdr:sp>
  </cdr:relSizeAnchor>
  <cdr:relSizeAnchor xmlns:cdr="http://schemas.openxmlformats.org/drawingml/2006/chartDrawing">
    <cdr:from>
      <cdr:x>0.45068</cdr:x>
      <cdr:y>0.64142</cdr:y>
    </cdr:from>
    <cdr:to>
      <cdr:x>0.50023</cdr:x>
      <cdr:y>0.83365</cdr:y>
    </cdr:to>
    <cdr:sp macro="" textlink="">
      <cdr:nvSpPr>
        <cdr:cNvPr id="26" name="Rectangle 25">
          <a:extLst xmlns:a="http://schemas.openxmlformats.org/drawingml/2006/main">
            <a:ext uri="{FF2B5EF4-FFF2-40B4-BE49-F238E27FC236}">
              <a16:creationId xmlns:a16="http://schemas.microsoft.com/office/drawing/2014/main" id="{C9EBE32C-823A-DE45-8E06-939CE51C6EA3}"/>
            </a:ext>
          </a:extLst>
        </cdr:cNvPr>
        <cdr:cNvSpPr/>
      </cdr:nvSpPr>
      <cdr:spPr>
        <a:xfrm xmlns:a="http://schemas.openxmlformats.org/drawingml/2006/main" rot="16200000">
          <a:off x="3578153" y="4080934"/>
          <a:ext cx="1119846" cy="431253"/>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00" b="1" kern="1200">
              <a:solidFill>
                <a:sysClr val="windowText" lastClr="000000"/>
              </a:solidFill>
              <a:latin typeface="Arial Nova Cond" panose="020B0506020202020204" pitchFamily="34" charset="0"/>
            </a:rPr>
            <a:t>Eutrophication</a:t>
          </a:r>
          <a:r>
            <a:rPr lang="en-US" sz="1100" b="1" kern="1200">
              <a:solidFill>
                <a:sysClr val="windowText" lastClr="000000"/>
              </a:solidFill>
              <a:latin typeface="Arial Nova Cond" panose="020B0506020202020204" pitchFamily="34" charset="0"/>
            </a:rPr>
            <a:t> - </a:t>
          </a:r>
          <a:r>
            <a:rPr lang="en-US" sz="1050" b="1" kern="1200">
              <a:solidFill>
                <a:sysClr val="windowText" lastClr="000000"/>
              </a:solidFill>
              <a:latin typeface="Arial Nova Cond" panose="020B0506020202020204" pitchFamily="34" charset="0"/>
            </a:rPr>
            <a:t>Marine</a:t>
          </a:r>
        </a:p>
      </cdr:txBody>
    </cdr:sp>
  </cdr:relSizeAnchor>
  <cdr:relSizeAnchor xmlns:cdr="http://schemas.openxmlformats.org/drawingml/2006/chartDrawing">
    <cdr:from>
      <cdr:x>0.54407</cdr:x>
      <cdr:y>0.63776</cdr:y>
    </cdr:from>
    <cdr:to>
      <cdr:x>0.59362</cdr:x>
      <cdr:y>0.82999</cdr:y>
    </cdr:to>
    <cdr:sp macro="" textlink="">
      <cdr:nvSpPr>
        <cdr:cNvPr id="27" name="Rectangle 26">
          <a:extLst xmlns:a="http://schemas.openxmlformats.org/drawingml/2006/main">
            <a:ext uri="{FF2B5EF4-FFF2-40B4-BE49-F238E27FC236}">
              <a16:creationId xmlns:a16="http://schemas.microsoft.com/office/drawing/2014/main" id="{D173380F-7295-0B39-EA3D-AD3ACE5848C2}"/>
            </a:ext>
          </a:extLst>
        </cdr:cNvPr>
        <cdr:cNvSpPr/>
      </cdr:nvSpPr>
      <cdr:spPr>
        <a:xfrm xmlns:a="http://schemas.openxmlformats.org/drawingml/2006/main" rot="16200000">
          <a:off x="4382276" y="4084679"/>
          <a:ext cx="1126355"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400" b="1" kern="1200">
              <a:solidFill>
                <a:sysClr val="windowText" lastClr="000000"/>
              </a:solidFill>
              <a:latin typeface="Arial Nova Cond" panose="020B0506020202020204" pitchFamily="34" charset="0"/>
            </a:rPr>
            <a:t>Global Warming</a:t>
          </a:r>
        </a:p>
      </cdr:txBody>
    </cdr:sp>
  </cdr:relSizeAnchor>
  <cdr:relSizeAnchor xmlns:cdr="http://schemas.openxmlformats.org/drawingml/2006/chartDrawing">
    <cdr:from>
      <cdr:x>0.63699</cdr:x>
      <cdr:y>0.63865</cdr:y>
    </cdr:from>
    <cdr:to>
      <cdr:x>0.68654</cdr:x>
      <cdr:y>0.83089</cdr:y>
    </cdr:to>
    <cdr:sp macro="" textlink="">
      <cdr:nvSpPr>
        <cdr:cNvPr id="28" name="Rectangle 27">
          <a:extLst xmlns:a="http://schemas.openxmlformats.org/drawingml/2006/main">
            <a:ext uri="{FF2B5EF4-FFF2-40B4-BE49-F238E27FC236}">
              <a16:creationId xmlns:a16="http://schemas.microsoft.com/office/drawing/2014/main" id="{2C74F8C8-D70A-0429-AA81-EED59264D1F3}"/>
            </a:ext>
          </a:extLst>
        </cdr:cNvPr>
        <cdr:cNvSpPr/>
      </cdr:nvSpPr>
      <cdr:spPr>
        <a:xfrm xmlns:a="http://schemas.openxmlformats.org/drawingml/2006/main" rot="16200000">
          <a:off x="5199654" y="4064829"/>
          <a:ext cx="1119903" cy="431253"/>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Non - Carcinogenics</a:t>
          </a:r>
        </a:p>
      </cdr:txBody>
    </cdr:sp>
  </cdr:relSizeAnchor>
  <cdr:relSizeAnchor xmlns:cdr="http://schemas.openxmlformats.org/drawingml/2006/chartDrawing">
    <cdr:from>
      <cdr:x>0.73196</cdr:x>
      <cdr:y>0.64319</cdr:y>
    </cdr:from>
    <cdr:to>
      <cdr:x>0.78151</cdr:x>
      <cdr:y>0.83542</cdr:y>
    </cdr:to>
    <cdr:sp macro="" textlink="">
      <cdr:nvSpPr>
        <cdr:cNvPr id="29" name="Rectangle 28">
          <a:extLst xmlns:a="http://schemas.openxmlformats.org/drawingml/2006/main">
            <a:ext uri="{FF2B5EF4-FFF2-40B4-BE49-F238E27FC236}">
              <a16:creationId xmlns:a16="http://schemas.microsoft.com/office/drawing/2014/main" id="{0F47EA4A-8642-900E-DB98-9F76F2FD3399}"/>
            </a:ext>
          </a:extLst>
        </cdr:cNvPr>
        <cdr:cNvSpPr/>
      </cdr:nvSpPr>
      <cdr:spPr>
        <a:xfrm xmlns:a="http://schemas.openxmlformats.org/drawingml/2006/main" rot="16200000">
          <a:off x="6015772" y="4116497"/>
          <a:ext cx="1126356"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200" b="1" kern="1200">
              <a:solidFill>
                <a:sysClr val="windowText" lastClr="000000"/>
              </a:solidFill>
              <a:latin typeface="Arial Nova Cond" panose="020B0506020202020204" pitchFamily="34" charset="0"/>
            </a:rPr>
            <a:t>Ozone</a:t>
          </a:r>
          <a:r>
            <a:rPr lang="en-US" sz="1200" b="1" kern="1200" baseline="0">
              <a:solidFill>
                <a:sysClr val="windowText" lastClr="000000"/>
              </a:solidFill>
              <a:latin typeface="Arial Nova Cond" panose="020B0506020202020204" pitchFamily="34" charset="0"/>
            </a:rPr>
            <a:t> Depletion</a:t>
          </a:r>
          <a:endParaRPr lang="en-US" sz="1200" b="1" kern="1200">
            <a:solidFill>
              <a:sysClr val="windowText" lastClr="000000"/>
            </a:solidFill>
            <a:latin typeface="Arial Nova Cond" panose="020B0506020202020204" pitchFamily="34" charset="0"/>
          </a:endParaRPr>
        </a:p>
      </cdr:txBody>
    </cdr:sp>
  </cdr:relSizeAnchor>
  <cdr:relSizeAnchor xmlns:cdr="http://schemas.openxmlformats.org/drawingml/2006/chartDrawing">
    <cdr:from>
      <cdr:x>0.82475</cdr:x>
      <cdr:y>0.64045</cdr:y>
    </cdr:from>
    <cdr:to>
      <cdr:x>0.8743</cdr:x>
      <cdr:y>0.83268</cdr:y>
    </cdr:to>
    <cdr:sp macro="" textlink="">
      <cdr:nvSpPr>
        <cdr:cNvPr id="30" name="Rectangle 29">
          <a:extLst xmlns:a="http://schemas.openxmlformats.org/drawingml/2006/main">
            <a:ext uri="{FF2B5EF4-FFF2-40B4-BE49-F238E27FC236}">
              <a16:creationId xmlns:a16="http://schemas.microsoft.com/office/drawing/2014/main" id="{0C906ECB-20AE-B8F1-237F-05CDF89DC515}"/>
            </a:ext>
          </a:extLst>
        </cdr:cNvPr>
        <cdr:cNvSpPr/>
      </cdr:nvSpPr>
      <cdr:spPr>
        <a:xfrm xmlns:a="http://schemas.openxmlformats.org/drawingml/2006/main" rot="16200000">
          <a:off x="6822479" y="4100470"/>
          <a:ext cx="1126356"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Respiratory Effects - Particulate</a:t>
          </a:r>
        </a:p>
      </cdr:txBody>
    </cdr:sp>
  </cdr:relSizeAnchor>
  <cdr:relSizeAnchor xmlns:cdr="http://schemas.openxmlformats.org/drawingml/2006/chartDrawing">
    <cdr:from>
      <cdr:x>0.92034</cdr:x>
      <cdr:y>0.64102</cdr:y>
    </cdr:from>
    <cdr:to>
      <cdr:x>0.96989</cdr:x>
      <cdr:y>0.83325</cdr:y>
    </cdr:to>
    <cdr:sp macro="" textlink="">
      <cdr:nvSpPr>
        <cdr:cNvPr id="31" name="Rectangle 30">
          <a:extLst xmlns:a="http://schemas.openxmlformats.org/drawingml/2006/main">
            <a:ext uri="{FF2B5EF4-FFF2-40B4-BE49-F238E27FC236}">
              <a16:creationId xmlns:a16="http://schemas.microsoft.com/office/drawing/2014/main" id="{C6DBBBFA-9075-166D-CC75-935315F7D494}"/>
            </a:ext>
          </a:extLst>
        </cdr:cNvPr>
        <cdr:cNvSpPr/>
      </cdr:nvSpPr>
      <cdr:spPr>
        <a:xfrm xmlns:a="http://schemas.openxmlformats.org/drawingml/2006/main" rot="16200000">
          <a:off x="7653507" y="4103772"/>
          <a:ext cx="1126356"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00" b="1" kern="1200">
              <a:solidFill>
                <a:sysClr val="windowText" lastClr="000000"/>
              </a:solidFill>
              <a:latin typeface="Arial Nova Cond" panose="020B0506020202020204" pitchFamily="34" charset="0"/>
            </a:rPr>
            <a:t>Photochemical</a:t>
          </a:r>
          <a:r>
            <a:rPr lang="en-US" sz="1000" b="1" kern="1200" baseline="0">
              <a:solidFill>
                <a:sysClr val="windowText" lastClr="000000"/>
              </a:solidFill>
              <a:latin typeface="Arial Nova Cond" panose="020B0506020202020204" pitchFamily="34" charset="0"/>
            </a:rPr>
            <a:t> </a:t>
          </a:r>
          <a:r>
            <a:rPr lang="en-US" sz="1050" b="1" kern="1200" baseline="0">
              <a:solidFill>
                <a:sysClr val="windowText" lastClr="000000"/>
              </a:solidFill>
              <a:latin typeface="Arial Nova Cond" panose="020B0506020202020204" pitchFamily="34" charset="0"/>
            </a:rPr>
            <a:t>Oxidation Formation</a:t>
          </a:r>
          <a:endParaRPr lang="en-US" sz="1050" b="1" kern="1200">
            <a:solidFill>
              <a:sysClr val="windowText" lastClr="000000"/>
            </a:solidFill>
            <a:latin typeface="Arial Nova Cond" panose="020B0506020202020204" pitchFamily="34" charset="0"/>
          </a:endParaRPr>
        </a:p>
      </cdr:txBody>
    </cdr:sp>
  </cdr:relSizeAnchor>
  <cdr:relSizeAnchor xmlns:cdr="http://schemas.openxmlformats.org/drawingml/2006/chartDrawing">
    <cdr:from>
      <cdr:x>0.0601</cdr:x>
      <cdr:y>0.24732</cdr:y>
    </cdr:from>
    <cdr:to>
      <cdr:x>0.1486</cdr:x>
      <cdr:y>0.32528</cdr:y>
    </cdr:to>
    <mc:AlternateContent xmlns:mc="http://schemas.openxmlformats.org/markup-compatibility/2006" xmlns:a14="http://schemas.microsoft.com/office/drawing/2010/main">
      <mc:Choice Requires="a14">
        <cdr:sp macro="" textlink="">
          <cdr:nvSpPr>
            <cdr:cNvPr id="32" name="Rectangle 31">
              <a:extLst xmlns:a="http://schemas.openxmlformats.org/drawingml/2006/main">
                <a:ext uri="{FF2B5EF4-FFF2-40B4-BE49-F238E27FC236}">
                  <a16:creationId xmlns:a16="http://schemas.microsoft.com/office/drawing/2014/main" id="{AAFE8437-5891-F732-1512-AF787AAD7DB4}"/>
                </a:ext>
              </a:extLst>
            </cdr:cNvPr>
            <cdr:cNvSpPr/>
          </cdr:nvSpPr>
          <cdr:spPr>
            <a:xfrm xmlns:a="http://schemas.openxmlformats.org/drawingml/2006/main">
              <a:off x="522464" y="1451991"/>
              <a:ext cx="769231" cy="45770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kg S</m:t>
                        </m:r>
                        <m:sSub>
                          <m:sSubPr>
                            <m:ctrlPr>
                              <a:rPr lang="en-US" sz="1050" b="0" i="0" kern="1200">
                                <a:solidFill>
                                  <a:sysClr val="windowText" lastClr="000000"/>
                                </a:solidFill>
                                <a:latin typeface="Arial Nova Cond" panose="020B0506020202020204" pitchFamily="34" charset="0"/>
                              </a:rPr>
                            </m:ctrlPr>
                          </m:sSubPr>
                          <m:e>
                            <m:r>
                              <m:rPr>
                                <m:nor/>
                              </m:rPr>
                              <a:rPr lang="en-US" sz="1050" b="0" i="0" kern="1200">
                                <a:solidFill>
                                  <a:sysClr val="windowText" lastClr="000000"/>
                                </a:solidFill>
                                <a:latin typeface="Arial Nova Cond" panose="020B0506020202020204" pitchFamily="34" charset="0"/>
                              </a:rPr>
                              <m:t>O</m:t>
                            </m:r>
                          </m:e>
                          <m:sub>
                            <m:r>
                              <m:rPr>
                                <m:nor/>
                              </m:rPr>
                              <a:rPr lang="en-US" sz="1050" b="0" i="0" kern="1200">
                                <a:solidFill>
                                  <a:sysClr val="windowText" lastClr="000000"/>
                                </a:solidFill>
                                <a:latin typeface="Arial Nova Cond" panose="020B0506020202020204" pitchFamily="34" charset="0"/>
                              </a:rPr>
                              <m:t>2−eq</m:t>
                            </m:r>
                          </m:sub>
                        </m:sSub>
                      </m:num>
                      <m:den>
                        <m:r>
                          <m:rPr>
                            <m:nor/>
                          </m:rPr>
                          <a:rPr lang="en-US" sz="1050" b="0" i="0" kern="1200">
                            <a:solidFill>
                              <a:sysClr val="windowText" lastClr="000000"/>
                            </a:solidFill>
                            <a:latin typeface="Arial Nova Cond" panose="020B0506020202020204" pitchFamily="34" charset="0"/>
                          </a:rPr>
                          <m:t>kg Lactic</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32" name="Rectangle 31">
              <a:extLst xmlns:a="http://schemas.openxmlformats.org/drawingml/2006/main">
                <a:ext uri="{FF2B5EF4-FFF2-40B4-BE49-F238E27FC236}">
                  <a16:creationId xmlns:a16="http://schemas.microsoft.com/office/drawing/2014/main" id="{AAFE8437-5891-F732-1512-AF787AAD7DB4}"/>
                </a:ext>
              </a:extLst>
            </cdr:cNvPr>
            <cdr:cNvSpPr/>
          </cdr:nvSpPr>
          <cdr:spPr>
            <a:xfrm xmlns:a="http://schemas.openxmlformats.org/drawingml/2006/main">
              <a:off x="522464" y="1451991"/>
              <a:ext cx="769231" cy="45770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S</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O</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2−eq</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kg Lactic</a:t>
              </a:r>
              <a:r>
                <a:rPr lang="en-US" sz="1050" b="1" i="0" kern="1200">
                  <a:solidFill>
                    <a:sysClr val="windowText" lastClr="000000"/>
                  </a:solidFill>
                  <a:latin typeface="Cambria Math" panose="02040503050406030204" pitchFamily="18" charset="0"/>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0.00358</cdr:x>
      <cdr:y>0.2016</cdr:y>
    </cdr:from>
    <cdr:to>
      <cdr:x>0.05747</cdr:x>
      <cdr:y>0.24542</cdr:y>
    </cdr:to>
    <cdr:sp macro="" textlink="">
      <cdr:nvSpPr>
        <cdr:cNvPr id="35" name="Rectangle 34">
          <a:extLst xmlns:a="http://schemas.openxmlformats.org/drawingml/2006/main">
            <a:ext uri="{FF2B5EF4-FFF2-40B4-BE49-F238E27FC236}">
              <a16:creationId xmlns:a16="http://schemas.microsoft.com/office/drawing/2014/main" id="{A2087C0C-F51B-50AA-185A-F1CB59ECEE41}"/>
            </a:ext>
          </a:extLst>
        </cdr:cNvPr>
        <cdr:cNvSpPr/>
      </cdr:nvSpPr>
      <cdr:spPr>
        <a:xfrm xmlns:a="http://schemas.openxmlformats.org/drawingml/2006/main">
          <a:off x="31116" y="1180597"/>
          <a:ext cx="468398" cy="256618"/>
        </a:xfrm>
        <a:prstGeom xmlns:a="http://schemas.openxmlformats.org/drawingml/2006/main" prst="rect">
          <a:avLst/>
        </a:prstGeom>
        <a:noFill xmlns:a="http://schemas.openxmlformats.org/drawingml/2006/main"/>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horz"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900" b="1" kern="1200">
              <a:solidFill>
                <a:srgbClr val="D67F00"/>
              </a:solidFill>
              <a:latin typeface="Arial Nova Cond" panose="020B0506020202020204" pitchFamily="34" charset="0"/>
            </a:rPr>
            <a:t>PROP</a:t>
          </a:r>
        </a:p>
      </cdr:txBody>
    </cdr:sp>
  </cdr:relSizeAnchor>
  <cdr:relSizeAnchor xmlns:cdr="http://schemas.openxmlformats.org/drawingml/2006/chartDrawing">
    <cdr:from>
      <cdr:x>0.00589</cdr:x>
      <cdr:y>0.67385</cdr:y>
    </cdr:from>
    <cdr:to>
      <cdr:x>0.05596</cdr:x>
      <cdr:y>0.81899</cdr:y>
    </cdr:to>
    <cdr:sp macro="" textlink="">
      <cdr:nvSpPr>
        <cdr:cNvPr id="36" name="Rectangle 35">
          <a:extLst xmlns:a="http://schemas.openxmlformats.org/drawingml/2006/main">
            <a:ext uri="{FF2B5EF4-FFF2-40B4-BE49-F238E27FC236}">
              <a16:creationId xmlns:a16="http://schemas.microsoft.com/office/drawing/2014/main" id="{E736BAA7-EF69-0A3E-732A-35EC6878566F}"/>
            </a:ext>
          </a:extLst>
        </cdr:cNvPr>
        <cdr:cNvSpPr/>
      </cdr:nvSpPr>
      <cdr:spPr>
        <a:xfrm xmlns:a="http://schemas.openxmlformats.org/drawingml/2006/main">
          <a:off x="51263" y="3925571"/>
          <a:ext cx="435778" cy="845521"/>
        </a:xfrm>
        <a:prstGeom xmlns:a="http://schemas.openxmlformats.org/drawingml/2006/main" prst="rect">
          <a:avLst/>
        </a:prstGeom>
        <a:solidFill xmlns:a="http://schemas.openxmlformats.org/drawingml/2006/main">
          <a:schemeClr val="bg1"/>
        </a:solidFill>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vert270"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100" b="1" kern="1200">
              <a:solidFill>
                <a:sysClr val="windowText" lastClr="000000"/>
              </a:solidFill>
              <a:latin typeface="Arial Nova Cond" panose="020B0506020202020204" pitchFamily="34" charset="0"/>
            </a:rPr>
            <a:t>CATEGORY</a:t>
          </a:r>
        </a:p>
      </cdr:txBody>
    </cdr:sp>
  </cdr:relSizeAnchor>
  <cdr:relSizeAnchor xmlns:cdr="http://schemas.openxmlformats.org/drawingml/2006/chartDrawing">
    <cdr:from>
      <cdr:x>0.15282</cdr:x>
      <cdr:y>0.2498</cdr:y>
    </cdr:from>
    <cdr:to>
      <cdr:x>0.24008</cdr:x>
      <cdr:y>0.31886</cdr:y>
    </cdr:to>
    <mc:AlternateContent xmlns:mc="http://schemas.openxmlformats.org/markup-compatibility/2006" xmlns:a14="http://schemas.microsoft.com/office/drawing/2010/main">
      <mc:Choice Requires="a14">
        <cdr:sp macro="" textlink="">
          <cdr:nvSpPr>
            <cdr:cNvPr id="37" name="Rectangle 36">
              <a:extLst xmlns:a="http://schemas.openxmlformats.org/drawingml/2006/main">
                <a:ext uri="{FF2B5EF4-FFF2-40B4-BE49-F238E27FC236}">
                  <a16:creationId xmlns:a16="http://schemas.microsoft.com/office/drawing/2014/main" id="{6F6C0593-74C2-EDC8-2A46-DFBEED548368}"/>
                </a:ext>
              </a:extLst>
            </cdr:cNvPr>
            <cdr:cNvSpPr/>
          </cdr:nvSpPr>
          <cdr:spPr>
            <a:xfrm xmlns:a="http://schemas.openxmlformats.org/drawingml/2006/main">
              <a:off x="1328425" y="1466569"/>
              <a:ext cx="758503" cy="40542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CTUh</m:t>
                        </m:r>
                      </m:num>
                      <m:den>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kg Lactic</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37" name="Rectangle 36">
              <a:extLst xmlns:a="http://schemas.openxmlformats.org/drawingml/2006/main">
                <a:ext uri="{FF2B5EF4-FFF2-40B4-BE49-F238E27FC236}">
                  <a16:creationId xmlns:a16="http://schemas.microsoft.com/office/drawing/2014/main" id="{6F6C0593-74C2-EDC8-2A46-DFBEED548368}"/>
                </a:ext>
              </a:extLst>
            </cdr:cNvPr>
            <cdr:cNvSpPr/>
          </cdr:nvSpPr>
          <cdr:spPr>
            <a:xfrm xmlns:a="http://schemas.openxmlformats.org/drawingml/2006/main">
              <a:off x="1328425" y="1466569"/>
              <a:ext cx="758503" cy="40542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"CTUh</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kg Lactic</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0.24723</cdr:x>
      <cdr:y>0.24647</cdr:y>
    </cdr:from>
    <cdr:to>
      <cdr:x>0.33312</cdr:x>
      <cdr:y>0.32135</cdr:y>
    </cdr:to>
    <mc:AlternateContent xmlns:mc="http://schemas.openxmlformats.org/markup-compatibility/2006" xmlns:a14="http://schemas.microsoft.com/office/drawing/2010/main">
      <mc:Choice Requires="a14">
        <cdr:sp macro="" textlink="">
          <cdr:nvSpPr>
            <cdr:cNvPr id="38" name="Rectangle 37">
              <a:extLst xmlns:a="http://schemas.openxmlformats.org/drawingml/2006/main">
                <a:ext uri="{FF2B5EF4-FFF2-40B4-BE49-F238E27FC236}">
                  <a16:creationId xmlns:a16="http://schemas.microsoft.com/office/drawing/2014/main" id="{31E9AFB0-C834-DFB0-9095-CE06D96D44AE}"/>
                </a:ext>
              </a:extLst>
            </cdr:cNvPr>
            <cdr:cNvSpPr/>
          </cdr:nvSpPr>
          <cdr:spPr>
            <a:xfrm xmlns:a="http://schemas.openxmlformats.org/drawingml/2006/main">
              <a:off x="2149041" y="1447030"/>
              <a:ext cx="746673" cy="43961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CTUe</m:t>
                        </m:r>
                      </m:num>
                      <m:den>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kg Lactic</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38" name="Rectangle 37">
              <a:extLst xmlns:a="http://schemas.openxmlformats.org/drawingml/2006/main">
                <a:ext uri="{FF2B5EF4-FFF2-40B4-BE49-F238E27FC236}">
                  <a16:creationId xmlns:a16="http://schemas.microsoft.com/office/drawing/2014/main" id="{31E9AFB0-C834-DFB0-9095-CE06D96D44AE}"/>
                </a:ext>
              </a:extLst>
            </cdr:cNvPr>
            <cdr:cNvSpPr/>
          </cdr:nvSpPr>
          <cdr:spPr>
            <a:xfrm xmlns:a="http://schemas.openxmlformats.org/drawingml/2006/main">
              <a:off x="2149041" y="1447030"/>
              <a:ext cx="746673" cy="43961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"CTUe</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kg Lactic</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0.33938</cdr:x>
      <cdr:y>0.2473</cdr:y>
    </cdr:from>
    <cdr:to>
      <cdr:x>0.42859</cdr:x>
      <cdr:y>0.32052</cdr:y>
    </cdr:to>
    <mc:AlternateContent xmlns:mc="http://schemas.openxmlformats.org/markup-compatibility/2006" xmlns:a14="http://schemas.microsoft.com/office/drawing/2010/main">
      <mc:Choice Requires="a14">
        <cdr:sp macro="" textlink="">
          <cdr:nvSpPr>
            <cdr:cNvPr id="39" name="Rectangle 38">
              <a:extLst xmlns:a="http://schemas.openxmlformats.org/drawingml/2006/main">
                <a:ext uri="{FF2B5EF4-FFF2-40B4-BE49-F238E27FC236}">
                  <a16:creationId xmlns:a16="http://schemas.microsoft.com/office/drawing/2014/main" id="{AC840EDB-41D4-2D04-1BF8-4B5FBF088B61}"/>
                </a:ext>
              </a:extLst>
            </cdr:cNvPr>
            <cdr:cNvSpPr/>
          </cdr:nvSpPr>
          <cdr:spPr>
            <a:xfrm xmlns:a="http://schemas.openxmlformats.org/drawingml/2006/main">
              <a:off x="2950119" y="1451915"/>
              <a:ext cx="775460" cy="42984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kg </m:t>
                        </m:r>
                        <m:sSub>
                          <m:sSubPr>
                            <m:ctrlPr>
                              <a:rPr lang="en-US" sz="1050" b="0" i="0" kern="1200">
                                <a:solidFill>
                                  <a:sysClr val="windowText" lastClr="000000"/>
                                </a:solidFill>
                                <a:latin typeface="Arial Nova Cond" panose="020B0506020202020204" pitchFamily="34" charset="0"/>
                              </a:rPr>
                            </m:ctrlPr>
                          </m:sSubPr>
                          <m:e>
                            <m:r>
                              <m:rPr>
                                <m:nor/>
                              </m:rPr>
                              <a:rPr lang="en-US" sz="1050" b="0" i="0" kern="1200">
                                <a:solidFill>
                                  <a:sysClr val="windowText" lastClr="000000"/>
                                </a:solidFill>
                                <a:latin typeface="Arial Nova Cond" panose="020B0506020202020204" pitchFamily="34" charset="0"/>
                              </a:rPr>
                              <m:t>P</m:t>
                            </m:r>
                          </m:e>
                          <m:sub>
                            <m:r>
                              <m:rPr>
                                <m:nor/>
                              </m:rPr>
                              <a:rPr lang="en-US" sz="1050" b="0" i="0" kern="1200">
                                <a:solidFill>
                                  <a:sysClr val="windowText" lastClr="000000"/>
                                </a:solidFill>
                                <a:latin typeface="Arial Nova Cond" panose="020B0506020202020204" pitchFamily="34" charset="0"/>
                              </a:rPr>
                              <m:t>eq</m:t>
                            </m:r>
                          </m:sub>
                        </m:sSub>
                      </m:num>
                      <m:den>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kg Lactic</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39" name="Rectangle 38">
              <a:extLst xmlns:a="http://schemas.openxmlformats.org/drawingml/2006/main">
                <a:ext uri="{FF2B5EF4-FFF2-40B4-BE49-F238E27FC236}">
                  <a16:creationId xmlns:a16="http://schemas.microsoft.com/office/drawing/2014/main" id="{AC840EDB-41D4-2D04-1BF8-4B5FBF088B61}"/>
                </a:ext>
              </a:extLst>
            </cdr:cNvPr>
            <cdr:cNvSpPr/>
          </cdr:nvSpPr>
          <cdr:spPr>
            <a:xfrm xmlns:a="http://schemas.openxmlformats.org/drawingml/2006/main">
              <a:off x="2950119" y="1451915"/>
              <a:ext cx="775460" cy="42984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P</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eq</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kg Lactic</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0.43435</cdr:x>
      <cdr:y>0.24647</cdr:y>
    </cdr:from>
    <cdr:to>
      <cdr:x>0.52199</cdr:x>
      <cdr:y>0.31969</cdr:y>
    </cdr:to>
    <mc:AlternateContent xmlns:mc="http://schemas.openxmlformats.org/markup-compatibility/2006" xmlns:a14="http://schemas.microsoft.com/office/drawing/2010/main">
      <mc:Choice Requires="a14">
        <cdr:sp macro="" textlink="">
          <cdr:nvSpPr>
            <cdr:cNvPr id="40" name="Rectangle 39">
              <a:extLst xmlns:a="http://schemas.openxmlformats.org/drawingml/2006/main">
                <a:ext uri="{FF2B5EF4-FFF2-40B4-BE49-F238E27FC236}">
                  <a16:creationId xmlns:a16="http://schemas.microsoft.com/office/drawing/2014/main" id="{586CB80F-27C6-AAE0-C6AB-154855B78E61}"/>
                </a:ext>
              </a:extLst>
            </cdr:cNvPr>
            <cdr:cNvSpPr/>
          </cdr:nvSpPr>
          <cdr:spPr>
            <a:xfrm xmlns:a="http://schemas.openxmlformats.org/drawingml/2006/main">
              <a:off x="3775619" y="1447030"/>
              <a:ext cx="761840" cy="42984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kg </m:t>
                        </m:r>
                        <m:sSub>
                          <m:sSubPr>
                            <m:ctrlPr>
                              <a:rPr lang="en-US" sz="1050" b="0" i="0" kern="1200">
                                <a:solidFill>
                                  <a:sysClr val="windowText" lastClr="000000"/>
                                </a:solidFill>
                                <a:latin typeface="Arial Nova Cond" panose="020B0506020202020204" pitchFamily="34" charset="0"/>
                              </a:rPr>
                            </m:ctrlPr>
                          </m:sSubPr>
                          <m:e>
                            <m:r>
                              <m:rPr>
                                <m:nor/>
                              </m:rPr>
                              <a:rPr lang="en-US" sz="1050" b="0" i="0" kern="1200">
                                <a:solidFill>
                                  <a:sysClr val="windowText" lastClr="000000"/>
                                </a:solidFill>
                                <a:latin typeface="Arial Nova Cond" panose="020B0506020202020204" pitchFamily="34" charset="0"/>
                              </a:rPr>
                              <m:t>N</m:t>
                            </m:r>
                          </m:e>
                          <m:sub>
                            <m:r>
                              <m:rPr>
                                <m:nor/>
                              </m:rPr>
                              <a:rPr lang="en-US" sz="1050" b="0" i="0" kern="1200">
                                <a:solidFill>
                                  <a:sysClr val="windowText" lastClr="000000"/>
                                </a:solidFill>
                                <a:latin typeface="Arial Nova Cond" panose="020B0506020202020204" pitchFamily="34" charset="0"/>
                              </a:rPr>
                              <m:t>eq</m:t>
                            </m:r>
                          </m:sub>
                        </m:sSub>
                      </m:num>
                      <m:den>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kg Lactic</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0" name="Rectangle 39">
              <a:extLst xmlns:a="http://schemas.openxmlformats.org/drawingml/2006/main">
                <a:ext uri="{FF2B5EF4-FFF2-40B4-BE49-F238E27FC236}">
                  <a16:creationId xmlns:a16="http://schemas.microsoft.com/office/drawing/2014/main" id="{586CB80F-27C6-AAE0-C6AB-154855B78E61}"/>
                </a:ext>
              </a:extLst>
            </cdr:cNvPr>
            <cdr:cNvSpPr/>
          </cdr:nvSpPr>
          <cdr:spPr>
            <a:xfrm xmlns:a="http://schemas.openxmlformats.org/drawingml/2006/main">
              <a:off x="3775619" y="1447030"/>
              <a:ext cx="761840" cy="42984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N</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eq</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kg Lactic</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0.52706</cdr:x>
      <cdr:y>0.24647</cdr:y>
    </cdr:from>
    <cdr:to>
      <cdr:x>0.61563</cdr:x>
      <cdr:y>0.32135</cdr:y>
    </cdr:to>
    <mc:AlternateContent xmlns:mc="http://schemas.openxmlformats.org/markup-compatibility/2006" xmlns:a14="http://schemas.microsoft.com/office/drawing/2010/main">
      <mc:Choice Requires="a14">
        <cdr:sp macro="" textlink="">
          <cdr:nvSpPr>
            <cdr:cNvPr id="41" name="Rectangle 40">
              <a:extLst xmlns:a="http://schemas.openxmlformats.org/drawingml/2006/main">
                <a:ext uri="{FF2B5EF4-FFF2-40B4-BE49-F238E27FC236}">
                  <a16:creationId xmlns:a16="http://schemas.microsoft.com/office/drawing/2014/main" id="{E4B9830C-75A7-CA5D-03C1-6A0D5D70DB95}"/>
                </a:ext>
              </a:extLst>
            </cdr:cNvPr>
            <cdr:cNvSpPr/>
          </cdr:nvSpPr>
          <cdr:spPr>
            <a:xfrm xmlns:a="http://schemas.openxmlformats.org/drawingml/2006/main">
              <a:off x="4581579" y="1447030"/>
              <a:ext cx="769869" cy="43961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kg C</m:t>
                        </m:r>
                        <m:sSub>
                          <m:sSubPr>
                            <m:ctrlPr>
                              <a:rPr lang="en-US" sz="1050" b="0" i="0" kern="1200">
                                <a:solidFill>
                                  <a:sysClr val="windowText" lastClr="000000"/>
                                </a:solidFill>
                                <a:latin typeface="Arial Nova Cond" panose="020B0506020202020204" pitchFamily="34" charset="0"/>
                              </a:rPr>
                            </m:ctrlPr>
                          </m:sSubPr>
                          <m:e>
                            <m:r>
                              <m:rPr>
                                <m:nor/>
                              </m:rPr>
                              <a:rPr lang="en-US" sz="1050" b="0" i="0" kern="1200">
                                <a:solidFill>
                                  <a:sysClr val="windowText" lastClr="000000"/>
                                </a:solidFill>
                                <a:latin typeface="Arial Nova Cond" panose="020B0506020202020204" pitchFamily="34" charset="0"/>
                              </a:rPr>
                              <m:t>O</m:t>
                            </m:r>
                          </m:e>
                          <m:sub>
                            <m:r>
                              <m:rPr>
                                <m:nor/>
                              </m:rPr>
                              <a:rPr lang="en-US" sz="1050" b="0" i="0" kern="1200">
                                <a:solidFill>
                                  <a:sysClr val="windowText" lastClr="000000"/>
                                </a:solidFill>
                                <a:latin typeface="Arial Nova Cond" panose="020B0506020202020204" pitchFamily="34" charset="0"/>
                              </a:rPr>
                              <m:t>2−eq</m:t>
                            </m:r>
                          </m:sub>
                        </m:sSub>
                      </m:num>
                      <m:den>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kg Lactic</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1" name="Rectangle 40">
              <a:extLst xmlns:a="http://schemas.openxmlformats.org/drawingml/2006/main">
                <a:ext uri="{FF2B5EF4-FFF2-40B4-BE49-F238E27FC236}">
                  <a16:creationId xmlns:a16="http://schemas.microsoft.com/office/drawing/2014/main" id="{E4B9830C-75A7-CA5D-03C1-6A0D5D70DB95}"/>
                </a:ext>
              </a:extLst>
            </cdr:cNvPr>
            <cdr:cNvSpPr/>
          </cdr:nvSpPr>
          <cdr:spPr>
            <a:xfrm xmlns:a="http://schemas.openxmlformats.org/drawingml/2006/main">
              <a:off x="4581579" y="1447030"/>
              <a:ext cx="769869" cy="43961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C</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O</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2−eq</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kg Lactic</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0.62034</cdr:x>
      <cdr:y>0.2473</cdr:y>
    </cdr:from>
    <cdr:to>
      <cdr:x>0.70915</cdr:x>
      <cdr:y>0.32302</cdr:y>
    </cdr:to>
    <mc:AlternateContent xmlns:mc="http://schemas.openxmlformats.org/markup-compatibility/2006" xmlns:a14="http://schemas.microsoft.com/office/drawing/2010/main">
      <mc:Choice Requires="a14">
        <cdr:sp macro="" textlink="">
          <cdr:nvSpPr>
            <cdr:cNvPr id="42" name="Rectangle 41">
              <a:extLst xmlns:a="http://schemas.openxmlformats.org/drawingml/2006/main">
                <a:ext uri="{FF2B5EF4-FFF2-40B4-BE49-F238E27FC236}">
                  <a16:creationId xmlns:a16="http://schemas.microsoft.com/office/drawing/2014/main" id="{D8ADE223-B36C-AD36-21B1-DC5E3D66F8E0}"/>
                </a:ext>
              </a:extLst>
            </cdr:cNvPr>
            <cdr:cNvSpPr/>
          </cdr:nvSpPr>
          <cdr:spPr>
            <a:xfrm xmlns:a="http://schemas.openxmlformats.org/drawingml/2006/main">
              <a:off x="5392425" y="1451915"/>
              <a:ext cx="771959"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CTUh</m:t>
                        </m:r>
                      </m:num>
                      <m:den>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kg Lactic</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2" name="Rectangle 41">
              <a:extLst xmlns:a="http://schemas.openxmlformats.org/drawingml/2006/main">
                <a:ext uri="{FF2B5EF4-FFF2-40B4-BE49-F238E27FC236}">
                  <a16:creationId xmlns:a16="http://schemas.microsoft.com/office/drawing/2014/main" id="{D8ADE223-B36C-AD36-21B1-DC5E3D66F8E0}"/>
                </a:ext>
              </a:extLst>
            </cdr:cNvPr>
            <cdr:cNvSpPr/>
          </cdr:nvSpPr>
          <cdr:spPr>
            <a:xfrm xmlns:a="http://schemas.openxmlformats.org/drawingml/2006/main">
              <a:off x="5392425" y="1451915"/>
              <a:ext cx="771959"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"CTUh</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kg Lactic</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0.71362</cdr:x>
      <cdr:y>0.24647</cdr:y>
    </cdr:from>
    <cdr:to>
      <cdr:x>0.80194</cdr:x>
      <cdr:y>0.32218</cdr:y>
    </cdr:to>
    <mc:AlternateContent xmlns:mc="http://schemas.openxmlformats.org/markup-compatibility/2006" xmlns:a14="http://schemas.microsoft.com/office/drawing/2010/main">
      <mc:Choice Requires="a14">
        <cdr:sp macro="" textlink="">
          <cdr:nvSpPr>
            <cdr:cNvPr id="43" name="Rectangle 42">
              <a:extLst xmlns:a="http://schemas.openxmlformats.org/drawingml/2006/main">
                <a:ext uri="{FF2B5EF4-FFF2-40B4-BE49-F238E27FC236}">
                  <a16:creationId xmlns:a16="http://schemas.microsoft.com/office/drawing/2014/main" id="{1A85A80C-315C-B629-C24A-40AC9ACA6AB4}"/>
                </a:ext>
              </a:extLst>
            </cdr:cNvPr>
            <cdr:cNvSpPr/>
          </cdr:nvSpPr>
          <cdr:spPr>
            <a:xfrm xmlns:a="http://schemas.openxmlformats.org/drawingml/2006/main">
              <a:off x="6203271" y="1447030"/>
              <a:ext cx="767703"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CFC−11</m:t>
                        </m:r>
                      </m:num>
                      <m:den>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kg Lactic</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3" name="Rectangle 42">
              <a:extLst xmlns:a="http://schemas.openxmlformats.org/drawingml/2006/main">
                <a:ext uri="{FF2B5EF4-FFF2-40B4-BE49-F238E27FC236}">
                  <a16:creationId xmlns:a16="http://schemas.microsoft.com/office/drawing/2014/main" id="{1A85A80C-315C-B629-C24A-40AC9ACA6AB4}"/>
                </a:ext>
              </a:extLst>
            </cdr:cNvPr>
            <cdr:cNvSpPr/>
          </cdr:nvSpPr>
          <cdr:spPr>
            <a:xfrm xmlns:a="http://schemas.openxmlformats.org/drawingml/2006/main">
              <a:off x="6203271" y="1447030"/>
              <a:ext cx="767703"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"CFC−11</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kg Lactic</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0.80803</cdr:x>
      <cdr:y>0.24814</cdr:y>
    </cdr:from>
    <cdr:to>
      <cdr:x>0.89472</cdr:x>
      <cdr:y>0.32052</cdr:y>
    </cdr:to>
    <mc:AlternateContent xmlns:mc="http://schemas.openxmlformats.org/markup-compatibility/2006" xmlns:a14="http://schemas.microsoft.com/office/drawing/2010/main">
      <mc:Choice Requires="a14">
        <cdr:sp macro="" textlink="">
          <cdr:nvSpPr>
            <cdr:cNvPr id="44" name="Rectangle 43">
              <a:extLst xmlns:a="http://schemas.openxmlformats.org/drawingml/2006/main">
                <a:ext uri="{FF2B5EF4-FFF2-40B4-BE49-F238E27FC236}">
                  <a16:creationId xmlns:a16="http://schemas.microsoft.com/office/drawing/2014/main" id="{40A061A1-B095-537E-39C7-3D687C52D94E}"/>
                </a:ext>
              </a:extLst>
            </cdr:cNvPr>
            <cdr:cNvSpPr/>
          </cdr:nvSpPr>
          <cdr:spPr>
            <a:xfrm xmlns:a="http://schemas.openxmlformats.org/drawingml/2006/main">
              <a:off x="7023887" y="1456800"/>
              <a:ext cx="753591" cy="42496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P</m:t>
                        </m:r>
                        <m:sSub>
                          <m:sSubPr>
                            <m:ctrlPr>
                              <a:rPr lang="en-US" sz="1050" b="0" i="0" kern="1200">
                                <a:solidFill>
                                  <a:sysClr val="windowText" lastClr="000000"/>
                                </a:solidFill>
                                <a:latin typeface="Arial Nova Cond" panose="020B0506020202020204" pitchFamily="34" charset="0"/>
                              </a:rPr>
                            </m:ctrlPr>
                          </m:sSubPr>
                          <m:e>
                            <m:r>
                              <m:rPr>
                                <m:nor/>
                              </m:rPr>
                              <a:rPr lang="en-US" sz="1050" b="0" i="0" kern="1200">
                                <a:solidFill>
                                  <a:sysClr val="windowText" lastClr="000000"/>
                                </a:solidFill>
                                <a:latin typeface="Arial Nova Cond" panose="020B0506020202020204" pitchFamily="34" charset="0"/>
                              </a:rPr>
                              <m:t>M</m:t>
                            </m:r>
                          </m:e>
                          <m:sub>
                            <m:r>
                              <m:rPr>
                                <m:nor/>
                              </m:rPr>
                              <a:rPr lang="en-US" sz="1050" b="0" i="0" kern="1200">
                                <a:solidFill>
                                  <a:sysClr val="windowText" lastClr="000000"/>
                                </a:solidFill>
                                <a:latin typeface="Arial Nova Cond" panose="020B0506020202020204" pitchFamily="34" charset="0"/>
                              </a:rPr>
                              <m:t>2.5</m:t>
                            </m:r>
                          </m:sub>
                        </m:sSub>
                        <m:r>
                          <m:rPr>
                            <m:nor/>
                          </m:rPr>
                          <a:rPr lang="en-US" sz="1050" b="0" i="0" kern="1200">
                            <a:solidFill>
                              <a:sysClr val="windowText" lastClr="000000"/>
                            </a:solidFill>
                            <a:latin typeface="Arial Nova Cond" panose="020B0506020202020204" pitchFamily="34" charset="0"/>
                          </a:rPr>
                          <m:t> </m:t>
                        </m:r>
                      </m:num>
                      <m:den>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kg Lactic</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4" name="Rectangle 43">
              <a:extLst xmlns:a="http://schemas.openxmlformats.org/drawingml/2006/main">
                <a:ext uri="{FF2B5EF4-FFF2-40B4-BE49-F238E27FC236}">
                  <a16:creationId xmlns:a16="http://schemas.microsoft.com/office/drawing/2014/main" id="{40A061A1-B095-537E-39C7-3D687C52D94E}"/>
                </a:ext>
              </a:extLst>
            </cdr:cNvPr>
            <cdr:cNvSpPr/>
          </cdr:nvSpPr>
          <cdr:spPr>
            <a:xfrm xmlns:a="http://schemas.openxmlformats.org/drawingml/2006/main">
              <a:off x="7023887" y="1456800"/>
              <a:ext cx="753591" cy="42496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P</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M</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2.5</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 </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kg Lactic</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0.90412</cdr:x>
      <cdr:y>0.24897</cdr:y>
    </cdr:from>
    <cdr:to>
      <cdr:x>0.98971</cdr:x>
      <cdr:y>0.32135</cdr:y>
    </cdr:to>
    <mc:AlternateContent xmlns:mc="http://schemas.openxmlformats.org/markup-compatibility/2006" xmlns:a14="http://schemas.microsoft.com/office/drawing/2010/main">
      <mc:Choice Requires="a14">
        <cdr:sp macro="" textlink="">
          <cdr:nvSpPr>
            <cdr:cNvPr id="45" name="Rectangle 44">
              <a:extLst xmlns:a="http://schemas.openxmlformats.org/drawingml/2006/main">
                <a:ext uri="{FF2B5EF4-FFF2-40B4-BE49-F238E27FC236}">
                  <a16:creationId xmlns:a16="http://schemas.microsoft.com/office/drawing/2014/main" id="{1E801B24-40DD-32FD-2E59-59B722406D01}"/>
                </a:ext>
              </a:extLst>
            </cdr:cNvPr>
            <cdr:cNvSpPr/>
          </cdr:nvSpPr>
          <cdr:spPr>
            <a:xfrm xmlns:a="http://schemas.openxmlformats.org/drawingml/2006/main">
              <a:off x="7859156" y="1461684"/>
              <a:ext cx="744035" cy="42496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kg </m:t>
                        </m:r>
                        <m:sSub>
                          <m:sSubPr>
                            <m:ctrlPr>
                              <a:rPr lang="en-US" sz="1050" b="0" i="0" kern="1200">
                                <a:solidFill>
                                  <a:sysClr val="windowText" lastClr="000000"/>
                                </a:solidFill>
                                <a:latin typeface="Arial Nova Cond" panose="020B0506020202020204" pitchFamily="34" charset="0"/>
                              </a:rPr>
                            </m:ctrlPr>
                          </m:sSubPr>
                          <m:e>
                            <m:r>
                              <m:rPr>
                                <m:nor/>
                              </m:rPr>
                              <a:rPr lang="en-US" sz="1050" b="0" i="0" kern="1200">
                                <a:solidFill>
                                  <a:sysClr val="windowText" lastClr="000000"/>
                                </a:solidFill>
                                <a:latin typeface="Arial Nova Cond" panose="020B0506020202020204" pitchFamily="34" charset="0"/>
                              </a:rPr>
                              <m:t>O</m:t>
                            </m:r>
                          </m:e>
                          <m:sub>
                            <m:r>
                              <m:rPr>
                                <m:nor/>
                              </m:rPr>
                              <a:rPr lang="en-US" sz="1050" b="0" i="0" kern="1200">
                                <a:solidFill>
                                  <a:sysClr val="windowText" lastClr="000000"/>
                                </a:solidFill>
                                <a:latin typeface="Arial Nova Cond" panose="020B0506020202020204" pitchFamily="34" charset="0"/>
                              </a:rPr>
                              <m:t>3−eq</m:t>
                            </m:r>
                          </m:sub>
                        </m:sSub>
                      </m:num>
                      <m:den>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kg Lactic</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5" name="Rectangle 44">
              <a:extLst xmlns:a="http://schemas.openxmlformats.org/drawingml/2006/main">
                <a:ext uri="{FF2B5EF4-FFF2-40B4-BE49-F238E27FC236}">
                  <a16:creationId xmlns:a16="http://schemas.microsoft.com/office/drawing/2014/main" id="{1E801B24-40DD-32FD-2E59-59B722406D01}"/>
                </a:ext>
              </a:extLst>
            </cdr:cNvPr>
            <cdr:cNvSpPr/>
          </cdr:nvSpPr>
          <cdr:spPr>
            <a:xfrm xmlns:a="http://schemas.openxmlformats.org/drawingml/2006/main">
              <a:off x="7859156" y="1461684"/>
              <a:ext cx="744035" cy="42496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O</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3-eq</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kg Lactic</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0.05965</cdr:x>
      <cdr:y>0.1538</cdr:y>
    </cdr:from>
    <cdr:to>
      <cdr:x>0.14803</cdr:x>
      <cdr:y>0.19858</cdr:y>
    </cdr:to>
    <cdr:sp macro="" textlink="">
      <cdr:nvSpPr>
        <cdr:cNvPr id="46" name="Rectangle 45">
          <a:extLst xmlns:a="http://schemas.openxmlformats.org/drawingml/2006/main">
            <a:ext uri="{FF2B5EF4-FFF2-40B4-BE49-F238E27FC236}">
              <a16:creationId xmlns:a16="http://schemas.microsoft.com/office/drawing/2014/main" id="{56E65776-C183-6A93-EE21-4E50CB981602}"/>
            </a:ext>
          </a:extLst>
        </cdr:cNvPr>
        <cdr:cNvSpPr/>
      </cdr:nvSpPr>
      <cdr:spPr>
        <a:xfrm xmlns:a="http://schemas.openxmlformats.org/drawingml/2006/main">
          <a:off x="518516" y="902949"/>
          <a:ext cx="768255" cy="26293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0.02</a:t>
          </a:r>
        </a:p>
      </cdr:txBody>
    </cdr:sp>
  </cdr:relSizeAnchor>
  <cdr:relSizeAnchor xmlns:cdr="http://schemas.openxmlformats.org/drawingml/2006/chartDrawing">
    <cdr:from>
      <cdr:x>0.1539</cdr:x>
      <cdr:y>0.14913</cdr:y>
    </cdr:from>
    <cdr:to>
      <cdr:x>0.24229</cdr:x>
      <cdr:y>0.19822</cdr:y>
    </cdr:to>
    <cdr:sp macro="" textlink="">
      <cdr:nvSpPr>
        <cdr:cNvPr id="47" name="Rectangle 46">
          <a:extLst xmlns:a="http://schemas.openxmlformats.org/drawingml/2006/main">
            <a:ext uri="{FF2B5EF4-FFF2-40B4-BE49-F238E27FC236}">
              <a16:creationId xmlns:a16="http://schemas.microsoft.com/office/drawing/2014/main" id="{BA0DD814-EA4F-7E03-A0C7-9B94172B1451}"/>
            </a:ext>
          </a:extLst>
        </cdr:cNvPr>
        <cdr:cNvSpPr/>
      </cdr:nvSpPr>
      <cdr:spPr>
        <a:xfrm xmlns:a="http://schemas.openxmlformats.org/drawingml/2006/main">
          <a:off x="1337797" y="875531"/>
          <a:ext cx="768342" cy="28819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3.3E-7</a:t>
          </a:r>
        </a:p>
      </cdr:txBody>
    </cdr:sp>
  </cdr:relSizeAnchor>
  <cdr:relSizeAnchor xmlns:cdr="http://schemas.openxmlformats.org/drawingml/2006/chartDrawing">
    <cdr:from>
      <cdr:x>0.24578</cdr:x>
      <cdr:y>0.15079</cdr:y>
    </cdr:from>
    <cdr:to>
      <cdr:x>0.33581</cdr:x>
      <cdr:y>0.19738</cdr:y>
    </cdr:to>
    <mc:AlternateContent xmlns:mc="http://schemas.openxmlformats.org/markup-compatibility/2006" xmlns:a14="http://schemas.microsoft.com/office/drawing/2010/main">
      <mc:Choice Requires="a14">
        <cdr:sp macro="" textlink="">
          <cdr:nvSpPr>
            <cdr:cNvPr id="48" name="Rectangle 47">
              <a:extLst xmlns:a="http://schemas.openxmlformats.org/drawingml/2006/main">
                <a:ext uri="{FF2B5EF4-FFF2-40B4-BE49-F238E27FC236}">
                  <a16:creationId xmlns:a16="http://schemas.microsoft.com/office/drawing/2014/main" id="{AC1D82BA-5F3F-FA3B-C561-C416E432DD6F}"/>
                </a:ext>
              </a:extLst>
            </cdr:cNvPr>
            <cdr:cNvSpPr/>
          </cdr:nvSpPr>
          <cdr:spPr>
            <a:xfrm xmlns:a="http://schemas.openxmlformats.org/drawingml/2006/main">
              <a:off x="2136476" y="885301"/>
              <a:ext cx="782599" cy="27353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
                  </m:oMathParaPr>
                  <m:oMath>
                    <m:r>
                      <m:rPr>
                        <m:nor/>
                      </m:rPr>
                      <a:rPr lang="en-US" sz="1050" b="0" i="0" kern="1200">
                        <a:solidFill>
                          <a:schemeClr val="tx1"/>
                        </a:solidFill>
                        <a:latin typeface="Arial Nova Cond" panose="020B0506020202020204" pitchFamily="34" charset="0"/>
                      </a:rPr>
                      <m:t>58.86</m:t>
                    </m:r>
                  </m:oMath>
                </m:oMathPara>
              </a14:m>
              <a:endParaRPr lang="en-US" sz="900" b="1" kern="1200">
                <a:solidFill>
                  <a:schemeClr val="tx1"/>
                </a:solidFill>
                <a:latin typeface="Arial Nova Cond" panose="020B0506020202020204" pitchFamily="34" charset="0"/>
              </a:endParaRPr>
            </a:p>
          </cdr:txBody>
        </cdr:sp>
      </mc:Choice>
      <mc:Fallback xmlns="">
        <cdr:sp macro="" textlink="">
          <cdr:nvSpPr>
            <cdr:cNvPr id="48" name="Rectangle 47">
              <a:extLst xmlns:a="http://schemas.openxmlformats.org/drawingml/2006/main">
                <a:ext uri="{FF2B5EF4-FFF2-40B4-BE49-F238E27FC236}">
                  <a16:creationId xmlns:a16="http://schemas.microsoft.com/office/drawing/2014/main" id="{AC1D82BA-5F3F-FA3B-C561-C416E432DD6F}"/>
                </a:ext>
              </a:extLst>
            </cdr:cNvPr>
            <cdr:cNvSpPr/>
          </cdr:nvSpPr>
          <cdr:spPr>
            <a:xfrm xmlns:a="http://schemas.openxmlformats.org/drawingml/2006/main">
              <a:off x="2136476" y="885301"/>
              <a:ext cx="782599" cy="27353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chemeClr val="tx1"/>
                  </a:solidFill>
                  <a:latin typeface="Cambria Math" panose="02040503050406030204" pitchFamily="18" charset="0"/>
                </a:rPr>
                <a:t>"58.86</a:t>
              </a:r>
              <a:r>
                <a:rPr lang="en-US" sz="1050" b="1" i="0" kern="1200">
                  <a:solidFill>
                    <a:schemeClr val="tx1"/>
                  </a:solidFill>
                  <a:latin typeface="Arial Nova Cond" panose="020B0506020202020204" pitchFamily="34" charset="0"/>
                </a:rPr>
                <a:t>"</a:t>
              </a:r>
              <a:endParaRPr lang="en-US" sz="900" b="1" kern="1200">
                <a:solidFill>
                  <a:schemeClr val="tx1"/>
                </a:solidFill>
                <a:latin typeface="Arial Nova Cond" panose="020B0506020202020204" pitchFamily="34" charset="0"/>
              </a:endParaRPr>
            </a:p>
          </cdr:txBody>
        </cdr:sp>
      </mc:Fallback>
    </mc:AlternateContent>
  </cdr:relSizeAnchor>
  <cdr:relSizeAnchor xmlns:cdr="http://schemas.openxmlformats.org/drawingml/2006/chartDrawing">
    <cdr:from>
      <cdr:x>0.34021</cdr:x>
      <cdr:y>0.15079</cdr:y>
    </cdr:from>
    <cdr:to>
      <cdr:x>0.42859</cdr:x>
      <cdr:y>0.19655</cdr:y>
    </cdr:to>
    <cdr:sp macro="" textlink="">
      <cdr:nvSpPr>
        <cdr:cNvPr id="49" name="Rectangle 48">
          <a:extLst xmlns:a="http://schemas.openxmlformats.org/drawingml/2006/main">
            <a:ext uri="{FF2B5EF4-FFF2-40B4-BE49-F238E27FC236}">
              <a16:creationId xmlns:a16="http://schemas.microsoft.com/office/drawing/2014/main" id="{A8593A93-4E72-147A-7B78-4661359932E7}"/>
            </a:ext>
          </a:extLst>
        </cdr:cNvPr>
        <cdr:cNvSpPr/>
      </cdr:nvSpPr>
      <cdr:spPr>
        <a:xfrm xmlns:a="http://schemas.openxmlformats.org/drawingml/2006/main">
          <a:off x="2957323" y="885301"/>
          <a:ext cx="768255" cy="26865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9.7E-4</a:t>
          </a:r>
        </a:p>
      </cdr:txBody>
    </cdr:sp>
  </cdr:relSizeAnchor>
  <cdr:relSizeAnchor xmlns:cdr="http://schemas.openxmlformats.org/drawingml/2006/chartDrawing">
    <cdr:from>
      <cdr:x>0.43446</cdr:x>
      <cdr:y>0.14996</cdr:y>
    </cdr:from>
    <cdr:to>
      <cdr:x>0.52285</cdr:x>
      <cdr:y>0.19655</cdr:y>
    </cdr:to>
    <cdr:sp macro="" textlink="">
      <cdr:nvSpPr>
        <cdr:cNvPr id="50" name="Rectangle 49">
          <a:extLst xmlns:a="http://schemas.openxmlformats.org/drawingml/2006/main">
            <a:ext uri="{FF2B5EF4-FFF2-40B4-BE49-F238E27FC236}">
              <a16:creationId xmlns:a16="http://schemas.microsoft.com/office/drawing/2014/main" id="{F9145A33-E83F-2E98-13B9-4999CD251D94}"/>
            </a:ext>
          </a:extLst>
        </cdr:cNvPr>
        <cdr:cNvSpPr/>
      </cdr:nvSpPr>
      <cdr:spPr>
        <a:xfrm xmlns:a="http://schemas.openxmlformats.org/drawingml/2006/main">
          <a:off x="3776603" y="880415"/>
          <a:ext cx="768343" cy="27353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0.01</a:t>
          </a:r>
        </a:p>
      </cdr:txBody>
    </cdr:sp>
  </cdr:relSizeAnchor>
  <cdr:relSizeAnchor xmlns:cdr="http://schemas.openxmlformats.org/drawingml/2006/chartDrawing">
    <cdr:from>
      <cdr:x>0.52798</cdr:x>
      <cdr:y>0.15079</cdr:y>
    </cdr:from>
    <cdr:to>
      <cdr:x>0.61672</cdr:x>
      <cdr:y>0.19945</cdr:y>
    </cdr:to>
    <cdr:sp macro="" textlink="">
      <cdr:nvSpPr>
        <cdr:cNvPr id="51" name="Rectangle 50">
          <a:extLst xmlns:a="http://schemas.openxmlformats.org/drawingml/2006/main">
            <a:ext uri="{FF2B5EF4-FFF2-40B4-BE49-F238E27FC236}">
              <a16:creationId xmlns:a16="http://schemas.microsoft.com/office/drawing/2014/main" id="{4F90D23D-E474-E255-4383-CB4217276AF9}"/>
            </a:ext>
          </a:extLst>
        </cdr:cNvPr>
        <cdr:cNvSpPr/>
      </cdr:nvSpPr>
      <cdr:spPr>
        <a:xfrm xmlns:a="http://schemas.openxmlformats.org/drawingml/2006/main">
          <a:off x="4596703" y="874809"/>
          <a:ext cx="772574" cy="28230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4.31</a:t>
          </a:r>
        </a:p>
      </cdr:txBody>
    </cdr:sp>
  </cdr:relSizeAnchor>
  <cdr:relSizeAnchor xmlns:cdr="http://schemas.openxmlformats.org/drawingml/2006/chartDrawing">
    <cdr:from>
      <cdr:x>0.62016</cdr:x>
      <cdr:y>0.14913</cdr:y>
    </cdr:from>
    <cdr:to>
      <cdr:x>0.70855</cdr:x>
      <cdr:y>0.19738</cdr:y>
    </cdr:to>
    <cdr:sp macro="" textlink="">
      <cdr:nvSpPr>
        <cdr:cNvPr id="52" name="Rectangle 51">
          <a:extLst xmlns:a="http://schemas.openxmlformats.org/drawingml/2006/main">
            <a:ext uri="{FF2B5EF4-FFF2-40B4-BE49-F238E27FC236}">
              <a16:creationId xmlns:a16="http://schemas.microsoft.com/office/drawing/2014/main" id="{DDAEBF90-0F50-9696-B4A9-4A0C8BA3611E}"/>
            </a:ext>
          </a:extLst>
        </cdr:cNvPr>
        <cdr:cNvSpPr/>
      </cdr:nvSpPr>
      <cdr:spPr>
        <a:xfrm xmlns:a="http://schemas.openxmlformats.org/drawingml/2006/main">
          <a:off x="5390830" y="875532"/>
          <a:ext cx="768342" cy="28330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9.1E-7</a:t>
          </a:r>
        </a:p>
      </cdr:txBody>
    </cdr:sp>
  </cdr:relSizeAnchor>
  <cdr:relSizeAnchor xmlns:cdr="http://schemas.openxmlformats.org/drawingml/2006/chartDrawing">
    <cdr:from>
      <cdr:x>0.71649</cdr:x>
      <cdr:y>0.14996</cdr:y>
    </cdr:from>
    <cdr:to>
      <cdr:x>0.7996</cdr:x>
      <cdr:y>0.19655</cdr:y>
    </cdr:to>
    <cdr:sp macro="" textlink="">
      <cdr:nvSpPr>
        <cdr:cNvPr id="53" name="Rectangle 52">
          <a:extLst xmlns:a="http://schemas.openxmlformats.org/drawingml/2006/main">
            <a:ext uri="{FF2B5EF4-FFF2-40B4-BE49-F238E27FC236}">
              <a16:creationId xmlns:a16="http://schemas.microsoft.com/office/drawing/2014/main" id="{5CB22B86-324E-23AC-3B14-D20A7E8846BE}"/>
            </a:ext>
          </a:extLst>
        </cdr:cNvPr>
        <cdr:cNvSpPr/>
      </cdr:nvSpPr>
      <cdr:spPr>
        <a:xfrm xmlns:a="http://schemas.openxmlformats.org/drawingml/2006/main">
          <a:off x="6228188" y="880416"/>
          <a:ext cx="722430" cy="273537"/>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2.1E-7</a:t>
          </a:r>
        </a:p>
      </cdr:txBody>
    </cdr:sp>
  </cdr:relSizeAnchor>
  <cdr:relSizeAnchor xmlns:cdr="http://schemas.openxmlformats.org/drawingml/2006/chartDrawing">
    <cdr:from>
      <cdr:x>0.81001</cdr:x>
      <cdr:y>0.15246</cdr:y>
    </cdr:from>
    <cdr:to>
      <cdr:x>0.89288</cdr:x>
      <cdr:y>0.19572</cdr:y>
    </cdr:to>
    <cdr:sp macro="" textlink="">
      <cdr:nvSpPr>
        <cdr:cNvPr id="54" name="Rectangle 53">
          <a:extLst xmlns:a="http://schemas.openxmlformats.org/drawingml/2006/main">
            <a:ext uri="{FF2B5EF4-FFF2-40B4-BE49-F238E27FC236}">
              <a16:creationId xmlns:a16="http://schemas.microsoft.com/office/drawing/2014/main" id="{EAEC0698-FAF8-E0B3-BA1D-C357CB6F587F}"/>
            </a:ext>
          </a:extLst>
        </cdr:cNvPr>
        <cdr:cNvSpPr/>
      </cdr:nvSpPr>
      <cdr:spPr>
        <a:xfrm xmlns:a="http://schemas.openxmlformats.org/drawingml/2006/main">
          <a:off x="7041124" y="895069"/>
          <a:ext cx="720340" cy="254000"/>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2.8E-3</a:t>
          </a:r>
        </a:p>
      </cdr:txBody>
    </cdr:sp>
  </cdr:relSizeAnchor>
  <cdr:relSizeAnchor xmlns:cdr="http://schemas.openxmlformats.org/drawingml/2006/chartDrawing">
    <cdr:from>
      <cdr:x>0.90501</cdr:x>
      <cdr:y>0.14996</cdr:y>
    </cdr:from>
    <cdr:to>
      <cdr:x>0.99009</cdr:x>
      <cdr:y>0.19738</cdr:y>
    </cdr:to>
    <cdr:sp macro="" textlink="">
      <cdr:nvSpPr>
        <cdr:cNvPr id="55" name="Rectangle 54">
          <a:extLst xmlns:a="http://schemas.openxmlformats.org/drawingml/2006/main">
            <a:ext uri="{FF2B5EF4-FFF2-40B4-BE49-F238E27FC236}">
              <a16:creationId xmlns:a16="http://schemas.microsoft.com/office/drawing/2014/main" id="{ED3137F6-8530-771F-4ECF-D66360899FD4}"/>
            </a:ext>
          </a:extLst>
        </cdr:cNvPr>
        <cdr:cNvSpPr/>
      </cdr:nvSpPr>
      <cdr:spPr>
        <a:xfrm xmlns:a="http://schemas.openxmlformats.org/drawingml/2006/main">
          <a:off x="7866924" y="880416"/>
          <a:ext cx="739578" cy="27842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chemeClr val="tx1"/>
              </a:solidFill>
              <a:latin typeface="Arial Nova Cond" panose="020B0506020202020204" pitchFamily="34" charset="0"/>
            </a:rPr>
            <a:t>0.21</a:t>
          </a:r>
          <a:endParaRPr lang="en-US" sz="1050" b="1" kern="1200">
            <a:solidFill>
              <a:schemeClr val="tx1"/>
            </a:solidFill>
            <a:latin typeface="Arial Nova Cond" panose="020B0506020202020204" pitchFamily="34" charset="0"/>
          </a:endParaRPr>
        </a:p>
      </cdr:txBody>
    </cdr:sp>
  </cdr:relSizeAnchor>
  <cdr:relSizeAnchor xmlns:cdr="http://schemas.openxmlformats.org/drawingml/2006/chartDrawing">
    <cdr:from>
      <cdr:x>0.64553</cdr:x>
      <cdr:y>0.00576</cdr:y>
    </cdr:from>
    <cdr:to>
      <cdr:x>1</cdr:x>
      <cdr:y>0.07335</cdr:y>
    </cdr:to>
    <mc:AlternateContent xmlns:mc="http://schemas.openxmlformats.org/markup-compatibility/2006" xmlns:a14="http://schemas.microsoft.com/office/drawing/2010/main">
      <mc:Choice Requires="a14">
        <cdr:sp macro="" textlink="">
          <cdr:nvSpPr>
            <cdr:cNvPr id="3" name="TextBox 2">
              <a:extLst xmlns:a="http://schemas.openxmlformats.org/drawingml/2006/main">
                <a:ext uri="{FF2B5EF4-FFF2-40B4-BE49-F238E27FC236}">
                  <a16:creationId xmlns:a16="http://schemas.microsoft.com/office/drawing/2014/main" id="{2E16D9B2-103F-B7DA-A891-FB3D998588DD}"/>
                </a:ext>
              </a:extLst>
            </cdr:cNvPr>
            <cdr:cNvSpPr txBox="1"/>
          </cdr:nvSpPr>
          <cdr:spPr>
            <a:xfrm xmlns:a="http://schemas.openxmlformats.org/drawingml/2006/main">
              <a:off x="5618338" y="33543"/>
              <a:ext cx="3085046" cy="393602"/>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400" b="1" kern="1200">
                  <a:latin typeface="Arial Nova Cond" panose="020B0506020202020204" pitchFamily="34" charset="0"/>
                </a:rPr>
                <a:t>Unit Scale: </a:t>
              </a:r>
              <a:r>
                <a:rPr lang="en-US" sz="1400" kern="1200">
                  <a:latin typeface="Arial Nova Cond" panose="020B0506020202020204" pitchFamily="34" charset="0"/>
                </a:rPr>
                <a:t>~3.6</a:t>
              </a:r>
              <a:r>
                <a:rPr lang="en-US" sz="1400" kern="1200" baseline="0">
                  <a:latin typeface="Arial Nova Cond" panose="020B0506020202020204" pitchFamily="34" charset="0"/>
                </a:rPr>
                <a:t> M</a:t>
              </a:r>
              <a:r>
                <a:rPr lang="en-US" sz="1400" kern="1200">
                  <a:latin typeface="Arial Nova Cond" panose="020B0506020202020204" pitchFamily="34" charset="0"/>
                </a:rPr>
                <a:t> </a:t>
              </a:r>
              <a14:m>
                <m:oMath xmlns:m="http://schemas.openxmlformats.org/officeDocument/2006/math">
                  <m:f>
                    <m:fPr>
                      <m:ctrlPr>
                        <a:rPr lang="en-US" sz="1200" b="0" i="0" kern="1200">
                          <a:latin typeface="Arial Nova Cond" panose="020B0506020202020204" pitchFamily="34" charset="0"/>
                        </a:rPr>
                      </m:ctrlPr>
                    </m:fPr>
                    <m:num>
                      <m:r>
                        <m:rPr>
                          <m:nor/>
                        </m:rPr>
                        <a:rPr lang="en-US" sz="1200" b="0" i="0" kern="1200">
                          <a:latin typeface="Arial Nova Cond" panose="020B0506020202020204" pitchFamily="34" charset="0"/>
                        </a:rPr>
                        <m:t>m3</m:t>
                      </m:r>
                    </m:num>
                    <m:den>
                      <m:r>
                        <m:rPr>
                          <m:nor/>
                        </m:rPr>
                        <a:rPr lang="en-US" sz="1200" b="0" i="0" kern="1200">
                          <a:latin typeface="Arial Nova Cond" panose="020B0506020202020204" pitchFamily="34" charset="0"/>
                        </a:rPr>
                        <m:t>yr</m:t>
                      </m:r>
                    </m:den>
                  </m:f>
                </m:oMath>
              </a14:m>
              <a:r>
                <a:rPr lang="en-US" sz="1200" kern="1200">
                  <a:latin typeface="Arial Nova Cond" panose="020B0506020202020204" pitchFamily="34" charset="0"/>
                </a:rPr>
                <a:t> </a:t>
              </a:r>
              <a:r>
                <a:rPr lang="en-US" sz="1400" kern="1200" baseline="0">
                  <a:latin typeface="Arial Nova Cond" panose="020B0506020202020204" pitchFamily="34" charset="0"/>
                </a:rPr>
                <a:t> </a:t>
              </a:r>
              <a:r>
                <a:rPr lang="en-US" sz="1400" kern="1200">
                  <a:latin typeface="Arial Nova Cond" panose="020B0506020202020204" pitchFamily="34" charset="0"/>
                </a:rPr>
                <a:t>Cheese Whey </a:t>
              </a:r>
            </a:p>
          </cdr:txBody>
        </cdr:sp>
      </mc:Choice>
      <mc:Fallback xmlns="">
        <cdr:sp macro="" textlink="">
          <cdr:nvSpPr>
            <cdr:cNvPr id="3" name="TextBox 2">
              <a:extLst xmlns:a="http://schemas.openxmlformats.org/drawingml/2006/main">
                <a:ext uri="{FF2B5EF4-FFF2-40B4-BE49-F238E27FC236}">
                  <a16:creationId xmlns:a16="http://schemas.microsoft.com/office/drawing/2014/main" id="{2E16D9B2-103F-B7DA-A891-FB3D998588DD}"/>
                </a:ext>
              </a:extLst>
            </cdr:cNvPr>
            <cdr:cNvSpPr txBox="1"/>
          </cdr:nvSpPr>
          <cdr:spPr>
            <a:xfrm xmlns:a="http://schemas.openxmlformats.org/drawingml/2006/main">
              <a:off x="5618338" y="33543"/>
              <a:ext cx="3085046" cy="393602"/>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400" b="1" kern="1200">
                  <a:latin typeface="Arial Nova Cond" panose="020B0506020202020204" pitchFamily="34" charset="0"/>
                </a:rPr>
                <a:t>Unit Scale: </a:t>
              </a:r>
              <a:r>
                <a:rPr lang="en-US" sz="1400" kern="1200">
                  <a:latin typeface="Arial Nova Cond" panose="020B0506020202020204" pitchFamily="34" charset="0"/>
                </a:rPr>
                <a:t>~3.6</a:t>
              </a:r>
              <a:r>
                <a:rPr lang="en-US" sz="1400" kern="1200" baseline="0">
                  <a:latin typeface="Arial Nova Cond" panose="020B0506020202020204" pitchFamily="34" charset="0"/>
                </a:rPr>
                <a:t> M</a:t>
              </a:r>
              <a:r>
                <a:rPr lang="en-US" sz="1400" kern="1200">
                  <a:latin typeface="Arial Nova Cond" panose="020B0506020202020204" pitchFamily="34" charset="0"/>
                </a:rPr>
                <a:t> </a:t>
              </a:r>
              <a:r>
                <a:rPr lang="en-US" sz="1200" b="0" i="0" kern="1200">
                  <a:latin typeface="Arial Nova Cond" panose="020B0506020202020204" pitchFamily="34" charset="0"/>
                </a:rPr>
                <a:t>"m3</a:t>
              </a:r>
              <a:r>
                <a:rPr lang="en-US" sz="1200" b="0" i="0" kern="1200">
                  <a:latin typeface="Cambria Math" panose="02040503050406030204" pitchFamily="18" charset="0"/>
                </a:rPr>
                <a:t>" /"</a:t>
              </a:r>
              <a:r>
                <a:rPr lang="en-US" sz="1200" b="0" i="0" kern="1200">
                  <a:latin typeface="Arial Nova Cond" panose="020B0506020202020204" pitchFamily="34" charset="0"/>
                </a:rPr>
                <a:t>yr</a:t>
              </a:r>
              <a:r>
                <a:rPr lang="en-US" sz="1200" b="0" i="0" kern="1200">
                  <a:latin typeface="Cambria Math" panose="02040503050406030204" pitchFamily="18" charset="0"/>
                </a:rPr>
                <a:t>" </a:t>
              </a:r>
              <a:r>
                <a:rPr lang="en-US" sz="1200" kern="1200">
                  <a:latin typeface="Arial Nova Cond" panose="020B0506020202020204" pitchFamily="34" charset="0"/>
                </a:rPr>
                <a:t> </a:t>
              </a:r>
              <a:r>
                <a:rPr lang="en-US" sz="1400" kern="1200" baseline="0">
                  <a:latin typeface="Arial Nova Cond" panose="020B0506020202020204" pitchFamily="34" charset="0"/>
                </a:rPr>
                <a:t> </a:t>
              </a:r>
              <a:r>
                <a:rPr lang="en-US" sz="1400" kern="1200">
                  <a:latin typeface="Arial Nova Cond" panose="020B0506020202020204" pitchFamily="34" charset="0"/>
                </a:rPr>
                <a:t>Cheese Whey </a:t>
              </a:r>
            </a:p>
          </cdr:txBody>
        </cdr:sp>
      </mc:Fallback>
    </mc:AlternateContent>
  </cdr:relSizeAnchor>
  <cdr:relSizeAnchor xmlns:cdr="http://schemas.openxmlformats.org/drawingml/2006/chartDrawing">
    <cdr:from>
      <cdr:x>0.62675</cdr:x>
      <cdr:y>0.07499</cdr:y>
    </cdr:from>
    <cdr:to>
      <cdr:x>0.99621</cdr:x>
      <cdr:y>0.14258</cdr:y>
    </cdr:to>
    <mc:AlternateContent xmlns:mc="http://schemas.openxmlformats.org/markup-compatibility/2006" xmlns:a14="http://schemas.microsoft.com/office/drawing/2010/main">
      <mc:Choice Requires="a14">
        <cdr:sp macro="" textlink="">
          <cdr:nvSpPr>
            <cdr:cNvPr id="5" name="TextBox 1">
              <a:extLst xmlns:a="http://schemas.openxmlformats.org/drawingml/2006/main">
                <a:ext uri="{FF2B5EF4-FFF2-40B4-BE49-F238E27FC236}">
                  <a16:creationId xmlns:a16="http://schemas.microsoft.com/office/drawing/2014/main" id="{78EF29C4-F20A-FAB4-2C42-012749947D5E}"/>
                </a:ext>
              </a:extLst>
            </cdr:cNvPr>
            <cdr:cNvSpPr txBox="1"/>
          </cdr:nvSpPr>
          <cdr:spPr>
            <a:xfrm xmlns:a="http://schemas.openxmlformats.org/drawingml/2006/main">
              <a:off x="5448869" y="439317"/>
              <a:ext cx="3212041" cy="39589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b="1" kern="1200">
                  <a:latin typeface="Arial Nova Cond" panose="020B0506020202020204" pitchFamily="34" charset="0"/>
                </a:rPr>
                <a:t>Plant Scale: </a:t>
              </a:r>
              <a:r>
                <a:rPr lang="en-US" sz="1400" kern="1200">
                  <a:latin typeface="Arial Nova Cond" panose="020B0506020202020204" pitchFamily="34" charset="0"/>
                </a:rPr>
                <a:t>~483,000 </a:t>
              </a:r>
              <a14:m>
                <m:oMath xmlns:m="http://schemas.openxmlformats.org/officeDocument/2006/math">
                  <m:f>
                    <m:fPr>
                      <m:ctrlPr>
                        <a:rPr lang="en-US" sz="1200" b="0" i="0" kern="1200">
                          <a:latin typeface="Arial Nova Cond" panose="020B0506020202020204" pitchFamily="34" charset="0"/>
                        </a:rPr>
                      </m:ctrlPr>
                    </m:fPr>
                    <m:num>
                      <m:r>
                        <m:rPr>
                          <m:nor/>
                        </m:rPr>
                        <a:rPr lang="en-US" sz="1200" b="0" i="0" kern="1200">
                          <a:latin typeface="Arial Nova Cond" panose="020B0506020202020204" pitchFamily="34" charset="0"/>
                        </a:rPr>
                        <m:t>MT</m:t>
                      </m:r>
                    </m:num>
                    <m:den>
                      <m:r>
                        <m:rPr>
                          <m:nor/>
                        </m:rPr>
                        <a:rPr lang="en-US" sz="1200" b="0" i="0" kern="1200">
                          <a:latin typeface="Arial Nova Cond" panose="020B0506020202020204" pitchFamily="34" charset="0"/>
                        </a:rPr>
                        <m:t>yr</m:t>
                      </m:r>
                    </m:den>
                  </m:f>
                </m:oMath>
              </a14:m>
              <a:r>
                <a:rPr lang="en-US" sz="1200" kern="1200">
                  <a:latin typeface="Arial Nova Cond" panose="020B0506020202020204" pitchFamily="34" charset="0"/>
                </a:rPr>
                <a:t> </a:t>
              </a:r>
              <a:r>
                <a:rPr lang="en-US" sz="1400" kern="1200" baseline="0">
                  <a:latin typeface="Arial Nova Cond" panose="020B0506020202020204" pitchFamily="34" charset="0"/>
                </a:rPr>
                <a:t> Organic Waste</a:t>
              </a:r>
              <a:endParaRPr lang="en-US" sz="1400" kern="1200">
                <a:latin typeface="Arial Nova Cond" panose="020B0506020202020204" pitchFamily="34" charset="0"/>
              </a:endParaRPr>
            </a:p>
          </cdr:txBody>
        </cdr:sp>
      </mc:Choice>
      <mc:Fallback xmlns="">
        <cdr:sp macro="" textlink="">
          <cdr:nvSpPr>
            <cdr:cNvPr id="5" name="TextBox 1">
              <a:extLst xmlns:a="http://schemas.openxmlformats.org/drawingml/2006/main">
                <a:ext uri="{FF2B5EF4-FFF2-40B4-BE49-F238E27FC236}">
                  <a16:creationId xmlns:a16="http://schemas.microsoft.com/office/drawing/2014/main" id="{78EF29C4-F20A-FAB4-2C42-012749947D5E}"/>
                </a:ext>
              </a:extLst>
            </cdr:cNvPr>
            <cdr:cNvSpPr txBox="1"/>
          </cdr:nvSpPr>
          <cdr:spPr>
            <a:xfrm xmlns:a="http://schemas.openxmlformats.org/drawingml/2006/main">
              <a:off x="5448869" y="439317"/>
              <a:ext cx="3212041" cy="39589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b="1" kern="1200">
                  <a:latin typeface="Arial Nova Cond" panose="020B0506020202020204" pitchFamily="34" charset="0"/>
                </a:rPr>
                <a:t>Plant Scale: </a:t>
              </a:r>
              <a:r>
                <a:rPr lang="en-US" sz="1400" kern="1200">
                  <a:latin typeface="Arial Nova Cond" panose="020B0506020202020204" pitchFamily="34" charset="0"/>
                </a:rPr>
                <a:t>~483,000 </a:t>
              </a:r>
              <a:r>
                <a:rPr lang="en-US" sz="1200" b="0" i="0" kern="1200">
                  <a:latin typeface="Arial Nova Cond" panose="020B0506020202020204" pitchFamily="34" charset="0"/>
                </a:rPr>
                <a:t>"MT</a:t>
              </a:r>
              <a:r>
                <a:rPr lang="en-US" sz="1200" b="0" i="0" kern="1200">
                  <a:latin typeface="Cambria Math" panose="02040503050406030204" pitchFamily="18" charset="0"/>
                </a:rPr>
                <a:t>" /"</a:t>
              </a:r>
              <a:r>
                <a:rPr lang="en-US" sz="1200" b="0" i="0" kern="1200">
                  <a:latin typeface="Arial Nova Cond" panose="020B0506020202020204" pitchFamily="34" charset="0"/>
                </a:rPr>
                <a:t>yr</a:t>
              </a:r>
              <a:r>
                <a:rPr lang="en-US" sz="1200" b="0" i="0" kern="1200">
                  <a:latin typeface="Cambria Math" panose="02040503050406030204" pitchFamily="18" charset="0"/>
                </a:rPr>
                <a:t>" </a:t>
              </a:r>
              <a:r>
                <a:rPr lang="en-US" sz="1200" kern="1200">
                  <a:latin typeface="Arial Nova Cond" panose="020B0506020202020204" pitchFamily="34" charset="0"/>
                </a:rPr>
                <a:t> </a:t>
              </a:r>
              <a:r>
                <a:rPr lang="en-US" sz="1400" kern="1200" baseline="0">
                  <a:latin typeface="Arial Nova Cond" panose="020B0506020202020204" pitchFamily="34" charset="0"/>
                </a:rPr>
                <a:t> Organic Waste</a:t>
              </a:r>
              <a:endParaRPr lang="en-US" sz="1400" kern="1200">
                <a:latin typeface="Arial Nova Cond" panose="020B0506020202020204" pitchFamily="34" charset="0"/>
              </a:endParaRPr>
            </a:p>
          </cdr:txBody>
        </cdr:sp>
      </mc:Fallback>
    </mc:AlternateContent>
  </cdr:relSizeAnchor>
  <cdr:relSizeAnchor xmlns:cdr="http://schemas.openxmlformats.org/drawingml/2006/chartDrawing">
    <cdr:from>
      <cdr:x>0.00359</cdr:x>
      <cdr:y>0.15106</cdr:y>
    </cdr:from>
    <cdr:to>
      <cdr:x>0.05764</cdr:x>
      <cdr:y>0.19561</cdr:y>
    </cdr:to>
    <cdr:sp macro="" textlink="">
      <cdr:nvSpPr>
        <cdr:cNvPr id="7" name="Rectangle 6">
          <a:extLst xmlns:a="http://schemas.openxmlformats.org/drawingml/2006/main">
            <a:ext uri="{FF2B5EF4-FFF2-40B4-BE49-F238E27FC236}">
              <a16:creationId xmlns:a16="http://schemas.microsoft.com/office/drawing/2014/main" id="{01C549B7-6F0D-55EB-1DF9-E46C824B8B10}"/>
            </a:ext>
          </a:extLst>
        </cdr:cNvPr>
        <cdr:cNvSpPr/>
      </cdr:nvSpPr>
      <cdr:spPr>
        <a:xfrm xmlns:a="http://schemas.openxmlformats.org/drawingml/2006/main">
          <a:off x="31204" y="884646"/>
          <a:ext cx="469789" cy="260893"/>
        </a:xfrm>
        <a:prstGeom xmlns:a="http://schemas.openxmlformats.org/drawingml/2006/main" prst="rect">
          <a:avLst/>
        </a:prstGeom>
        <a:solidFill xmlns:a="http://schemas.openxmlformats.org/drawingml/2006/main">
          <a:schemeClr val="bg1"/>
        </a:solidFill>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horz"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900" b="1" kern="1200">
              <a:solidFill>
                <a:sysClr val="windowText" lastClr="000000"/>
              </a:solidFill>
              <a:latin typeface="Arial Nova Cond" panose="020B0506020202020204" pitchFamily="34" charset="0"/>
            </a:rPr>
            <a:t>CONV</a:t>
          </a:r>
        </a:p>
      </cdr:txBody>
    </cdr:sp>
  </cdr:relSizeAnchor>
  <cdr:relSizeAnchor xmlns:cdr="http://schemas.openxmlformats.org/drawingml/2006/chartDrawing">
    <cdr:from>
      <cdr:x>0.00956</cdr:x>
      <cdr:y>0.01674</cdr:y>
    </cdr:from>
    <cdr:to>
      <cdr:x>0.66692</cdr:x>
      <cdr:y>0.12243</cdr:y>
    </cdr:to>
    <cdr:sp macro="" textlink="">
      <cdr:nvSpPr>
        <cdr:cNvPr id="8" name="TextBox 7">
          <a:extLst xmlns:a="http://schemas.openxmlformats.org/drawingml/2006/main">
            <a:ext uri="{FF2B5EF4-FFF2-40B4-BE49-F238E27FC236}">
              <a16:creationId xmlns:a16="http://schemas.microsoft.com/office/drawing/2014/main" id="{AD2C0E70-E8C1-3E10-775D-D417054915DF}"/>
            </a:ext>
          </a:extLst>
        </cdr:cNvPr>
        <cdr:cNvSpPr txBox="1"/>
      </cdr:nvSpPr>
      <cdr:spPr>
        <a:xfrm xmlns:a="http://schemas.openxmlformats.org/drawingml/2006/main">
          <a:off x="83119" y="98063"/>
          <a:ext cx="5715000" cy="619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0.01078</cdr:x>
      <cdr:y>0.01313</cdr:y>
    </cdr:from>
    <cdr:to>
      <cdr:x>0.69492</cdr:x>
      <cdr:y>0.13959</cdr:y>
    </cdr:to>
    <cdr:sp macro="" textlink="">
      <cdr:nvSpPr>
        <cdr:cNvPr id="9" name="TextBox 8">
          <a:extLst xmlns:a="http://schemas.openxmlformats.org/drawingml/2006/main">
            <a:ext uri="{FF2B5EF4-FFF2-40B4-BE49-F238E27FC236}">
              <a16:creationId xmlns:a16="http://schemas.microsoft.com/office/drawing/2014/main" id="{4894452E-5DAD-8998-6E47-2488F9C428CC}"/>
            </a:ext>
          </a:extLst>
        </cdr:cNvPr>
        <cdr:cNvSpPr txBox="1"/>
      </cdr:nvSpPr>
      <cdr:spPr>
        <a:xfrm xmlns:a="http://schemas.openxmlformats.org/drawingml/2006/main">
          <a:off x="93702" y="76895"/>
          <a:ext cx="5947833" cy="74083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2800" b="1" kern="1200">
              <a:latin typeface="Arial Nova Cond" panose="020B0506020202020204" pitchFamily="34" charset="0"/>
            </a:rPr>
            <a:t>LIFE CYCLE</a:t>
          </a:r>
          <a:r>
            <a:rPr lang="en-US" sz="2800" b="1" kern="1200" baseline="0">
              <a:latin typeface="Arial Nova Cond" panose="020B0506020202020204" pitchFamily="34" charset="0"/>
            </a:rPr>
            <a:t> ASSESSMENT</a:t>
          </a:r>
        </a:p>
        <a:p xmlns:a="http://schemas.openxmlformats.org/drawingml/2006/main">
          <a:r>
            <a:rPr lang="en-US" sz="1100" b="1" kern="1200">
              <a:latin typeface="Arial Nova Cond" panose="020B0506020202020204" pitchFamily="34" charset="0"/>
            </a:rPr>
            <a:t>of </a:t>
          </a:r>
          <a:r>
            <a:rPr lang="en-US" sz="1100" b="1" kern="1200">
              <a:solidFill>
                <a:srgbClr val="D67F00"/>
              </a:solidFill>
              <a:latin typeface="Arial Nova Cond" panose="020B0506020202020204" pitchFamily="34" charset="0"/>
            </a:rPr>
            <a:t>Proposed</a:t>
          </a:r>
          <a:r>
            <a:rPr lang="en-US" sz="1100" b="1" kern="1200">
              <a:latin typeface="Arial Nova Cond" panose="020B0506020202020204" pitchFamily="34" charset="0"/>
            </a:rPr>
            <a:t> Cheese</a:t>
          </a:r>
          <a:r>
            <a:rPr lang="en-US" sz="1100" b="1" kern="1200" baseline="0">
              <a:latin typeface="Arial Nova Cond" panose="020B0506020202020204" pitchFamily="34" charset="0"/>
            </a:rPr>
            <a:t> Whey Fermentation </a:t>
          </a:r>
          <a:r>
            <a:rPr lang="en-US" sz="1100" b="0" kern="1200">
              <a:latin typeface="Arial Nova Cond" panose="020B0506020202020204" pitchFamily="34" charset="0"/>
            </a:rPr>
            <a:t>compared to Conventional Lactic</a:t>
          </a:r>
          <a:r>
            <a:rPr lang="en-US" sz="1100" b="0" kern="1200" baseline="0">
              <a:latin typeface="Arial Nova Cond" panose="020B0506020202020204" pitchFamily="34" charset="0"/>
            </a:rPr>
            <a:t> Acid Production</a:t>
          </a:r>
          <a:endParaRPr lang="en-US" sz="1100" b="0" kern="1200">
            <a:latin typeface="Arial Nova Cond" panose="020B0506020202020204" pitchFamily="34" charset="0"/>
          </a:endParaRPr>
        </a:p>
      </cdr:txBody>
    </cdr:sp>
  </cdr:relSizeAnchor>
  <cdr:relSizeAnchor xmlns:cdr="http://schemas.openxmlformats.org/drawingml/2006/chartDrawing">
    <cdr:from>
      <cdr:x>0.06024</cdr:x>
      <cdr:y>0.1984</cdr:y>
    </cdr:from>
    <cdr:to>
      <cdr:x>0.14862</cdr:x>
      <cdr:y>0.24319</cdr:y>
    </cdr:to>
    <cdr:sp macro="" textlink="">
      <cdr:nvSpPr>
        <cdr:cNvPr id="10" name="Rectangle 9">
          <a:extLst xmlns:a="http://schemas.openxmlformats.org/drawingml/2006/main">
            <a:ext uri="{FF2B5EF4-FFF2-40B4-BE49-F238E27FC236}">
              <a16:creationId xmlns:a16="http://schemas.microsoft.com/office/drawing/2014/main" id="{F1142C89-5FA5-CAA1-8F74-56E178EF05F2}"/>
            </a:ext>
          </a:extLst>
        </cdr:cNvPr>
        <cdr:cNvSpPr/>
      </cdr:nvSpPr>
      <cdr:spPr>
        <a:xfrm xmlns:a="http://schemas.openxmlformats.org/drawingml/2006/main">
          <a:off x="524164" y="1159164"/>
          <a:ext cx="769001" cy="26166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D67F00"/>
              </a:solidFill>
              <a:latin typeface="Arial Nova Cond" panose="020B0506020202020204" pitchFamily="34" charset="0"/>
            </a:rPr>
            <a:t>0.01</a:t>
          </a:r>
        </a:p>
      </cdr:txBody>
    </cdr:sp>
  </cdr:relSizeAnchor>
  <cdr:relSizeAnchor xmlns:cdr="http://schemas.openxmlformats.org/drawingml/2006/chartDrawing">
    <cdr:from>
      <cdr:x>0.15275</cdr:x>
      <cdr:y>0.19751</cdr:y>
    </cdr:from>
    <cdr:to>
      <cdr:x>0.239</cdr:x>
      <cdr:y>0.24692</cdr:y>
    </cdr:to>
    <cdr:sp macro="" textlink="">
      <cdr:nvSpPr>
        <cdr:cNvPr id="11" name="Rectangle 10">
          <a:extLst xmlns:a="http://schemas.openxmlformats.org/drawingml/2006/main">
            <a:ext uri="{FF2B5EF4-FFF2-40B4-BE49-F238E27FC236}">
              <a16:creationId xmlns:a16="http://schemas.microsoft.com/office/drawing/2014/main" id="{3D394DC3-53AB-8548-C9C9-DB689270CE69}"/>
            </a:ext>
          </a:extLst>
        </cdr:cNvPr>
        <cdr:cNvSpPr/>
      </cdr:nvSpPr>
      <cdr:spPr>
        <a:xfrm xmlns:a="http://schemas.openxmlformats.org/drawingml/2006/main">
          <a:off x="1329065" y="1153991"/>
          <a:ext cx="750455"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D67F00"/>
              </a:solidFill>
              <a:latin typeface="Arial Nova Cond" panose="020B0506020202020204" pitchFamily="34" charset="0"/>
            </a:rPr>
            <a:t>1.6E-7</a:t>
          </a:r>
        </a:p>
      </cdr:txBody>
    </cdr:sp>
  </cdr:relSizeAnchor>
  <cdr:relSizeAnchor xmlns:cdr="http://schemas.openxmlformats.org/drawingml/2006/chartDrawing">
    <cdr:from>
      <cdr:x>0.24696</cdr:x>
      <cdr:y>0.19741</cdr:y>
    </cdr:from>
    <cdr:to>
      <cdr:x>0.33321</cdr:x>
      <cdr:y>0.24681</cdr:y>
    </cdr:to>
    <cdr:sp macro="" textlink="">
      <cdr:nvSpPr>
        <cdr:cNvPr id="23" name="Rectangle 22">
          <a:extLst xmlns:a="http://schemas.openxmlformats.org/drawingml/2006/main">
            <a:ext uri="{FF2B5EF4-FFF2-40B4-BE49-F238E27FC236}">
              <a16:creationId xmlns:a16="http://schemas.microsoft.com/office/drawing/2014/main" id="{F88C6C2F-D165-2FBC-C4FD-79D188286206}"/>
            </a:ext>
          </a:extLst>
        </cdr:cNvPr>
        <cdr:cNvSpPr/>
      </cdr:nvSpPr>
      <cdr:spPr>
        <a:xfrm xmlns:a="http://schemas.openxmlformats.org/drawingml/2006/main">
          <a:off x="2148794" y="1153391"/>
          <a:ext cx="750454"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D67F00"/>
              </a:solidFill>
              <a:latin typeface="Arial Nova Cond" panose="020B0506020202020204" pitchFamily="34" charset="0"/>
            </a:rPr>
            <a:t>37.39</a:t>
          </a:r>
        </a:p>
      </cdr:txBody>
    </cdr:sp>
  </cdr:relSizeAnchor>
  <cdr:relSizeAnchor xmlns:cdr="http://schemas.openxmlformats.org/drawingml/2006/chartDrawing">
    <cdr:from>
      <cdr:x>0.34088</cdr:x>
      <cdr:y>0.19544</cdr:y>
    </cdr:from>
    <cdr:to>
      <cdr:x>0.42713</cdr:x>
      <cdr:y>0.24484</cdr:y>
    </cdr:to>
    <cdr:sp macro="" textlink="">
      <cdr:nvSpPr>
        <cdr:cNvPr id="33" name="Rectangle 32">
          <a:extLst xmlns:a="http://schemas.openxmlformats.org/drawingml/2006/main">
            <a:ext uri="{FF2B5EF4-FFF2-40B4-BE49-F238E27FC236}">
              <a16:creationId xmlns:a16="http://schemas.microsoft.com/office/drawing/2014/main" id="{CF8E6F71-0011-BC38-BB7C-AA91624271EE}"/>
            </a:ext>
          </a:extLst>
        </cdr:cNvPr>
        <cdr:cNvSpPr/>
      </cdr:nvSpPr>
      <cdr:spPr>
        <a:xfrm xmlns:a="http://schemas.openxmlformats.org/drawingml/2006/main">
          <a:off x="2966027" y="1141845"/>
          <a:ext cx="750454"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D67F00"/>
              </a:solidFill>
              <a:latin typeface="Arial Nova Cond" panose="020B0506020202020204" pitchFamily="34" charset="0"/>
            </a:rPr>
            <a:t>8.1E-4</a:t>
          </a:r>
        </a:p>
      </cdr:txBody>
    </cdr:sp>
  </cdr:relSizeAnchor>
  <cdr:relSizeAnchor xmlns:cdr="http://schemas.openxmlformats.org/drawingml/2006/chartDrawing">
    <cdr:from>
      <cdr:x>0.43604</cdr:x>
      <cdr:y>0.19544</cdr:y>
    </cdr:from>
    <cdr:to>
      <cdr:x>0.5203</cdr:x>
      <cdr:y>0.24484</cdr:y>
    </cdr:to>
    <cdr:sp macro="" textlink="">
      <cdr:nvSpPr>
        <cdr:cNvPr id="34" name="Rectangle 33">
          <a:extLst xmlns:a="http://schemas.openxmlformats.org/drawingml/2006/main">
            <a:ext uri="{FF2B5EF4-FFF2-40B4-BE49-F238E27FC236}">
              <a16:creationId xmlns:a16="http://schemas.microsoft.com/office/drawing/2014/main" id="{1E0A755A-A199-1A2B-4E3A-60B334DB84B2}"/>
            </a:ext>
          </a:extLst>
        </cdr:cNvPr>
        <cdr:cNvSpPr/>
      </cdr:nvSpPr>
      <cdr:spPr>
        <a:xfrm xmlns:a="http://schemas.openxmlformats.org/drawingml/2006/main">
          <a:off x="3794021" y="1141845"/>
          <a:ext cx="733136"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D67F00"/>
              </a:solidFill>
              <a:latin typeface="Arial Nova Cond" panose="020B0506020202020204" pitchFamily="34" charset="0"/>
            </a:rPr>
            <a:t>0.01</a:t>
          </a:r>
        </a:p>
      </cdr:txBody>
    </cdr:sp>
  </cdr:relSizeAnchor>
  <cdr:relSizeAnchor xmlns:cdr="http://schemas.openxmlformats.org/drawingml/2006/chartDrawing">
    <cdr:from>
      <cdr:x>0.52797</cdr:x>
      <cdr:y>0.1985</cdr:y>
    </cdr:from>
    <cdr:to>
      <cdr:x>0.61223</cdr:x>
      <cdr:y>0.24791</cdr:y>
    </cdr:to>
    <cdr:sp macro="" textlink="">
      <cdr:nvSpPr>
        <cdr:cNvPr id="56" name="Rectangle 55">
          <a:extLst xmlns:a="http://schemas.openxmlformats.org/drawingml/2006/main">
            <a:ext uri="{FF2B5EF4-FFF2-40B4-BE49-F238E27FC236}">
              <a16:creationId xmlns:a16="http://schemas.microsoft.com/office/drawing/2014/main" id="{12894642-16C3-0997-C3DD-38F93A4EDFF3}"/>
            </a:ext>
          </a:extLst>
        </cdr:cNvPr>
        <cdr:cNvSpPr/>
      </cdr:nvSpPr>
      <cdr:spPr>
        <a:xfrm xmlns:a="http://schemas.openxmlformats.org/drawingml/2006/main">
          <a:off x="4593936" y="1159763"/>
          <a:ext cx="733136" cy="288637"/>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D67F00"/>
              </a:solidFill>
              <a:latin typeface="Arial Nova Cond" panose="020B0506020202020204" pitchFamily="34" charset="0"/>
            </a:rPr>
            <a:t>2.48</a:t>
          </a:r>
        </a:p>
      </cdr:txBody>
    </cdr:sp>
  </cdr:relSizeAnchor>
  <cdr:relSizeAnchor xmlns:cdr="http://schemas.openxmlformats.org/drawingml/2006/chartDrawing">
    <cdr:from>
      <cdr:x>0.61915</cdr:x>
      <cdr:y>0.19751</cdr:y>
    </cdr:from>
    <cdr:to>
      <cdr:x>0.70777</cdr:x>
      <cdr:y>0.24484</cdr:y>
    </cdr:to>
    <cdr:sp macro="" textlink="">
      <cdr:nvSpPr>
        <cdr:cNvPr id="57" name="Rectangle 56">
          <a:extLst xmlns:a="http://schemas.openxmlformats.org/drawingml/2006/main">
            <a:ext uri="{FF2B5EF4-FFF2-40B4-BE49-F238E27FC236}">
              <a16:creationId xmlns:a16="http://schemas.microsoft.com/office/drawing/2014/main" id="{5F906069-F3F1-1742-358F-C716FFCD387E}"/>
            </a:ext>
          </a:extLst>
        </cdr:cNvPr>
        <cdr:cNvSpPr/>
      </cdr:nvSpPr>
      <cdr:spPr>
        <a:xfrm xmlns:a="http://schemas.openxmlformats.org/drawingml/2006/main">
          <a:off x="5387293" y="1153991"/>
          <a:ext cx="771052" cy="27649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D67F00"/>
              </a:solidFill>
              <a:latin typeface="Arial Nova Cond" panose="020B0506020202020204" pitchFamily="34" charset="0"/>
            </a:rPr>
            <a:t>7.9E-7</a:t>
          </a:r>
        </a:p>
      </cdr:txBody>
    </cdr:sp>
  </cdr:relSizeAnchor>
  <cdr:relSizeAnchor xmlns:cdr="http://schemas.openxmlformats.org/drawingml/2006/chartDrawing">
    <cdr:from>
      <cdr:x>0.71374</cdr:x>
      <cdr:y>0.1984</cdr:y>
    </cdr:from>
    <cdr:to>
      <cdr:x>0.80236</cdr:x>
      <cdr:y>0.24572</cdr:y>
    </cdr:to>
    <cdr:sp macro="" textlink="">
      <cdr:nvSpPr>
        <cdr:cNvPr id="58" name="Rectangle 57">
          <a:extLst xmlns:a="http://schemas.openxmlformats.org/drawingml/2006/main">
            <a:ext uri="{FF2B5EF4-FFF2-40B4-BE49-F238E27FC236}">
              <a16:creationId xmlns:a16="http://schemas.microsoft.com/office/drawing/2014/main" id="{119526E8-376D-46BE-92B7-15823BBBDC17}"/>
            </a:ext>
          </a:extLst>
        </cdr:cNvPr>
        <cdr:cNvSpPr/>
      </cdr:nvSpPr>
      <cdr:spPr>
        <a:xfrm xmlns:a="http://schemas.openxmlformats.org/drawingml/2006/main">
          <a:off x="6210301" y="1159164"/>
          <a:ext cx="771052" cy="27649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D67F00"/>
              </a:solidFill>
              <a:latin typeface="Arial Nova Cond" panose="020B0506020202020204" pitchFamily="34" charset="0"/>
            </a:rPr>
            <a:t>1.6E-7</a:t>
          </a:r>
        </a:p>
      </cdr:txBody>
    </cdr:sp>
  </cdr:relSizeAnchor>
  <cdr:relSizeAnchor xmlns:cdr="http://schemas.openxmlformats.org/drawingml/2006/chartDrawing">
    <cdr:from>
      <cdr:x>0.80824</cdr:x>
      <cdr:y>0.19642</cdr:y>
    </cdr:from>
    <cdr:to>
      <cdr:x>0.89325</cdr:x>
      <cdr:y>0.24593</cdr:y>
    </cdr:to>
    <cdr:sp macro="" textlink="">
      <cdr:nvSpPr>
        <cdr:cNvPr id="59" name="Rectangle 58">
          <a:extLst xmlns:a="http://schemas.openxmlformats.org/drawingml/2006/main">
            <a:ext uri="{FF2B5EF4-FFF2-40B4-BE49-F238E27FC236}">
              <a16:creationId xmlns:a16="http://schemas.microsoft.com/office/drawing/2014/main" id="{961C3CE3-5EE6-DC90-E110-0301918CC8ED}"/>
            </a:ext>
          </a:extLst>
        </cdr:cNvPr>
        <cdr:cNvSpPr/>
      </cdr:nvSpPr>
      <cdr:spPr>
        <a:xfrm xmlns:a="http://schemas.openxmlformats.org/drawingml/2006/main">
          <a:off x="7032520" y="1147618"/>
          <a:ext cx="739695" cy="2892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D67F00"/>
              </a:solidFill>
              <a:latin typeface="Arial Nova Cond" panose="020B0506020202020204" pitchFamily="34" charset="0"/>
            </a:rPr>
            <a:t>2.7E-3</a:t>
          </a:r>
        </a:p>
      </cdr:txBody>
    </cdr:sp>
  </cdr:relSizeAnchor>
  <cdr:relSizeAnchor xmlns:cdr="http://schemas.openxmlformats.org/drawingml/2006/chartDrawing">
    <cdr:from>
      <cdr:x>0.90415</cdr:x>
      <cdr:y>0.19741</cdr:y>
    </cdr:from>
    <cdr:to>
      <cdr:x>0.98916</cdr:x>
      <cdr:y>0.24692</cdr:y>
    </cdr:to>
    <cdr:sp macro="" textlink="">
      <cdr:nvSpPr>
        <cdr:cNvPr id="60" name="Rectangle 59">
          <a:extLst xmlns:a="http://schemas.openxmlformats.org/drawingml/2006/main">
            <a:ext uri="{FF2B5EF4-FFF2-40B4-BE49-F238E27FC236}">
              <a16:creationId xmlns:a16="http://schemas.microsoft.com/office/drawing/2014/main" id="{EA788B34-C4C2-969D-4549-3F07A1A9CA02}"/>
            </a:ext>
          </a:extLst>
        </cdr:cNvPr>
        <cdr:cNvSpPr/>
      </cdr:nvSpPr>
      <cdr:spPr>
        <a:xfrm xmlns:a="http://schemas.openxmlformats.org/drawingml/2006/main">
          <a:off x="7867073" y="1153391"/>
          <a:ext cx="739695" cy="2892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D67F00"/>
              </a:solidFill>
              <a:latin typeface="Arial Nova Cond" panose="020B0506020202020204" pitchFamily="34" charset="0"/>
            </a:rPr>
            <a:t>0.10</a:t>
          </a:r>
        </a:p>
      </cdr:txBody>
    </cdr:sp>
  </cdr:relSizeAnchor>
</c:userShapes>
</file>

<file path=xl/drawings/drawing64.xml><?xml version="1.0" encoding="utf-8"?>
<c:userShapes xmlns:c="http://schemas.openxmlformats.org/drawingml/2006/chart">
  <cdr:relSizeAnchor xmlns:cdr="http://schemas.openxmlformats.org/drawingml/2006/chartDrawing">
    <cdr:from>
      <cdr:x>0.06038</cdr:x>
      <cdr:y>0.1973</cdr:y>
    </cdr:from>
    <cdr:to>
      <cdr:x>0.99043</cdr:x>
      <cdr:y>0.24693</cdr:y>
    </cdr:to>
    <cdr:sp macro="" textlink="">
      <cdr:nvSpPr>
        <cdr:cNvPr id="2" name="Rectangle 1">
          <a:extLst xmlns:a="http://schemas.openxmlformats.org/drawingml/2006/main">
            <a:ext uri="{FF2B5EF4-FFF2-40B4-BE49-F238E27FC236}">
              <a16:creationId xmlns:a16="http://schemas.microsoft.com/office/drawing/2014/main" id="{2C2C4324-6151-B033-6D63-6E4C1C0F4FC7}"/>
            </a:ext>
          </a:extLst>
        </cdr:cNvPr>
        <cdr:cNvSpPr/>
      </cdr:nvSpPr>
      <cdr:spPr>
        <a:xfrm xmlns:a="http://schemas.openxmlformats.org/drawingml/2006/main">
          <a:off x="525371" y="1152760"/>
          <a:ext cx="8092435" cy="289943"/>
        </a:xfrm>
        <a:prstGeom xmlns:a="http://schemas.openxmlformats.org/drawingml/2006/main" prst="rect">
          <a:avLst/>
        </a:prstGeom>
        <a:noFill xmlns:a="http://schemas.openxmlformats.org/drawingml/2006/main"/>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0.07945</cdr:x>
      <cdr:y>0.642</cdr:y>
    </cdr:from>
    <cdr:to>
      <cdr:x>0.12454</cdr:x>
      <cdr:y>0.83401</cdr:y>
    </cdr:to>
    <cdr:sp macro="" textlink="">
      <cdr:nvSpPr>
        <cdr:cNvPr id="4" name="Rectangle 3">
          <a:extLst xmlns:a="http://schemas.openxmlformats.org/drawingml/2006/main">
            <a:ext uri="{FF2B5EF4-FFF2-40B4-BE49-F238E27FC236}">
              <a16:creationId xmlns:a16="http://schemas.microsoft.com/office/drawing/2014/main" id="{A4AA6EBC-AA64-2CE5-EF85-A134F712A8BC}"/>
            </a:ext>
          </a:extLst>
        </cdr:cNvPr>
        <cdr:cNvSpPr/>
      </cdr:nvSpPr>
      <cdr:spPr>
        <a:xfrm xmlns:a="http://schemas.openxmlformats.org/drawingml/2006/main" rot="16200000">
          <a:off x="324231" y="4128253"/>
          <a:ext cx="1125066" cy="39200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Acidification</a:t>
          </a:r>
        </a:p>
      </cdr:txBody>
    </cdr:sp>
  </cdr:relSizeAnchor>
  <cdr:relSizeAnchor xmlns:cdr="http://schemas.openxmlformats.org/drawingml/2006/chartDrawing">
    <cdr:from>
      <cdr:x>0.06038</cdr:x>
      <cdr:y>0.14935</cdr:y>
    </cdr:from>
    <cdr:to>
      <cdr:x>0.14733</cdr:x>
      <cdr:y>0.82015</cdr:y>
    </cdr:to>
    <cdr:sp macro="" textlink="">
      <cdr:nvSpPr>
        <cdr:cNvPr id="12" name="Rectangle 11">
          <a:extLst xmlns:a="http://schemas.openxmlformats.org/drawingml/2006/main">
            <a:ext uri="{FF2B5EF4-FFF2-40B4-BE49-F238E27FC236}">
              <a16:creationId xmlns:a16="http://schemas.microsoft.com/office/drawing/2014/main" id="{8F93B1DC-81D6-704E-7B1A-2DF681A21527}"/>
            </a:ext>
          </a:extLst>
        </cdr:cNvPr>
        <cdr:cNvSpPr/>
      </cdr:nvSpPr>
      <cdr:spPr>
        <a:xfrm xmlns:a="http://schemas.openxmlformats.org/drawingml/2006/main">
          <a:off x="524524" y="878740"/>
          <a:ext cx="755340" cy="3946676"/>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0.15317</cdr:x>
      <cdr:y>0.14935</cdr:y>
    </cdr:from>
    <cdr:to>
      <cdr:x>0.24012</cdr:x>
      <cdr:y>0.82124</cdr:y>
    </cdr:to>
    <cdr:sp macro="" textlink="">
      <cdr:nvSpPr>
        <cdr:cNvPr id="13" name="Rectangle 12">
          <a:extLst xmlns:a="http://schemas.openxmlformats.org/drawingml/2006/main">
            <a:ext uri="{FF2B5EF4-FFF2-40B4-BE49-F238E27FC236}">
              <a16:creationId xmlns:a16="http://schemas.microsoft.com/office/drawing/2014/main" id="{53397101-523D-1381-5961-A2C3AFBB67C7}"/>
            </a:ext>
          </a:extLst>
        </cdr:cNvPr>
        <cdr:cNvSpPr/>
      </cdr:nvSpPr>
      <cdr:spPr>
        <a:xfrm xmlns:a="http://schemas.openxmlformats.org/drawingml/2006/main">
          <a:off x="1331451" y="876854"/>
          <a:ext cx="755826" cy="3944604"/>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0.34021</cdr:x>
      <cdr:y>0.15012</cdr:y>
    </cdr:from>
    <cdr:to>
      <cdr:x>0.42716</cdr:x>
      <cdr:y>0.81992</cdr:y>
    </cdr:to>
    <cdr:sp macro="" textlink="">
      <cdr:nvSpPr>
        <cdr:cNvPr id="15" name="Rectangle 14">
          <a:extLst xmlns:a="http://schemas.openxmlformats.org/drawingml/2006/main">
            <a:ext uri="{FF2B5EF4-FFF2-40B4-BE49-F238E27FC236}">
              <a16:creationId xmlns:a16="http://schemas.microsoft.com/office/drawing/2014/main" id="{763C7CC9-F842-D040-2FFE-F75B09255240}"/>
            </a:ext>
          </a:extLst>
        </cdr:cNvPr>
        <cdr:cNvSpPr/>
      </cdr:nvSpPr>
      <cdr:spPr>
        <a:xfrm xmlns:a="http://schemas.openxmlformats.org/drawingml/2006/main">
          <a:off x="2955423" y="883276"/>
          <a:ext cx="755340" cy="3940818"/>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0.43373</cdr:x>
      <cdr:y>0.15012</cdr:y>
    </cdr:from>
    <cdr:to>
      <cdr:x>0.52068</cdr:x>
      <cdr:y>0.82082</cdr:y>
    </cdr:to>
    <cdr:sp macro="" textlink="">
      <cdr:nvSpPr>
        <cdr:cNvPr id="16" name="Rectangle 15">
          <a:extLst xmlns:a="http://schemas.openxmlformats.org/drawingml/2006/main">
            <a:ext uri="{FF2B5EF4-FFF2-40B4-BE49-F238E27FC236}">
              <a16:creationId xmlns:a16="http://schemas.microsoft.com/office/drawing/2014/main" id="{4D31B2F8-EB0A-1599-D708-2C46D5AC4370}"/>
            </a:ext>
          </a:extLst>
        </cdr:cNvPr>
        <cdr:cNvSpPr/>
      </cdr:nvSpPr>
      <cdr:spPr>
        <a:xfrm xmlns:a="http://schemas.openxmlformats.org/drawingml/2006/main">
          <a:off x="3767837" y="883276"/>
          <a:ext cx="755339" cy="3946132"/>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0.52725</cdr:x>
      <cdr:y>0.15023</cdr:y>
    </cdr:from>
    <cdr:to>
      <cdr:x>0.6142</cdr:x>
      <cdr:y>0.82173</cdr:y>
    </cdr:to>
    <cdr:sp macro="" textlink="">
      <cdr:nvSpPr>
        <cdr:cNvPr id="17" name="Rectangle 16">
          <a:extLst xmlns:a="http://schemas.openxmlformats.org/drawingml/2006/main">
            <a:ext uri="{FF2B5EF4-FFF2-40B4-BE49-F238E27FC236}">
              <a16:creationId xmlns:a16="http://schemas.microsoft.com/office/drawing/2014/main" id="{3615032F-D089-16C2-E6E1-A54F75B6C4D8}"/>
            </a:ext>
          </a:extLst>
        </cdr:cNvPr>
        <cdr:cNvSpPr/>
      </cdr:nvSpPr>
      <cdr:spPr>
        <a:xfrm xmlns:a="http://schemas.openxmlformats.org/drawingml/2006/main">
          <a:off x="4583837" y="880251"/>
          <a:ext cx="755931" cy="3934591"/>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0.62077</cdr:x>
      <cdr:y>0.15023</cdr:y>
    </cdr:from>
    <cdr:to>
      <cdr:x>0.70772</cdr:x>
      <cdr:y>0.82173</cdr:y>
    </cdr:to>
    <cdr:sp macro="" textlink="">
      <cdr:nvSpPr>
        <cdr:cNvPr id="18" name="Rectangle 17">
          <a:extLst xmlns:a="http://schemas.openxmlformats.org/drawingml/2006/main">
            <a:ext uri="{FF2B5EF4-FFF2-40B4-BE49-F238E27FC236}">
              <a16:creationId xmlns:a16="http://schemas.microsoft.com/office/drawing/2014/main" id="{22C17833-ADB0-7797-0E08-DB7494E70DF4}"/>
            </a:ext>
          </a:extLst>
        </cdr:cNvPr>
        <cdr:cNvSpPr/>
      </cdr:nvSpPr>
      <cdr:spPr>
        <a:xfrm xmlns:a="http://schemas.openxmlformats.org/drawingml/2006/main">
          <a:off x="5396887" y="880253"/>
          <a:ext cx="755931" cy="3934590"/>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0.71429</cdr:x>
      <cdr:y>0.1509</cdr:y>
    </cdr:from>
    <cdr:to>
      <cdr:x>0.80124</cdr:x>
      <cdr:y>0.82173</cdr:y>
    </cdr:to>
    <cdr:sp macro="" textlink="">
      <cdr:nvSpPr>
        <cdr:cNvPr id="19" name="Rectangle 18">
          <a:extLst xmlns:a="http://schemas.openxmlformats.org/drawingml/2006/main">
            <a:ext uri="{FF2B5EF4-FFF2-40B4-BE49-F238E27FC236}">
              <a16:creationId xmlns:a16="http://schemas.microsoft.com/office/drawing/2014/main" id="{C4E5A007-18D2-4BC1-DF52-4B5EECB27F0E}"/>
            </a:ext>
          </a:extLst>
        </cdr:cNvPr>
        <cdr:cNvSpPr/>
      </cdr:nvSpPr>
      <cdr:spPr>
        <a:xfrm xmlns:a="http://schemas.openxmlformats.org/drawingml/2006/main">
          <a:off x="6205076" y="887812"/>
          <a:ext cx="755339" cy="3946908"/>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0.80781</cdr:x>
      <cdr:y>0.1509</cdr:y>
    </cdr:from>
    <cdr:to>
      <cdr:x>0.89476</cdr:x>
      <cdr:y>0.82173</cdr:y>
    </cdr:to>
    <cdr:sp macro="" textlink="">
      <cdr:nvSpPr>
        <cdr:cNvPr id="20" name="Rectangle 19">
          <a:extLst xmlns:a="http://schemas.openxmlformats.org/drawingml/2006/main">
            <a:ext uri="{FF2B5EF4-FFF2-40B4-BE49-F238E27FC236}">
              <a16:creationId xmlns:a16="http://schemas.microsoft.com/office/drawing/2014/main" id="{2A208449-ACA3-AEC4-0212-470095E3609A}"/>
            </a:ext>
          </a:extLst>
        </cdr:cNvPr>
        <cdr:cNvSpPr/>
      </cdr:nvSpPr>
      <cdr:spPr>
        <a:xfrm xmlns:a="http://schemas.openxmlformats.org/drawingml/2006/main">
          <a:off x="7017491" y="887812"/>
          <a:ext cx="755338" cy="3946908"/>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0.90353</cdr:x>
      <cdr:y>0.15012</cdr:y>
    </cdr:from>
    <cdr:to>
      <cdr:x>0.99049</cdr:x>
      <cdr:y>0.82082</cdr:y>
    </cdr:to>
    <cdr:sp macro="" textlink="">
      <cdr:nvSpPr>
        <cdr:cNvPr id="21" name="Rectangle 20">
          <a:extLst xmlns:a="http://schemas.openxmlformats.org/drawingml/2006/main">
            <a:ext uri="{FF2B5EF4-FFF2-40B4-BE49-F238E27FC236}">
              <a16:creationId xmlns:a16="http://schemas.microsoft.com/office/drawing/2014/main" id="{61351FB1-0038-4B90-AB07-4E583C8E7DE4}"/>
            </a:ext>
          </a:extLst>
        </cdr:cNvPr>
        <cdr:cNvSpPr/>
      </cdr:nvSpPr>
      <cdr:spPr>
        <a:xfrm xmlns:a="http://schemas.openxmlformats.org/drawingml/2006/main">
          <a:off x="7849015" y="883276"/>
          <a:ext cx="755427" cy="3946131"/>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0.17084</cdr:x>
      <cdr:y>0.64357</cdr:y>
    </cdr:from>
    <cdr:to>
      <cdr:x>0.2204</cdr:x>
      <cdr:y>0.8358</cdr:y>
    </cdr:to>
    <cdr:sp macro="" textlink="">
      <cdr:nvSpPr>
        <cdr:cNvPr id="22" name="Rectangle 21">
          <a:extLst xmlns:a="http://schemas.openxmlformats.org/drawingml/2006/main">
            <a:ext uri="{FF2B5EF4-FFF2-40B4-BE49-F238E27FC236}">
              <a16:creationId xmlns:a16="http://schemas.microsoft.com/office/drawing/2014/main" id="{5C33C0A9-6375-A84C-B005-81A2639AC214}"/>
            </a:ext>
          </a:extLst>
        </cdr:cNvPr>
        <cdr:cNvSpPr/>
      </cdr:nvSpPr>
      <cdr:spPr>
        <a:xfrm xmlns:a="http://schemas.openxmlformats.org/drawingml/2006/main" rot="16200000">
          <a:off x="1137520" y="4118694"/>
          <a:ext cx="1126356" cy="43086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Carcinogenics</a:t>
          </a:r>
        </a:p>
      </cdr:txBody>
    </cdr:sp>
  </cdr:relSizeAnchor>
  <cdr:relSizeAnchor xmlns:cdr="http://schemas.openxmlformats.org/drawingml/2006/chartDrawing">
    <cdr:from>
      <cdr:x>0.24669</cdr:x>
      <cdr:y>0.15012</cdr:y>
    </cdr:from>
    <cdr:to>
      <cdr:x>0.33364</cdr:x>
      <cdr:y>0.82082</cdr:y>
    </cdr:to>
    <cdr:sp macro="" textlink="">
      <cdr:nvSpPr>
        <cdr:cNvPr id="14" name="Rectangle 13">
          <a:extLst xmlns:a="http://schemas.openxmlformats.org/drawingml/2006/main">
            <a:ext uri="{FF2B5EF4-FFF2-40B4-BE49-F238E27FC236}">
              <a16:creationId xmlns:a16="http://schemas.microsoft.com/office/drawing/2014/main" id="{03997162-066B-80D3-16A3-060B8886A472}"/>
            </a:ext>
          </a:extLst>
        </cdr:cNvPr>
        <cdr:cNvSpPr/>
      </cdr:nvSpPr>
      <cdr:spPr>
        <a:xfrm xmlns:a="http://schemas.openxmlformats.org/drawingml/2006/main">
          <a:off x="2143010" y="883276"/>
          <a:ext cx="755339" cy="3946132"/>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0.26364</cdr:x>
      <cdr:y>0.64177</cdr:y>
    </cdr:from>
    <cdr:to>
      <cdr:x>0.31319</cdr:x>
      <cdr:y>0.834</cdr:y>
    </cdr:to>
    <cdr:sp macro="" textlink="">
      <cdr:nvSpPr>
        <cdr:cNvPr id="24" name="Rectangle 23">
          <a:extLst xmlns:a="http://schemas.openxmlformats.org/drawingml/2006/main">
            <a:ext uri="{FF2B5EF4-FFF2-40B4-BE49-F238E27FC236}">
              <a16:creationId xmlns:a16="http://schemas.microsoft.com/office/drawing/2014/main" id="{19295FFD-4759-F95C-D58D-6CB60267854B}"/>
            </a:ext>
          </a:extLst>
        </cdr:cNvPr>
        <cdr:cNvSpPr/>
      </cdr:nvSpPr>
      <cdr:spPr>
        <a:xfrm xmlns:a="http://schemas.openxmlformats.org/drawingml/2006/main" rot="16200000">
          <a:off x="1944269" y="4108170"/>
          <a:ext cx="1126355"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Ecotoxicity</a:t>
          </a:r>
        </a:p>
      </cdr:txBody>
    </cdr:sp>
  </cdr:relSizeAnchor>
  <cdr:relSizeAnchor xmlns:cdr="http://schemas.openxmlformats.org/drawingml/2006/chartDrawing">
    <cdr:from>
      <cdr:x>0.35642</cdr:x>
      <cdr:y>0.6385</cdr:y>
    </cdr:from>
    <cdr:to>
      <cdr:x>0.40597</cdr:x>
      <cdr:y>0.83073</cdr:y>
    </cdr:to>
    <cdr:sp macro="" textlink="">
      <cdr:nvSpPr>
        <cdr:cNvPr id="25" name="Rectangle 24">
          <a:extLst xmlns:a="http://schemas.openxmlformats.org/drawingml/2006/main">
            <a:ext uri="{FF2B5EF4-FFF2-40B4-BE49-F238E27FC236}">
              <a16:creationId xmlns:a16="http://schemas.microsoft.com/office/drawing/2014/main" id="{2488C2AD-7EB1-EB2D-09BD-3E9644D403FE}"/>
            </a:ext>
          </a:extLst>
        </cdr:cNvPr>
        <cdr:cNvSpPr/>
      </cdr:nvSpPr>
      <cdr:spPr>
        <a:xfrm xmlns:a="http://schemas.openxmlformats.org/drawingml/2006/main" rot="16200000">
          <a:off x="2757772" y="4063895"/>
          <a:ext cx="1119846" cy="431253"/>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00" b="1" kern="1200">
              <a:solidFill>
                <a:sysClr val="windowText" lastClr="000000"/>
              </a:solidFill>
              <a:latin typeface="Arial Nova Cond" panose="020B0506020202020204" pitchFamily="34" charset="0"/>
            </a:rPr>
            <a:t>Eutrophication</a:t>
          </a:r>
          <a:r>
            <a:rPr lang="en-US" sz="1100" b="1" kern="1200" baseline="0">
              <a:solidFill>
                <a:sysClr val="windowText" lastClr="000000"/>
              </a:solidFill>
              <a:latin typeface="Arial Nova Cond" panose="020B0506020202020204" pitchFamily="34" charset="0"/>
            </a:rPr>
            <a:t> - </a:t>
          </a:r>
          <a:r>
            <a:rPr lang="en-US" sz="1050" b="1" kern="1200" baseline="0">
              <a:solidFill>
                <a:sysClr val="windowText" lastClr="000000"/>
              </a:solidFill>
              <a:latin typeface="Arial Nova Cond" panose="020B0506020202020204" pitchFamily="34" charset="0"/>
            </a:rPr>
            <a:t>Freshwater</a:t>
          </a:r>
          <a:endParaRPr lang="en-US" sz="1050" b="1" kern="1200">
            <a:solidFill>
              <a:sysClr val="windowText" lastClr="000000"/>
            </a:solidFill>
            <a:latin typeface="Arial Nova Cond" panose="020B0506020202020204" pitchFamily="34" charset="0"/>
          </a:endParaRPr>
        </a:p>
      </cdr:txBody>
    </cdr:sp>
  </cdr:relSizeAnchor>
  <cdr:relSizeAnchor xmlns:cdr="http://schemas.openxmlformats.org/drawingml/2006/chartDrawing">
    <cdr:from>
      <cdr:x>0.45068</cdr:x>
      <cdr:y>0.64142</cdr:y>
    </cdr:from>
    <cdr:to>
      <cdr:x>0.50023</cdr:x>
      <cdr:y>0.83365</cdr:y>
    </cdr:to>
    <cdr:sp macro="" textlink="">
      <cdr:nvSpPr>
        <cdr:cNvPr id="26" name="Rectangle 25">
          <a:extLst xmlns:a="http://schemas.openxmlformats.org/drawingml/2006/main">
            <a:ext uri="{FF2B5EF4-FFF2-40B4-BE49-F238E27FC236}">
              <a16:creationId xmlns:a16="http://schemas.microsoft.com/office/drawing/2014/main" id="{C9EBE32C-823A-DE45-8E06-939CE51C6EA3}"/>
            </a:ext>
          </a:extLst>
        </cdr:cNvPr>
        <cdr:cNvSpPr/>
      </cdr:nvSpPr>
      <cdr:spPr>
        <a:xfrm xmlns:a="http://schemas.openxmlformats.org/drawingml/2006/main" rot="16200000">
          <a:off x="3578153" y="4080934"/>
          <a:ext cx="1119846" cy="431253"/>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00" b="1" kern="1200">
              <a:solidFill>
                <a:sysClr val="windowText" lastClr="000000"/>
              </a:solidFill>
              <a:latin typeface="Arial Nova Cond" panose="020B0506020202020204" pitchFamily="34" charset="0"/>
            </a:rPr>
            <a:t>Eutrophication</a:t>
          </a:r>
          <a:r>
            <a:rPr lang="en-US" sz="1100" b="1" kern="1200">
              <a:solidFill>
                <a:sysClr val="windowText" lastClr="000000"/>
              </a:solidFill>
              <a:latin typeface="Arial Nova Cond" panose="020B0506020202020204" pitchFamily="34" charset="0"/>
            </a:rPr>
            <a:t> - </a:t>
          </a:r>
          <a:r>
            <a:rPr lang="en-US" sz="1050" b="1" kern="1200">
              <a:solidFill>
                <a:sysClr val="windowText" lastClr="000000"/>
              </a:solidFill>
              <a:latin typeface="Arial Nova Cond" panose="020B0506020202020204" pitchFamily="34" charset="0"/>
            </a:rPr>
            <a:t>Marine</a:t>
          </a:r>
        </a:p>
      </cdr:txBody>
    </cdr:sp>
  </cdr:relSizeAnchor>
  <cdr:relSizeAnchor xmlns:cdr="http://schemas.openxmlformats.org/drawingml/2006/chartDrawing">
    <cdr:from>
      <cdr:x>0.54407</cdr:x>
      <cdr:y>0.63776</cdr:y>
    </cdr:from>
    <cdr:to>
      <cdr:x>0.59362</cdr:x>
      <cdr:y>0.82999</cdr:y>
    </cdr:to>
    <cdr:sp macro="" textlink="">
      <cdr:nvSpPr>
        <cdr:cNvPr id="27" name="Rectangle 26">
          <a:extLst xmlns:a="http://schemas.openxmlformats.org/drawingml/2006/main">
            <a:ext uri="{FF2B5EF4-FFF2-40B4-BE49-F238E27FC236}">
              <a16:creationId xmlns:a16="http://schemas.microsoft.com/office/drawing/2014/main" id="{D173380F-7295-0B39-EA3D-AD3ACE5848C2}"/>
            </a:ext>
          </a:extLst>
        </cdr:cNvPr>
        <cdr:cNvSpPr/>
      </cdr:nvSpPr>
      <cdr:spPr>
        <a:xfrm xmlns:a="http://schemas.openxmlformats.org/drawingml/2006/main" rot="16200000">
          <a:off x="4382276" y="4084679"/>
          <a:ext cx="1126355"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400" b="1" kern="1200">
              <a:solidFill>
                <a:sysClr val="windowText" lastClr="000000"/>
              </a:solidFill>
              <a:latin typeface="Arial Nova Cond" panose="020B0506020202020204" pitchFamily="34" charset="0"/>
            </a:rPr>
            <a:t>Global Warming</a:t>
          </a:r>
        </a:p>
      </cdr:txBody>
    </cdr:sp>
  </cdr:relSizeAnchor>
  <cdr:relSizeAnchor xmlns:cdr="http://schemas.openxmlformats.org/drawingml/2006/chartDrawing">
    <cdr:from>
      <cdr:x>0.63699</cdr:x>
      <cdr:y>0.63865</cdr:y>
    </cdr:from>
    <cdr:to>
      <cdr:x>0.68654</cdr:x>
      <cdr:y>0.83089</cdr:y>
    </cdr:to>
    <cdr:sp macro="" textlink="">
      <cdr:nvSpPr>
        <cdr:cNvPr id="28" name="Rectangle 27">
          <a:extLst xmlns:a="http://schemas.openxmlformats.org/drawingml/2006/main">
            <a:ext uri="{FF2B5EF4-FFF2-40B4-BE49-F238E27FC236}">
              <a16:creationId xmlns:a16="http://schemas.microsoft.com/office/drawing/2014/main" id="{2C74F8C8-D70A-0429-AA81-EED59264D1F3}"/>
            </a:ext>
          </a:extLst>
        </cdr:cNvPr>
        <cdr:cNvSpPr/>
      </cdr:nvSpPr>
      <cdr:spPr>
        <a:xfrm xmlns:a="http://schemas.openxmlformats.org/drawingml/2006/main" rot="16200000">
          <a:off x="5199654" y="4064829"/>
          <a:ext cx="1119903" cy="431253"/>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Non - Carcinogenics</a:t>
          </a:r>
        </a:p>
      </cdr:txBody>
    </cdr:sp>
  </cdr:relSizeAnchor>
  <cdr:relSizeAnchor xmlns:cdr="http://schemas.openxmlformats.org/drawingml/2006/chartDrawing">
    <cdr:from>
      <cdr:x>0.73196</cdr:x>
      <cdr:y>0.64319</cdr:y>
    </cdr:from>
    <cdr:to>
      <cdr:x>0.78151</cdr:x>
      <cdr:y>0.83542</cdr:y>
    </cdr:to>
    <cdr:sp macro="" textlink="">
      <cdr:nvSpPr>
        <cdr:cNvPr id="29" name="Rectangle 28">
          <a:extLst xmlns:a="http://schemas.openxmlformats.org/drawingml/2006/main">
            <a:ext uri="{FF2B5EF4-FFF2-40B4-BE49-F238E27FC236}">
              <a16:creationId xmlns:a16="http://schemas.microsoft.com/office/drawing/2014/main" id="{0F47EA4A-8642-900E-DB98-9F76F2FD3399}"/>
            </a:ext>
          </a:extLst>
        </cdr:cNvPr>
        <cdr:cNvSpPr/>
      </cdr:nvSpPr>
      <cdr:spPr>
        <a:xfrm xmlns:a="http://schemas.openxmlformats.org/drawingml/2006/main" rot="16200000">
          <a:off x="6015772" y="4116497"/>
          <a:ext cx="1126356"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200" b="1" kern="1200">
              <a:solidFill>
                <a:sysClr val="windowText" lastClr="000000"/>
              </a:solidFill>
              <a:latin typeface="Arial Nova Cond" panose="020B0506020202020204" pitchFamily="34" charset="0"/>
            </a:rPr>
            <a:t>Ozone</a:t>
          </a:r>
          <a:r>
            <a:rPr lang="en-US" sz="1200" b="1" kern="1200" baseline="0">
              <a:solidFill>
                <a:sysClr val="windowText" lastClr="000000"/>
              </a:solidFill>
              <a:latin typeface="Arial Nova Cond" panose="020B0506020202020204" pitchFamily="34" charset="0"/>
            </a:rPr>
            <a:t> Depletion</a:t>
          </a:r>
          <a:endParaRPr lang="en-US" sz="1200" b="1" kern="1200">
            <a:solidFill>
              <a:sysClr val="windowText" lastClr="000000"/>
            </a:solidFill>
            <a:latin typeface="Arial Nova Cond" panose="020B0506020202020204" pitchFamily="34" charset="0"/>
          </a:endParaRPr>
        </a:p>
      </cdr:txBody>
    </cdr:sp>
  </cdr:relSizeAnchor>
  <cdr:relSizeAnchor xmlns:cdr="http://schemas.openxmlformats.org/drawingml/2006/chartDrawing">
    <cdr:from>
      <cdr:x>0.82475</cdr:x>
      <cdr:y>0.64045</cdr:y>
    </cdr:from>
    <cdr:to>
      <cdr:x>0.8743</cdr:x>
      <cdr:y>0.83268</cdr:y>
    </cdr:to>
    <cdr:sp macro="" textlink="">
      <cdr:nvSpPr>
        <cdr:cNvPr id="30" name="Rectangle 29">
          <a:extLst xmlns:a="http://schemas.openxmlformats.org/drawingml/2006/main">
            <a:ext uri="{FF2B5EF4-FFF2-40B4-BE49-F238E27FC236}">
              <a16:creationId xmlns:a16="http://schemas.microsoft.com/office/drawing/2014/main" id="{0C906ECB-20AE-B8F1-237F-05CDF89DC515}"/>
            </a:ext>
          </a:extLst>
        </cdr:cNvPr>
        <cdr:cNvSpPr/>
      </cdr:nvSpPr>
      <cdr:spPr>
        <a:xfrm xmlns:a="http://schemas.openxmlformats.org/drawingml/2006/main" rot="16200000">
          <a:off x="6822479" y="4100470"/>
          <a:ext cx="1126356"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Respiratory Effects - Particulate</a:t>
          </a:r>
        </a:p>
      </cdr:txBody>
    </cdr:sp>
  </cdr:relSizeAnchor>
  <cdr:relSizeAnchor xmlns:cdr="http://schemas.openxmlformats.org/drawingml/2006/chartDrawing">
    <cdr:from>
      <cdr:x>0.92034</cdr:x>
      <cdr:y>0.64102</cdr:y>
    </cdr:from>
    <cdr:to>
      <cdr:x>0.96989</cdr:x>
      <cdr:y>0.83325</cdr:y>
    </cdr:to>
    <cdr:sp macro="" textlink="">
      <cdr:nvSpPr>
        <cdr:cNvPr id="31" name="Rectangle 30">
          <a:extLst xmlns:a="http://schemas.openxmlformats.org/drawingml/2006/main">
            <a:ext uri="{FF2B5EF4-FFF2-40B4-BE49-F238E27FC236}">
              <a16:creationId xmlns:a16="http://schemas.microsoft.com/office/drawing/2014/main" id="{C6DBBBFA-9075-166D-CC75-935315F7D494}"/>
            </a:ext>
          </a:extLst>
        </cdr:cNvPr>
        <cdr:cNvSpPr/>
      </cdr:nvSpPr>
      <cdr:spPr>
        <a:xfrm xmlns:a="http://schemas.openxmlformats.org/drawingml/2006/main" rot="16200000">
          <a:off x="7653507" y="4103772"/>
          <a:ext cx="1126356"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00" b="1" kern="1200">
              <a:solidFill>
                <a:sysClr val="windowText" lastClr="000000"/>
              </a:solidFill>
              <a:latin typeface="Arial Nova Cond" panose="020B0506020202020204" pitchFamily="34" charset="0"/>
            </a:rPr>
            <a:t>Photochemical</a:t>
          </a:r>
          <a:r>
            <a:rPr lang="en-US" sz="1000" b="1" kern="1200" baseline="0">
              <a:solidFill>
                <a:sysClr val="windowText" lastClr="000000"/>
              </a:solidFill>
              <a:latin typeface="Arial Nova Cond" panose="020B0506020202020204" pitchFamily="34" charset="0"/>
            </a:rPr>
            <a:t> </a:t>
          </a:r>
          <a:r>
            <a:rPr lang="en-US" sz="1050" b="1" kern="1200" baseline="0">
              <a:solidFill>
                <a:sysClr val="windowText" lastClr="000000"/>
              </a:solidFill>
              <a:latin typeface="Arial Nova Cond" panose="020B0506020202020204" pitchFamily="34" charset="0"/>
            </a:rPr>
            <a:t>Oxidation Formation</a:t>
          </a:r>
          <a:endParaRPr lang="en-US" sz="1050" b="1" kern="1200">
            <a:solidFill>
              <a:sysClr val="windowText" lastClr="000000"/>
            </a:solidFill>
            <a:latin typeface="Arial Nova Cond" panose="020B0506020202020204" pitchFamily="34" charset="0"/>
          </a:endParaRPr>
        </a:p>
      </cdr:txBody>
    </cdr:sp>
  </cdr:relSizeAnchor>
  <cdr:relSizeAnchor xmlns:cdr="http://schemas.openxmlformats.org/drawingml/2006/chartDrawing">
    <cdr:from>
      <cdr:x>0.0601</cdr:x>
      <cdr:y>0.24732</cdr:y>
    </cdr:from>
    <cdr:to>
      <cdr:x>0.1486</cdr:x>
      <cdr:y>0.32528</cdr:y>
    </cdr:to>
    <mc:AlternateContent xmlns:mc="http://schemas.openxmlformats.org/markup-compatibility/2006" xmlns:a14="http://schemas.microsoft.com/office/drawing/2010/main">
      <mc:Choice Requires="a14">
        <cdr:sp macro="" textlink="">
          <cdr:nvSpPr>
            <cdr:cNvPr id="32" name="Rectangle 31">
              <a:extLst xmlns:a="http://schemas.openxmlformats.org/drawingml/2006/main">
                <a:ext uri="{FF2B5EF4-FFF2-40B4-BE49-F238E27FC236}">
                  <a16:creationId xmlns:a16="http://schemas.microsoft.com/office/drawing/2014/main" id="{AAFE8437-5891-F732-1512-AF787AAD7DB4}"/>
                </a:ext>
              </a:extLst>
            </cdr:cNvPr>
            <cdr:cNvSpPr/>
          </cdr:nvSpPr>
          <cdr:spPr>
            <a:xfrm xmlns:a="http://schemas.openxmlformats.org/drawingml/2006/main">
              <a:off x="522464" y="1451991"/>
              <a:ext cx="769231" cy="45770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kg S</m:t>
                        </m:r>
                        <m:sSub>
                          <m:sSubPr>
                            <m:ctrlPr>
                              <a:rPr lang="en-US" sz="1050" b="0" i="0" kern="1200">
                                <a:solidFill>
                                  <a:sysClr val="windowText" lastClr="000000"/>
                                </a:solidFill>
                                <a:latin typeface="Arial Nova Cond" panose="020B0506020202020204" pitchFamily="34" charset="0"/>
                              </a:rPr>
                            </m:ctrlPr>
                          </m:sSubPr>
                          <m:e>
                            <m:r>
                              <m:rPr>
                                <m:nor/>
                              </m:rPr>
                              <a:rPr lang="en-US" sz="1050" b="0" i="0" kern="1200">
                                <a:solidFill>
                                  <a:sysClr val="windowText" lastClr="000000"/>
                                </a:solidFill>
                                <a:latin typeface="Arial Nova Cond" panose="020B0506020202020204" pitchFamily="34" charset="0"/>
                              </a:rPr>
                              <m:t>O</m:t>
                            </m:r>
                          </m:e>
                          <m:sub>
                            <m:r>
                              <m:rPr>
                                <m:nor/>
                              </m:rPr>
                              <a:rPr lang="en-US" sz="1050" b="0" i="0" kern="1200">
                                <a:solidFill>
                                  <a:sysClr val="windowText" lastClr="000000"/>
                                </a:solidFill>
                                <a:latin typeface="Arial Nova Cond" panose="020B0506020202020204" pitchFamily="34" charset="0"/>
                              </a:rPr>
                              <m:t>2−eq</m:t>
                            </m:r>
                          </m:sub>
                        </m:sSub>
                      </m:num>
                      <m:den>
                        <m:sSup>
                          <m:sSupPr>
                            <m:ctrlPr>
                              <a:rPr lang="en-US" sz="1050" b="0" i="0" kern="1200">
                                <a:solidFill>
                                  <a:sysClr val="windowText" lastClr="000000"/>
                                </a:solidFill>
                                <a:latin typeface="Arial Nova Cond" panose="020B0506020202020204" pitchFamily="34" charset="0"/>
                              </a:rPr>
                            </m:ctrlPr>
                          </m:sSupPr>
                          <m:e>
                            <m:r>
                              <m:rPr>
                                <m:nor/>
                              </m:rPr>
                              <a:rPr lang="en-US" sz="1050" b="0" i="0" kern="1200">
                                <a:solidFill>
                                  <a:sysClr val="windowText" lastClr="000000"/>
                                </a:solidFill>
                                <a:latin typeface="Arial Nova Cond" panose="020B0506020202020204" pitchFamily="34" charset="0"/>
                              </a:rPr>
                              <m:t>m</m:t>
                            </m:r>
                          </m:e>
                          <m:sup>
                            <m:r>
                              <m:rPr>
                                <m:nor/>
                              </m:rPr>
                              <a:rPr lang="en-US" sz="1050" b="0" i="0" kern="1200">
                                <a:solidFill>
                                  <a:sysClr val="windowText" lastClr="000000"/>
                                </a:solidFill>
                                <a:latin typeface="Arial Nova Cond" panose="020B0506020202020204" pitchFamily="34" charset="0"/>
                              </a:rPr>
                              <m:t>3</m:t>
                            </m:r>
                          </m:sup>
                        </m:sSup>
                        <m:r>
                          <m:rPr>
                            <m:nor/>
                          </m:rPr>
                          <a:rPr lang="en-US" sz="1050" b="0" i="0" kern="1200">
                            <a:solidFill>
                              <a:sysClr val="windowText" lastClr="000000"/>
                            </a:solidFill>
                            <a:latin typeface="Arial Nova Cond" panose="020B0506020202020204" pitchFamily="34" charset="0"/>
                          </a:rPr>
                          <m:t> Waste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32" name="Rectangle 31">
              <a:extLst xmlns:a="http://schemas.openxmlformats.org/drawingml/2006/main">
                <a:ext uri="{FF2B5EF4-FFF2-40B4-BE49-F238E27FC236}">
                  <a16:creationId xmlns:a16="http://schemas.microsoft.com/office/drawing/2014/main" id="{AAFE8437-5891-F732-1512-AF787AAD7DB4}"/>
                </a:ext>
              </a:extLst>
            </cdr:cNvPr>
            <cdr:cNvSpPr/>
          </cdr:nvSpPr>
          <cdr:spPr>
            <a:xfrm xmlns:a="http://schemas.openxmlformats.org/drawingml/2006/main">
              <a:off x="522464" y="1451991"/>
              <a:ext cx="769231" cy="45770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S</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O</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2−eq</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m</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3</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 Waste</a:t>
              </a:r>
              <a:r>
                <a:rPr lang="en-US" sz="1050" b="1" i="0" kern="1200">
                  <a:solidFill>
                    <a:sysClr val="windowText" lastClr="000000"/>
                  </a:solidFill>
                  <a:latin typeface="Cambria Math" panose="02040503050406030204" pitchFamily="18" charset="0"/>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0.00419</cdr:x>
      <cdr:y>0.2014</cdr:y>
    </cdr:from>
    <cdr:to>
      <cdr:x>0.05808</cdr:x>
      <cdr:y>0.24522</cdr:y>
    </cdr:to>
    <cdr:sp macro="" textlink="">
      <cdr:nvSpPr>
        <cdr:cNvPr id="35" name="Rectangle 34">
          <a:extLst xmlns:a="http://schemas.openxmlformats.org/drawingml/2006/main">
            <a:ext uri="{FF2B5EF4-FFF2-40B4-BE49-F238E27FC236}">
              <a16:creationId xmlns:a16="http://schemas.microsoft.com/office/drawing/2014/main" id="{A2087C0C-F51B-50AA-185A-F1CB59ECEE41}"/>
            </a:ext>
          </a:extLst>
        </cdr:cNvPr>
        <cdr:cNvSpPr/>
      </cdr:nvSpPr>
      <cdr:spPr>
        <a:xfrm xmlns:a="http://schemas.openxmlformats.org/drawingml/2006/main">
          <a:off x="36474" y="1172969"/>
          <a:ext cx="469111" cy="255211"/>
        </a:xfrm>
        <a:prstGeom xmlns:a="http://schemas.openxmlformats.org/drawingml/2006/main" prst="rect">
          <a:avLst/>
        </a:prstGeom>
        <a:noFill xmlns:a="http://schemas.openxmlformats.org/drawingml/2006/main"/>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horz"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900" b="1" kern="1200">
              <a:solidFill>
                <a:srgbClr val="996633"/>
              </a:solidFill>
              <a:latin typeface="Arial Nova Cond" panose="020B0506020202020204" pitchFamily="34" charset="0"/>
            </a:rPr>
            <a:t>PROP</a:t>
          </a:r>
        </a:p>
      </cdr:txBody>
    </cdr:sp>
  </cdr:relSizeAnchor>
  <cdr:relSizeAnchor xmlns:cdr="http://schemas.openxmlformats.org/drawingml/2006/chartDrawing">
    <cdr:from>
      <cdr:x>0.00589</cdr:x>
      <cdr:y>0.67385</cdr:y>
    </cdr:from>
    <cdr:to>
      <cdr:x>0.05596</cdr:x>
      <cdr:y>0.81899</cdr:y>
    </cdr:to>
    <cdr:sp macro="" textlink="">
      <cdr:nvSpPr>
        <cdr:cNvPr id="36" name="Rectangle 35">
          <a:extLst xmlns:a="http://schemas.openxmlformats.org/drawingml/2006/main">
            <a:ext uri="{FF2B5EF4-FFF2-40B4-BE49-F238E27FC236}">
              <a16:creationId xmlns:a16="http://schemas.microsoft.com/office/drawing/2014/main" id="{E736BAA7-EF69-0A3E-732A-35EC6878566F}"/>
            </a:ext>
          </a:extLst>
        </cdr:cNvPr>
        <cdr:cNvSpPr/>
      </cdr:nvSpPr>
      <cdr:spPr>
        <a:xfrm xmlns:a="http://schemas.openxmlformats.org/drawingml/2006/main">
          <a:off x="51263" y="3925571"/>
          <a:ext cx="435778" cy="845521"/>
        </a:xfrm>
        <a:prstGeom xmlns:a="http://schemas.openxmlformats.org/drawingml/2006/main" prst="rect">
          <a:avLst/>
        </a:prstGeom>
        <a:solidFill xmlns:a="http://schemas.openxmlformats.org/drawingml/2006/main">
          <a:schemeClr val="bg1"/>
        </a:solidFill>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vert270"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100" b="1" kern="1200">
              <a:solidFill>
                <a:sysClr val="windowText" lastClr="000000"/>
              </a:solidFill>
              <a:latin typeface="Arial Nova Cond" panose="020B0506020202020204" pitchFamily="34" charset="0"/>
            </a:rPr>
            <a:t>CATEGORY</a:t>
          </a:r>
        </a:p>
      </cdr:txBody>
    </cdr:sp>
  </cdr:relSizeAnchor>
  <cdr:relSizeAnchor xmlns:cdr="http://schemas.openxmlformats.org/drawingml/2006/chartDrawing">
    <cdr:from>
      <cdr:x>0.15282</cdr:x>
      <cdr:y>0.2498</cdr:y>
    </cdr:from>
    <cdr:to>
      <cdr:x>0.24008</cdr:x>
      <cdr:y>0.31886</cdr:y>
    </cdr:to>
    <mc:AlternateContent xmlns:mc="http://schemas.openxmlformats.org/markup-compatibility/2006" xmlns:a14="http://schemas.microsoft.com/office/drawing/2010/main">
      <mc:Choice Requires="a14">
        <cdr:sp macro="" textlink="">
          <cdr:nvSpPr>
            <cdr:cNvPr id="37" name="Rectangle 36">
              <a:extLst xmlns:a="http://schemas.openxmlformats.org/drawingml/2006/main">
                <a:ext uri="{FF2B5EF4-FFF2-40B4-BE49-F238E27FC236}">
                  <a16:creationId xmlns:a16="http://schemas.microsoft.com/office/drawing/2014/main" id="{6F6C0593-74C2-EDC8-2A46-DFBEED548368}"/>
                </a:ext>
              </a:extLst>
            </cdr:cNvPr>
            <cdr:cNvSpPr/>
          </cdr:nvSpPr>
          <cdr:spPr>
            <a:xfrm xmlns:a="http://schemas.openxmlformats.org/drawingml/2006/main">
              <a:off x="1328425" y="1466569"/>
              <a:ext cx="758503" cy="40542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CTUh</m:t>
                        </m:r>
                      </m:num>
                      <m:den>
                        <m:sSup>
                          <m:sSupPr>
                            <m:ctrl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ctrlPr>
                          </m:sSupPr>
                          <m:e>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m</m:t>
                            </m:r>
                          </m:e>
                          <m:sup>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3</m:t>
                            </m:r>
                          </m:sup>
                        </m:sSup>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 Waste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37" name="Rectangle 36">
              <a:extLst xmlns:a="http://schemas.openxmlformats.org/drawingml/2006/main">
                <a:ext uri="{FF2B5EF4-FFF2-40B4-BE49-F238E27FC236}">
                  <a16:creationId xmlns:a16="http://schemas.microsoft.com/office/drawing/2014/main" id="{6F6C0593-74C2-EDC8-2A46-DFBEED548368}"/>
                </a:ext>
              </a:extLst>
            </cdr:cNvPr>
            <cdr:cNvSpPr/>
          </cdr:nvSpPr>
          <cdr:spPr>
            <a:xfrm xmlns:a="http://schemas.openxmlformats.org/drawingml/2006/main">
              <a:off x="1328425" y="1466569"/>
              <a:ext cx="758503" cy="40542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"CTUh</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m</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3</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Waste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0.24723</cdr:x>
      <cdr:y>0.24647</cdr:y>
    </cdr:from>
    <cdr:to>
      <cdr:x>0.33312</cdr:x>
      <cdr:y>0.32135</cdr:y>
    </cdr:to>
    <mc:AlternateContent xmlns:mc="http://schemas.openxmlformats.org/markup-compatibility/2006" xmlns:a14="http://schemas.microsoft.com/office/drawing/2010/main">
      <mc:Choice Requires="a14">
        <cdr:sp macro="" textlink="">
          <cdr:nvSpPr>
            <cdr:cNvPr id="38" name="Rectangle 37">
              <a:extLst xmlns:a="http://schemas.openxmlformats.org/drawingml/2006/main">
                <a:ext uri="{FF2B5EF4-FFF2-40B4-BE49-F238E27FC236}">
                  <a16:creationId xmlns:a16="http://schemas.microsoft.com/office/drawing/2014/main" id="{31E9AFB0-C834-DFB0-9095-CE06D96D44AE}"/>
                </a:ext>
              </a:extLst>
            </cdr:cNvPr>
            <cdr:cNvSpPr/>
          </cdr:nvSpPr>
          <cdr:spPr>
            <a:xfrm xmlns:a="http://schemas.openxmlformats.org/drawingml/2006/main">
              <a:off x="2149041" y="1447030"/>
              <a:ext cx="746673" cy="43961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CTUe</m:t>
                        </m:r>
                      </m:num>
                      <m:den>
                        <m:sSup>
                          <m:sSupPr>
                            <m:ctrl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ctrlPr>
                          </m:sSupPr>
                          <m:e>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m</m:t>
                            </m:r>
                          </m:e>
                          <m:sup>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3</m:t>
                            </m:r>
                          </m:sup>
                        </m:sSup>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 Waste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38" name="Rectangle 37">
              <a:extLst xmlns:a="http://schemas.openxmlformats.org/drawingml/2006/main">
                <a:ext uri="{FF2B5EF4-FFF2-40B4-BE49-F238E27FC236}">
                  <a16:creationId xmlns:a16="http://schemas.microsoft.com/office/drawing/2014/main" id="{31E9AFB0-C834-DFB0-9095-CE06D96D44AE}"/>
                </a:ext>
              </a:extLst>
            </cdr:cNvPr>
            <cdr:cNvSpPr/>
          </cdr:nvSpPr>
          <cdr:spPr>
            <a:xfrm xmlns:a="http://schemas.openxmlformats.org/drawingml/2006/main">
              <a:off x="2149041" y="1447030"/>
              <a:ext cx="746673" cy="43961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"CTUe</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m</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3</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Waste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0.33938</cdr:x>
      <cdr:y>0.2473</cdr:y>
    </cdr:from>
    <cdr:to>
      <cdr:x>0.42859</cdr:x>
      <cdr:y>0.32052</cdr:y>
    </cdr:to>
    <mc:AlternateContent xmlns:mc="http://schemas.openxmlformats.org/markup-compatibility/2006" xmlns:a14="http://schemas.microsoft.com/office/drawing/2010/main">
      <mc:Choice Requires="a14">
        <cdr:sp macro="" textlink="">
          <cdr:nvSpPr>
            <cdr:cNvPr id="39" name="Rectangle 38">
              <a:extLst xmlns:a="http://schemas.openxmlformats.org/drawingml/2006/main">
                <a:ext uri="{FF2B5EF4-FFF2-40B4-BE49-F238E27FC236}">
                  <a16:creationId xmlns:a16="http://schemas.microsoft.com/office/drawing/2014/main" id="{AC840EDB-41D4-2D04-1BF8-4B5FBF088B61}"/>
                </a:ext>
              </a:extLst>
            </cdr:cNvPr>
            <cdr:cNvSpPr/>
          </cdr:nvSpPr>
          <cdr:spPr>
            <a:xfrm xmlns:a="http://schemas.openxmlformats.org/drawingml/2006/main">
              <a:off x="2950119" y="1451915"/>
              <a:ext cx="775460" cy="42984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kg </m:t>
                        </m:r>
                        <m:sSub>
                          <m:sSubPr>
                            <m:ctrlPr>
                              <a:rPr lang="en-US" sz="1050" b="0" i="0" kern="1200">
                                <a:solidFill>
                                  <a:sysClr val="windowText" lastClr="000000"/>
                                </a:solidFill>
                                <a:latin typeface="Arial Nova Cond" panose="020B0506020202020204" pitchFamily="34" charset="0"/>
                              </a:rPr>
                            </m:ctrlPr>
                          </m:sSubPr>
                          <m:e>
                            <m:r>
                              <m:rPr>
                                <m:nor/>
                              </m:rPr>
                              <a:rPr lang="en-US" sz="1050" b="0" i="0" kern="1200">
                                <a:solidFill>
                                  <a:sysClr val="windowText" lastClr="000000"/>
                                </a:solidFill>
                                <a:latin typeface="Arial Nova Cond" panose="020B0506020202020204" pitchFamily="34" charset="0"/>
                              </a:rPr>
                              <m:t>P</m:t>
                            </m:r>
                          </m:e>
                          <m:sub>
                            <m:r>
                              <m:rPr>
                                <m:nor/>
                              </m:rPr>
                              <a:rPr lang="en-US" sz="1050" b="0" i="0" kern="1200">
                                <a:solidFill>
                                  <a:sysClr val="windowText" lastClr="000000"/>
                                </a:solidFill>
                                <a:latin typeface="Arial Nova Cond" panose="020B0506020202020204" pitchFamily="34" charset="0"/>
                              </a:rPr>
                              <m:t>eq</m:t>
                            </m:r>
                          </m:sub>
                        </m:sSub>
                      </m:num>
                      <m:den>
                        <m:sSup>
                          <m:sSupPr>
                            <m:ctrl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ctrlPr>
                          </m:sSupPr>
                          <m:e>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m</m:t>
                            </m:r>
                          </m:e>
                          <m:sup>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3</m:t>
                            </m:r>
                          </m:sup>
                        </m:sSup>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 Waste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39" name="Rectangle 38">
              <a:extLst xmlns:a="http://schemas.openxmlformats.org/drawingml/2006/main">
                <a:ext uri="{FF2B5EF4-FFF2-40B4-BE49-F238E27FC236}">
                  <a16:creationId xmlns:a16="http://schemas.microsoft.com/office/drawing/2014/main" id="{AC840EDB-41D4-2D04-1BF8-4B5FBF088B61}"/>
                </a:ext>
              </a:extLst>
            </cdr:cNvPr>
            <cdr:cNvSpPr/>
          </cdr:nvSpPr>
          <cdr:spPr>
            <a:xfrm xmlns:a="http://schemas.openxmlformats.org/drawingml/2006/main">
              <a:off x="2950119" y="1451915"/>
              <a:ext cx="775460" cy="42984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P</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eq</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m</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3</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Waste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0.43435</cdr:x>
      <cdr:y>0.24647</cdr:y>
    </cdr:from>
    <cdr:to>
      <cdr:x>0.52199</cdr:x>
      <cdr:y>0.31969</cdr:y>
    </cdr:to>
    <mc:AlternateContent xmlns:mc="http://schemas.openxmlformats.org/markup-compatibility/2006" xmlns:a14="http://schemas.microsoft.com/office/drawing/2010/main">
      <mc:Choice Requires="a14">
        <cdr:sp macro="" textlink="">
          <cdr:nvSpPr>
            <cdr:cNvPr id="40" name="Rectangle 39">
              <a:extLst xmlns:a="http://schemas.openxmlformats.org/drawingml/2006/main">
                <a:ext uri="{FF2B5EF4-FFF2-40B4-BE49-F238E27FC236}">
                  <a16:creationId xmlns:a16="http://schemas.microsoft.com/office/drawing/2014/main" id="{586CB80F-27C6-AAE0-C6AB-154855B78E61}"/>
                </a:ext>
              </a:extLst>
            </cdr:cNvPr>
            <cdr:cNvSpPr/>
          </cdr:nvSpPr>
          <cdr:spPr>
            <a:xfrm xmlns:a="http://schemas.openxmlformats.org/drawingml/2006/main">
              <a:off x="3775619" y="1447030"/>
              <a:ext cx="761840" cy="42984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kg </m:t>
                        </m:r>
                        <m:sSub>
                          <m:sSubPr>
                            <m:ctrlPr>
                              <a:rPr lang="en-US" sz="1050" b="0" i="0" kern="1200">
                                <a:solidFill>
                                  <a:sysClr val="windowText" lastClr="000000"/>
                                </a:solidFill>
                                <a:latin typeface="Arial Nova Cond" panose="020B0506020202020204" pitchFamily="34" charset="0"/>
                              </a:rPr>
                            </m:ctrlPr>
                          </m:sSubPr>
                          <m:e>
                            <m:r>
                              <m:rPr>
                                <m:nor/>
                              </m:rPr>
                              <a:rPr lang="en-US" sz="1050" b="0" i="0" kern="1200">
                                <a:solidFill>
                                  <a:sysClr val="windowText" lastClr="000000"/>
                                </a:solidFill>
                                <a:latin typeface="Arial Nova Cond" panose="020B0506020202020204" pitchFamily="34" charset="0"/>
                              </a:rPr>
                              <m:t>N</m:t>
                            </m:r>
                          </m:e>
                          <m:sub>
                            <m:r>
                              <m:rPr>
                                <m:nor/>
                              </m:rPr>
                              <a:rPr lang="en-US" sz="1050" b="0" i="0" kern="1200">
                                <a:solidFill>
                                  <a:sysClr val="windowText" lastClr="000000"/>
                                </a:solidFill>
                                <a:latin typeface="Arial Nova Cond" panose="020B0506020202020204" pitchFamily="34" charset="0"/>
                              </a:rPr>
                              <m:t>eq</m:t>
                            </m:r>
                          </m:sub>
                        </m:sSub>
                      </m:num>
                      <m:den>
                        <m:sSup>
                          <m:sSupPr>
                            <m:ctrl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ctrlPr>
                          </m:sSupPr>
                          <m:e>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m</m:t>
                            </m:r>
                          </m:e>
                          <m:sup>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3</m:t>
                            </m:r>
                          </m:sup>
                        </m:sSup>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 Waste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0" name="Rectangle 39">
              <a:extLst xmlns:a="http://schemas.openxmlformats.org/drawingml/2006/main">
                <a:ext uri="{FF2B5EF4-FFF2-40B4-BE49-F238E27FC236}">
                  <a16:creationId xmlns:a16="http://schemas.microsoft.com/office/drawing/2014/main" id="{586CB80F-27C6-AAE0-C6AB-154855B78E61}"/>
                </a:ext>
              </a:extLst>
            </cdr:cNvPr>
            <cdr:cNvSpPr/>
          </cdr:nvSpPr>
          <cdr:spPr>
            <a:xfrm xmlns:a="http://schemas.openxmlformats.org/drawingml/2006/main">
              <a:off x="3775619" y="1447030"/>
              <a:ext cx="761840" cy="42984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N</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eq</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m</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3</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Waste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0.52706</cdr:x>
      <cdr:y>0.24647</cdr:y>
    </cdr:from>
    <cdr:to>
      <cdr:x>0.61563</cdr:x>
      <cdr:y>0.32135</cdr:y>
    </cdr:to>
    <mc:AlternateContent xmlns:mc="http://schemas.openxmlformats.org/markup-compatibility/2006" xmlns:a14="http://schemas.microsoft.com/office/drawing/2010/main">
      <mc:Choice Requires="a14">
        <cdr:sp macro="" textlink="">
          <cdr:nvSpPr>
            <cdr:cNvPr id="41" name="Rectangle 40">
              <a:extLst xmlns:a="http://schemas.openxmlformats.org/drawingml/2006/main">
                <a:ext uri="{FF2B5EF4-FFF2-40B4-BE49-F238E27FC236}">
                  <a16:creationId xmlns:a16="http://schemas.microsoft.com/office/drawing/2014/main" id="{E4B9830C-75A7-CA5D-03C1-6A0D5D70DB95}"/>
                </a:ext>
              </a:extLst>
            </cdr:cNvPr>
            <cdr:cNvSpPr/>
          </cdr:nvSpPr>
          <cdr:spPr>
            <a:xfrm xmlns:a="http://schemas.openxmlformats.org/drawingml/2006/main">
              <a:off x="4581579" y="1447030"/>
              <a:ext cx="769869" cy="43961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kg C</m:t>
                        </m:r>
                        <m:sSub>
                          <m:sSubPr>
                            <m:ctrlPr>
                              <a:rPr lang="en-US" sz="1050" b="0" i="0" kern="1200">
                                <a:solidFill>
                                  <a:sysClr val="windowText" lastClr="000000"/>
                                </a:solidFill>
                                <a:latin typeface="Arial Nova Cond" panose="020B0506020202020204" pitchFamily="34" charset="0"/>
                              </a:rPr>
                            </m:ctrlPr>
                          </m:sSubPr>
                          <m:e>
                            <m:r>
                              <m:rPr>
                                <m:nor/>
                              </m:rPr>
                              <a:rPr lang="en-US" sz="1050" b="0" i="0" kern="1200">
                                <a:solidFill>
                                  <a:sysClr val="windowText" lastClr="000000"/>
                                </a:solidFill>
                                <a:latin typeface="Arial Nova Cond" panose="020B0506020202020204" pitchFamily="34" charset="0"/>
                              </a:rPr>
                              <m:t>O</m:t>
                            </m:r>
                          </m:e>
                          <m:sub>
                            <m:r>
                              <m:rPr>
                                <m:nor/>
                              </m:rPr>
                              <a:rPr lang="en-US" sz="1050" b="0" i="0" kern="1200">
                                <a:solidFill>
                                  <a:sysClr val="windowText" lastClr="000000"/>
                                </a:solidFill>
                                <a:latin typeface="Arial Nova Cond" panose="020B0506020202020204" pitchFamily="34" charset="0"/>
                              </a:rPr>
                              <m:t>2−eq</m:t>
                            </m:r>
                          </m:sub>
                        </m:sSub>
                      </m:num>
                      <m:den>
                        <m:sSup>
                          <m:sSupPr>
                            <m:ctrl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ctrlPr>
                          </m:sSupPr>
                          <m:e>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m</m:t>
                            </m:r>
                          </m:e>
                          <m:sup>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3</m:t>
                            </m:r>
                          </m:sup>
                        </m:sSup>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 Waste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1" name="Rectangle 40">
              <a:extLst xmlns:a="http://schemas.openxmlformats.org/drawingml/2006/main">
                <a:ext uri="{FF2B5EF4-FFF2-40B4-BE49-F238E27FC236}">
                  <a16:creationId xmlns:a16="http://schemas.microsoft.com/office/drawing/2014/main" id="{E4B9830C-75A7-CA5D-03C1-6A0D5D70DB95}"/>
                </a:ext>
              </a:extLst>
            </cdr:cNvPr>
            <cdr:cNvSpPr/>
          </cdr:nvSpPr>
          <cdr:spPr>
            <a:xfrm xmlns:a="http://schemas.openxmlformats.org/drawingml/2006/main">
              <a:off x="4581579" y="1447030"/>
              <a:ext cx="769869" cy="43961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C</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O</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2−eq</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m</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3</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Waste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0.62034</cdr:x>
      <cdr:y>0.2473</cdr:y>
    </cdr:from>
    <cdr:to>
      <cdr:x>0.70915</cdr:x>
      <cdr:y>0.32302</cdr:y>
    </cdr:to>
    <mc:AlternateContent xmlns:mc="http://schemas.openxmlformats.org/markup-compatibility/2006" xmlns:a14="http://schemas.microsoft.com/office/drawing/2010/main">
      <mc:Choice Requires="a14">
        <cdr:sp macro="" textlink="">
          <cdr:nvSpPr>
            <cdr:cNvPr id="42" name="Rectangle 41">
              <a:extLst xmlns:a="http://schemas.openxmlformats.org/drawingml/2006/main">
                <a:ext uri="{FF2B5EF4-FFF2-40B4-BE49-F238E27FC236}">
                  <a16:creationId xmlns:a16="http://schemas.microsoft.com/office/drawing/2014/main" id="{D8ADE223-B36C-AD36-21B1-DC5E3D66F8E0}"/>
                </a:ext>
              </a:extLst>
            </cdr:cNvPr>
            <cdr:cNvSpPr/>
          </cdr:nvSpPr>
          <cdr:spPr>
            <a:xfrm xmlns:a="http://schemas.openxmlformats.org/drawingml/2006/main">
              <a:off x="5392425" y="1451915"/>
              <a:ext cx="771959"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CTUh</m:t>
                        </m:r>
                      </m:num>
                      <m:den>
                        <m:sSup>
                          <m:sSupPr>
                            <m:ctrl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ctrlPr>
                          </m:sSupPr>
                          <m:e>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m</m:t>
                            </m:r>
                          </m:e>
                          <m:sup>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3</m:t>
                            </m:r>
                          </m:sup>
                        </m:sSup>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 Waste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2" name="Rectangle 41">
              <a:extLst xmlns:a="http://schemas.openxmlformats.org/drawingml/2006/main">
                <a:ext uri="{FF2B5EF4-FFF2-40B4-BE49-F238E27FC236}">
                  <a16:creationId xmlns:a16="http://schemas.microsoft.com/office/drawing/2014/main" id="{D8ADE223-B36C-AD36-21B1-DC5E3D66F8E0}"/>
                </a:ext>
              </a:extLst>
            </cdr:cNvPr>
            <cdr:cNvSpPr/>
          </cdr:nvSpPr>
          <cdr:spPr>
            <a:xfrm xmlns:a="http://schemas.openxmlformats.org/drawingml/2006/main">
              <a:off x="5392425" y="1451915"/>
              <a:ext cx="771959"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"CTUh</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m</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3</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Waste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0.71362</cdr:x>
      <cdr:y>0.24647</cdr:y>
    </cdr:from>
    <cdr:to>
      <cdr:x>0.80194</cdr:x>
      <cdr:y>0.32218</cdr:y>
    </cdr:to>
    <mc:AlternateContent xmlns:mc="http://schemas.openxmlformats.org/markup-compatibility/2006" xmlns:a14="http://schemas.microsoft.com/office/drawing/2010/main">
      <mc:Choice Requires="a14">
        <cdr:sp macro="" textlink="">
          <cdr:nvSpPr>
            <cdr:cNvPr id="43" name="Rectangle 42">
              <a:extLst xmlns:a="http://schemas.openxmlformats.org/drawingml/2006/main">
                <a:ext uri="{FF2B5EF4-FFF2-40B4-BE49-F238E27FC236}">
                  <a16:creationId xmlns:a16="http://schemas.microsoft.com/office/drawing/2014/main" id="{1A85A80C-315C-B629-C24A-40AC9ACA6AB4}"/>
                </a:ext>
              </a:extLst>
            </cdr:cNvPr>
            <cdr:cNvSpPr/>
          </cdr:nvSpPr>
          <cdr:spPr>
            <a:xfrm xmlns:a="http://schemas.openxmlformats.org/drawingml/2006/main">
              <a:off x="6203271" y="1447030"/>
              <a:ext cx="767703"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CFC−11</m:t>
                        </m:r>
                      </m:num>
                      <m:den>
                        <m:sSup>
                          <m:sSupPr>
                            <m:ctrl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ctrlPr>
                          </m:sSupPr>
                          <m:e>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m</m:t>
                            </m:r>
                          </m:e>
                          <m:sup>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3</m:t>
                            </m:r>
                          </m:sup>
                        </m:sSup>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 Waste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3" name="Rectangle 42">
              <a:extLst xmlns:a="http://schemas.openxmlformats.org/drawingml/2006/main">
                <a:ext uri="{FF2B5EF4-FFF2-40B4-BE49-F238E27FC236}">
                  <a16:creationId xmlns:a16="http://schemas.microsoft.com/office/drawing/2014/main" id="{1A85A80C-315C-B629-C24A-40AC9ACA6AB4}"/>
                </a:ext>
              </a:extLst>
            </cdr:cNvPr>
            <cdr:cNvSpPr/>
          </cdr:nvSpPr>
          <cdr:spPr>
            <a:xfrm xmlns:a="http://schemas.openxmlformats.org/drawingml/2006/main">
              <a:off x="6203271" y="1447030"/>
              <a:ext cx="767703"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"CFC−11</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m</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3</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Waste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0.80803</cdr:x>
      <cdr:y>0.24814</cdr:y>
    </cdr:from>
    <cdr:to>
      <cdr:x>0.89472</cdr:x>
      <cdr:y>0.32052</cdr:y>
    </cdr:to>
    <mc:AlternateContent xmlns:mc="http://schemas.openxmlformats.org/markup-compatibility/2006" xmlns:a14="http://schemas.microsoft.com/office/drawing/2010/main">
      <mc:Choice Requires="a14">
        <cdr:sp macro="" textlink="">
          <cdr:nvSpPr>
            <cdr:cNvPr id="44" name="Rectangle 43">
              <a:extLst xmlns:a="http://schemas.openxmlformats.org/drawingml/2006/main">
                <a:ext uri="{FF2B5EF4-FFF2-40B4-BE49-F238E27FC236}">
                  <a16:creationId xmlns:a16="http://schemas.microsoft.com/office/drawing/2014/main" id="{40A061A1-B095-537E-39C7-3D687C52D94E}"/>
                </a:ext>
              </a:extLst>
            </cdr:cNvPr>
            <cdr:cNvSpPr/>
          </cdr:nvSpPr>
          <cdr:spPr>
            <a:xfrm xmlns:a="http://schemas.openxmlformats.org/drawingml/2006/main">
              <a:off x="7023887" y="1456800"/>
              <a:ext cx="753591" cy="42496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P</m:t>
                        </m:r>
                        <m:sSub>
                          <m:sSubPr>
                            <m:ctrlPr>
                              <a:rPr lang="en-US" sz="1050" b="0" i="0" kern="1200">
                                <a:solidFill>
                                  <a:sysClr val="windowText" lastClr="000000"/>
                                </a:solidFill>
                                <a:latin typeface="Arial Nova Cond" panose="020B0506020202020204" pitchFamily="34" charset="0"/>
                              </a:rPr>
                            </m:ctrlPr>
                          </m:sSubPr>
                          <m:e>
                            <m:r>
                              <m:rPr>
                                <m:nor/>
                              </m:rPr>
                              <a:rPr lang="en-US" sz="1050" b="0" i="0" kern="1200">
                                <a:solidFill>
                                  <a:sysClr val="windowText" lastClr="000000"/>
                                </a:solidFill>
                                <a:latin typeface="Arial Nova Cond" panose="020B0506020202020204" pitchFamily="34" charset="0"/>
                              </a:rPr>
                              <m:t>M</m:t>
                            </m:r>
                          </m:e>
                          <m:sub>
                            <m:r>
                              <m:rPr>
                                <m:nor/>
                              </m:rPr>
                              <a:rPr lang="en-US" sz="1050" b="0" i="0" kern="1200">
                                <a:solidFill>
                                  <a:sysClr val="windowText" lastClr="000000"/>
                                </a:solidFill>
                                <a:latin typeface="Arial Nova Cond" panose="020B0506020202020204" pitchFamily="34" charset="0"/>
                              </a:rPr>
                              <m:t>2.5</m:t>
                            </m:r>
                          </m:sub>
                        </m:sSub>
                        <m:r>
                          <m:rPr>
                            <m:nor/>
                          </m:rPr>
                          <a:rPr lang="en-US" sz="1050" b="0" i="0" kern="1200">
                            <a:solidFill>
                              <a:sysClr val="windowText" lastClr="000000"/>
                            </a:solidFill>
                            <a:latin typeface="Arial Nova Cond" panose="020B0506020202020204" pitchFamily="34" charset="0"/>
                          </a:rPr>
                          <m:t> </m:t>
                        </m:r>
                      </m:num>
                      <m:den>
                        <m:sSup>
                          <m:sSupPr>
                            <m:ctrl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ctrlPr>
                          </m:sSupPr>
                          <m:e>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m</m:t>
                            </m:r>
                          </m:e>
                          <m:sup>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3</m:t>
                            </m:r>
                          </m:sup>
                        </m:sSup>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 Waste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4" name="Rectangle 43">
              <a:extLst xmlns:a="http://schemas.openxmlformats.org/drawingml/2006/main">
                <a:ext uri="{FF2B5EF4-FFF2-40B4-BE49-F238E27FC236}">
                  <a16:creationId xmlns:a16="http://schemas.microsoft.com/office/drawing/2014/main" id="{40A061A1-B095-537E-39C7-3D687C52D94E}"/>
                </a:ext>
              </a:extLst>
            </cdr:cNvPr>
            <cdr:cNvSpPr/>
          </cdr:nvSpPr>
          <cdr:spPr>
            <a:xfrm xmlns:a="http://schemas.openxmlformats.org/drawingml/2006/main">
              <a:off x="7023887" y="1456800"/>
              <a:ext cx="753591" cy="42496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P</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M</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2.5</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 </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m</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3</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Waste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0.90412</cdr:x>
      <cdr:y>0.24897</cdr:y>
    </cdr:from>
    <cdr:to>
      <cdr:x>0.98971</cdr:x>
      <cdr:y>0.32135</cdr:y>
    </cdr:to>
    <mc:AlternateContent xmlns:mc="http://schemas.openxmlformats.org/markup-compatibility/2006" xmlns:a14="http://schemas.microsoft.com/office/drawing/2010/main">
      <mc:Choice Requires="a14">
        <cdr:sp macro="" textlink="">
          <cdr:nvSpPr>
            <cdr:cNvPr id="45" name="Rectangle 44">
              <a:extLst xmlns:a="http://schemas.openxmlformats.org/drawingml/2006/main">
                <a:ext uri="{FF2B5EF4-FFF2-40B4-BE49-F238E27FC236}">
                  <a16:creationId xmlns:a16="http://schemas.microsoft.com/office/drawing/2014/main" id="{1E801B24-40DD-32FD-2E59-59B722406D01}"/>
                </a:ext>
              </a:extLst>
            </cdr:cNvPr>
            <cdr:cNvSpPr/>
          </cdr:nvSpPr>
          <cdr:spPr>
            <a:xfrm xmlns:a="http://schemas.openxmlformats.org/drawingml/2006/main">
              <a:off x="7859156" y="1461684"/>
              <a:ext cx="744035" cy="42496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kg </m:t>
                        </m:r>
                        <m:sSub>
                          <m:sSubPr>
                            <m:ctrlPr>
                              <a:rPr lang="en-US" sz="1050" b="0" i="0" kern="1200">
                                <a:solidFill>
                                  <a:sysClr val="windowText" lastClr="000000"/>
                                </a:solidFill>
                                <a:latin typeface="Arial Nova Cond" panose="020B0506020202020204" pitchFamily="34" charset="0"/>
                              </a:rPr>
                            </m:ctrlPr>
                          </m:sSubPr>
                          <m:e>
                            <m:r>
                              <m:rPr>
                                <m:nor/>
                              </m:rPr>
                              <a:rPr lang="en-US" sz="1050" b="0" i="0" kern="1200">
                                <a:solidFill>
                                  <a:sysClr val="windowText" lastClr="000000"/>
                                </a:solidFill>
                                <a:latin typeface="Arial Nova Cond" panose="020B0506020202020204" pitchFamily="34" charset="0"/>
                              </a:rPr>
                              <m:t>O</m:t>
                            </m:r>
                          </m:e>
                          <m:sub>
                            <m:r>
                              <m:rPr>
                                <m:nor/>
                              </m:rPr>
                              <a:rPr lang="en-US" sz="1050" b="0" i="0" kern="1200">
                                <a:solidFill>
                                  <a:sysClr val="windowText" lastClr="000000"/>
                                </a:solidFill>
                                <a:latin typeface="Arial Nova Cond" panose="020B0506020202020204" pitchFamily="34" charset="0"/>
                              </a:rPr>
                              <m:t>3−eq</m:t>
                            </m:r>
                          </m:sub>
                        </m:sSub>
                      </m:num>
                      <m:den>
                        <m:sSup>
                          <m:sSupPr>
                            <m:ctrl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ctrlPr>
                          </m:sSupPr>
                          <m:e>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m</m:t>
                            </m:r>
                          </m:e>
                          <m:sup>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3</m:t>
                            </m:r>
                          </m:sup>
                        </m:sSup>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 Waste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5" name="Rectangle 44">
              <a:extLst xmlns:a="http://schemas.openxmlformats.org/drawingml/2006/main">
                <a:ext uri="{FF2B5EF4-FFF2-40B4-BE49-F238E27FC236}">
                  <a16:creationId xmlns:a16="http://schemas.microsoft.com/office/drawing/2014/main" id="{1E801B24-40DD-32FD-2E59-59B722406D01}"/>
                </a:ext>
              </a:extLst>
            </cdr:cNvPr>
            <cdr:cNvSpPr/>
          </cdr:nvSpPr>
          <cdr:spPr>
            <a:xfrm xmlns:a="http://schemas.openxmlformats.org/drawingml/2006/main">
              <a:off x="7859156" y="1461684"/>
              <a:ext cx="744035" cy="42496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O</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3−eq</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m</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3</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Waste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0.05965</cdr:x>
      <cdr:y>0.14883</cdr:y>
    </cdr:from>
    <cdr:to>
      <cdr:x>0.14654</cdr:x>
      <cdr:y>0.19858</cdr:y>
    </cdr:to>
    <cdr:sp macro="" textlink="">
      <cdr:nvSpPr>
        <cdr:cNvPr id="46" name="Rectangle 45">
          <a:extLst xmlns:a="http://schemas.openxmlformats.org/drawingml/2006/main">
            <a:ext uri="{FF2B5EF4-FFF2-40B4-BE49-F238E27FC236}">
              <a16:creationId xmlns:a16="http://schemas.microsoft.com/office/drawing/2014/main" id="{56E65776-C183-6A93-EE21-4E50CB981602}"/>
            </a:ext>
          </a:extLst>
        </cdr:cNvPr>
        <cdr:cNvSpPr/>
      </cdr:nvSpPr>
      <cdr:spPr>
        <a:xfrm xmlns:a="http://schemas.openxmlformats.org/drawingml/2006/main">
          <a:off x="518516" y="873802"/>
          <a:ext cx="755283" cy="29205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0.35</a:t>
          </a:r>
        </a:p>
      </cdr:txBody>
    </cdr:sp>
  </cdr:relSizeAnchor>
  <cdr:relSizeAnchor xmlns:cdr="http://schemas.openxmlformats.org/drawingml/2006/chartDrawing">
    <cdr:from>
      <cdr:x>0.1539</cdr:x>
      <cdr:y>0.14913</cdr:y>
    </cdr:from>
    <cdr:to>
      <cdr:x>0.24229</cdr:x>
      <cdr:y>0.19822</cdr:y>
    </cdr:to>
    <cdr:sp macro="" textlink="">
      <cdr:nvSpPr>
        <cdr:cNvPr id="47" name="Rectangle 46">
          <a:extLst xmlns:a="http://schemas.openxmlformats.org/drawingml/2006/main">
            <a:ext uri="{FF2B5EF4-FFF2-40B4-BE49-F238E27FC236}">
              <a16:creationId xmlns:a16="http://schemas.microsoft.com/office/drawing/2014/main" id="{BA0DD814-EA4F-7E03-A0C7-9B94172B1451}"/>
            </a:ext>
          </a:extLst>
        </cdr:cNvPr>
        <cdr:cNvSpPr/>
      </cdr:nvSpPr>
      <cdr:spPr>
        <a:xfrm xmlns:a="http://schemas.openxmlformats.org/drawingml/2006/main">
          <a:off x="1337797" y="875531"/>
          <a:ext cx="768342" cy="28819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4.9E-6</a:t>
          </a:r>
        </a:p>
      </cdr:txBody>
    </cdr:sp>
  </cdr:relSizeAnchor>
  <cdr:relSizeAnchor xmlns:cdr="http://schemas.openxmlformats.org/drawingml/2006/chartDrawing">
    <cdr:from>
      <cdr:x>0.24578</cdr:x>
      <cdr:y>0.15079</cdr:y>
    </cdr:from>
    <cdr:to>
      <cdr:x>0.33581</cdr:x>
      <cdr:y>0.19738</cdr:y>
    </cdr:to>
    <mc:AlternateContent xmlns:mc="http://schemas.openxmlformats.org/markup-compatibility/2006" xmlns:a14="http://schemas.microsoft.com/office/drawing/2010/main">
      <mc:Choice Requires="a14">
        <cdr:sp macro="" textlink="">
          <cdr:nvSpPr>
            <cdr:cNvPr id="48" name="Rectangle 47">
              <a:extLst xmlns:a="http://schemas.openxmlformats.org/drawingml/2006/main">
                <a:ext uri="{FF2B5EF4-FFF2-40B4-BE49-F238E27FC236}">
                  <a16:creationId xmlns:a16="http://schemas.microsoft.com/office/drawing/2014/main" id="{AC1D82BA-5F3F-FA3B-C561-C416E432DD6F}"/>
                </a:ext>
              </a:extLst>
            </cdr:cNvPr>
            <cdr:cNvSpPr/>
          </cdr:nvSpPr>
          <cdr:spPr>
            <a:xfrm xmlns:a="http://schemas.openxmlformats.org/drawingml/2006/main">
              <a:off x="2136476" y="885301"/>
              <a:ext cx="782599" cy="27353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
                  </m:oMathParaPr>
                  <m:oMath>
                    <m:r>
                      <m:rPr>
                        <m:nor/>
                      </m:rPr>
                      <a:rPr lang="en-US" sz="1050" b="0" i="0" kern="1200">
                        <a:solidFill>
                          <a:schemeClr val="tx1"/>
                        </a:solidFill>
                        <a:latin typeface="Arial Nova Cond" panose="020B0506020202020204" pitchFamily="34" charset="0"/>
                      </a:rPr>
                      <m:t>276.4</m:t>
                    </m:r>
                  </m:oMath>
                </m:oMathPara>
              </a14:m>
              <a:endParaRPr lang="en-US" sz="900" b="1" kern="1200">
                <a:solidFill>
                  <a:schemeClr val="tx1"/>
                </a:solidFill>
                <a:latin typeface="Arial Nova Cond" panose="020B0506020202020204" pitchFamily="34" charset="0"/>
              </a:endParaRPr>
            </a:p>
          </cdr:txBody>
        </cdr:sp>
      </mc:Choice>
      <mc:Fallback xmlns="">
        <cdr:sp macro="" textlink="">
          <cdr:nvSpPr>
            <cdr:cNvPr id="48" name="Rectangle 47">
              <a:extLst xmlns:a="http://schemas.openxmlformats.org/drawingml/2006/main">
                <a:ext uri="{FF2B5EF4-FFF2-40B4-BE49-F238E27FC236}">
                  <a16:creationId xmlns:a16="http://schemas.microsoft.com/office/drawing/2014/main" id="{AC1D82BA-5F3F-FA3B-C561-C416E432DD6F}"/>
                </a:ext>
              </a:extLst>
            </cdr:cNvPr>
            <cdr:cNvSpPr/>
          </cdr:nvSpPr>
          <cdr:spPr>
            <a:xfrm xmlns:a="http://schemas.openxmlformats.org/drawingml/2006/main">
              <a:off x="2136476" y="885301"/>
              <a:ext cx="782599" cy="27353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chemeClr val="tx1"/>
                  </a:solidFill>
                  <a:latin typeface="Cambria Math" panose="02040503050406030204" pitchFamily="18" charset="0"/>
                </a:rPr>
                <a:t>"276.4</a:t>
              </a:r>
              <a:r>
                <a:rPr lang="en-US" sz="1050" b="1" i="0" kern="1200">
                  <a:solidFill>
                    <a:schemeClr val="tx1"/>
                  </a:solidFill>
                  <a:latin typeface="Arial Nova Cond" panose="020B0506020202020204" pitchFamily="34" charset="0"/>
                </a:rPr>
                <a:t>"</a:t>
              </a:r>
              <a:endParaRPr lang="en-US" sz="900" b="1" kern="1200">
                <a:solidFill>
                  <a:schemeClr val="tx1"/>
                </a:solidFill>
                <a:latin typeface="Arial Nova Cond" panose="020B0506020202020204" pitchFamily="34" charset="0"/>
              </a:endParaRPr>
            </a:p>
          </cdr:txBody>
        </cdr:sp>
      </mc:Fallback>
    </mc:AlternateContent>
  </cdr:relSizeAnchor>
  <cdr:relSizeAnchor xmlns:cdr="http://schemas.openxmlformats.org/drawingml/2006/chartDrawing">
    <cdr:from>
      <cdr:x>0.34021</cdr:x>
      <cdr:y>0.15079</cdr:y>
    </cdr:from>
    <cdr:to>
      <cdr:x>0.42859</cdr:x>
      <cdr:y>0.19655</cdr:y>
    </cdr:to>
    <cdr:sp macro="" textlink="">
      <cdr:nvSpPr>
        <cdr:cNvPr id="49" name="Rectangle 48">
          <a:extLst xmlns:a="http://schemas.openxmlformats.org/drawingml/2006/main">
            <a:ext uri="{FF2B5EF4-FFF2-40B4-BE49-F238E27FC236}">
              <a16:creationId xmlns:a16="http://schemas.microsoft.com/office/drawing/2014/main" id="{A8593A93-4E72-147A-7B78-4661359932E7}"/>
            </a:ext>
          </a:extLst>
        </cdr:cNvPr>
        <cdr:cNvSpPr/>
      </cdr:nvSpPr>
      <cdr:spPr>
        <a:xfrm xmlns:a="http://schemas.openxmlformats.org/drawingml/2006/main">
          <a:off x="2957323" y="885301"/>
          <a:ext cx="768255" cy="26865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0.01</a:t>
          </a:r>
        </a:p>
      </cdr:txBody>
    </cdr:sp>
  </cdr:relSizeAnchor>
  <cdr:relSizeAnchor xmlns:cdr="http://schemas.openxmlformats.org/drawingml/2006/chartDrawing">
    <cdr:from>
      <cdr:x>0.43446</cdr:x>
      <cdr:y>0.14996</cdr:y>
    </cdr:from>
    <cdr:to>
      <cdr:x>0.52285</cdr:x>
      <cdr:y>0.19655</cdr:y>
    </cdr:to>
    <cdr:sp macro="" textlink="">
      <cdr:nvSpPr>
        <cdr:cNvPr id="50" name="Rectangle 49">
          <a:extLst xmlns:a="http://schemas.openxmlformats.org/drawingml/2006/main">
            <a:ext uri="{FF2B5EF4-FFF2-40B4-BE49-F238E27FC236}">
              <a16:creationId xmlns:a16="http://schemas.microsoft.com/office/drawing/2014/main" id="{F9145A33-E83F-2E98-13B9-4999CD251D94}"/>
            </a:ext>
          </a:extLst>
        </cdr:cNvPr>
        <cdr:cNvSpPr/>
      </cdr:nvSpPr>
      <cdr:spPr>
        <a:xfrm xmlns:a="http://schemas.openxmlformats.org/drawingml/2006/main">
          <a:off x="3776603" y="880415"/>
          <a:ext cx="768343" cy="27353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0.07</a:t>
          </a:r>
        </a:p>
      </cdr:txBody>
    </cdr:sp>
  </cdr:relSizeAnchor>
  <cdr:relSizeAnchor xmlns:cdr="http://schemas.openxmlformats.org/drawingml/2006/chartDrawing">
    <cdr:from>
      <cdr:x>0.52798</cdr:x>
      <cdr:y>0.15079</cdr:y>
    </cdr:from>
    <cdr:to>
      <cdr:x>0.61672</cdr:x>
      <cdr:y>0.19945</cdr:y>
    </cdr:to>
    <cdr:sp macro="" textlink="">
      <cdr:nvSpPr>
        <cdr:cNvPr id="51" name="Rectangle 50">
          <a:extLst xmlns:a="http://schemas.openxmlformats.org/drawingml/2006/main">
            <a:ext uri="{FF2B5EF4-FFF2-40B4-BE49-F238E27FC236}">
              <a16:creationId xmlns:a16="http://schemas.microsoft.com/office/drawing/2014/main" id="{4F90D23D-E474-E255-4383-CB4217276AF9}"/>
            </a:ext>
          </a:extLst>
        </cdr:cNvPr>
        <cdr:cNvSpPr/>
      </cdr:nvSpPr>
      <cdr:spPr>
        <a:xfrm xmlns:a="http://schemas.openxmlformats.org/drawingml/2006/main">
          <a:off x="4596703" y="874809"/>
          <a:ext cx="772574" cy="28230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106.6</a:t>
          </a:r>
        </a:p>
      </cdr:txBody>
    </cdr:sp>
  </cdr:relSizeAnchor>
  <cdr:relSizeAnchor xmlns:cdr="http://schemas.openxmlformats.org/drawingml/2006/chartDrawing">
    <cdr:from>
      <cdr:x>0.62016</cdr:x>
      <cdr:y>0.14913</cdr:y>
    </cdr:from>
    <cdr:to>
      <cdr:x>0.70855</cdr:x>
      <cdr:y>0.19738</cdr:y>
    </cdr:to>
    <cdr:sp macro="" textlink="">
      <cdr:nvSpPr>
        <cdr:cNvPr id="52" name="Rectangle 51">
          <a:extLst xmlns:a="http://schemas.openxmlformats.org/drawingml/2006/main">
            <a:ext uri="{FF2B5EF4-FFF2-40B4-BE49-F238E27FC236}">
              <a16:creationId xmlns:a16="http://schemas.microsoft.com/office/drawing/2014/main" id="{DDAEBF90-0F50-9696-B4A9-4A0C8BA3611E}"/>
            </a:ext>
          </a:extLst>
        </cdr:cNvPr>
        <cdr:cNvSpPr/>
      </cdr:nvSpPr>
      <cdr:spPr>
        <a:xfrm xmlns:a="http://schemas.openxmlformats.org/drawingml/2006/main">
          <a:off x="5390830" y="875532"/>
          <a:ext cx="768342" cy="28330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8.3E-6</a:t>
          </a:r>
        </a:p>
      </cdr:txBody>
    </cdr:sp>
  </cdr:relSizeAnchor>
  <cdr:relSizeAnchor xmlns:cdr="http://schemas.openxmlformats.org/drawingml/2006/chartDrawing">
    <cdr:from>
      <cdr:x>0.71649</cdr:x>
      <cdr:y>0.14996</cdr:y>
    </cdr:from>
    <cdr:to>
      <cdr:x>0.7996</cdr:x>
      <cdr:y>0.19655</cdr:y>
    </cdr:to>
    <cdr:sp macro="" textlink="">
      <cdr:nvSpPr>
        <cdr:cNvPr id="53" name="Rectangle 52">
          <a:extLst xmlns:a="http://schemas.openxmlformats.org/drawingml/2006/main">
            <a:ext uri="{FF2B5EF4-FFF2-40B4-BE49-F238E27FC236}">
              <a16:creationId xmlns:a16="http://schemas.microsoft.com/office/drawing/2014/main" id="{5CB22B86-324E-23AC-3B14-D20A7E8846BE}"/>
            </a:ext>
          </a:extLst>
        </cdr:cNvPr>
        <cdr:cNvSpPr/>
      </cdr:nvSpPr>
      <cdr:spPr>
        <a:xfrm xmlns:a="http://schemas.openxmlformats.org/drawingml/2006/main">
          <a:off x="6228188" y="880416"/>
          <a:ext cx="722430" cy="273537"/>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3.2E-7</a:t>
          </a:r>
        </a:p>
      </cdr:txBody>
    </cdr:sp>
  </cdr:relSizeAnchor>
  <cdr:relSizeAnchor xmlns:cdr="http://schemas.openxmlformats.org/drawingml/2006/chartDrawing">
    <cdr:from>
      <cdr:x>0.81001</cdr:x>
      <cdr:y>0.15246</cdr:y>
    </cdr:from>
    <cdr:to>
      <cdr:x>0.89288</cdr:x>
      <cdr:y>0.19572</cdr:y>
    </cdr:to>
    <cdr:sp macro="" textlink="">
      <cdr:nvSpPr>
        <cdr:cNvPr id="54" name="Rectangle 53">
          <a:extLst xmlns:a="http://schemas.openxmlformats.org/drawingml/2006/main">
            <a:ext uri="{FF2B5EF4-FFF2-40B4-BE49-F238E27FC236}">
              <a16:creationId xmlns:a16="http://schemas.microsoft.com/office/drawing/2014/main" id="{EAEC0698-FAF8-E0B3-BA1D-C357CB6F587F}"/>
            </a:ext>
          </a:extLst>
        </cdr:cNvPr>
        <cdr:cNvSpPr/>
      </cdr:nvSpPr>
      <cdr:spPr>
        <a:xfrm xmlns:a="http://schemas.openxmlformats.org/drawingml/2006/main">
          <a:off x="7041124" y="895069"/>
          <a:ext cx="720340" cy="254000"/>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0.03</a:t>
          </a:r>
        </a:p>
      </cdr:txBody>
    </cdr:sp>
  </cdr:relSizeAnchor>
  <cdr:relSizeAnchor xmlns:cdr="http://schemas.openxmlformats.org/drawingml/2006/chartDrawing">
    <cdr:from>
      <cdr:x>0.90501</cdr:x>
      <cdr:y>0.14996</cdr:y>
    </cdr:from>
    <cdr:to>
      <cdr:x>0.99009</cdr:x>
      <cdr:y>0.19738</cdr:y>
    </cdr:to>
    <cdr:sp macro="" textlink="">
      <cdr:nvSpPr>
        <cdr:cNvPr id="55" name="Rectangle 54">
          <a:extLst xmlns:a="http://schemas.openxmlformats.org/drawingml/2006/main">
            <a:ext uri="{FF2B5EF4-FFF2-40B4-BE49-F238E27FC236}">
              <a16:creationId xmlns:a16="http://schemas.microsoft.com/office/drawing/2014/main" id="{ED3137F6-8530-771F-4ECF-D66360899FD4}"/>
            </a:ext>
          </a:extLst>
        </cdr:cNvPr>
        <cdr:cNvSpPr/>
      </cdr:nvSpPr>
      <cdr:spPr>
        <a:xfrm xmlns:a="http://schemas.openxmlformats.org/drawingml/2006/main">
          <a:off x="7866924" y="880416"/>
          <a:ext cx="739578" cy="27842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chemeClr val="tx1"/>
              </a:solidFill>
              <a:latin typeface="Arial Nova Cond" panose="020B0506020202020204" pitchFamily="34" charset="0"/>
            </a:rPr>
            <a:t>1.84</a:t>
          </a:r>
          <a:endParaRPr lang="en-US" sz="1050" b="1" kern="1200">
            <a:solidFill>
              <a:schemeClr val="tx1"/>
            </a:solidFill>
            <a:latin typeface="Arial Nova Cond" panose="020B0506020202020204" pitchFamily="34" charset="0"/>
          </a:endParaRPr>
        </a:p>
      </cdr:txBody>
    </cdr:sp>
  </cdr:relSizeAnchor>
  <cdr:relSizeAnchor xmlns:cdr="http://schemas.openxmlformats.org/drawingml/2006/chartDrawing">
    <cdr:from>
      <cdr:x>0.62705</cdr:x>
      <cdr:y>0.00576</cdr:y>
    </cdr:from>
    <cdr:to>
      <cdr:x>1</cdr:x>
      <cdr:y>0.07335</cdr:y>
    </cdr:to>
    <mc:AlternateContent xmlns:mc="http://schemas.openxmlformats.org/markup-compatibility/2006" xmlns:a14="http://schemas.microsoft.com/office/drawing/2010/main">
      <mc:Choice Requires="a14">
        <cdr:sp macro="" textlink="">
          <cdr:nvSpPr>
            <cdr:cNvPr id="3" name="TextBox 2">
              <a:extLst xmlns:a="http://schemas.openxmlformats.org/drawingml/2006/main">
                <a:ext uri="{FF2B5EF4-FFF2-40B4-BE49-F238E27FC236}">
                  <a16:creationId xmlns:a16="http://schemas.microsoft.com/office/drawing/2014/main" id="{2E16D9B2-103F-B7DA-A891-FB3D998588DD}"/>
                </a:ext>
              </a:extLst>
            </cdr:cNvPr>
            <cdr:cNvSpPr txBox="1"/>
          </cdr:nvSpPr>
          <cdr:spPr>
            <a:xfrm xmlns:a="http://schemas.openxmlformats.org/drawingml/2006/main">
              <a:off x="5457472" y="33547"/>
              <a:ext cx="3245912" cy="39365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400" b="1" kern="1200">
                  <a:latin typeface="Arial Nova Cond" panose="020B0506020202020204" pitchFamily="34" charset="0"/>
                </a:rPr>
                <a:t>Unit Scale: </a:t>
              </a:r>
              <a:r>
                <a:rPr kumimoji="0" lang="en-US" sz="14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~483,000 </a:t>
              </a:r>
              <a14:m>
                <m:oMath xmlns:m="http://schemas.openxmlformats.org/officeDocument/2006/math">
                  <m:f>
                    <m:fPr>
                      <m:ctrlP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ctrlPr>
                    </m:fPr>
                    <m:num>
                      <m:r>
                        <m:rPr>
                          <m:nor/>
                        </m:rP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MT</m:t>
                      </m:r>
                    </m:num>
                    <m:den>
                      <m:r>
                        <m:rPr>
                          <m:nor/>
                        </m:rP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yr</m:t>
                      </m:r>
                    </m:den>
                  </m:f>
                </m:oMath>
              </a14:m>
              <a: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a:t>
              </a:r>
              <a:r>
                <a:rPr kumimoji="0" lang="en-US" sz="14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Organic Waste</a:t>
              </a:r>
              <a:endParaRPr lang="en-US" sz="1400" kern="1200">
                <a:latin typeface="Arial Nova Cond" panose="020B0506020202020204" pitchFamily="34" charset="0"/>
              </a:endParaRPr>
            </a:p>
          </cdr:txBody>
        </cdr:sp>
      </mc:Choice>
      <mc:Fallback xmlns="">
        <cdr:sp macro="" textlink="">
          <cdr:nvSpPr>
            <cdr:cNvPr id="3" name="TextBox 2">
              <a:extLst xmlns:a="http://schemas.openxmlformats.org/drawingml/2006/main">
                <a:ext uri="{FF2B5EF4-FFF2-40B4-BE49-F238E27FC236}">
                  <a16:creationId xmlns:a16="http://schemas.microsoft.com/office/drawing/2014/main" id="{2E16D9B2-103F-B7DA-A891-FB3D998588DD}"/>
                </a:ext>
              </a:extLst>
            </cdr:cNvPr>
            <cdr:cNvSpPr txBox="1"/>
          </cdr:nvSpPr>
          <cdr:spPr>
            <a:xfrm xmlns:a="http://schemas.openxmlformats.org/drawingml/2006/main">
              <a:off x="5457472" y="33547"/>
              <a:ext cx="3245912" cy="39365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400" b="1" kern="1200">
                  <a:latin typeface="Arial Nova Cond" panose="020B0506020202020204" pitchFamily="34" charset="0"/>
                </a:rPr>
                <a:t>Unit Scale: </a:t>
              </a:r>
              <a:r>
                <a:rPr kumimoji="0" lang="en-US" sz="14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~483,000 </a:t>
              </a:r>
              <a: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"MT</a:t>
              </a:r>
              <a:r>
                <a:rPr kumimoji="0" lang="en-US" sz="1200" b="0"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yr</a:t>
              </a:r>
              <a:r>
                <a:rPr kumimoji="0" lang="en-US" sz="1200" b="0"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a:t>
              </a:r>
              <a:r>
                <a:rPr kumimoji="0" lang="en-US" sz="14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Organic Waste</a:t>
              </a:r>
              <a:endParaRPr lang="en-US" sz="1400" kern="1200">
                <a:latin typeface="Arial Nova Cond" panose="020B0506020202020204" pitchFamily="34" charset="0"/>
              </a:endParaRPr>
            </a:p>
          </cdr:txBody>
        </cdr:sp>
      </mc:Fallback>
    </mc:AlternateContent>
  </cdr:relSizeAnchor>
  <cdr:relSizeAnchor xmlns:cdr="http://schemas.openxmlformats.org/drawingml/2006/chartDrawing">
    <cdr:from>
      <cdr:x>0.62675</cdr:x>
      <cdr:y>0.07499</cdr:y>
    </cdr:from>
    <cdr:to>
      <cdr:x>0.99621</cdr:x>
      <cdr:y>0.14258</cdr:y>
    </cdr:to>
    <mc:AlternateContent xmlns:mc="http://schemas.openxmlformats.org/markup-compatibility/2006" xmlns:a14="http://schemas.microsoft.com/office/drawing/2010/main">
      <mc:Choice Requires="a14">
        <cdr:sp macro="" textlink="">
          <cdr:nvSpPr>
            <cdr:cNvPr id="5" name="TextBox 1">
              <a:extLst xmlns:a="http://schemas.openxmlformats.org/drawingml/2006/main">
                <a:ext uri="{FF2B5EF4-FFF2-40B4-BE49-F238E27FC236}">
                  <a16:creationId xmlns:a16="http://schemas.microsoft.com/office/drawing/2014/main" id="{78EF29C4-F20A-FAB4-2C42-012749947D5E}"/>
                </a:ext>
              </a:extLst>
            </cdr:cNvPr>
            <cdr:cNvSpPr txBox="1"/>
          </cdr:nvSpPr>
          <cdr:spPr>
            <a:xfrm xmlns:a="http://schemas.openxmlformats.org/drawingml/2006/main">
              <a:off x="5448869" y="439317"/>
              <a:ext cx="3212041" cy="39589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b="1" kern="1200">
                  <a:latin typeface="Arial Nova Cond" panose="020B0506020202020204" pitchFamily="34" charset="0"/>
                </a:rPr>
                <a:t>Plant Scale: </a:t>
              </a:r>
              <a:r>
                <a:rPr lang="en-US" sz="1400" kern="1200">
                  <a:latin typeface="Arial Nova Cond" panose="020B0506020202020204" pitchFamily="34" charset="0"/>
                </a:rPr>
                <a:t>~483,000 </a:t>
              </a:r>
              <a14:m>
                <m:oMath xmlns:m="http://schemas.openxmlformats.org/officeDocument/2006/math">
                  <m:f>
                    <m:fPr>
                      <m:ctrlPr>
                        <a:rPr lang="en-US" sz="1200" b="0" i="0" kern="1200">
                          <a:latin typeface="Arial Nova Cond" panose="020B0506020202020204" pitchFamily="34" charset="0"/>
                        </a:rPr>
                      </m:ctrlPr>
                    </m:fPr>
                    <m:num>
                      <m:r>
                        <m:rPr>
                          <m:nor/>
                        </m:rPr>
                        <a:rPr lang="en-US" sz="1200" b="0" i="0" kern="1200">
                          <a:latin typeface="Arial Nova Cond" panose="020B0506020202020204" pitchFamily="34" charset="0"/>
                        </a:rPr>
                        <m:t>MT</m:t>
                      </m:r>
                    </m:num>
                    <m:den>
                      <m:r>
                        <m:rPr>
                          <m:nor/>
                        </m:rPr>
                        <a:rPr lang="en-US" sz="1200" b="0" i="0" kern="1200">
                          <a:latin typeface="Arial Nova Cond" panose="020B0506020202020204" pitchFamily="34" charset="0"/>
                        </a:rPr>
                        <m:t>yr</m:t>
                      </m:r>
                    </m:den>
                  </m:f>
                </m:oMath>
              </a14:m>
              <a:r>
                <a:rPr lang="en-US" sz="1200" kern="1200">
                  <a:latin typeface="Arial Nova Cond" panose="020B0506020202020204" pitchFamily="34" charset="0"/>
                </a:rPr>
                <a:t> </a:t>
              </a:r>
              <a:r>
                <a:rPr lang="en-US" sz="1400" kern="1200" baseline="0">
                  <a:latin typeface="Arial Nova Cond" panose="020B0506020202020204" pitchFamily="34" charset="0"/>
                </a:rPr>
                <a:t> Organic Waste</a:t>
              </a:r>
              <a:endParaRPr lang="en-US" sz="1400" kern="1200">
                <a:latin typeface="Arial Nova Cond" panose="020B0506020202020204" pitchFamily="34" charset="0"/>
              </a:endParaRPr>
            </a:p>
          </cdr:txBody>
        </cdr:sp>
      </mc:Choice>
      <mc:Fallback xmlns="">
        <cdr:sp macro="" textlink="">
          <cdr:nvSpPr>
            <cdr:cNvPr id="5" name="TextBox 1">
              <a:extLst xmlns:a="http://schemas.openxmlformats.org/drawingml/2006/main">
                <a:ext uri="{FF2B5EF4-FFF2-40B4-BE49-F238E27FC236}">
                  <a16:creationId xmlns:a16="http://schemas.microsoft.com/office/drawing/2014/main" id="{78EF29C4-F20A-FAB4-2C42-012749947D5E}"/>
                </a:ext>
              </a:extLst>
            </cdr:cNvPr>
            <cdr:cNvSpPr txBox="1"/>
          </cdr:nvSpPr>
          <cdr:spPr>
            <a:xfrm xmlns:a="http://schemas.openxmlformats.org/drawingml/2006/main">
              <a:off x="5448869" y="439317"/>
              <a:ext cx="3212041" cy="39589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b="1" kern="1200">
                  <a:latin typeface="Arial Nova Cond" panose="020B0506020202020204" pitchFamily="34" charset="0"/>
                </a:rPr>
                <a:t>Plant Scale: </a:t>
              </a:r>
              <a:r>
                <a:rPr lang="en-US" sz="1400" kern="1200">
                  <a:latin typeface="Arial Nova Cond" panose="020B0506020202020204" pitchFamily="34" charset="0"/>
                </a:rPr>
                <a:t>~483,000 </a:t>
              </a:r>
              <a:r>
                <a:rPr lang="en-US" sz="1200" b="0" i="0" kern="1200">
                  <a:latin typeface="Arial Nova Cond" panose="020B0506020202020204" pitchFamily="34" charset="0"/>
                </a:rPr>
                <a:t>"MT</a:t>
              </a:r>
              <a:r>
                <a:rPr lang="en-US" sz="1200" b="0" i="0" kern="1200">
                  <a:latin typeface="Cambria Math" panose="02040503050406030204" pitchFamily="18" charset="0"/>
                </a:rPr>
                <a:t>" /"</a:t>
              </a:r>
              <a:r>
                <a:rPr lang="en-US" sz="1200" b="0" i="0" kern="1200">
                  <a:latin typeface="Arial Nova Cond" panose="020B0506020202020204" pitchFamily="34" charset="0"/>
                </a:rPr>
                <a:t>yr</a:t>
              </a:r>
              <a:r>
                <a:rPr lang="en-US" sz="1200" b="0" i="0" kern="1200">
                  <a:latin typeface="Cambria Math" panose="02040503050406030204" pitchFamily="18" charset="0"/>
                </a:rPr>
                <a:t>" </a:t>
              </a:r>
              <a:r>
                <a:rPr lang="en-US" sz="1200" kern="1200">
                  <a:latin typeface="Arial Nova Cond" panose="020B0506020202020204" pitchFamily="34" charset="0"/>
                </a:rPr>
                <a:t> </a:t>
              </a:r>
              <a:r>
                <a:rPr lang="en-US" sz="1400" kern="1200" baseline="0">
                  <a:latin typeface="Arial Nova Cond" panose="020B0506020202020204" pitchFamily="34" charset="0"/>
                </a:rPr>
                <a:t> Organic Waste</a:t>
              </a:r>
              <a:endParaRPr lang="en-US" sz="1400" kern="1200">
                <a:latin typeface="Arial Nova Cond" panose="020B0506020202020204" pitchFamily="34" charset="0"/>
              </a:endParaRPr>
            </a:p>
          </cdr:txBody>
        </cdr:sp>
      </mc:Fallback>
    </mc:AlternateContent>
  </cdr:relSizeAnchor>
  <cdr:relSizeAnchor xmlns:cdr="http://schemas.openxmlformats.org/drawingml/2006/chartDrawing">
    <cdr:from>
      <cdr:x>0.0042</cdr:x>
      <cdr:y>0.15198</cdr:y>
    </cdr:from>
    <cdr:to>
      <cdr:x>0.05825</cdr:x>
      <cdr:y>0.19653</cdr:y>
    </cdr:to>
    <cdr:sp macro="" textlink="">
      <cdr:nvSpPr>
        <cdr:cNvPr id="7" name="Rectangle 6">
          <a:extLst xmlns:a="http://schemas.openxmlformats.org/drawingml/2006/main">
            <a:ext uri="{FF2B5EF4-FFF2-40B4-BE49-F238E27FC236}">
              <a16:creationId xmlns:a16="http://schemas.microsoft.com/office/drawing/2014/main" id="{01C549B7-6F0D-55EB-1DF9-E46C824B8B10}"/>
            </a:ext>
          </a:extLst>
        </cdr:cNvPr>
        <cdr:cNvSpPr/>
      </cdr:nvSpPr>
      <cdr:spPr>
        <a:xfrm xmlns:a="http://schemas.openxmlformats.org/drawingml/2006/main">
          <a:off x="36504" y="890292"/>
          <a:ext cx="469932" cy="260972"/>
        </a:xfrm>
        <a:prstGeom xmlns:a="http://schemas.openxmlformats.org/drawingml/2006/main" prst="rect">
          <a:avLst/>
        </a:prstGeom>
        <a:solidFill xmlns:a="http://schemas.openxmlformats.org/drawingml/2006/main">
          <a:schemeClr val="bg1"/>
        </a:solidFill>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horz"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900" b="1" kern="1200">
              <a:solidFill>
                <a:sysClr val="windowText" lastClr="000000"/>
              </a:solidFill>
              <a:latin typeface="Arial Nova Cond" panose="020B0506020202020204" pitchFamily="34" charset="0"/>
            </a:rPr>
            <a:t>CONV</a:t>
          </a:r>
        </a:p>
      </cdr:txBody>
    </cdr:sp>
  </cdr:relSizeAnchor>
  <cdr:relSizeAnchor xmlns:cdr="http://schemas.openxmlformats.org/drawingml/2006/chartDrawing">
    <cdr:from>
      <cdr:x>0.00956</cdr:x>
      <cdr:y>0.01674</cdr:y>
    </cdr:from>
    <cdr:to>
      <cdr:x>0.66692</cdr:x>
      <cdr:y>0.12243</cdr:y>
    </cdr:to>
    <cdr:sp macro="" textlink="">
      <cdr:nvSpPr>
        <cdr:cNvPr id="8" name="TextBox 7">
          <a:extLst xmlns:a="http://schemas.openxmlformats.org/drawingml/2006/main">
            <a:ext uri="{FF2B5EF4-FFF2-40B4-BE49-F238E27FC236}">
              <a16:creationId xmlns:a16="http://schemas.microsoft.com/office/drawing/2014/main" id="{AD2C0E70-E8C1-3E10-775D-D417054915DF}"/>
            </a:ext>
          </a:extLst>
        </cdr:cNvPr>
        <cdr:cNvSpPr txBox="1"/>
      </cdr:nvSpPr>
      <cdr:spPr>
        <a:xfrm xmlns:a="http://schemas.openxmlformats.org/drawingml/2006/main">
          <a:off x="83119" y="98063"/>
          <a:ext cx="5715000" cy="619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0.01078</cdr:x>
      <cdr:y>0.01313</cdr:y>
    </cdr:from>
    <cdr:to>
      <cdr:x>0.69492</cdr:x>
      <cdr:y>0.13959</cdr:y>
    </cdr:to>
    <cdr:sp macro="" textlink="">
      <cdr:nvSpPr>
        <cdr:cNvPr id="9" name="TextBox 8">
          <a:extLst xmlns:a="http://schemas.openxmlformats.org/drawingml/2006/main">
            <a:ext uri="{FF2B5EF4-FFF2-40B4-BE49-F238E27FC236}">
              <a16:creationId xmlns:a16="http://schemas.microsoft.com/office/drawing/2014/main" id="{4894452E-5DAD-8998-6E47-2488F9C428CC}"/>
            </a:ext>
          </a:extLst>
        </cdr:cNvPr>
        <cdr:cNvSpPr txBox="1"/>
      </cdr:nvSpPr>
      <cdr:spPr>
        <a:xfrm xmlns:a="http://schemas.openxmlformats.org/drawingml/2006/main">
          <a:off x="93702" y="76895"/>
          <a:ext cx="5947833" cy="74083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2800" b="1" kern="1200">
              <a:latin typeface="Arial Nova Cond" panose="020B0506020202020204" pitchFamily="34" charset="0"/>
            </a:rPr>
            <a:t>LIFE CYCLE</a:t>
          </a:r>
          <a:r>
            <a:rPr lang="en-US" sz="2800" b="1" kern="1200" baseline="0">
              <a:latin typeface="Arial Nova Cond" panose="020B0506020202020204" pitchFamily="34" charset="0"/>
            </a:rPr>
            <a:t> ASSESSMENT</a:t>
          </a:r>
        </a:p>
        <a:p xmlns:a="http://schemas.openxmlformats.org/drawingml/2006/main">
          <a:r>
            <a:rPr lang="en-US" sz="1050" b="1" kern="1200">
              <a:latin typeface="Arial Nova Cond" panose="020B0506020202020204" pitchFamily="34" charset="0"/>
            </a:rPr>
            <a:t>of </a:t>
          </a:r>
          <a:r>
            <a:rPr lang="en-US" sz="1050" b="1" kern="1200">
              <a:solidFill>
                <a:srgbClr val="996633"/>
              </a:solidFill>
              <a:latin typeface="Arial Nova Cond" panose="020B0506020202020204" pitchFamily="34" charset="0"/>
            </a:rPr>
            <a:t>Proposed</a:t>
          </a:r>
          <a:r>
            <a:rPr lang="en-US" sz="1050" b="1" kern="1200">
              <a:latin typeface="Arial Nova Cond" panose="020B0506020202020204" pitchFamily="34" charset="0"/>
            </a:rPr>
            <a:t> Upstream Anaerobic Digestion </a:t>
          </a:r>
          <a:r>
            <a:rPr lang="en-US" sz="1050" b="0" kern="1200">
              <a:latin typeface="Arial Nova Cond" panose="020B0506020202020204" pitchFamily="34" charset="0"/>
            </a:rPr>
            <a:t>compared to Conventional Anaerobic Digestion</a:t>
          </a:r>
        </a:p>
      </cdr:txBody>
    </cdr:sp>
  </cdr:relSizeAnchor>
  <cdr:relSizeAnchor xmlns:cdr="http://schemas.openxmlformats.org/drawingml/2006/chartDrawing">
    <cdr:from>
      <cdr:x>0.06024</cdr:x>
      <cdr:y>0.1984</cdr:y>
    </cdr:from>
    <cdr:to>
      <cdr:x>0.14862</cdr:x>
      <cdr:y>0.24319</cdr:y>
    </cdr:to>
    <cdr:sp macro="" textlink="">
      <cdr:nvSpPr>
        <cdr:cNvPr id="10" name="Rectangle 9">
          <a:extLst xmlns:a="http://schemas.openxmlformats.org/drawingml/2006/main">
            <a:ext uri="{FF2B5EF4-FFF2-40B4-BE49-F238E27FC236}">
              <a16:creationId xmlns:a16="http://schemas.microsoft.com/office/drawing/2014/main" id="{F1142C89-5FA5-CAA1-8F74-56E178EF05F2}"/>
            </a:ext>
          </a:extLst>
        </cdr:cNvPr>
        <cdr:cNvSpPr/>
      </cdr:nvSpPr>
      <cdr:spPr>
        <a:xfrm xmlns:a="http://schemas.openxmlformats.org/drawingml/2006/main">
          <a:off x="524164" y="1159164"/>
          <a:ext cx="769001" cy="26166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996633"/>
              </a:solidFill>
              <a:latin typeface="Arial Nova Cond" panose="020B0506020202020204" pitchFamily="34" charset="0"/>
            </a:rPr>
            <a:t>0.18</a:t>
          </a:r>
        </a:p>
      </cdr:txBody>
    </cdr:sp>
  </cdr:relSizeAnchor>
  <cdr:relSizeAnchor xmlns:cdr="http://schemas.openxmlformats.org/drawingml/2006/chartDrawing">
    <cdr:from>
      <cdr:x>0.15275</cdr:x>
      <cdr:y>0.19751</cdr:y>
    </cdr:from>
    <cdr:to>
      <cdr:x>0.239</cdr:x>
      <cdr:y>0.24692</cdr:y>
    </cdr:to>
    <cdr:sp macro="" textlink="">
      <cdr:nvSpPr>
        <cdr:cNvPr id="11" name="Rectangle 10">
          <a:extLst xmlns:a="http://schemas.openxmlformats.org/drawingml/2006/main">
            <a:ext uri="{FF2B5EF4-FFF2-40B4-BE49-F238E27FC236}">
              <a16:creationId xmlns:a16="http://schemas.microsoft.com/office/drawing/2014/main" id="{3D394DC3-53AB-8548-C9C9-DB689270CE69}"/>
            </a:ext>
          </a:extLst>
        </cdr:cNvPr>
        <cdr:cNvSpPr/>
      </cdr:nvSpPr>
      <cdr:spPr>
        <a:xfrm xmlns:a="http://schemas.openxmlformats.org/drawingml/2006/main">
          <a:off x="1329065" y="1153991"/>
          <a:ext cx="750455"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996633"/>
              </a:solidFill>
              <a:latin typeface="Arial Nova Cond" panose="020B0506020202020204" pitchFamily="34" charset="0"/>
            </a:rPr>
            <a:t>1.5E-5</a:t>
          </a:r>
        </a:p>
      </cdr:txBody>
    </cdr:sp>
  </cdr:relSizeAnchor>
  <cdr:relSizeAnchor xmlns:cdr="http://schemas.openxmlformats.org/drawingml/2006/chartDrawing">
    <cdr:from>
      <cdr:x>0.24696</cdr:x>
      <cdr:y>0.19741</cdr:y>
    </cdr:from>
    <cdr:to>
      <cdr:x>0.33321</cdr:x>
      <cdr:y>0.24681</cdr:y>
    </cdr:to>
    <cdr:sp macro="" textlink="">
      <cdr:nvSpPr>
        <cdr:cNvPr id="23" name="Rectangle 22">
          <a:extLst xmlns:a="http://schemas.openxmlformats.org/drawingml/2006/main">
            <a:ext uri="{FF2B5EF4-FFF2-40B4-BE49-F238E27FC236}">
              <a16:creationId xmlns:a16="http://schemas.microsoft.com/office/drawing/2014/main" id="{F88C6C2F-D165-2FBC-C4FD-79D188286206}"/>
            </a:ext>
          </a:extLst>
        </cdr:cNvPr>
        <cdr:cNvSpPr/>
      </cdr:nvSpPr>
      <cdr:spPr>
        <a:xfrm xmlns:a="http://schemas.openxmlformats.org/drawingml/2006/main">
          <a:off x="2148794" y="1153391"/>
          <a:ext cx="750454"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996633"/>
              </a:solidFill>
              <a:latin typeface="Arial Nova Cond" panose="020B0506020202020204" pitchFamily="34" charset="0"/>
            </a:rPr>
            <a:t>2,101</a:t>
          </a:r>
        </a:p>
      </cdr:txBody>
    </cdr:sp>
  </cdr:relSizeAnchor>
  <cdr:relSizeAnchor xmlns:cdr="http://schemas.openxmlformats.org/drawingml/2006/chartDrawing">
    <cdr:from>
      <cdr:x>0.34088</cdr:x>
      <cdr:y>0.19544</cdr:y>
    </cdr:from>
    <cdr:to>
      <cdr:x>0.42713</cdr:x>
      <cdr:y>0.24484</cdr:y>
    </cdr:to>
    <cdr:sp macro="" textlink="">
      <cdr:nvSpPr>
        <cdr:cNvPr id="33" name="Rectangle 32">
          <a:extLst xmlns:a="http://schemas.openxmlformats.org/drawingml/2006/main">
            <a:ext uri="{FF2B5EF4-FFF2-40B4-BE49-F238E27FC236}">
              <a16:creationId xmlns:a16="http://schemas.microsoft.com/office/drawing/2014/main" id="{CF8E6F71-0011-BC38-BB7C-AA91624271EE}"/>
            </a:ext>
          </a:extLst>
        </cdr:cNvPr>
        <cdr:cNvSpPr/>
      </cdr:nvSpPr>
      <cdr:spPr>
        <a:xfrm xmlns:a="http://schemas.openxmlformats.org/drawingml/2006/main">
          <a:off x="2966027" y="1141845"/>
          <a:ext cx="750454"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996633"/>
              </a:solidFill>
              <a:latin typeface="Arial Nova Cond" panose="020B0506020202020204" pitchFamily="34" charset="0"/>
            </a:rPr>
            <a:t>0.05</a:t>
          </a:r>
        </a:p>
      </cdr:txBody>
    </cdr:sp>
  </cdr:relSizeAnchor>
  <cdr:relSizeAnchor xmlns:cdr="http://schemas.openxmlformats.org/drawingml/2006/chartDrawing">
    <cdr:from>
      <cdr:x>0.43604</cdr:x>
      <cdr:y>0.19544</cdr:y>
    </cdr:from>
    <cdr:to>
      <cdr:x>0.5203</cdr:x>
      <cdr:y>0.24484</cdr:y>
    </cdr:to>
    <cdr:sp macro="" textlink="">
      <cdr:nvSpPr>
        <cdr:cNvPr id="34" name="Rectangle 33">
          <a:extLst xmlns:a="http://schemas.openxmlformats.org/drawingml/2006/main">
            <a:ext uri="{FF2B5EF4-FFF2-40B4-BE49-F238E27FC236}">
              <a16:creationId xmlns:a16="http://schemas.microsoft.com/office/drawing/2014/main" id="{1E0A755A-A199-1A2B-4E3A-60B334DB84B2}"/>
            </a:ext>
          </a:extLst>
        </cdr:cNvPr>
        <cdr:cNvSpPr/>
      </cdr:nvSpPr>
      <cdr:spPr>
        <a:xfrm xmlns:a="http://schemas.openxmlformats.org/drawingml/2006/main">
          <a:off x="3794021" y="1141845"/>
          <a:ext cx="733136"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996633"/>
              </a:solidFill>
              <a:latin typeface="Arial Nova Cond" panose="020B0506020202020204" pitchFamily="34" charset="0"/>
            </a:rPr>
            <a:t>0.12</a:t>
          </a:r>
        </a:p>
      </cdr:txBody>
    </cdr:sp>
  </cdr:relSizeAnchor>
  <cdr:relSizeAnchor xmlns:cdr="http://schemas.openxmlformats.org/drawingml/2006/chartDrawing">
    <cdr:from>
      <cdr:x>0.52797</cdr:x>
      <cdr:y>0.1985</cdr:y>
    </cdr:from>
    <cdr:to>
      <cdr:x>0.61223</cdr:x>
      <cdr:y>0.24791</cdr:y>
    </cdr:to>
    <cdr:sp macro="" textlink="">
      <cdr:nvSpPr>
        <cdr:cNvPr id="56" name="Rectangle 55">
          <a:extLst xmlns:a="http://schemas.openxmlformats.org/drawingml/2006/main">
            <a:ext uri="{FF2B5EF4-FFF2-40B4-BE49-F238E27FC236}">
              <a16:creationId xmlns:a16="http://schemas.microsoft.com/office/drawing/2014/main" id="{12894642-16C3-0997-C3DD-38F93A4EDFF3}"/>
            </a:ext>
          </a:extLst>
        </cdr:cNvPr>
        <cdr:cNvSpPr/>
      </cdr:nvSpPr>
      <cdr:spPr>
        <a:xfrm xmlns:a="http://schemas.openxmlformats.org/drawingml/2006/main">
          <a:off x="4593936" y="1159763"/>
          <a:ext cx="733136" cy="288637"/>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996633"/>
              </a:solidFill>
              <a:latin typeface="Arial Nova Cond" panose="020B0506020202020204" pitchFamily="34" charset="0"/>
            </a:rPr>
            <a:t>34.70</a:t>
          </a:r>
        </a:p>
      </cdr:txBody>
    </cdr:sp>
  </cdr:relSizeAnchor>
  <cdr:relSizeAnchor xmlns:cdr="http://schemas.openxmlformats.org/drawingml/2006/chartDrawing">
    <cdr:from>
      <cdr:x>0.61915</cdr:x>
      <cdr:y>0.19751</cdr:y>
    </cdr:from>
    <cdr:to>
      <cdr:x>0.70777</cdr:x>
      <cdr:y>0.24484</cdr:y>
    </cdr:to>
    <cdr:sp macro="" textlink="">
      <cdr:nvSpPr>
        <cdr:cNvPr id="57" name="Rectangle 56">
          <a:extLst xmlns:a="http://schemas.openxmlformats.org/drawingml/2006/main">
            <a:ext uri="{FF2B5EF4-FFF2-40B4-BE49-F238E27FC236}">
              <a16:creationId xmlns:a16="http://schemas.microsoft.com/office/drawing/2014/main" id="{5F906069-F3F1-1742-358F-C716FFCD387E}"/>
            </a:ext>
          </a:extLst>
        </cdr:cNvPr>
        <cdr:cNvSpPr/>
      </cdr:nvSpPr>
      <cdr:spPr>
        <a:xfrm xmlns:a="http://schemas.openxmlformats.org/drawingml/2006/main">
          <a:off x="5387293" y="1153991"/>
          <a:ext cx="771052" cy="27649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996633"/>
              </a:solidFill>
              <a:latin typeface="Arial Nova Cond" panose="020B0506020202020204" pitchFamily="34" charset="0"/>
            </a:rPr>
            <a:t>4.6E-4</a:t>
          </a:r>
        </a:p>
      </cdr:txBody>
    </cdr:sp>
  </cdr:relSizeAnchor>
  <cdr:relSizeAnchor xmlns:cdr="http://schemas.openxmlformats.org/drawingml/2006/chartDrawing">
    <cdr:from>
      <cdr:x>0.71374</cdr:x>
      <cdr:y>0.1984</cdr:y>
    </cdr:from>
    <cdr:to>
      <cdr:x>0.80236</cdr:x>
      <cdr:y>0.24572</cdr:y>
    </cdr:to>
    <cdr:sp macro="" textlink="">
      <cdr:nvSpPr>
        <cdr:cNvPr id="58" name="Rectangle 57">
          <a:extLst xmlns:a="http://schemas.openxmlformats.org/drawingml/2006/main">
            <a:ext uri="{FF2B5EF4-FFF2-40B4-BE49-F238E27FC236}">
              <a16:creationId xmlns:a16="http://schemas.microsoft.com/office/drawing/2014/main" id="{119526E8-376D-46BE-92B7-15823BBBDC17}"/>
            </a:ext>
          </a:extLst>
        </cdr:cNvPr>
        <cdr:cNvSpPr/>
      </cdr:nvSpPr>
      <cdr:spPr>
        <a:xfrm xmlns:a="http://schemas.openxmlformats.org/drawingml/2006/main">
          <a:off x="6210301" y="1159164"/>
          <a:ext cx="771052" cy="27649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996633"/>
              </a:solidFill>
              <a:latin typeface="Arial Nova Cond" panose="020B0506020202020204" pitchFamily="34" charset="0"/>
            </a:rPr>
            <a:t>3.4E-7</a:t>
          </a:r>
        </a:p>
      </cdr:txBody>
    </cdr:sp>
  </cdr:relSizeAnchor>
  <cdr:relSizeAnchor xmlns:cdr="http://schemas.openxmlformats.org/drawingml/2006/chartDrawing">
    <cdr:from>
      <cdr:x>0.80824</cdr:x>
      <cdr:y>0.19642</cdr:y>
    </cdr:from>
    <cdr:to>
      <cdr:x>0.89325</cdr:x>
      <cdr:y>0.24593</cdr:y>
    </cdr:to>
    <cdr:sp macro="" textlink="">
      <cdr:nvSpPr>
        <cdr:cNvPr id="59" name="Rectangle 58">
          <a:extLst xmlns:a="http://schemas.openxmlformats.org/drawingml/2006/main">
            <a:ext uri="{FF2B5EF4-FFF2-40B4-BE49-F238E27FC236}">
              <a16:creationId xmlns:a16="http://schemas.microsoft.com/office/drawing/2014/main" id="{961C3CE3-5EE6-DC90-E110-0301918CC8ED}"/>
            </a:ext>
          </a:extLst>
        </cdr:cNvPr>
        <cdr:cNvSpPr/>
      </cdr:nvSpPr>
      <cdr:spPr>
        <a:xfrm xmlns:a="http://schemas.openxmlformats.org/drawingml/2006/main">
          <a:off x="7032520" y="1147618"/>
          <a:ext cx="739695" cy="2892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996633"/>
              </a:solidFill>
              <a:latin typeface="Arial Nova Cond" panose="020B0506020202020204" pitchFamily="34" charset="0"/>
            </a:rPr>
            <a:t>0.30</a:t>
          </a:r>
        </a:p>
      </cdr:txBody>
    </cdr:sp>
  </cdr:relSizeAnchor>
  <cdr:relSizeAnchor xmlns:cdr="http://schemas.openxmlformats.org/drawingml/2006/chartDrawing">
    <cdr:from>
      <cdr:x>0.90415</cdr:x>
      <cdr:y>0.19741</cdr:y>
    </cdr:from>
    <cdr:to>
      <cdr:x>0.98916</cdr:x>
      <cdr:y>0.24692</cdr:y>
    </cdr:to>
    <cdr:sp macro="" textlink="">
      <cdr:nvSpPr>
        <cdr:cNvPr id="60" name="Rectangle 59">
          <a:extLst xmlns:a="http://schemas.openxmlformats.org/drawingml/2006/main">
            <a:ext uri="{FF2B5EF4-FFF2-40B4-BE49-F238E27FC236}">
              <a16:creationId xmlns:a16="http://schemas.microsoft.com/office/drawing/2014/main" id="{EA788B34-C4C2-969D-4549-3F07A1A9CA02}"/>
            </a:ext>
          </a:extLst>
        </cdr:cNvPr>
        <cdr:cNvSpPr/>
      </cdr:nvSpPr>
      <cdr:spPr>
        <a:xfrm xmlns:a="http://schemas.openxmlformats.org/drawingml/2006/main">
          <a:off x="7867073" y="1153391"/>
          <a:ext cx="739695" cy="2892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996633"/>
              </a:solidFill>
              <a:latin typeface="Arial Nova Cond" panose="020B0506020202020204" pitchFamily="34" charset="0"/>
            </a:rPr>
            <a:t>1.67</a:t>
          </a:r>
        </a:p>
      </cdr:txBody>
    </cdr:sp>
  </cdr:relSizeAnchor>
</c:userShapes>
</file>

<file path=xl/drawings/drawing65.xml><?xml version="1.0" encoding="utf-8"?>
<c:userShapes xmlns:c="http://schemas.openxmlformats.org/drawingml/2006/chart">
  <cdr:relSizeAnchor xmlns:cdr="http://schemas.openxmlformats.org/drawingml/2006/chartDrawing">
    <cdr:from>
      <cdr:x>0.06038</cdr:x>
      <cdr:y>0.1973</cdr:y>
    </cdr:from>
    <cdr:to>
      <cdr:x>0.99043</cdr:x>
      <cdr:y>0.24693</cdr:y>
    </cdr:to>
    <cdr:sp macro="" textlink="">
      <cdr:nvSpPr>
        <cdr:cNvPr id="2" name="Rectangle 1">
          <a:extLst xmlns:a="http://schemas.openxmlformats.org/drawingml/2006/main">
            <a:ext uri="{FF2B5EF4-FFF2-40B4-BE49-F238E27FC236}">
              <a16:creationId xmlns:a16="http://schemas.microsoft.com/office/drawing/2014/main" id="{2C2C4324-6151-B033-6D63-6E4C1C0F4FC7}"/>
            </a:ext>
          </a:extLst>
        </cdr:cNvPr>
        <cdr:cNvSpPr/>
      </cdr:nvSpPr>
      <cdr:spPr>
        <a:xfrm xmlns:a="http://schemas.openxmlformats.org/drawingml/2006/main">
          <a:off x="525371" y="1152760"/>
          <a:ext cx="8092435" cy="289943"/>
        </a:xfrm>
        <a:prstGeom xmlns:a="http://schemas.openxmlformats.org/drawingml/2006/main" prst="rect">
          <a:avLst/>
        </a:prstGeom>
        <a:noFill xmlns:a="http://schemas.openxmlformats.org/drawingml/2006/main"/>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0.07945</cdr:x>
      <cdr:y>0.642</cdr:y>
    </cdr:from>
    <cdr:to>
      <cdr:x>0.12454</cdr:x>
      <cdr:y>0.83401</cdr:y>
    </cdr:to>
    <cdr:sp macro="" textlink="">
      <cdr:nvSpPr>
        <cdr:cNvPr id="4" name="Rectangle 3">
          <a:extLst xmlns:a="http://schemas.openxmlformats.org/drawingml/2006/main">
            <a:ext uri="{FF2B5EF4-FFF2-40B4-BE49-F238E27FC236}">
              <a16:creationId xmlns:a16="http://schemas.microsoft.com/office/drawing/2014/main" id="{A4AA6EBC-AA64-2CE5-EF85-A134F712A8BC}"/>
            </a:ext>
          </a:extLst>
        </cdr:cNvPr>
        <cdr:cNvSpPr/>
      </cdr:nvSpPr>
      <cdr:spPr>
        <a:xfrm xmlns:a="http://schemas.openxmlformats.org/drawingml/2006/main" rot="16200000">
          <a:off x="324231" y="4128253"/>
          <a:ext cx="1125066" cy="39200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Acidification</a:t>
          </a:r>
        </a:p>
      </cdr:txBody>
    </cdr:sp>
  </cdr:relSizeAnchor>
  <cdr:relSizeAnchor xmlns:cdr="http://schemas.openxmlformats.org/drawingml/2006/chartDrawing">
    <cdr:from>
      <cdr:x>0.06038</cdr:x>
      <cdr:y>0.14935</cdr:y>
    </cdr:from>
    <cdr:to>
      <cdr:x>0.14733</cdr:x>
      <cdr:y>0.82015</cdr:y>
    </cdr:to>
    <cdr:sp macro="" textlink="">
      <cdr:nvSpPr>
        <cdr:cNvPr id="12" name="Rectangle 11">
          <a:extLst xmlns:a="http://schemas.openxmlformats.org/drawingml/2006/main">
            <a:ext uri="{FF2B5EF4-FFF2-40B4-BE49-F238E27FC236}">
              <a16:creationId xmlns:a16="http://schemas.microsoft.com/office/drawing/2014/main" id="{8F93B1DC-81D6-704E-7B1A-2DF681A21527}"/>
            </a:ext>
          </a:extLst>
        </cdr:cNvPr>
        <cdr:cNvSpPr/>
      </cdr:nvSpPr>
      <cdr:spPr>
        <a:xfrm xmlns:a="http://schemas.openxmlformats.org/drawingml/2006/main">
          <a:off x="524524" y="878740"/>
          <a:ext cx="755340" cy="3946676"/>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0.15317</cdr:x>
      <cdr:y>0.14935</cdr:y>
    </cdr:from>
    <cdr:to>
      <cdr:x>0.24012</cdr:x>
      <cdr:y>0.82124</cdr:y>
    </cdr:to>
    <cdr:sp macro="" textlink="">
      <cdr:nvSpPr>
        <cdr:cNvPr id="13" name="Rectangle 12">
          <a:extLst xmlns:a="http://schemas.openxmlformats.org/drawingml/2006/main">
            <a:ext uri="{FF2B5EF4-FFF2-40B4-BE49-F238E27FC236}">
              <a16:creationId xmlns:a16="http://schemas.microsoft.com/office/drawing/2014/main" id="{53397101-523D-1381-5961-A2C3AFBB67C7}"/>
            </a:ext>
          </a:extLst>
        </cdr:cNvPr>
        <cdr:cNvSpPr/>
      </cdr:nvSpPr>
      <cdr:spPr>
        <a:xfrm xmlns:a="http://schemas.openxmlformats.org/drawingml/2006/main">
          <a:off x="1331451" y="876854"/>
          <a:ext cx="755826" cy="3944604"/>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0.34021</cdr:x>
      <cdr:y>0.15012</cdr:y>
    </cdr:from>
    <cdr:to>
      <cdr:x>0.42716</cdr:x>
      <cdr:y>0.81992</cdr:y>
    </cdr:to>
    <cdr:sp macro="" textlink="">
      <cdr:nvSpPr>
        <cdr:cNvPr id="15" name="Rectangle 14">
          <a:extLst xmlns:a="http://schemas.openxmlformats.org/drawingml/2006/main">
            <a:ext uri="{FF2B5EF4-FFF2-40B4-BE49-F238E27FC236}">
              <a16:creationId xmlns:a16="http://schemas.microsoft.com/office/drawing/2014/main" id="{763C7CC9-F842-D040-2FFE-F75B09255240}"/>
            </a:ext>
          </a:extLst>
        </cdr:cNvPr>
        <cdr:cNvSpPr/>
      </cdr:nvSpPr>
      <cdr:spPr>
        <a:xfrm xmlns:a="http://schemas.openxmlformats.org/drawingml/2006/main">
          <a:off x="2955423" y="883276"/>
          <a:ext cx="755340" cy="3940818"/>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0.43373</cdr:x>
      <cdr:y>0.15012</cdr:y>
    </cdr:from>
    <cdr:to>
      <cdr:x>0.52068</cdr:x>
      <cdr:y>0.82082</cdr:y>
    </cdr:to>
    <cdr:sp macro="" textlink="">
      <cdr:nvSpPr>
        <cdr:cNvPr id="16" name="Rectangle 15">
          <a:extLst xmlns:a="http://schemas.openxmlformats.org/drawingml/2006/main">
            <a:ext uri="{FF2B5EF4-FFF2-40B4-BE49-F238E27FC236}">
              <a16:creationId xmlns:a16="http://schemas.microsoft.com/office/drawing/2014/main" id="{4D31B2F8-EB0A-1599-D708-2C46D5AC4370}"/>
            </a:ext>
          </a:extLst>
        </cdr:cNvPr>
        <cdr:cNvSpPr/>
      </cdr:nvSpPr>
      <cdr:spPr>
        <a:xfrm xmlns:a="http://schemas.openxmlformats.org/drawingml/2006/main">
          <a:off x="3767837" y="883276"/>
          <a:ext cx="755339" cy="3946132"/>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0.52725</cdr:x>
      <cdr:y>0.15023</cdr:y>
    </cdr:from>
    <cdr:to>
      <cdr:x>0.6142</cdr:x>
      <cdr:y>0.82173</cdr:y>
    </cdr:to>
    <cdr:sp macro="" textlink="">
      <cdr:nvSpPr>
        <cdr:cNvPr id="17" name="Rectangle 16">
          <a:extLst xmlns:a="http://schemas.openxmlformats.org/drawingml/2006/main">
            <a:ext uri="{FF2B5EF4-FFF2-40B4-BE49-F238E27FC236}">
              <a16:creationId xmlns:a16="http://schemas.microsoft.com/office/drawing/2014/main" id="{3615032F-D089-16C2-E6E1-A54F75B6C4D8}"/>
            </a:ext>
          </a:extLst>
        </cdr:cNvPr>
        <cdr:cNvSpPr/>
      </cdr:nvSpPr>
      <cdr:spPr>
        <a:xfrm xmlns:a="http://schemas.openxmlformats.org/drawingml/2006/main">
          <a:off x="4583837" y="880251"/>
          <a:ext cx="755931" cy="3934591"/>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0.62077</cdr:x>
      <cdr:y>0.15023</cdr:y>
    </cdr:from>
    <cdr:to>
      <cdr:x>0.70772</cdr:x>
      <cdr:y>0.82173</cdr:y>
    </cdr:to>
    <cdr:sp macro="" textlink="">
      <cdr:nvSpPr>
        <cdr:cNvPr id="18" name="Rectangle 17">
          <a:extLst xmlns:a="http://schemas.openxmlformats.org/drawingml/2006/main">
            <a:ext uri="{FF2B5EF4-FFF2-40B4-BE49-F238E27FC236}">
              <a16:creationId xmlns:a16="http://schemas.microsoft.com/office/drawing/2014/main" id="{22C17833-ADB0-7797-0E08-DB7494E70DF4}"/>
            </a:ext>
          </a:extLst>
        </cdr:cNvPr>
        <cdr:cNvSpPr/>
      </cdr:nvSpPr>
      <cdr:spPr>
        <a:xfrm xmlns:a="http://schemas.openxmlformats.org/drawingml/2006/main">
          <a:off x="5396887" y="880253"/>
          <a:ext cx="755931" cy="3934590"/>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0.71429</cdr:x>
      <cdr:y>0.1509</cdr:y>
    </cdr:from>
    <cdr:to>
      <cdr:x>0.80124</cdr:x>
      <cdr:y>0.82173</cdr:y>
    </cdr:to>
    <cdr:sp macro="" textlink="">
      <cdr:nvSpPr>
        <cdr:cNvPr id="19" name="Rectangle 18">
          <a:extLst xmlns:a="http://schemas.openxmlformats.org/drawingml/2006/main">
            <a:ext uri="{FF2B5EF4-FFF2-40B4-BE49-F238E27FC236}">
              <a16:creationId xmlns:a16="http://schemas.microsoft.com/office/drawing/2014/main" id="{C4E5A007-18D2-4BC1-DF52-4B5EECB27F0E}"/>
            </a:ext>
          </a:extLst>
        </cdr:cNvPr>
        <cdr:cNvSpPr/>
      </cdr:nvSpPr>
      <cdr:spPr>
        <a:xfrm xmlns:a="http://schemas.openxmlformats.org/drawingml/2006/main">
          <a:off x="6205076" y="887812"/>
          <a:ext cx="755339" cy="3946908"/>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0.80781</cdr:x>
      <cdr:y>0.1509</cdr:y>
    </cdr:from>
    <cdr:to>
      <cdr:x>0.89476</cdr:x>
      <cdr:y>0.82173</cdr:y>
    </cdr:to>
    <cdr:sp macro="" textlink="">
      <cdr:nvSpPr>
        <cdr:cNvPr id="20" name="Rectangle 19">
          <a:extLst xmlns:a="http://schemas.openxmlformats.org/drawingml/2006/main">
            <a:ext uri="{FF2B5EF4-FFF2-40B4-BE49-F238E27FC236}">
              <a16:creationId xmlns:a16="http://schemas.microsoft.com/office/drawing/2014/main" id="{2A208449-ACA3-AEC4-0212-470095E3609A}"/>
            </a:ext>
          </a:extLst>
        </cdr:cNvPr>
        <cdr:cNvSpPr/>
      </cdr:nvSpPr>
      <cdr:spPr>
        <a:xfrm xmlns:a="http://schemas.openxmlformats.org/drawingml/2006/main">
          <a:off x="7017491" y="887812"/>
          <a:ext cx="755338" cy="3946908"/>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0.90353</cdr:x>
      <cdr:y>0.15012</cdr:y>
    </cdr:from>
    <cdr:to>
      <cdr:x>0.99049</cdr:x>
      <cdr:y>0.82082</cdr:y>
    </cdr:to>
    <cdr:sp macro="" textlink="">
      <cdr:nvSpPr>
        <cdr:cNvPr id="21" name="Rectangle 20">
          <a:extLst xmlns:a="http://schemas.openxmlformats.org/drawingml/2006/main">
            <a:ext uri="{FF2B5EF4-FFF2-40B4-BE49-F238E27FC236}">
              <a16:creationId xmlns:a16="http://schemas.microsoft.com/office/drawing/2014/main" id="{61351FB1-0038-4B90-AB07-4E583C8E7DE4}"/>
            </a:ext>
          </a:extLst>
        </cdr:cNvPr>
        <cdr:cNvSpPr/>
      </cdr:nvSpPr>
      <cdr:spPr>
        <a:xfrm xmlns:a="http://schemas.openxmlformats.org/drawingml/2006/main">
          <a:off x="7849015" y="883276"/>
          <a:ext cx="755427" cy="3946131"/>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0.17084</cdr:x>
      <cdr:y>0.64357</cdr:y>
    </cdr:from>
    <cdr:to>
      <cdr:x>0.2204</cdr:x>
      <cdr:y>0.8358</cdr:y>
    </cdr:to>
    <cdr:sp macro="" textlink="">
      <cdr:nvSpPr>
        <cdr:cNvPr id="22" name="Rectangle 21">
          <a:extLst xmlns:a="http://schemas.openxmlformats.org/drawingml/2006/main">
            <a:ext uri="{FF2B5EF4-FFF2-40B4-BE49-F238E27FC236}">
              <a16:creationId xmlns:a16="http://schemas.microsoft.com/office/drawing/2014/main" id="{5C33C0A9-6375-A84C-B005-81A2639AC214}"/>
            </a:ext>
          </a:extLst>
        </cdr:cNvPr>
        <cdr:cNvSpPr/>
      </cdr:nvSpPr>
      <cdr:spPr>
        <a:xfrm xmlns:a="http://schemas.openxmlformats.org/drawingml/2006/main" rot="16200000">
          <a:off x="1137520" y="4118694"/>
          <a:ext cx="1126356" cy="43086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Carcinogenics</a:t>
          </a:r>
        </a:p>
      </cdr:txBody>
    </cdr:sp>
  </cdr:relSizeAnchor>
  <cdr:relSizeAnchor xmlns:cdr="http://schemas.openxmlformats.org/drawingml/2006/chartDrawing">
    <cdr:from>
      <cdr:x>0.24669</cdr:x>
      <cdr:y>0.15012</cdr:y>
    </cdr:from>
    <cdr:to>
      <cdr:x>0.33364</cdr:x>
      <cdr:y>0.82082</cdr:y>
    </cdr:to>
    <cdr:sp macro="" textlink="">
      <cdr:nvSpPr>
        <cdr:cNvPr id="14" name="Rectangle 13">
          <a:extLst xmlns:a="http://schemas.openxmlformats.org/drawingml/2006/main">
            <a:ext uri="{FF2B5EF4-FFF2-40B4-BE49-F238E27FC236}">
              <a16:creationId xmlns:a16="http://schemas.microsoft.com/office/drawing/2014/main" id="{03997162-066B-80D3-16A3-060B8886A472}"/>
            </a:ext>
          </a:extLst>
        </cdr:cNvPr>
        <cdr:cNvSpPr/>
      </cdr:nvSpPr>
      <cdr:spPr>
        <a:xfrm xmlns:a="http://schemas.openxmlformats.org/drawingml/2006/main">
          <a:off x="2143010" y="883276"/>
          <a:ext cx="755339" cy="3946132"/>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0.26364</cdr:x>
      <cdr:y>0.64177</cdr:y>
    </cdr:from>
    <cdr:to>
      <cdr:x>0.31319</cdr:x>
      <cdr:y>0.834</cdr:y>
    </cdr:to>
    <cdr:sp macro="" textlink="">
      <cdr:nvSpPr>
        <cdr:cNvPr id="24" name="Rectangle 23">
          <a:extLst xmlns:a="http://schemas.openxmlformats.org/drawingml/2006/main">
            <a:ext uri="{FF2B5EF4-FFF2-40B4-BE49-F238E27FC236}">
              <a16:creationId xmlns:a16="http://schemas.microsoft.com/office/drawing/2014/main" id="{19295FFD-4759-F95C-D58D-6CB60267854B}"/>
            </a:ext>
          </a:extLst>
        </cdr:cNvPr>
        <cdr:cNvSpPr/>
      </cdr:nvSpPr>
      <cdr:spPr>
        <a:xfrm xmlns:a="http://schemas.openxmlformats.org/drawingml/2006/main" rot="16200000">
          <a:off x="1944269" y="4108170"/>
          <a:ext cx="1126355"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Ecotoxicity</a:t>
          </a:r>
        </a:p>
      </cdr:txBody>
    </cdr:sp>
  </cdr:relSizeAnchor>
  <cdr:relSizeAnchor xmlns:cdr="http://schemas.openxmlformats.org/drawingml/2006/chartDrawing">
    <cdr:from>
      <cdr:x>0.35642</cdr:x>
      <cdr:y>0.6385</cdr:y>
    </cdr:from>
    <cdr:to>
      <cdr:x>0.40597</cdr:x>
      <cdr:y>0.83073</cdr:y>
    </cdr:to>
    <cdr:sp macro="" textlink="">
      <cdr:nvSpPr>
        <cdr:cNvPr id="25" name="Rectangle 24">
          <a:extLst xmlns:a="http://schemas.openxmlformats.org/drawingml/2006/main">
            <a:ext uri="{FF2B5EF4-FFF2-40B4-BE49-F238E27FC236}">
              <a16:creationId xmlns:a16="http://schemas.microsoft.com/office/drawing/2014/main" id="{2488C2AD-7EB1-EB2D-09BD-3E9644D403FE}"/>
            </a:ext>
          </a:extLst>
        </cdr:cNvPr>
        <cdr:cNvSpPr/>
      </cdr:nvSpPr>
      <cdr:spPr>
        <a:xfrm xmlns:a="http://schemas.openxmlformats.org/drawingml/2006/main" rot="16200000">
          <a:off x="2757772" y="4063895"/>
          <a:ext cx="1119846" cy="431253"/>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00" b="1" kern="1200">
              <a:solidFill>
                <a:sysClr val="windowText" lastClr="000000"/>
              </a:solidFill>
              <a:latin typeface="Arial Nova Cond" panose="020B0506020202020204" pitchFamily="34" charset="0"/>
            </a:rPr>
            <a:t>Eutrophication</a:t>
          </a:r>
          <a:r>
            <a:rPr lang="en-US" sz="1100" b="1" kern="1200" baseline="0">
              <a:solidFill>
                <a:sysClr val="windowText" lastClr="000000"/>
              </a:solidFill>
              <a:latin typeface="Arial Nova Cond" panose="020B0506020202020204" pitchFamily="34" charset="0"/>
            </a:rPr>
            <a:t> - </a:t>
          </a:r>
          <a:r>
            <a:rPr lang="en-US" sz="1050" b="1" kern="1200" baseline="0">
              <a:solidFill>
                <a:sysClr val="windowText" lastClr="000000"/>
              </a:solidFill>
              <a:latin typeface="Arial Nova Cond" panose="020B0506020202020204" pitchFamily="34" charset="0"/>
            </a:rPr>
            <a:t>Freshwater</a:t>
          </a:r>
          <a:endParaRPr lang="en-US" sz="1050" b="1" kern="1200">
            <a:solidFill>
              <a:sysClr val="windowText" lastClr="000000"/>
            </a:solidFill>
            <a:latin typeface="Arial Nova Cond" panose="020B0506020202020204" pitchFamily="34" charset="0"/>
          </a:endParaRPr>
        </a:p>
      </cdr:txBody>
    </cdr:sp>
  </cdr:relSizeAnchor>
  <cdr:relSizeAnchor xmlns:cdr="http://schemas.openxmlformats.org/drawingml/2006/chartDrawing">
    <cdr:from>
      <cdr:x>0.45068</cdr:x>
      <cdr:y>0.64142</cdr:y>
    </cdr:from>
    <cdr:to>
      <cdr:x>0.50023</cdr:x>
      <cdr:y>0.83365</cdr:y>
    </cdr:to>
    <cdr:sp macro="" textlink="">
      <cdr:nvSpPr>
        <cdr:cNvPr id="26" name="Rectangle 25">
          <a:extLst xmlns:a="http://schemas.openxmlformats.org/drawingml/2006/main">
            <a:ext uri="{FF2B5EF4-FFF2-40B4-BE49-F238E27FC236}">
              <a16:creationId xmlns:a16="http://schemas.microsoft.com/office/drawing/2014/main" id="{C9EBE32C-823A-DE45-8E06-939CE51C6EA3}"/>
            </a:ext>
          </a:extLst>
        </cdr:cNvPr>
        <cdr:cNvSpPr/>
      </cdr:nvSpPr>
      <cdr:spPr>
        <a:xfrm xmlns:a="http://schemas.openxmlformats.org/drawingml/2006/main" rot="16200000">
          <a:off x="3578153" y="4080934"/>
          <a:ext cx="1119846" cy="431253"/>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00" b="1" kern="1200">
              <a:solidFill>
                <a:sysClr val="windowText" lastClr="000000"/>
              </a:solidFill>
              <a:latin typeface="Arial Nova Cond" panose="020B0506020202020204" pitchFamily="34" charset="0"/>
            </a:rPr>
            <a:t>Eutrophication</a:t>
          </a:r>
          <a:r>
            <a:rPr lang="en-US" sz="1100" b="1" kern="1200">
              <a:solidFill>
                <a:sysClr val="windowText" lastClr="000000"/>
              </a:solidFill>
              <a:latin typeface="Arial Nova Cond" panose="020B0506020202020204" pitchFamily="34" charset="0"/>
            </a:rPr>
            <a:t> - </a:t>
          </a:r>
          <a:r>
            <a:rPr lang="en-US" sz="1050" b="1" kern="1200">
              <a:solidFill>
                <a:sysClr val="windowText" lastClr="000000"/>
              </a:solidFill>
              <a:latin typeface="Arial Nova Cond" panose="020B0506020202020204" pitchFamily="34" charset="0"/>
            </a:rPr>
            <a:t>Marine</a:t>
          </a:r>
        </a:p>
      </cdr:txBody>
    </cdr:sp>
  </cdr:relSizeAnchor>
  <cdr:relSizeAnchor xmlns:cdr="http://schemas.openxmlformats.org/drawingml/2006/chartDrawing">
    <cdr:from>
      <cdr:x>0.54407</cdr:x>
      <cdr:y>0.63776</cdr:y>
    </cdr:from>
    <cdr:to>
      <cdr:x>0.59362</cdr:x>
      <cdr:y>0.82999</cdr:y>
    </cdr:to>
    <cdr:sp macro="" textlink="">
      <cdr:nvSpPr>
        <cdr:cNvPr id="27" name="Rectangle 26">
          <a:extLst xmlns:a="http://schemas.openxmlformats.org/drawingml/2006/main">
            <a:ext uri="{FF2B5EF4-FFF2-40B4-BE49-F238E27FC236}">
              <a16:creationId xmlns:a16="http://schemas.microsoft.com/office/drawing/2014/main" id="{D173380F-7295-0B39-EA3D-AD3ACE5848C2}"/>
            </a:ext>
          </a:extLst>
        </cdr:cNvPr>
        <cdr:cNvSpPr/>
      </cdr:nvSpPr>
      <cdr:spPr>
        <a:xfrm xmlns:a="http://schemas.openxmlformats.org/drawingml/2006/main" rot="16200000">
          <a:off x="4382276" y="4084679"/>
          <a:ext cx="1126355"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400" b="1" kern="1200">
              <a:solidFill>
                <a:sysClr val="windowText" lastClr="000000"/>
              </a:solidFill>
              <a:latin typeface="Arial Nova Cond" panose="020B0506020202020204" pitchFamily="34" charset="0"/>
            </a:rPr>
            <a:t>Global Warming</a:t>
          </a:r>
        </a:p>
      </cdr:txBody>
    </cdr:sp>
  </cdr:relSizeAnchor>
  <cdr:relSizeAnchor xmlns:cdr="http://schemas.openxmlformats.org/drawingml/2006/chartDrawing">
    <cdr:from>
      <cdr:x>0.63699</cdr:x>
      <cdr:y>0.63865</cdr:y>
    </cdr:from>
    <cdr:to>
      <cdr:x>0.68654</cdr:x>
      <cdr:y>0.83089</cdr:y>
    </cdr:to>
    <cdr:sp macro="" textlink="">
      <cdr:nvSpPr>
        <cdr:cNvPr id="28" name="Rectangle 27">
          <a:extLst xmlns:a="http://schemas.openxmlformats.org/drawingml/2006/main">
            <a:ext uri="{FF2B5EF4-FFF2-40B4-BE49-F238E27FC236}">
              <a16:creationId xmlns:a16="http://schemas.microsoft.com/office/drawing/2014/main" id="{2C74F8C8-D70A-0429-AA81-EED59264D1F3}"/>
            </a:ext>
          </a:extLst>
        </cdr:cNvPr>
        <cdr:cNvSpPr/>
      </cdr:nvSpPr>
      <cdr:spPr>
        <a:xfrm xmlns:a="http://schemas.openxmlformats.org/drawingml/2006/main" rot="16200000">
          <a:off x="5199654" y="4064829"/>
          <a:ext cx="1119903" cy="431253"/>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Non - Carcinogenics</a:t>
          </a:r>
        </a:p>
      </cdr:txBody>
    </cdr:sp>
  </cdr:relSizeAnchor>
  <cdr:relSizeAnchor xmlns:cdr="http://schemas.openxmlformats.org/drawingml/2006/chartDrawing">
    <cdr:from>
      <cdr:x>0.73196</cdr:x>
      <cdr:y>0.64319</cdr:y>
    </cdr:from>
    <cdr:to>
      <cdr:x>0.78151</cdr:x>
      <cdr:y>0.83542</cdr:y>
    </cdr:to>
    <cdr:sp macro="" textlink="">
      <cdr:nvSpPr>
        <cdr:cNvPr id="29" name="Rectangle 28">
          <a:extLst xmlns:a="http://schemas.openxmlformats.org/drawingml/2006/main">
            <a:ext uri="{FF2B5EF4-FFF2-40B4-BE49-F238E27FC236}">
              <a16:creationId xmlns:a16="http://schemas.microsoft.com/office/drawing/2014/main" id="{0F47EA4A-8642-900E-DB98-9F76F2FD3399}"/>
            </a:ext>
          </a:extLst>
        </cdr:cNvPr>
        <cdr:cNvSpPr/>
      </cdr:nvSpPr>
      <cdr:spPr>
        <a:xfrm xmlns:a="http://schemas.openxmlformats.org/drawingml/2006/main" rot="16200000">
          <a:off x="6015772" y="4116497"/>
          <a:ext cx="1126356"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200" b="1" kern="1200">
              <a:solidFill>
                <a:sysClr val="windowText" lastClr="000000"/>
              </a:solidFill>
              <a:latin typeface="Arial Nova Cond" panose="020B0506020202020204" pitchFamily="34" charset="0"/>
            </a:rPr>
            <a:t>Ozone</a:t>
          </a:r>
          <a:r>
            <a:rPr lang="en-US" sz="1200" b="1" kern="1200" baseline="0">
              <a:solidFill>
                <a:sysClr val="windowText" lastClr="000000"/>
              </a:solidFill>
              <a:latin typeface="Arial Nova Cond" panose="020B0506020202020204" pitchFamily="34" charset="0"/>
            </a:rPr>
            <a:t> Depletion</a:t>
          </a:r>
          <a:endParaRPr lang="en-US" sz="1200" b="1" kern="1200">
            <a:solidFill>
              <a:sysClr val="windowText" lastClr="000000"/>
            </a:solidFill>
            <a:latin typeface="Arial Nova Cond" panose="020B0506020202020204" pitchFamily="34" charset="0"/>
          </a:endParaRPr>
        </a:p>
      </cdr:txBody>
    </cdr:sp>
  </cdr:relSizeAnchor>
  <cdr:relSizeAnchor xmlns:cdr="http://schemas.openxmlformats.org/drawingml/2006/chartDrawing">
    <cdr:from>
      <cdr:x>0.82475</cdr:x>
      <cdr:y>0.64045</cdr:y>
    </cdr:from>
    <cdr:to>
      <cdr:x>0.8743</cdr:x>
      <cdr:y>0.83268</cdr:y>
    </cdr:to>
    <cdr:sp macro="" textlink="">
      <cdr:nvSpPr>
        <cdr:cNvPr id="30" name="Rectangle 29">
          <a:extLst xmlns:a="http://schemas.openxmlformats.org/drawingml/2006/main">
            <a:ext uri="{FF2B5EF4-FFF2-40B4-BE49-F238E27FC236}">
              <a16:creationId xmlns:a16="http://schemas.microsoft.com/office/drawing/2014/main" id="{0C906ECB-20AE-B8F1-237F-05CDF89DC515}"/>
            </a:ext>
          </a:extLst>
        </cdr:cNvPr>
        <cdr:cNvSpPr/>
      </cdr:nvSpPr>
      <cdr:spPr>
        <a:xfrm xmlns:a="http://schemas.openxmlformats.org/drawingml/2006/main" rot="16200000">
          <a:off x="6822479" y="4100470"/>
          <a:ext cx="1126356"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Respiratory Effects - Particulate</a:t>
          </a:r>
        </a:p>
      </cdr:txBody>
    </cdr:sp>
  </cdr:relSizeAnchor>
  <cdr:relSizeAnchor xmlns:cdr="http://schemas.openxmlformats.org/drawingml/2006/chartDrawing">
    <cdr:from>
      <cdr:x>0.92034</cdr:x>
      <cdr:y>0.64102</cdr:y>
    </cdr:from>
    <cdr:to>
      <cdr:x>0.96989</cdr:x>
      <cdr:y>0.83325</cdr:y>
    </cdr:to>
    <cdr:sp macro="" textlink="">
      <cdr:nvSpPr>
        <cdr:cNvPr id="31" name="Rectangle 30">
          <a:extLst xmlns:a="http://schemas.openxmlformats.org/drawingml/2006/main">
            <a:ext uri="{FF2B5EF4-FFF2-40B4-BE49-F238E27FC236}">
              <a16:creationId xmlns:a16="http://schemas.microsoft.com/office/drawing/2014/main" id="{C6DBBBFA-9075-166D-CC75-935315F7D494}"/>
            </a:ext>
          </a:extLst>
        </cdr:cNvPr>
        <cdr:cNvSpPr/>
      </cdr:nvSpPr>
      <cdr:spPr>
        <a:xfrm xmlns:a="http://schemas.openxmlformats.org/drawingml/2006/main" rot="16200000">
          <a:off x="7653507" y="4103772"/>
          <a:ext cx="1126356"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00" b="1" kern="1200">
              <a:solidFill>
                <a:sysClr val="windowText" lastClr="000000"/>
              </a:solidFill>
              <a:latin typeface="Arial Nova Cond" panose="020B0506020202020204" pitchFamily="34" charset="0"/>
            </a:rPr>
            <a:t>Photochemical</a:t>
          </a:r>
          <a:r>
            <a:rPr lang="en-US" sz="1000" b="1" kern="1200" baseline="0">
              <a:solidFill>
                <a:sysClr val="windowText" lastClr="000000"/>
              </a:solidFill>
              <a:latin typeface="Arial Nova Cond" panose="020B0506020202020204" pitchFamily="34" charset="0"/>
            </a:rPr>
            <a:t> </a:t>
          </a:r>
          <a:r>
            <a:rPr lang="en-US" sz="1050" b="1" kern="1200" baseline="0">
              <a:solidFill>
                <a:sysClr val="windowText" lastClr="000000"/>
              </a:solidFill>
              <a:latin typeface="Arial Nova Cond" panose="020B0506020202020204" pitchFamily="34" charset="0"/>
            </a:rPr>
            <a:t>Oxidation Formation</a:t>
          </a:r>
          <a:endParaRPr lang="en-US" sz="1050" b="1" kern="1200">
            <a:solidFill>
              <a:sysClr val="windowText" lastClr="000000"/>
            </a:solidFill>
            <a:latin typeface="Arial Nova Cond" panose="020B0506020202020204" pitchFamily="34" charset="0"/>
          </a:endParaRPr>
        </a:p>
      </cdr:txBody>
    </cdr:sp>
  </cdr:relSizeAnchor>
  <cdr:relSizeAnchor xmlns:cdr="http://schemas.openxmlformats.org/drawingml/2006/chartDrawing">
    <cdr:from>
      <cdr:x>0.0601</cdr:x>
      <cdr:y>0.24732</cdr:y>
    </cdr:from>
    <cdr:to>
      <cdr:x>0.1486</cdr:x>
      <cdr:y>0.31999</cdr:y>
    </cdr:to>
    <mc:AlternateContent xmlns:mc="http://schemas.openxmlformats.org/markup-compatibility/2006" xmlns:a14="http://schemas.microsoft.com/office/drawing/2010/main">
      <mc:Choice Requires="a14">
        <cdr:sp macro="" textlink="">
          <cdr:nvSpPr>
            <cdr:cNvPr id="32" name="Rectangle 31">
              <a:extLst xmlns:a="http://schemas.openxmlformats.org/drawingml/2006/main">
                <a:ext uri="{FF2B5EF4-FFF2-40B4-BE49-F238E27FC236}">
                  <a16:creationId xmlns:a16="http://schemas.microsoft.com/office/drawing/2014/main" id="{AAFE8437-5891-F732-1512-AF787AAD7DB4}"/>
                </a:ext>
              </a:extLst>
            </cdr:cNvPr>
            <cdr:cNvSpPr/>
          </cdr:nvSpPr>
          <cdr:spPr>
            <a:xfrm xmlns:a="http://schemas.openxmlformats.org/drawingml/2006/main">
              <a:off x="521506" y="1445922"/>
              <a:ext cx="767942" cy="42482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kg S</m:t>
                        </m:r>
                        <m:sSub>
                          <m:sSubPr>
                            <m:ctrlPr>
                              <a:rPr lang="en-US" sz="1050" b="0" i="0" kern="1200">
                                <a:solidFill>
                                  <a:sysClr val="windowText" lastClr="000000"/>
                                </a:solidFill>
                                <a:latin typeface="Arial Nova Cond" panose="020B0506020202020204" pitchFamily="34" charset="0"/>
                              </a:rPr>
                            </m:ctrlPr>
                          </m:sSubPr>
                          <m:e>
                            <m:r>
                              <m:rPr>
                                <m:nor/>
                              </m:rPr>
                              <a:rPr lang="en-US" sz="1050" b="0" i="0" kern="1200">
                                <a:solidFill>
                                  <a:sysClr val="windowText" lastClr="000000"/>
                                </a:solidFill>
                                <a:latin typeface="Arial Nova Cond" panose="020B0506020202020204" pitchFamily="34" charset="0"/>
                              </a:rPr>
                              <m:t>O</m:t>
                            </m:r>
                          </m:e>
                          <m:sub>
                            <m:r>
                              <m:rPr>
                                <m:nor/>
                              </m:rPr>
                              <a:rPr lang="en-US" sz="1050" b="0" i="0" kern="1200">
                                <a:solidFill>
                                  <a:sysClr val="windowText" lastClr="000000"/>
                                </a:solidFill>
                                <a:latin typeface="Arial Nova Cond" panose="020B0506020202020204" pitchFamily="34" charset="0"/>
                              </a:rPr>
                              <m:t>2−eq</m:t>
                            </m:r>
                          </m:sub>
                        </m:sSub>
                      </m:num>
                      <m:den>
                        <m:r>
                          <m:rPr>
                            <m:nor/>
                          </m:rPr>
                          <a:rPr lang="en-US" sz="1050" b="0" i="0" kern="1200">
                            <a:solidFill>
                              <a:sysClr val="windowText" lastClr="000000"/>
                            </a:solidFill>
                            <a:latin typeface="Arial Nova Cond" panose="020B0506020202020204" pitchFamily="34" charset="0"/>
                          </a:rPr>
                          <m:t>GGE</m:t>
                        </m:r>
                      </m:den>
                    </m:f>
                  </m:oMath>
                </m:oMathPara>
              </a14:m>
              <a:endParaRPr lang="en-US" sz="1050" b="1" i="0" kern="1200">
                <a:solidFill>
                  <a:sysClr val="windowText" lastClr="000000"/>
                </a:solidFill>
                <a:latin typeface="Arial Nova Cond" panose="020B0506020202020204" pitchFamily="34" charset="0"/>
              </a:endParaRPr>
            </a:p>
          </cdr:txBody>
        </cdr:sp>
      </mc:Choice>
      <mc:Fallback xmlns="">
        <cdr:sp macro="" textlink="">
          <cdr:nvSpPr>
            <cdr:cNvPr id="32" name="Rectangle 31">
              <a:extLst xmlns:a="http://schemas.openxmlformats.org/drawingml/2006/main">
                <a:ext uri="{FF2B5EF4-FFF2-40B4-BE49-F238E27FC236}">
                  <a16:creationId xmlns:a16="http://schemas.microsoft.com/office/drawing/2014/main" id="{AAFE8437-5891-F732-1512-AF787AAD7DB4}"/>
                </a:ext>
              </a:extLst>
            </cdr:cNvPr>
            <cdr:cNvSpPr/>
          </cdr:nvSpPr>
          <cdr:spPr>
            <a:xfrm xmlns:a="http://schemas.openxmlformats.org/drawingml/2006/main">
              <a:off x="521506" y="1445922"/>
              <a:ext cx="767942" cy="42482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S</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O</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2−eq</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GGE</a:t>
              </a:r>
              <a:r>
                <a:rPr lang="en-US" sz="1050" b="1" i="0" kern="1200">
                  <a:solidFill>
                    <a:sysClr val="windowText" lastClr="000000"/>
                  </a:solidFill>
                  <a:latin typeface="Cambria Math" panose="02040503050406030204" pitchFamily="18" charset="0"/>
                </a:rPr>
                <a:t>" </a:t>
              </a:r>
              <a:endParaRPr lang="en-US" sz="1050" b="1" i="0"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0.00419</cdr:x>
      <cdr:y>0.19897</cdr:y>
    </cdr:from>
    <cdr:to>
      <cdr:x>0.05808</cdr:x>
      <cdr:y>0.24279</cdr:y>
    </cdr:to>
    <cdr:sp macro="" textlink="">
      <cdr:nvSpPr>
        <cdr:cNvPr id="35" name="Rectangle 34">
          <a:extLst xmlns:a="http://schemas.openxmlformats.org/drawingml/2006/main">
            <a:ext uri="{FF2B5EF4-FFF2-40B4-BE49-F238E27FC236}">
              <a16:creationId xmlns:a16="http://schemas.microsoft.com/office/drawing/2014/main" id="{A2087C0C-F51B-50AA-185A-F1CB59ECEE41}"/>
            </a:ext>
          </a:extLst>
        </cdr:cNvPr>
        <cdr:cNvSpPr/>
      </cdr:nvSpPr>
      <cdr:spPr>
        <a:xfrm xmlns:a="http://schemas.openxmlformats.org/drawingml/2006/main">
          <a:off x="36357" y="1163228"/>
          <a:ext cx="467620" cy="256187"/>
        </a:xfrm>
        <a:prstGeom xmlns:a="http://schemas.openxmlformats.org/drawingml/2006/main" prst="rect">
          <a:avLst/>
        </a:prstGeom>
        <a:noFill xmlns:a="http://schemas.openxmlformats.org/drawingml/2006/main"/>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horz"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900" b="1" kern="1200">
              <a:solidFill>
                <a:srgbClr val="50164A"/>
              </a:solidFill>
              <a:latin typeface="Arial Nova Cond" panose="020B0506020202020204" pitchFamily="34" charset="0"/>
            </a:rPr>
            <a:t>PROP</a:t>
          </a:r>
        </a:p>
      </cdr:txBody>
    </cdr:sp>
  </cdr:relSizeAnchor>
  <cdr:relSizeAnchor xmlns:cdr="http://schemas.openxmlformats.org/drawingml/2006/chartDrawing">
    <cdr:from>
      <cdr:x>0.00589</cdr:x>
      <cdr:y>0.67385</cdr:y>
    </cdr:from>
    <cdr:to>
      <cdr:x>0.05596</cdr:x>
      <cdr:y>0.81899</cdr:y>
    </cdr:to>
    <cdr:sp macro="" textlink="">
      <cdr:nvSpPr>
        <cdr:cNvPr id="36" name="Rectangle 35">
          <a:extLst xmlns:a="http://schemas.openxmlformats.org/drawingml/2006/main">
            <a:ext uri="{FF2B5EF4-FFF2-40B4-BE49-F238E27FC236}">
              <a16:creationId xmlns:a16="http://schemas.microsoft.com/office/drawing/2014/main" id="{E736BAA7-EF69-0A3E-732A-35EC6878566F}"/>
            </a:ext>
          </a:extLst>
        </cdr:cNvPr>
        <cdr:cNvSpPr/>
      </cdr:nvSpPr>
      <cdr:spPr>
        <a:xfrm xmlns:a="http://schemas.openxmlformats.org/drawingml/2006/main">
          <a:off x="51263" y="3925571"/>
          <a:ext cx="435778" cy="845521"/>
        </a:xfrm>
        <a:prstGeom xmlns:a="http://schemas.openxmlformats.org/drawingml/2006/main" prst="rect">
          <a:avLst/>
        </a:prstGeom>
        <a:solidFill xmlns:a="http://schemas.openxmlformats.org/drawingml/2006/main">
          <a:schemeClr val="bg1"/>
        </a:solidFill>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vert270"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100" b="1" kern="1200">
              <a:solidFill>
                <a:sysClr val="windowText" lastClr="000000"/>
              </a:solidFill>
              <a:latin typeface="Arial Nova Cond" panose="020B0506020202020204" pitchFamily="34" charset="0"/>
            </a:rPr>
            <a:t>CATEGORY</a:t>
          </a:r>
        </a:p>
      </cdr:txBody>
    </cdr:sp>
  </cdr:relSizeAnchor>
  <cdr:relSizeAnchor xmlns:cdr="http://schemas.openxmlformats.org/drawingml/2006/chartDrawing">
    <cdr:from>
      <cdr:x>0.15282</cdr:x>
      <cdr:y>0.2498</cdr:y>
    </cdr:from>
    <cdr:to>
      <cdr:x>0.24008</cdr:x>
      <cdr:y>0.31886</cdr:y>
    </cdr:to>
    <mc:AlternateContent xmlns:mc="http://schemas.openxmlformats.org/markup-compatibility/2006" xmlns:a14="http://schemas.microsoft.com/office/drawing/2010/main">
      <mc:Choice Requires="a14">
        <cdr:sp macro="" textlink="">
          <cdr:nvSpPr>
            <cdr:cNvPr id="37" name="Rectangle 36">
              <a:extLst xmlns:a="http://schemas.openxmlformats.org/drawingml/2006/main">
                <a:ext uri="{FF2B5EF4-FFF2-40B4-BE49-F238E27FC236}">
                  <a16:creationId xmlns:a16="http://schemas.microsoft.com/office/drawing/2014/main" id="{6F6C0593-74C2-EDC8-2A46-DFBEED548368}"/>
                </a:ext>
              </a:extLst>
            </cdr:cNvPr>
            <cdr:cNvSpPr/>
          </cdr:nvSpPr>
          <cdr:spPr>
            <a:xfrm xmlns:a="http://schemas.openxmlformats.org/drawingml/2006/main">
              <a:off x="1328425" y="1466569"/>
              <a:ext cx="758503" cy="40542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CTUh</m:t>
                        </m:r>
                      </m:num>
                      <m:den>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GGE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37" name="Rectangle 36">
              <a:extLst xmlns:a="http://schemas.openxmlformats.org/drawingml/2006/main">
                <a:ext uri="{FF2B5EF4-FFF2-40B4-BE49-F238E27FC236}">
                  <a16:creationId xmlns:a16="http://schemas.microsoft.com/office/drawing/2014/main" id="{6F6C0593-74C2-EDC8-2A46-DFBEED548368}"/>
                </a:ext>
              </a:extLst>
            </cdr:cNvPr>
            <cdr:cNvSpPr/>
          </cdr:nvSpPr>
          <cdr:spPr>
            <a:xfrm xmlns:a="http://schemas.openxmlformats.org/drawingml/2006/main">
              <a:off x="1328425" y="1466569"/>
              <a:ext cx="758503" cy="40542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"CTUh</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GGE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0.24723</cdr:x>
      <cdr:y>0.24647</cdr:y>
    </cdr:from>
    <cdr:to>
      <cdr:x>0.33312</cdr:x>
      <cdr:y>0.32135</cdr:y>
    </cdr:to>
    <mc:AlternateContent xmlns:mc="http://schemas.openxmlformats.org/markup-compatibility/2006" xmlns:a14="http://schemas.microsoft.com/office/drawing/2010/main">
      <mc:Choice Requires="a14">
        <cdr:sp macro="" textlink="">
          <cdr:nvSpPr>
            <cdr:cNvPr id="38" name="Rectangle 37">
              <a:extLst xmlns:a="http://schemas.openxmlformats.org/drawingml/2006/main">
                <a:ext uri="{FF2B5EF4-FFF2-40B4-BE49-F238E27FC236}">
                  <a16:creationId xmlns:a16="http://schemas.microsoft.com/office/drawing/2014/main" id="{31E9AFB0-C834-DFB0-9095-CE06D96D44AE}"/>
                </a:ext>
              </a:extLst>
            </cdr:cNvPr>
            <cdr:cNvSpPr/>
          </cdr:nvSpPr>
          <cdr:spPr>
            <a:xfrm xmlns:a="http://schemas.openxmlformats.org/drawingml/2006/main">
              <a:off x="2149041" y="1447030"/>
              <a:ext cx="746673" cy="43961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CTUe</m:t>
                        </m:r>
                      </m:num>
                      <m:den>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GGE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38" name="Rectangle 37">
              <a:extLst xmlns:a="http://schemas.openxmlformats.org/drawingml/2006/main">
                <a:ext uri="{FF2B5EF4-FFF2-40B4-BE49-F238E27FC236}">
                  <a16:creationId xmlns:a16="http://schemas.microsoft.com/office/drawing/2014/main" id="{31E9AFB0-C834-DFB0-9095-CE06D96D44AE}"/>
                </a:ext>
              </a:extLst>
            </cdr:cNvPr>
            <cdr:cNvSpPr/>
          </cdr:nvSpPr>
          <cdr:spPr>
            <a:xfrm xmlns:a="http://schemas.openxmlformats.org/drawingml/2006/main">
              <a:off x="2149041" y="1447030"/>
              <a:ext cx="746673" cy="43961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"CTUe</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GGE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0.33938</cdr:x>
      <cdr:y>0.2473</cdr:y>
    </cdr:from>
    <cdr:to>
      <cdr:x>0.42859</cdr:x>
      <cdr:y>0.32052</cdr:y>
    </cdr:to>
    <mc:AlternateContent xmlns:mc="http://schemas.openxmlformats.org/markup-compatibility/2006" xmlns:a14="http://schemas.microsoft.com/office/drawing/2010/main">
      <mc:Choice Requires="a14">
        <cdr:sp macro="" textlink="">
          <cdr:nvSpPr>
            <cdr:cNvPr id="39" name="Rectangle 38">
              <a:extLst xmlns:a="http://schemas.openxmlformats.org/drawingml/2006/main">
                <a:ext uri="{FF2B5EF4-FFF2-40B4-BE49-F238E27FC236}">
                  <a16:creationId xmlns:a16="http://schemas.microsoft.com/office/drawing/2014/main" id="{AC840EDB-41D4-2D04-1BF8-4B5FBF088B61}"/>
                </a:ext>
              </a:extLst>
            </cdr:cNvPr>
            <cdr:cNvSpPr/>
          </cdr:nvSpPr>
          <cdr:spPr>
            <a:xfrm xmlns:a="http://schemas.openxmlformats.org/drawingml/2006/main">
              <a:off x="2950119" y="1451915"/>
              <a:ext cx="775460" cy="42984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kg </m:t>
                        </m:r>
                        <m:sSub>
                          <m:sSubPr>
                            <m:ctrlPr>
                              <a:rPr lang="en-US" sz="1050" b="0" i="0" kern="1200">
                                <a:solidFill>
                                  <a:sysClr val="windowText" lastClr="000000"/>
                                </a:solidFill>
                                <a:latin typeface="Arial Nova Cond" panose="020B0506020202020204" pitchFamily="34" charset="0"/>
                              </a:rPr>
                            </m:ctrlPr>
                          </m:sSubPr>
                          <m:e>
                            <m:r>
                              <m:rPr>
                                <m:nor/>
                              </m:rPr>
                              <a:rPr lang="en-US" sz="1050" b="0" i="0" kern="1200">
                                <a:solidFill>
                                  <a:sysClr val="windowText" lastClr="000000"/>
                                </a:solidFill>
                                <a:latin typeface="Arial Nova Cond" panose="020B0506020202020204" pitchFamily="34" charset="0"/>
                              </a:rPr>
                              <m:t>P</m:t>
                            </m:r>
                          </m:e>
                          <m:sub>
                            <m:r>
                              <m:rPr>
                                <m:nor/>
                              </m:rPr>
                              <a:rPr lang="en-US" sz="1050" b="0" i="0" kern="1200">
                                <a:solidFill>
                                  <a:sysClr val="windowText" lastClr="000000"/>
                                </a:solidFill>
                                <a:latin typeface="Arial Nova Cond" panose="020B0506020202020204" pitchFamily="34" charset="0"/>
                              </a:rPr>
                              <m:t>eq</m:t>
                            </m:r>
                          </m:sub>
                        </m:sSub>
                      </m:num>
                      <m:den>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GGE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39" name="Rectangle 38">
              <a:extLst xmlns:a="http://schemas.openxmlformats.org/drawingml/2006/main">
                <a:ext uri="{FF2B5EF4-FFF2-40B4-BE49-F238E27FC236}">
                  <a16:creationId xmlns:a16="http://schemas.microsoft.com/office/drawing/2014/main" id="{AC840EDB-41D4-2D04-1BF8-4B5FBF088B61}"/>
                </a:ext>
              </a:extLst>
            </cdr:cNvPr>
            <cdr:cNvSpPr/>
          </cdr:nvSpPr>
          <cdr:spPr>
            <a:xfrm xmlns:a="http://schemas.openxmlformats.org/drawingml/2006/main">
              <a:off x="2950119" y="1451915"/>
              <a:ext cx="775460" cy="42984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P</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eq</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GGE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0.43435</cdr:x>
      <cdr:y>0.24647</cdr:y>
    </cdr:from>
    <cdr:to>
      <cdr:x>0.52199</cdr:x>
      <cdr:y>0.31969</cdr:y>
    </cdr:to>
    <mc:AlternateContent xmlns:mc="http://schemas.openxmlformats.org/markup-compatibility/2006" xmlns:a14="http://schemas.microsoft.com/office/drawing/2010/main">
      <mc:Choice Requires="a14">
        <cdr:sp macro="" textlink="">
          <cdr:nvSpPr>
            <cdr:cNvPr id="40" name="Rectangle 39">
              <a:extLst xmlns:a="http://schemas.openxmlformats.org/drawingml/2006/main">
                <a:ext uri="{FF2B5EF4-FFF2-40B4-BE49-F238E27FC236}">
                  <a16:creationId xmlns:a16="http://schemas.microsoft.com/office/drawing/2014/main" id="{586CB80F-27C6-AAE0-C6AB-154855B78E61}"/>
                </a:ext>
              </a:extLst>
            </cdr:cNvPr>
            <cdr:cNvSpPr/>
          </cdr:nvSpPr>
          <cdr:spPr>
            <a:xfrm xmlns:a="http://schemas.openxmlformats.org/drawingml/2006/main">
              <a:off x="3775619" y="1447030"/>
              <a:ext cx="761840" cy="42984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kg </m:t>
                        </m:r>
                        <m:sSub>
                          <m:sSubPr>
                            <m:ctrlPr>
                              <a:rPr lang="en-US" sz="1050" b="0" i="0" kern="1200">
                                <a:solidFill>
                                  <a:sysClr val="windowText" lastClr="000000"/>
                                </a:solidFill>
                                <a:latin typeface="Arial Nova Cond" panose="020B0506020202020204" pitchFamily="34" charset="0"/>
                              </a:rPr>
                            </m:ctrlPr>
                          </m:sSubPr>
                          <m:e>
                            <m:r>
                              <m:rPr>
                                <m:nor/>
                              </m:rPr>
                              <a:rPr lang="en-US" sz="1050" b="0" i="0" kern="1200">
                                <a:solidFill>
                                  <a:sysClr val="windowText" lastClr="000000"/>
                                </a:solidFill>
                                <a:latin typeface="Arial Nova Cond" panose="020B0506020202020204" pitchFamily="34" charset="0"/>
                              </a:rPr>
                              <m:t>N</m:t>
                            </m:r>
                          </m:e>
                          <m:sub>
                            <m:r>
                              <m:rPr>
                                <m:nor/>
                              </m:rPr>
                              <a:rPr lang="en-US" sz="1050" b="0" i="0" kern="1200">
                                <a:solidFill>
                                  <a:sysClr val="windowText" lastClr="000000"/>
                                </a:solidFill>
                                <a:latin typeface="Arial Nova Cond" panose="020B0506020202020204" pitchFamily="34" charset="0"/>
                              </a:rPr>
                              <m:t>eq</m:t>
                            </m:r>
                          </m:sub>
                        </m:sSub>
                      </m:num>
                      <m:den>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GGE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0" name="Rectangle 39">
              <a:extLst xmlns:a="http://schemas.openxmlformats.org/drawingml/2006/main">
                <a:ext uri="{FF2B5EF4-FFF2-40B4-BE49-F238E27FC236}">
                  <a16:creationId xmlns:a16="http://schemas.microsoft.com/office/drawing/2014/main" id="{586CB80F-27C6-AAE0-C6AB-154855B78E61}"/>
                </a:ext>
              </a:extLst>
            </cdr:cNvPr>
            <cdr:cNvSpPr/>
          </cdr:nvSpPr>
          <cdr:spPr>
            <a:xfrm xmlns:a="http://schemas.openxmlformats.org/drawingml/2006/main">
              <a:off x="3775619" y="1447030"/>
              <a:ext cx="761840" cy="42984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N</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eq</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GGE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0.52706</cdr:x>
      <cdr:y>0.24647</cdr:y>
    </cdr:from>
    <cdr:to>
      <cdr:x>0.61563</cdr:x>
      <cdr:y>0.32135</cdr:y>
    </cdr:to>
    <mc:AlternateContent xmlns:mc="http://schemas.openxmlformats.org/markup-compatibility/2006" xmlns:a14="http://schemas.microsoft.com/office/drawing/2010/main">
      <mc:Choice Requires="a14">
        <cdr:sp macro="" textlink="">
          <cdr:nvSpPr>
            <cdr:cNvPr id="41" name="Rectangle 40">
              <a:extLst xmlns:a="http://schemas.openxmlformats.org/drawingml/2006/main">
                <a:ext uri="{FF2B5EF4-FFF2-40B4-BE49-F238E27FC236}">
                  <a16:creationId xmlns:a16="http://schemas.microsoft.com/office/drawing/2014/main" id="{E4B9830C-75A7-CA5D-03C1-6A0D5D70DB95}"/>
                </a:ext>
              </a:extLst>
            </cdr:cNvPr>
            <cdr:cNvSpPr/>
          </cdr:nvSpPr>
          <cdr:spPr>
            <a:xfrm xmlns:a="http://schemas.openxmlformats.org/drawingml/2006/main">
              <a:off x="4581579" y="1447030"/>
              <a:ext cx="769869" cy="43961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kg C</m:t>
                        </m:r>
                        <m:sSub>
                          <m:sSubPr>
                            <m:ctrlPr>
                              <a:rPr lang="en-US" sz="1050" b="0" i="0" kern="1200">
                                <a:solidFill>
                                  <a:sysClr val="windowText" lastClr="000000"/>
                                </a:solidFill>
                                <a:latin typeface="Arial Nova Cond" panose="020B0506020202020204" pitchFamily="34" charset="0"/>
                              </a:rPr>
                            </m:ctrlPr>
                          </m:sSubPr>
                          <m:e>
                            <m:r>
                              <m:rPr>
                                <m:nor/>
                              </m:rPr>
                              <a:rPr lang="en-US" sz="1050" b="0" i="0" kern="1200">
                                <a:solidFill>
                                  <a:sysClr val="windowText" lastClr="000000"/>
                                </a:solidFill>
                                <a:latin typeface="Arial Nova Cond" panose="020B0506020202020204" pitchFamily="34" charset="0"/>
                              </a:rPr>
                              <m:t>O</m:t>
                            </m:r>
                          </m:e>
                          <m:sub>
                            <m:r>
                              <m:rPr>
                                <m:nor/>
                              </m:rPr>
                              <a:rPr lang="en-US" sz="1050" b="0" i="0" kern="1200">
                                <a:solidFill>
                                  <a:sysClr val="windowText" lastClr="000000"/>
                                </a:solidFill>
                                <a:latin typeface="Arial Nova Cond" panose="020B0506020202020204" pitchFamily="34" charset="0"/>
                              </a:rPr>
                              <m:t>2−eq</m:t>
                            </m:r>
                          </m:sub>
                        </m:sSub>
                      </m:num>
                      <m:den>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GGE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1" name="Rectangle 40">
              <a:extLst xmlns:a="http://schemas.openxmlformats.org/drawingml/2006/main">
                <a:ext uri="{FF2B5EF4-FFF2-40B4-BE49-F238E27FC236}">
                  <a16:creationId xmlns:a16="http://schemas.microsoft.com/office/drawing/2014/main" id="{E4B9830C-75A7-CA5D-03C1-6A0D5D70DB95}"/>
                </a:ext>
              </a:extLst>
            </cdr:cNvPr>
            <cdr:cNvSpPr/>
          </cdr:nvSpPr>
          <cdr:spPr>
            <a:xfrm xmlns:a="http://schemas.openxmlformats.org/drawingml/2006/main">
              <a:off x="4581579" y="1447030"/>
              <a:ext cx="769869" cy="43961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C</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O</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2−eq</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GGE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0.62034</cdr:x>
      <cdr:y>0.2473</cdr:y>
    </cdr:from>
    <cdr:to>
      <cdr:x>0.70915</cdr:x>
      <cdr:y>0.32302</cdr:y>
    </cdr:to>
    <mc:AlternateContent xmlns:mc="http://schemas.openxmlformats.org/markup-compatibility/2006" xmlns:a14="http://schemas.microsoft.com/office/drawing/2010/main">
      <mc:Choice Requires="a14">
        <cdr:sp macro="" textlink="">
          <cdr:nvSpPr>
            <cdr:cNvPr id="42" name="Rectangle 41">
              <a:extLst xmlns:a="http://schemas.openxmlformats.org/drawingml/2006/main">
                <a:ext uri="{FF2B5EF4-FFF2-40B4-BE49-F238E27FC236}">
                  <a16:creationId xmlns:a16="http://schemas.microsoft.com/office/drawing/2014/main" id="{D8ADE223-B36C-AD36-21B1-DC5E3D66F8E0}"/>
                </a:ext>
              </a:extLst>
            </cdr:cNvPr>
            <cdr:cNvSpPr/>
          </cdr:nvSpPr>
          <cdr:spPr>
            <a:xfrm xmlns:a="http://schemas.openxmlformats.org/drawingml/2006/main">
              <a:off x="5392425" y="1451915"/>
              <a:ext cx="771959"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CTUh</m:t>
                        </m:r>
                      </m:num>
                      <m:den>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GGE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2" name="Rectangle 41">
              <a:extLst xmlns:a="http://schemas.openxmlformats.org/drawingml/2006/main">
                <a:ext uri="{FF2B5EF4-FFF2-40B4-BE49-F238E27FC236}">
                  <a16:creationId xmlns:a16="http://schemas.microsoft.com/office/drawing/2014/main" id="{D8ADE223-B36C-AD36-21B1-DC5E3D66F8E0}"/>
                </a:ext>
              </a:extLst>
            </cdr:cNvPr>
            <cdr:cNvSpPr/>
          </cdr:nvSpPr>
          <cdr:spPr>
            <a:xfrm xmlns:a="http://schemas.openxmlformats.org/drawingml/2006/main">
              <a:off x="5392425" y="1451915"/>
              <a:ext cx="771959"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"CTUh</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GGE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0.71362</cdr:x>
      <cdr:y>0.24647</cdr:y>
    </cdr:from>
    <cdr:to>
      <cdr:x>0.80194</cdr:x>
      <cdr:y>0.32218</cdr:y>
    </cdr:to>
    <mc:AlternateContent xmlns:mc="http://schemas.openxmlformats.org/markup-compatibility/2006" xmlns:a14="http://schemas.microsoft.com/office/drawing/2010/main">
      <mc:Choice Requires="a14">
        <cdr:sp macro="" textlink="">
          <cdr:nvSpPr>
            <cdr:cNvPr id="43" name="Rectangle 42">
              <a:extLst xmlns:a="http://schemas.openxmlformats.org/drawingml/2006/main">
                <a:ext uri="{FF2B5EF4-FFF2-40B4-BE49-F238E27FC236}">
                  <a16:creationId xmlns:a16="http://schemas.microsoft.com/office/drawing/2014/main" id="{1A85A80C-315C-B629-C24A-40AC9ACA6AB4}"/>
                </a:ext>
              </a:extLst>
            </cdr:cNvPr>
            <cdr:cNvSpPr/>
          </cdr:nvSpPr>
          <cdr:spPr>
            <a:xfrm xmlns:a="http://schemas.openxmlformats.org/drawingml/2006/main">
              <a:off x="6203271" y="1447030"/>
              <a:ext cx="767703"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CFC−11</m:t>
                        </m:r>
                      </m:num>
                      <m:den>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GGE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3" name="Rectangle 42">
              <a:extLst xmlns:a="http://schemas.openxmlformats.org/drawingml/2006/main">
                <a:ext uri="{FF2B5EF4-FFF2-40B4-BE49-F238E27FC236}">
                  <a16:creationId xmlns:a16="http://schemas.microsoft.com/office/drawing/2014/main" id="{1A85A80C-315C-B629-C24A-40AC9ACA6AB4}"/>
                </a:ext>
              </a:extLst>
            </cdr:cNvPr>
            <cdr:cNvSpPr/>
          </cdr:nvSpPr>
          <cdr:spPr>
            <a:xfrm xmlns:a="http://schemas.openxmlformats.org/drawingml/2006/main">
              <a:off x="6203271" y="1447030"/>
              <a:ext cx="767703"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"CFC−11</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GGE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0.80803</cdr:x>
      <cdr:y>0.24814</cdr:y>
    </cdr:from>
    <cdr:to>
      <cdr:x>0.89472</cdr:x>
      <cdr:y>0.32052</cdr:y>
    </cdr:to>
    <mc:AlternateContent xmlns:mc="http://schemas.openxmlformats.org/markup-compatibility/2006" xmlns:a14="http://schemas.microsoft.com/office/drawing/2010/main">
      <mc:Choice Requires="a14">
        <cdr:sp macro="" textlink="">
          <cdr:nvSpPr>
            <cdr:cNvPr id="44" name="Rectangle 43">
              <a:extLst xmlns:a="http://schemas.openxmlformats.org/drawingml/2006/main">
                <a:ext uri="{FF2B5EF4-FFF2-40B4-BE49-F238E27FC236}">
                  <a16:creationId xmlns:a16="http://schemas.microsoft.com/office/drawing/2014/main" id="{40A061A1-B095-537E-39C7-3D687C52D94E}"/>
                </a:ext>
              </a:extLst>
            </cdr:cNvPr>
            <cdr:cNvSpPr/>
          </cdr:nvSpPr>
          <cdr:spPr>
            <a:xfrm xmlns:a="http://schemas.openxmlformats.org/drawingml/2006/main">
              <a:off x="7023887" y="1456800"/>
              <a:ext cx="753591" cy="42496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P</m:t>
                        </m:r>
                        <m:sSub>
                          <m:sSubPr>
                            <m:ctrlPr>
                              <a:rPr lang="en-US" sz="1050" b="0" i="0" kern="1200">
                                <a:solidFill>
                                  <a:sysClr val="windowText" lastClr="000000"/>
                                </a:solidFill>
                                <a:latin typeface="Arial Nova Cond" panose="020B0506020202020204" pitchFamily="34" charset="0"/>
                              </a:rPr>
                            </m:ctrlPr>
                          </m:sSubPr>
                          <m:e>
                            <m:r>
                              <m:rPr>
                                <m:nor/>
                              </m:rPr>
                              <a:rPr lang="en-US" sz="1050" b="0" i="0" kern="1200">
                                <a:solidFill>
                                  <a:sysClr val="windowText" lastClr="000000"/>
                                </a:solidFill>
                                <a:latin typeface="Arial Nova Cond" panose="020B0506020202020204" pitchFamily="34" charset="0"/>
                              </a:rPr>
                              <m:t>M</m:t>
                            </m:r>
                          </m:e>
                          <m:sub>
                            <m:r>
                              <m:rPr>
                                <m:nor/>
                              </m:rPr>
                              <a:rPr lang="en-US" sz="1050" b="0" i="0" kern="1200">
                                <a:solidFill>
                                  <a:sysClr val="windowText" lastClr="000000"/>
                                </a:solidFill>
                                <a:latin typeface="Arial Nova Cond" panose="020B0506020202020204" pitchFamily="34" charset="0"/>
                              </a:rPr>
                              <m:t>2.5</m:t>
                            </m:r>
                          </m:sub>
                        </m:sSub>
                        <m:r>
                          <m:rPr>
                            <m:nor/>
                          </m:rPr>
                          <a:rPr lang="en-US" sz="1050" b="0" i="0" kern="1200">
                            <a:solidFill>
                              <a:sysClr val="windowText" lastClr="000000"/>
                            </a:solidFill>
                            <a:latin typeface="Arial Nova Cond" panose="020B0506020202020204" pitchFamily="34" charset="0"/>
                          </a:rPr>
                          <m:t> </m:t>
                        </m:r>
                      </m:num>
                      <m:den>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GGE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4" name="Rectangle 43">
              <a:extLst xmlns:a="http://schemas.openxmlformats.org/drawingml/2006/main">
                <a:ext uri="{FF2B5EF4-FFF2-40B4-BE49-F238E27FC236}">
                  <a16:creationId xmlns:a16="http://schemas.microsoft.com/office/drawing/2014/main" id="{40A061A1-B095-537E-39C7-3D687C52D94E}"/>
                </a:ext>
              </a:extLst>
            </cdr:cNvPr>
            <cdr:cNvSpPr/>
          </cdr:nvSpPr>
          <cdr:spPr>
            <a:xfrm xmlns:a="http://schemas.openxmlformats.org/drawingml/2006/main">
              <a:off x="7023887" y="1456800"/>
              <a:ext cx="753591" cy="42496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P</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M</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2.5</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 </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GGE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0.90412</cdr:x>
      <cdr:y>0.24897</cdr:y>
    </cdr:from>
    <cdr:to>
      <cdr:x>0.98971</cdr:x>
      <cdr:y>0.32135</cdr:y>
    </cdr:to>
    <mc:AlternateContent xmlns:mc="http://schemas.openxmlformats.org/markup-compatibility/2006" xmlns:a14="http://schemas.microsoft.com/office/drawing/2010/main">
      <mc:Choice Requires="a14">
        <cdr:sp macro="" textlink="">
          <cdr:nvSpPr>
            <cdr:cNvPr id="45" name="Rectangle 44">
              <a:extLst xmlns:a="http://schemas.openxmlformats.org/drawingml/2006/main">
                <a:ext uri="{FF2B5EF4-FFF2-40B4-BE49-F238E27FC236}">
                  <a16:creationId xmlns:a16="http://schemas.microsoft.com/office/drawing/2014/main" id="{1E801B24-40DD-32FD-2E59-59B722406D01}"/>
                </a:ext>
              </a:extLst>
            </cdr:cNvPr>
            <cdr:cNvSpPr/>
          </cdr:nvSpPr>
          <cdr:spPr>
            <a:xfrm xmlns:a="http://schemas.openxmlformats.org/drawingml/2006/main">
              <a:off x="7859156" y="1461684"/>
              <a:ext cx="744035" cy="42496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kg </m:t>
                        </m:r>
                        <m:sSub>
                          <m:sSubPr>
                            <m:ctrlPr>
                              <a:rPr lang="en-US" sz="1050" b="0" i="0" kern="1200">
                                <a:solidFill>
                                  <a:sysClr val="windowText" lastClr="000000"/>
                                </a:solidFill>
                                <a:latin typeface="Arial Nova Cond" panose="020B0506020202020204" pitchFamily="34" charset="0"/>
                              </a:rPr>
                            </m:ctrlPr>
                          </m:sSubPr>
                          <m:e>
                            <m:r>
                              <m:rPr>
                                <m:nor/>
                              </m:rPr>
                              <a:rPr lang="en-US" sz="1050" b="0" i="0" kern="1200">
                                <a:solidFill>
                                  <a:sysClr val="windowText" lastClr="000000"/>
                                </a:solidFill>
                                <a:latin typeface="Arial Nova Cond" panose="020B0506020202020204" pitchFamily="34" charset="0"/>
                              </a:rPr>
                              <m:t>O</m:t>
                            </m:r>
                          </m:e>
                          <m:sub>
                            <m:r>
                              <m:rPr>
                                <m:nor/>
                              </m:rPr>
                              <a:rPr lang="en-US" sz="1050" b="0" i="0" kern="1200">
                                <a:solidFill>
                                  <a:sysClr val="windowText" lastClr="000000"/>
                                </a:solidFill>
                                <a:latin typeface="Arial Nova Cond" panose="020B0506020202020204" pitchFamily="34" charset="0"/>
                              </a:rPr>
                              <m:t>3−eq</m:t>
                            </m:r>
                          </m:sub>
                        </m:sSub>
                      </m:num>
                      <m:den>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GGE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5" name="Rectangle 44">
              <a:extLst xmlns:a="http://schemas.openxmlformats.org/drawingml/2006/main">
                <a:ext uri="{FF2B5EF4-FFF2-40B4-BE49-F238E27FC236}">
                  <a16:creationId xmlns:a16="http://schemas.microsoft.com/office/drawing/2014/main" id="{1E801B24-40DD-32FD-2E59-59B722406D01}"/>
                </a:ext>
              </a:extLst>
            </cdr:cNvPr>
            <cdr:cNvSpPr/>
          </cdr:nvSpPr>
          <cdr:spPr>
            <a:xfrm xmlns:a="http://schemas.openxmlformats.org/drawingml/2006/main">
              <a:off x="7859156" y="1461684"/>
              <a:ext cx="744035" cy="42496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O</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3−eq</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GGE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0.05965</cdr:x>
      <cdr:y>0.14883</cdr:y>
    </cdr:from>
    <cdr:to>
      <cdr:x>0.14654</cdr:x>
      <cdr:y>0.19858</cdr:y>
    </cdr:to>
    <cdr:sp macro="" textlink="">
      <cdr:nvSpPr>
        <cdr:cNvPr id="46" name="Rectangle 45">
          <a:extLst xmlns:a="http://schemas.openxmlformats.org/drawingml/2006/main">
            <a:ext uri="{FF2B5EF4-FFF2-40B4-BE49-F238E27FC236}">
              <a16:creationId xmlns:a16="http://schemas.microsoft.com/office/drawing/2014/main" id="{56E65776-C183-6A93-EE21-4E50CB981602}"/>
            </a:ext>
          </a:extLst>
        </cdr:cNvPr>
        <cdr:cNvSpPr/>
      </cdr:nvSpPr>
      <cdr:spPr>
        <a:xfrm xmlns:a="http://schemas.openxmlformats.org/drawingml/2006/main">
          <a:off x="518516" y="873802"/>
          <a:ext cx="755283" cy="29205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0.14</a:t>
          </a:r>
        </a:p>
      </cdr:txBody>
    </cdr:sp>
  </cdr:relSizeAnchor>
  <cdr:relSizeAnchor xmlns:cdr="http://schemas.openxmlformats.org/drawingml/2006/chartDrawing">
    <cdr:from>
      <cdr:x>0.1539</cdr:x>
      <cdr:y>0.14913</cdr:y>
    </cdr:from>
    <cdr:to>
      <cdr:x>0.24145</cdr:x>
      <cdr:y>0.19822</cdr:y>
    </cdr:to>
    <cdr:sp macro="" textlink="">
      <cdr:nvSpPr>
        <cdr:cNvPr id="47" name="Rectangle 46">
          <a:extLst xmlns:a="http://schemas.openxmlformats.org/drawingml/2006/main">
            <a:ext uri="{FF2B5EF4-FFF2-40B4-BE49-F238E27FC236}">
              <a16:creationId xmlns:a16="http://schemas.microsoft.com/office/drawing/2014/main" id="{BA0DD814-EA4F-7E03-A0C7-9B94172B1451}"/>
            </a:ext>
          </a:extLst>
        </cdr:cNvPr>
        <cdr:cNvSpPr/>
      </cdr:nvSpPr>
      <cdr:spPr>
        <a:xfrm xmlns:a="http://schemas.openxmlformats.org/drawingml/2006/main">
          <a:off x="1337230" y="866975"/>
          <a:ext cx="760724" cy="285387"/>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2.8E-7</a:t>
          </a:r>
        </a:p>
      </cdr:txBody>
    </cdr:sp>
  </cdr:relSizeAnchor>
  <cdr:relSizeAnchor xmlns:cdr="http://schemas.openxmlformats.org/drawingml/2006/chartDrawing">
    <cdr:from>
      <cdr:x>0.24578</cdr:x>
      <cdr:y>0.15079</cdr:y>
    </cdr:from>
    <cdr:to>
      <cdr:x>0.33581</cdr:x>
      <cdr:y>0.19738</cdr:y>
    </cdr:to>
    <mc:AlternateContent xmlns:mc="http://schemas.openxmlformats.org/markup-compatibility/2006" xmlns:a14="http://schemas.microsoft.com/office/drawing/2010/main">
      <mc:Choice Requires="a14">
        <cdr:sp macro="" textlink="">
          <cdr:nvSpPr>
            <cdr:cNvPr id="48" name="Rectangle 47">
              <a:extLst xmlns:a="http://schemas.openxmlformats.org/drawingml/2006/main">
                <a:ext uri="{FF2B5EF4-FFF2-40B4-BE49-F238E27FC236}">
                  <a16:creationId xmlns:a16="http://schemas.microsoft.com/office/drawing/2014/main" id="{AC1D82BA-5F3F-FA3B-C561-C416E432DD6F}"/>
                </a:ext>
              </a:extLst>
            </cdr:cNvPr>
            <cdr:cNvSpPr/>
          </cdr:nvSpPr>
          <cdr:spPr>
            <a:xfrm xmlns:a="http://schemas.openxmlformats.org/drawingml/2006/main">
              <a:off x="2136476" y="885301"/>
              <a:ext cx="782599" cy="27353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
                  </m:oMathParaPr>
                  <m:oMath>
                    <m:r>
                      <m:rPr>
                        <m:nor/>
                      </m:rPr>
                      <a:rPr lang="en-US" sz="1050" b="0" i="0" kern="1200">
                        <a:solidFill>
                          <a:schemeClr val="tx1"/>
                        </a:solidFill>
                        <a:latin typeface="Arial Nova Cond" panose="020B0506020202020204" pitchFamily="34" charset="0"/>
                      </a:rPr>
                      <m:t>23.63</m:t>
                    </m:r>
                  </m:oMath>
                </m:oMathPara>
              </a14:m>
              <a:endParaRPr lang="en-US" sz="900" b="1" kern="1200">
                <a:solidFill>
                  <a:schemeClr val="tx1"/>
                </a:solidFill>
                <a:latin typeface="Arial Nova Cond" panose="020B0506020202020204" pitchFamily="34" charset="0"/>
              </a:endParaRPr>
            </a:p>
          </cdr:txBody>
        </cdr:sp>
      </mc:Choice>
      <mc:Fallback xmlns="">
        <cdr:sp macro="" textlink="">
          <cdr:nvSpPr>
            <cdr:cNvPr id="48" name="Rectangle 47">
              <a:extLst xmlns:a="http://schemas.openxmlformats.org/drawingml/2006/main">
                <a:ext uri="{FF2B5EF4-FFF2-40B4-BE49-F238E27FC236}">
                  <a16:creationId xmlns:a16="http://schemas.microsoft.com/office/drawing/2014/main" id="{AC1D82BA-5F3F-FA3B-C561-C416E432DD6F}"/>
                </a:ext>
              </a:extLst>
            </cdr:cNvPr>
            <cdr:cNvSpPr/>
          </cdr:nvSpPr>
          <cdr:spPr>
            <a:xfrm xmlns:a="http://schemas.openxmlformats.org/drawingml/2006/main">
              <a:off x="2136476" y="885301"/>
              <a:ext cx="782599" cy="27353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chemeClr val="tx1"/>
                  </a:solidFill>
                  <a:latin typeface="Cambria Math" panose="02040503050406030204" pitchFamily="18" charset="0"/>
                </a:rPr>
                <a:t>"23.63</a:t>
              </a:r>
              <a:r>
                <a:rPr lang="en-US" sz="1050" b="1" i="0" kern="1200">
                  <a:solidFill>
                    <a:schemeClr val="tx1"/>
                  </a:solidFill>
                  <a:latin typeface="Arial Nova Cond" panose="020B0506020202020204" pitchFamily="34" charset="0"/>
                </a:rPr>
                <a:t>"</a:t>
              </a:r>
              <a:endParaRPr lang="en-US" sz="900" b="1" kern="1200">
                <a:solidFill>
                  <a:schemeClr val="tx1"/>
                </a:solidFill>
                <a:latin typeface="Arial Nova Cond" panose="020B0506020202020204" pitchFamily="34" charset="0"/>
              </a:endParaRPr>
            </a:p>
          </cdr:txBody>
        </cdr:sp>
      </mc:Fallback>
    </mc:AlternateContent>
  </cdr:relSizeAnchor>
  <cdr:relSizeAnchor xmlns:cdr="http://schemas.openxmlformats.org/drawingml/2006/chartDrawing">
    <cdr:from>
      <cdr:x>0.34021</cdr:x>
      <cdr:y>0.15079</cdr:y>
    </cdr:from>
    <cdr:to>
      <cdr:x>0.42859</cdr:x>
      <cdr:y>0.19655</cdr:y>
    </cdr:to>
    <cdr:sp macro="" textlink="">
      <cdr:nvSpPr>
        <cdr:cNvPr id="49" name="Rectangle 48">
          <a:extLst xmlns:a="http://schemas.openxmlformats.org/drawingml/2006/main">
            <a:ext uri="{FF2B5EF4-FFF2-40B4-BE49-F238E27FC236}">
              <a16:creationId xmlns:a16="http://schemas.microsoft.com/office/drawing/2014/main" id="{A8593A93-4E72-147A-7B78-4661359932E7}"/>
            </a:ext>
          </a:extLst>
        </cdr:cNvPr>
        <cdr:cNvSpPr/>
      </cdr:nvSpPr>
      <cdr:spPr>
        <a:xfrm xmlns:a="http://schemas.openxmlformats.org/drawingml/2006/main">
          <a:off x="2957323" y="885301"/>
          <a:ext cx="768255" cy="26865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2.7E-4</a:t>
          </a:r>
        </a:p>
      </cdr:txBody>
    </cdr:sp>
  </cdr:relSizeAnchor>
  <cdr:relSizeAnchor xmlns:cdr="http://schemas.openxmlformats.org/drawingml/2006/chartDrawing">
    <cdr:from>
      <cdr:x>0.43446</cdr:x>
      <cdr:y>0.14996</cdr:y>
    </cdr:from>
    <cdr:to>
      <cdr:x>0.52285</cdr:x>
      <cdr:y>0.19655</cdr:y>
    </cdr:to>
    <cdr:sp macro="" textlink="">
      <cdr:nvSpPr>
        <cdr:cNvPr id="50" name="Rectangle 49">
          <a:extLst xmlns:a="http://schemas.openxmlformats.org/drawingml/2006/main">
            <a:ext uri="{FF2B5EF4-FFF2-40B4-BE49-F238E27FC236}">
              <a16:creationId xmlns:a16="http://schemas.microsoft.com/office/drawing/2014/main" id="{F9145A33-E83F-2E98-13B9-4999CD251D94}"/>
            </a:ext>
          </a:extLst>
        </cdr:cNvPr>
        <cdr:cNvSpPr/>
      </cdr:nvSpPr>
      <cdr:spPr>
        <a:xfrm xmlns:a="http://schemas.openxmlformats.org/drawingml/2006/main">
          <a:off x="3776603" y="880415"/>
          <a:ext cx="768343" cy="27353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0.18</a:t>
          </a:r>
        </a:p>
      </cdr:txBody>
    </cdr:sp>
  </cdr:relSizeAnchor>
  <cdr:relSizeAnchor xmlns:cdr="http://schemas.openxmlformats.org/drawingml/2006/chartDrawing">
    <cdr:from>
      <cdr:x>0.52798</cdr:x>
      <cdr:y>0.15079</cdr:y>
    </cdr:from>
    <cdr:to>
      <cdr:x>0.6134</cdr:x>
      <cdr:y>0.19508</cdr:y>
    </cdr:to>
    <cdr:sp macro="" textlink="">
      <cdr:nvSpPr>
        <cdr:cNvPr id="51" name="Rectangle 50">
          <a:extLst xmlns:a="http://schemas.openxmlformats.org/drawingml/2006/main">
            <a:ext uri="{FF2B5EF4-FFF2-40B4-BE49-F238E27FC236}">
              <a16:creationId xmlns:a16="http://schemas.microsoft.com/office/drawing/2014/main" id="{4F90D23D-E474-E255-4383-CB4217276AF9}"/>
            </a:ext>
          </a:extLst>
        </cdr:cNvPr>
        <cdr:cNvSpPr/>
      </cdr:nvSpPr>
      <cdr:spPr>
        <a:xfrm xmlns:a="http://schemas.openxmlformats.org/drawingml/2006/main">
          <a:off x="4581447" y="881572"/>
          <a:ext cx="741250" cy="25892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13.36</a:t>
          </a:r>
        </a:p>
      </cdr:txBody>
    </cdr:sp>
  </cdr:relSizeAnchor>
  <cdr:relSizeAnchor xmlns:cdr="http://schemas.openxmlformats.org/drawingml/2006/chartDrawing">
    <cdr:from>
      <cdr:x>0.62016</cdr:x>
      <cdr:y>0.14913</cdr:y>
    </cdr:from>
    <cdr:to>
      <cdr:x>0.70855</cdr:x>
      <cdr:y>0.19738</cdr:y>
    </cdr:to>
    <cdr:sp macro="" textlink="">
      <cdr:nvSpPr>
        <cdr:cNvPr id="52" name="Rectangle 51">
          <a:extLst xmlns:a="http://schemas.openxmlformats.org/drawingml/2006/main">
            <a:ext uri="{FF2B5EF4-FFF2-40B4-BE49-F238E27FC236}">
              <a16:creationId xmlns:a16="http://schemas.microsoft.com/office/drawing/2014/main" id="{DDAEBF90-0F50-9696-B4A9-4A0C8BA3611E}"/>
            </a:ext>
          </a:extLst>
        </cdr:cNvPr>
        <cdr:cNvSpPr/>
      </cdr:nvSpPr>
      <cdr:spPr>
        <a:xfrm xmlns:a="http://schemas.openxmlformats.org/drawingml/2006/main">
          <a:off x="5390830" y="875532"/>
          <a:ext cx="768342" cy="28330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5.8E-7</a:t>
          </a:r>
        </a:p>
      </cdr:txBody>
    </cdr:sp>
  </cdr:relSizeAnchor>
  <cdr:relSizeAnchor xmlns:cdr="http://schemas.openxmlformats.org/drawingml/2006/chartDrawing">
    <cdr:from>
      <cdr:x>0.71649</cdr:x>
      <cdr:y>0.14996</cdr:y>
    </cdr:from>
    <cdr:to>
      <cdr:x>0.7996</cdr:x>
      <cdr:y>0.19655</cdr:y>
    </cdr:to>
    <cdr:sp macro="" textlink="">
      <cdr:nvSpPr>
        <cdr:cNvPr id="53" name="Rectangle 52">
          <a:extLst xmlns:a="http://schemas.openxmlformats.org/drawingml/2006/main">
            <a:ext uri="{FF2B5EF4-FFF2-40B4-BE49-F238E27FC236}">
              <a16:creationId xmlns:a16="http://schemas.microsoft.com/office/drawing/2014/main" id="{5CB22B86-324E-23AC-3B14-D20A7E8846BE}"/>
            </a:ext>
          </a:extLst>
        </cdr:cNvPr>
        <cdr:cNvSpPr/>
      </cdr:nvSpPr>
      <cdr:spPr>
        <a:xfrm xmlns:a="http://schemas.openxmlformats.org/drawingml/2006/main">
          <a:off x="6228188" y="880416"/>
          <a:ext cx="722430" cy="273537"/>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3.4E-7</a:t>
          </a:r>
        </a:p>
      </cdr:txBody>
    </cdr:sp>
  </cdr:relSizeAnchor>
  <cdr:relSizeAnchor xmlns:cdr="http://schemas.openxmlformats.org/drawingml/2006/chartDrawing">
    <cdr:from>
      <cdr:x>0.81001</cdr:x>
      <cdr:y>0.15246</cdr:y>
    </cdr:from>
    <cdr:to>
      <cdr:x>0.89288</cdr:x>
      <cdr:y>0.19572</cdr:y>
    </cdr:to>
    <cdr:sp macro="" textlink="">
      <cdr:nvSpPr>
        <cdr:cNvPr id="54" name="Rectangle 53">
          <a:extLst xmlns:a="http://schemas.openxmlformats.org/drawingml/2006/main">
            <a:ext uri="{FF2B5EF4-FFF2-40B4-BE49-F238E27FC236}">
              <a16:creationId xmlns:a16="http://schemas.microsoft.com/office/drawing/2014/main" id="{EAEC0698-FAF8-E0B3-BA1D-C357CB6F587F}"/>
            </a:ext>
          </a:extLst>
        </cdr:cNvPr>
        <cdr:cNvSpPr/>
      </cdr:nvSpPr>
      <cdr:spPr>
        <a:xfrm xmlns:a="http://schemas.openxmlformats.org/drawingml/2006/main">
          <a:off x="7041124" y="895069"/>
          <a:ext cx="720340" cy="254000"/>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0.02</a:t>
          </a:r>
        </a:p>
      </cdr:txBody>
    </cdr:sp>
  </cdr:relSizeAnchor>
  <cdr:relSizeAnchor xmlns:cdr="http://schemas.openxmlformats.org/drawingml/2006/chartDrawing">
    <cdr:from>
      <cdr:x>0.90501</cdr:x>
      <cdr:y>0.14996</cdr:y>
    </cdr:from>
    <cdr:to>
      <cdr:x>0.99009</cdr:x>
      <cdr:y>0.19738</cdr:y>
    </cdr:to>
    <cdr:sp macro="" textlink="">
      <cdr:nvSpPr>
        <cdr:cNvPr id="55" name="Rectangle 54">
          <a:extLst xmlns:a="http://schemas.openxmlformats.org/drawingml/2006/main">
            <a:ext uri="{FF2B5EF4-FFF2-40B4-BE49-F238E27FC236}">
              <a16:creationId xmlns:a16="http://schemas.microsoft.com/office/drawing/2014/main" id="{ED3137F6-8530-771F-4ECF-D66360899FD4}"/>
            </a:ext>
          </a:extLst>
        </cdr:cNvPr>
        <cdr:cNvSpPr/>
      </cdr:nvSpPr>
      <cdr:spPr>
        <a:xfrm xmlns:a="http://schemas.openxmlformats.org/drawingml/2006/main">
          <a:off x="7866924" y="880416"/>
          <a:ext cx="739578" cy="27842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chemeClr val="tx1"/>
              </a:solidFill>
              <a:latin typeface="Arial Nova Cond" panose="020B0506020202020204" pitchFamily="34" charset="0"/>
            </a:rPr>
            <a:t>4.38</a:t>
          </a:r>
          <a:endParaRPr lang="en-US" sz="1050" b="1" kern="1200">
            <a:solidFill>
              <a:schemeClr val="tx1"/>
            </a:solidFill>
            <a:latin typeface="Arial Nova Cond" panose="020B0506020202020204" pitchFamily="34" charset="0"/>
          </a:endParaRPr>
        </a:p>
      </cdr:txBody>
    </cdr:sp>
  </cdr:relSizeAnchor>
  <cdr:relSizeAnchor xmlns:cdr="http://schemas.openxmlformats.org/drawingml/2006/chartDrawing">
    <cdr:from>
      <cdr:x>0.71321</cdr:x>
      <cdr:y>0.00576</cdr:y>
    </cdr:from>
    <cdr:to>
      <cdr:x>1</cdr:x>
      <cdr:y>0.07335</cdr:y>
    </cdr:to>
    <mc:AlternateContent xmlns:mc="http://schemas.openxmlformats.org/markup-compatibility/2006" xmlns:a14="http://schemas.microsoft.com/office/drawing/2010/main">
      <mc:Choice Requires="a14">
        <cdr:sp macro="" textlink="">
          <cdr:nvSpPr>
            <cdr:cNvPr id="3" name="TextBox 2">
              <a:extLst xmlns:a="http://schemas.openxmlformats.org/drawingml/2006/main">
                <a:ext uri="{FF2B5EF4-FFF2-40B4-BE49-F238E27FC236}">
                  <a16:creationId xmlns:a16="http://schemas.microsoft.com/office/drawing/2014/main" id="{2E16D9B2-103F-B7DA-A891-FB3D998588DD}"/>
                </a:ext>
              </a:extLst>
            </cdr:cNvPr>
            <cdr:cNvSpPr txBox="1"/>
          </cdr:nvSpPr>
          <cdr:spPr>
            <a:xfrm xmlns:a="http://schemas.openxmlformats.org/drawingml/2006/main">
              <a:off x="6219825" y="33263"/>
              <a:ext cx="2501022" cy="390324"/>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400" b="1" kern="1200">
                  <a:latin typeface="Arial Nova Cond" panose="020B0506020202020204" pitchFamily="34" charset="0"/>
                </a:rPr>
                <a:t>Unit Scale: </a:t>
              </a:r>
              <a:r>
                <a:rPr kumimoji="0" lang="en-US" sz="14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~34 M </a:t>
              </a:r>
              <a14:m>
                <m:oMath xmlns:m="http://schemas.openxmlformats.org/officeDocument/2006/math">
                  <m:f>
                    <m:fPr>
                      <m:ctrlP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ctrlPr>
                    </m:fPr>
                    <m:num>
                      <m:r>
                        <m:rPr>
                          <m:nor/>
                        </m:rP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GGE</m:t>
                      </m:r>
                    </m:num>
                    <m:den>
                      <m:r>
                        <m:rPr>
                          <m:nor/>
                        </m:rP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yr</m:t>
                      </m:r>
                    </m:den>
                  </m:f>
                </m:oMath>
              </a14:m>
              <a: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a:t>
              </a:r>
              <a:r>
                <a:rPr kumimoji="0" lang="en-US" sz="14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Fuel</a:t>
              </a:r>
              <a:endParaRPr lang="en-US" sz="1400" kern="1200">
                <a:latin typeface="Arial Nova Cond" panose="020B0506020202020204" pitchFamily="34" charset="0"/>
              </a:endParaRPr>
            </a:p>
          </cdr:txBody>
        </cdr:sp>
      </mc:Choice>
      <mc:Fallback xmlns="">
        <cdr:sp macro="" textlink="">
          <cdr:nvSpPr>
            <cdr:cNvPr id="3" name="TextBox 2">
              <a:extLst xmlns:a="http://schemas.openxmlformats.org/drawingml/2006/main">
                <a:ext uri="{FF2B5EF4-FFF2-40B4-BE49-F238E27FC236}">
                  <a16:creationId xmlns:a16="http://schemas.microsoft.com/office/drawing/2014/main" id="{2E16D9B2-103F-B7DA-A891-FB3D998588DD}"/>
                </a:ext>
              </a:extLst>
            </cdr:cNvPr>
            <cdr:cNvSpPr txBox="1"/>
          </cdr:nvSpPr>
          <cdr:spPr>
            <a:xfrm xmlns:a="http://schemas.openxmlformats.org/drawingml/2006/main">
              <a:off x="6219825" y="33263"/>
              <a:ext cx="2501022" cy="390324"/>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400" b="1" kern="1200">
                  <a:latin typeface="Arial Nova Cond" panose="020B0506020202020204" pitchFamily="34" charset="0"/>
                </a:rPr>
                <a:t>Unit Scale: </a:t>
              </a:r>
              <a:r>
                <a:rPr kumimoji="0" lang="en-US" sz="14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~34 M </a:t>
              </a:r>
              <a: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"GGE</a:t>
              </a:r>
              <a:r>
                <a:rPr kumimoji="0" lang="en-US" sz="1200" b="0"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yr</a:t>
              </a:r>
              <a:r>
                <a:rPr kumimoji="0" lang="en-US" sz="1200" b="0"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a:t>
              </a:r>
              <a:r>
                <a:rPr kumimoji="0" lang="en-US" sz="14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Fuel</a:t>
              </a:r>
              <a:endParaRPr lang="en-US" sz="1400" kern="1200">
                <a:latin typeface="Arial Nova Cond" panose="020B0506020202020204" pitchFamily="34" charset="0"/>
              </a:endParaRPr>
            </a:p>
          </cdr:txBody>
        </cdr:sp>
      </mc:Fallback>
    </mc:AlternateContent>
  </cdr:relSizeAnchor>
  <cdr:relSizeAnchor xmlns:cdr="http://schemas.openxmlformats.org/drawingml/2006/chartDrawing">
    <cdr:from>
      <cdr:x>0.62675</cdr:x>
      <cdr:y>0.07499</cdr:y>
    </cdr:from>
    <cdr:to>
      <cdr:x>0.99621</cdr:x>
      <cdr:y>0.14258</cdr:y>
    </cdr:to>
    <mc:AlternateContent xmlns:mc="http://schemas.openxmlformats.org/markup-compatibility/2006" xmlns:a14="http://schemas.microsoft.com/office/drawing/2010/main">
      <mc:Choice Requires="a14">
        <cdr:sp macro="" textlink="">
          <cdr:nvSpPr>
            <cdr:cNvPr id="5" name="TextBox 1">
              <a:extLst xmlns:a="http://schemas.openxmlformats.org/drawingml/2006/main">
                <a:ext uri="{FF2B5EF4-FFF2-40B4-BE49-F238E27FC236}">
                  <a16:creationId xmlns:a16="http://schemas.microsoft.com/office/drawing/2014/main" id="{78EF29C4-F20A-FAB4-2C42-012749947D5E}"/>
                </a:ext>
              </a:extLst>
            </cdr:cNvPr>
            <cdr:cNvSpPr txBox="1"/>
          </cdr:nvSpPr>
          <cdr:spPr>
            <a:xfrm xmlns:a="http://schemas.openxmlformats.org/drawingml/2006/main">
              <a:off x="5448869" y="439317"/>
              <a:ext cx="3212041" cy="39589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b="1" kern="1200">
                  <a:latin typeface="Arial Nova Cond" panose="020B0506020202020204" pitchFamily="34" charset="0"/>
                </a:rPr>
                <a:t>Plant Scale: </a:t>
              </a:r>
              <a:r>
                <a:rPr lang="en-US" sz="1400" kern="1200">
                  <a:latin typeface="Arial Nova Cond" panose="020B0506020202020204" pitchFamily="34" charset="0"/>
                </a:rPr>
                <a:t>~483,000 </a:t>
              </a:r>
              <a14:m>
                <m:oMath xmlns:m="http://schemas.openxmlformats.org/officeDocument/2006/math">
                  <m:f>
                    <m:fPr>
                      <m:ctrlPr>
                        <a:rPr lang="en-US" sz="1200" b="0" i="0" kern="1200">
                          <a:latin typeface="Arial Nova Cond" panose="020B0506020202020204" pitchFamily="34" charset="0"/>
                        </a:rPr>
                      </m:ctrlPr>
                    </m:fPr>
                    <m:num>
                      <m:r>
                        <m:rPr>
                          <m:nor/>
                        </m:rPr>
                        <a:rPr lang="en-US" sz="1200" b="0" i="0" kern="1200">
                          <a:latin typeface="Arial Nova Cond" panose="020B0506020202020204" pitchFamily="34" charset="0"/>
                        </a:rPr>
                        <m:t>MT</m:t>
                      </m:r>
                    </m:num>
                    <m:den>
                      <m:r>
                        <m:rPr>
                          <m:nor/>
                        </m:rPr>
                        <a:rPr lang="en-US" sz="1200" b="0" i="0" kern="1200">
                          <a:latin typeface="Arial Nova Cond" panose="020B0506020202020204" pitchFamily="34" charset="0"/>
                        </a:rPr>
                        <m:t>yr</m:t>
                      </m:r>
                    </m:den>
                  </m:f>
                </m:oMath>
              </a14:m>
              <a:r>
                <a:rPr lang="en-US" sz="1200" kern="1200">
                  <a:latin typeface="Arial Nova Cond" panose="020B0506020202020204" pitchFamily="34" charset="0"/>
                </a:rPr>
                <a:t> </a:t>
              </a:r>
              <a:r>
                <a:rPr lang="en-US" sz="1400" kern="1200" baseline="0">
                  <a:latin typeface="Arial Nova Cond" panose="020B0506020202020204" pitchFamily="34" charset="0"/>
                </a:rPr>
                <a:t> Organic Waste</a:t>
              </a:r>
              <a:endParaRPr lang="en-US" sz="1400" kern="1200">
                <a:latin typeface="Arial Nova Cond" panose="020B0506020202020204" pitchFamily="34" charset="0"/>
              </a:endParaRPr>
            </a:p>
          </cdr:txBody>
        </cdr:sp>
      </mc:Choice>
      <mc:Fallback xmlns="">
        <cdr:sp macro="" textlink="">
          <cdr:nvSpPr>
            <cdr:cNvPr id="5" name="TextBox 1">
              <a:extLst xmlns:a="http://schemas.openxmlformats.org/drawingml/2006/main">
                <a:ext uri="{FF2B5EF4-FFF2-40B4-BE49-F238E27FC236}">
                  <a16:creationId xmlns:a16="http://schemas.microsoft.com/office/drawing/2014/main" id="{78EF29C4-F20A-FAB4-2C42-012749947D5E}"/>
                </a:ext>
              </a:extLst>
            </cdr:cNvPr>
            <cdr:cNvSpPr txBox="1"/>
          </cdr:nvSpPr>
          <cdr:spPr>
            <a:xfrm xmlns:a="http://schemas.openxmlformats.org/drawingml/2006/main">
              <a:off x="5448869" y="439317"/>
              <a:ext cx="3212041" cy="39589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b="1" kern="1200">
                  <a:latin typeface="Arial Nova Cond" panose="020B0506020202020204" pitchFamily="34" charset="0"/>
                </a:rPr>
                <a:t>Plant Scale: </a:t>
              </a:r>
              <a:r>
                <a:rPr lang="en-US" sz="1400" kern="1200">
                  <a:latin typeface="Arial Nova Cond" panose="020B0506020202020204" pitchFamily="34" charset="0"/>
                </a:rPr>
                <a:t>~483,000 </a:t>
              </a:r>
              <a:r>
                <a:rPr lang="en-US" sz="1200" b="0" i="0" kern="1200">
                  <a:latin typeface="Arial Nova Cond" panose="020B0506020202020204" pitchFamily="34" charset="0"/>
                </a:rPr>
                <a:t>"MT</a:t>
              </a:r>
              <a:r>
                <a:rPr lang="en-US" sz="1200" b="0" i="0" kern="1200">
                  <a:latin typeface="Cambria Math" panose="02040503050406030204" pitchFamily="18" charset="0"/>
                </a:rPr>
                <a:t>" /"</a:t>
              </a:r>
              <a:r>
                <a:rPr lang="en-US" sz="1200" b="0" i="0" kern="1200">
                  <a:latin typeface="Arial Nova Cond" panose="020B0506020202020204" pitchFamily="34" charset="0"/>
                </a:rPr>
                <a:t>yr</a:t>
              </a:r>
              <a:r>
                <a:rPr lang="en-US" sz="1200" b="0" i="0" kern="1200">
                  <a:latin typeface="Cambria Math" panose="02040503050406030204" pitchFamily="18" charset="0"/>
                </a:rPr>
                <a:t>" </a:t>
              </a:r>
              <a:r>
                <a:rPr lang="en-US" sz="1200" kern="1200">
                  <a:latin typeface="Arial Nova Cond" panose="020B0506020202020204" pitchFamily="34" charset="0"/>
                </a:rPr>
                <a:t> </a:t>
              </a:r>
              <a:r>
                <a:rPr lang="en-US" sz="1400" kern="1200" baseline="0">
                  <a:latin typeface="Arial Nova Cond" panose="020B0506020202020204" pitchFamily="34" charset="0"/>
                </a:rPr>
                <a:t> Organic Waste</a:t>
              </a:r>
              <a:endParaRPr lang="en-US" sz="1400" kern="1200">
                <a:latin typeface="Arial Nova Cond" panose="020B0506020202020204" pitchFamily="34" charset="0"/>
              </a:endParaRPr>
            </a:p>
          </cdr:txBody>
        </cdr:sp>
      </mc:Fallback>
    </mc:AlternateContent>
  </cdr:relSizeAnchor>
  <cdr:relSizeAnchor xmlns:cdr="http://schemas.openxmlformats.org/drawingml/2006/chartDrawing">
    <cdr:from>
      <cdr:x>0.00359</cdr:x>
      <cdr:y>0.15098</cdr:y>
    </cdr:from>
    <cdr:to>
      <cdr:x>0.05764</cdr:x>
      <cdr:y>0.19553</cdr:y>
    </cdr:to>
    <cdr:sp macro="" textlink="">
      <cdr:nvSpPr>
        <cdr:cNvPr id="7" name="Rectangle 6">
          <a:extLst xmlns:a="http://schemas.openxmlformats.org/drawingml/2006/main">
            <a:ext uri="{FF2B5EF4-FFF2-40B4-BE49-F238E27FC236}">
              <a16:creationId xmlns:a16="http://schemas.microsoft.com/office/drawing/2014/main" id="{01C549B7-6F0D-55EB-1DF9-E46C824B8B10}"/>
            </a:ext>
          </a:extLst>
        </cdr:cNvPr>
        <cdr:cNvSpPr/>
      </cdr:nvSpPr>
      <cdr:spPr>
        <a:xfrm xmlns:a="http://schemas.openxmlformats.org/drawingml/2006/main">
          <a:off x="31152" y="882673"/>
          <a:ext cx="469008" cy="260455"/>
        </a:xfrm>
        <a:prstGeom xmlns:a="http://schemas.openxmlformats.org/drawingml/2006/main" prst="rect">
          <a:avLst/>
        </a:prstGeom>
        <a:solidFill xmlns:a="http://schemas.openxmlformats.org/drawingml/2006/main">
          <a:schemeClr val="bg1"/>
        </a:solidFill>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horz"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900" b="1" kern="1200">
              <a:solidFill>
                <a:sysClr val="windowText" lastClr="000000"/>
              </a:solidFill>
              <a:latin typeface="Arial Nova Cond" panose="020B0506020202020204" pitchFamily="34" charset="0"/>
            </a:rPr>
            <a:t>CONV</a:t>
          </a:r>
        </a:p>
      </cdr:txBody>
    </cdr:sp>
  </cdr:relSizeAnchor>
  <cdr:relSizeAnchor xmlns:cdr="http://schemas.openxmlformats.org/drawingml/2006/chartDrawing">
    <cdr:from>
      <cdr:x>0.00956</cdr:x>
      <cdr:y>0.01674</cdr:y>
    </cdr:from>
    <cdr:to>
      <cdr:x>0.66692</cdr:x>
      <cdr:y>0.12243</cdr:y>
    </cdr:to>
    <cdr:sp macro="" textlink="">
      <cdr:nvSpPr>
        <cdr:cNvPr id="8" name="TextBox 7">
          <a:extLst xmlns:a="http://schemas.openxmlformats.org/drawingml/2006/main">
            <a:ext uri="{FF2B5EF4-FFF2-40B4-BE49-F238E27FC236}">
              <a16:creationId xmlns:a16="http://schemas.microsoft.com/office/drawing/2014/main" id="{AD2C0E70-E8C1-3E10-775D-D417054915DF}"/>
            </a:ext>
          </a:extLst>
        </cdr:cNvPr>
        <cdr:cNvSpPr txBox="1"/>
      </cdr:nvSpPr>
      <cdr:spPr>
        <a:xfrm xmlns:a="http://schemas.openxmlformats.org/drawingml/2006/main">
          <a:off x="83119" y="98063"/>
          <a:ext cx="5715000" cy="619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0.00714</cdr:x>
      <cdr:y>0.00488</cdr:y>
    </cdr:from>
    <cdr:to>
      <cdr:x>0.72232</cdr:x>
      <cdr:y>0.14927</cdr:y>
    </cdr:to>
    <cdr:sp macro="" textlink="">
      <cdr:nvSpPr>
        <cdr:cNvPr id="9" name="TextBox 8">
          <a:extLst xmlns:a="http://schemas.openxmlformats.org/drawingml/2006/main">
            <a:ext uri="{FF2B5EF4-FFF2-40B4-BE49-F238E27FC236}">
              <a16:creationId xmlns:a16="http://schemas.microsoft.com/office/drawing/2014/main" id="{4894452E-5DAD-8998-6E47-2488F9C428CC}"/>
            </a:ext>
          </a:extLst>
        </cdr:cNvPr>
        <cdr:cNvSpPr txBox="1"/>
      </cdr:nvSpPr>
      <cdr:spPr>
        <a:xfrm xmlns:a="http://schemas.openxmlformats.org/drawingml/2006/main">
          <a:off x="62260" y="28200"/>
          <a:ext cx="6236939" cy="8338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2800" b="1" kern="1200">
              <a:latin typeface="Arial Nova Cond" panose="020B0506020202020204" pitchFamily="34" charset="0"/>
            </a:rPr>
            <a:t>LIFE CYCLE</a:t>
          </a:r>
          <a:r>
            <a:rPr lang="en-US" sz="2800" b="1" kern="1200" baseline="0">
              <a:latin typeface="Arial Nova Cond" panose="020B0506020202020204" pitchFamily="34" charset="0"/>
            </a:rPr>
            <a:t> ASSESSMENT</a:t>
          </a:r>
        </a:p>
        <a:p xmlns:a="http://schemas.openxmlformats.org/drawingml/2006/main">
          <a:r>
            <a:rPr lang="en-US" sz="1400" b="1" kern="1200">
              <a:latin typeface="Arial Nova Cond" panose="020B0506020202020204" pitchFamily="34" charset="0"/>
            </a:rPr>
            <a:t>of </a:t>
          </a:r>
          <a:r>
            <a:rPr lang="en-US" sz="1400" b="1" kern="1200">
              <a:solidFill>
                <a:schemeClr val="accent5">
                  <a:lumMod val="50000"/>
                </a:schemeClr>
              </a:solidFill>
              <a:latin typeface="Arial Nova Cond" panose="020B0506020202020204" pitchFamily="34" charset="0"/>
            </a:rPr>
            <a:t>Proposed</a:t>
          </a:r>
          <a:r>
            <a:rPr lang="en-US" sz="1400" b="1" kern="1200">
              <a:latin typeface="Arial Nova Cond" panose="020B0506020202020204" pitchFamily="34" charset="0"/>
            </a:rPr>
            <a:t> Path</a:t>
          </a:r>
          <a:r>
            <a:rPr lang="en-US" sz="1400" b="1" kern="1200" baseline="0">
              <a:latin typeface="Arial Nova Cond" panose="020B0506020202020204" pitchFamily="34" charset="0"/>
            </a:rPr>
            <a:t> A</a:t>
          </a:r>
          <a:r>
            <a:rPr lang="en-US" sz="1400" b="1" kern="1200">
              <a:latin typeface="Arial Nova Cond" panose="020B0506020202020204" pitchFamily="34" charset="0"/>
            </a:rPr>
            <a:t> Aviation</a:t>
          </a:r>
          <a:r>
            <a:rPr lang="en-US" sz="1400" b="1" kern="1200" baseline="0">
              <a:latin typeface="Arial Nova Cond" panose="020B0506020202020204" pitchFamily="34" charset="0"/>
            </a:rPr>
            <a:t> Fuel </a:t>
          </a:r>
          <a:r>
            <a:rPr lang="en-US" sz="1400" b="0" kern="1200">
              <a:latin typeface="Arial Nova Cond" panose="020B0506020202020204" pitchFamily="34" charset="0"/>
            </a:rPr>
            <a:t>compared to Conventional Aviation</a:t>
          </a:r>
          <a:r>
            <a:rPr lang="en-US" sz="1400" b="0" kern="1200" baseline="0">
              <a:latin typeface="Arial Nova Cond" panose="020B0506020202020204" pitchFamily="34" charset="0"/>
            </a:rPr>
            <a:t> Fuel</a:t>
          </a:r>
          <a:endParaRPr lang="en-US" sz="1400" b="0" kern="1200">
            <a:latin typeface="Arial Nova Cond" panose="020B0506020202020204" pitchFamily="34" charset="0"/>
          </a:endParaRPr>
        </a:p>
      </cdr:txBody>
    </cdr:sp>
  </cdr:relSizeAnchor>
  <cdr:relSizeAnchor xmlns:cdr="http://schemas.openxmlformats.org/drawingml/2006/chartDrawing">
    <cdr:from>
      <cdr:x>0.06024</cdr:x>
      <cdr:y>0.1984</cdr:y>
    </cdr:from>
    <cdr:to>
      <cdr:x>0.14862</cdr:x>
      <cdr:y>0.24319</cdr:y>
    </cdr:to>
    <cdr:sp macro="" textlink="">
      <cdr:nvSpPr>
        <cdr:cNvPr id="10" name="Rectangle 9">
          <a:extLst xmlns:a="http://schemas.openxmlformats.org/drawingml/2006/main">
            <a:ext uri="{FF2B5EF4-FFF2-40B4-BE49-F238E27FC236}">
              <a16:creationId xmlns:a16="http://schemas.microsoft.com/office/drawing/2014/main" id="{F1142C89-5FA5-CAA1-8F74-56E178EF05F2}"/>
            </a:ext>
          </a:extLst>
        </cdr:cNvPr>
        <cdr:cNvSpPr/>
      </cdr:nvSpPr>
      <cdr:spPr>
        <a:xfrm xmlns:a="http://schemas.openxmlformats.org/drawingml/2006/main">
          <a:off x="524164" y="1159164"/>
          <a:ext cx="769001" cy="26166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50164A"/>
              </a:solidFill>
              <a:latin typeface="Arial Nova Cond" panose="020B0506020202020204" pitchFamily="34" charset="0"/>
            </a:rPr>
            <a:t>0.13</a:t>
          </a:r>
        </a:p>
      </cdr:txBody>
    </cdr:sp>
  </cdr:relSizeAnchor>
  <cdr:relSizeAnchor xmlns:cdr="http://schemas.openxmlformats.org/drawingml/2006/chartDrawing">
    <cdr:from>
      <cdr:x>0.15275</cdr:x>
      <cdr:y>0.19751</cdr:y>
    </cdr:from>
    <cdr:to>
      <cdr:x>0.239</cdr:x>
      <cdr:y>0.24692</cdr:y>
    </cdr:to>
    <cdr:sp macro="" textlink="">
      <cdr:nvSpPr>
        <cdr:cNvPr id="11" name="Rectangle 10">
          <a:extLst xmlns:a="http://schemas.openxmlformats.org/drawingml/2006/main">
            <a:ext uri="{FF2B5EF4-FFF2-40B4-BE49-F238E27FC236}">
              <a16:creationId xmlns:a16="http://schemas.microsoft.com/office/drawing/2014/main" id="{3D394DC3-53AB-8548-C9C9-DB689270CE69}"/>
            </a:ext>
          </a:extLst>
        </cdr:cNvPr>
        <cdr:cNvSpPr/>
      </cdr:nvSpPr>
      <cdr:spPr>
        <a:xfrm xmlns:a="http://schemas.openxmlformats.org/drawingml/2006/main">
          <a:off x="1329065" y="1153991"/>
          <a:ext cx="750455"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50164A"/>
              </a:solidFill>
              <a:latin typeface="Arial Nova Cond" panose="020B0506020202020204" pitchFamily="34" charset="0"/>
            </a:rPr>
            <a:t>3.9E-7</a:t>
          </a:r>
        </a:p>
      </cdr:txBody>
    </cdr:sp>
  </cdr:relSizeAnchor>
  <cdr:relSizeAnchor xmlns:cdr="http://schemas.openxmlformats.org/drawingml/2006/chartDrawing">
    <cdr:from>
      <cdr:x>0.24696</cdr:x>
      <cdr:y>0.19741</cdr:y>
    </cdr:from>
    <cdr:to>
      <cdr:x>0.33321</cdr:x>
      <cdr:y>0.24681</cdr:y>
    </cdr:to>
    <cdr:sp macro="" textlink="">
      <cdr:nvSpPr>
        <cdr:cNvPr id="23" name="Rectangle 22">
          <a:extLst xmlns:a="http://schemas.openxmlformats.org/drawingml/2006/main">
            <a:ext uri="{FF2B5EF4-FFF2-40B4-BE49-F238E27FC236}">
              <a16:creationId xmlns:a16="http://schemas.microsoft.com/office/drawing/2014/main" id="{F88C6C2F-D165-2FBC-C4FD-79D188286206}"/>
            </a:ext>
          </a:extLst>
        </cdr:cNvPr>
        <cdr:cNvSpPr/>
      </cdr:nvSpPr>
      <cdr:spPr>
        <a:xfrm xmlns:a="http://schemas.openxmlformats.org/drawingml/2006/main">
          <a:off x="2148794" y="1153391"/>
          <a:ext cx="750454"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50164A"/>
              </a:solidFill>
              <a:latin typeface="Arial Nova Cond" panose="020B0506020202020204" pitchFamily="34" charset="0"/>
            </a:rPr>
            <a:t>73.65</a:t>
          </a:r>
        </a:p>
      </cdr:txBody>
    </cdr:sp>
  </cdr:relSizeAnchor>
  <cdr:relSizeAnchor xmlns:cdr="http://schemas.openxmlformats.org/drawingml/2006/chartDrawing">
    <cdr:from>
      <cdr:x>0.34088</cdr:x>
      <cdr:y>0.19544</cdr:y>
    </cdr:from>
    <cdr:to>
      <cdr:x>0.42713</cdr:x>
      <cdr:y>0.24484</cdr:y>
    </cdr:to>
    <cdr:sp macro="" textlink="">
      <cdr:nvSpPr>
        <cdr:cNvPr id="33" name="Rectangle 32">
          <a:extLst xmlns:a="http://schemas.openxmlformats.org/drawingml/2006/main">
            <a:ext uri="{FF2B5EF4-FFF2-40B4-BE49-F238E27FC236}">
              <a16:creationId xmlns:a16="http://schemas.microsoft.com/office/drawing/2014/main" id="{CF8E6F71-0011-BC38-BB7C-AA91624271EE}"/>
            </a:ext>
          </a:extLst>
        </cdr:cNvPr>
        <cdr:cNvSpPr/>
      </cdr:nvSpPr>
      <cdr:spPr>
        <a:xfrm xmlns:a="http://schemas.openxmlformats.org/drawingml/2006/main">
          <a:off x="2966027" y="1141845"/>
          <a:ext cx="750454"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50164A"/>
              </a:solidFill>
              <a:latin typeface="Arial Nova Cond" panose="020B0506020202020204" pitchFamily="34" charset="0"/>
            </a:rPr>
            <a:t>9.7E-4</a:t>
          </a:r>
        </a:p>
      </cdr:txBody>
    </cdr:sp>
  </cdr:relSizeAnchor>
  <cdr:relSizeAnchor xmlns:cdr="http://schemas.openxmlformats.org/drawingml/2006/chartDrawing">
    <cdr:from>
      <cdr:x>0.43604</cdr:x>
      <cdr:y>0.19544</cdr:y>
    </cdr:from>
    <cdr:to>
      <cdr:x>0.5203</cdr:x>
      <cdr:y>0.24484</cdr:y>
    </cdr:to>
    <cdr:sp macro="" textlink="">
      <cdr:nvSpPr>
        <cdr:cNvPr id="34" name="Rectangle 33">
          <a:extLst xmlns:a="http://schemas.openxmlformats.org/drawingml/2006/main">
            <a:ext uri="{FF2B5EF4-FFF2-40B4-BE49-F238E27FC236}">
              <a16:creationId xmlns:a16="http://schemas.microsoft.com/office/drawing/2014/main" id="{1E0A755A-A199-1A2B-4E3A-60B334DB84B2}"/>
            </a:ext>
          </a:extLst>
        </cdr:cNvPr>
        <cdr:cNvSpPr/>
      </cdr:nvSpPr>
      <cdr:spPr>
        <a:xfrm xmlns:a="http://schemas.openxmlformats.org/drawingml/2006/main">
          <a:off x="3794021" y="1141845"/>
          <a:ext cx="733136"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50164A"/>
              </a:solidFill>
              <a:latin typeface="Arial Nova Cond" panose="020B0506020202020204" pitchFamily="34" charset="0"/>
            </a:rPr>
            <a:t>0.17</a:t>
          </a:r>
        </a:p>
      </cdr:txBody>
    </cdr:sp>
  </cdr:relSizeAnchor>
  <cdr:relSizeAnchor xmlns:cdr="http://schemas.openxmlformats.org/drawingml/2006/chartDrawing">
    <cdr:from>
      <cdr:x>0.52797</cdr:x>
      <cdr:y>0.1985</cdr:y>
    </cdr:from>
    <cdr:to>
      <cdr:x>0.61223</cdr:x>
      <cdr:y>0.24791</cdr:y>
    </cdr:to>
    <cdr:sp macro="" textlink="">
      <cdr:nvSpPr>
        <cdr:cNvPr id="56" name="Rectangle 55">
          <a:extLst xmlns:a="http://schemas.openxmlformats.org/drawingml/2006/main">
            <a:ext uri="{FF2B5EF4-FFF2-40B4-BE49-F238E27FC236}">
              <a16:creationId xmlns:a16="http://schemas.microsoft.com/office/drawing/2014/main" id="{12894642-16C3-0997-C3DD-38F93A4EDFF3}"/>
            </a:ext>
          </a:extLst>
        </cdr:cNvPr>
        <cdr:cNvSpPr/>
      </cdr:nvSpPr>
      <cdr:spPr>
        <a:xfrm xmlns:a="http://schemas.openxmlformats.org/drawingml/2006/main">
          <a:off x="4593936" y="1159763"/>
          <a:ext cx="733136" cy="288637"/>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50164A"/>
              </a:solidFill>
              <a:latin typeface="Arial Nova Cond" panose="020B0506020202020204" pitchFamily="34" charset="0"/>
            </a:rPr>
            <a:t>2.67</a:t>
          </a:r>
        </a:p>
      </cdr:txBody>
    </cdr:sp>
  </cdr:relSizeAnchor>
  <cdr:relSizeAnchor xmlns:cdr="http://schemas.openxmlformats.org/drawingml/2006/chartDrawing">
    <cdr:from>
      <cdr:x>0.61915</cdr:x>
      <cdr:y>0.19751</cdr:y>
    </cdr:from>
    <cdr:to>
      <cdr:x>0.70777</cdr:x>
      <cdr:y>0.24484</cdr:y>
    </cdr:to>
    <cdr:sp macro="" textlink="">
      <cdr:nvSpPr>
        <cdr:cNvPr id="57" name="Rectangle 56">
          <a:extLst xmlns:a="http://schemas.openxmlformats.org/drawingml/2006/main">
            <a:ext uri="{FF2B5EF4-FFF2-40B4-BE49-F238E27FC236}">
              <a16:creationId xmlns:a16="http://schemas.microsoft.com/office/drawing/2014/main" id="{5F906069-F3F1-1742-358F-C716FFCD387E}"/>
            </a:ext>
          </a:extLst>
        </cdr:cNvPr>
        <cdr:cNvSpPr/>
      </cdr:nvSpPr>
      <cdr:spPr>
        <a:xfrm xmlns:a="http://schemas.openxmlformats.org/drawingml/2006/main">
          <a:off x="5387293" y="1153991"/>
          <a:ext cx="771052" cy="27649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50164A"/>
              </a:solidFill>
              <a:latin typeface="Arial Nova Cond" panose="020B0506020202020204" pitchFamily="34" charset="0"/>
            </a:rPr>
            <a:t>6.1E-6</a:t>
          </a:r>
        </a:p>
      </cdr:txBody>
    </cdr:sp>
  </cdr:relSizeAnchor>
  <cdr:relSizeAnchor xmlns:cdr="http://schemas.openxmlformats.org/drawingml/2006/chartDrawing">
    <cdr:from>
      <cdr:x>0.71374</cdr:x>
      <cdr:y>0.1984</cdr:y>
    </cdr:from>
    <cdr:to>
      <cdr:x>0.80236</cdr:x>
      <cdr:y>0.24572</cdr:y>
    </cdr:to>
    <cdr:sp macro="" textlink="">
      <cdr:nvSpPr>
        <cdr:cNvPr id="58" name="Rectangle 57">
          <a:extLst xmlns:a="http://schemas.openxmlformats.org/drawingml/2006/main">
            <a:ext uri="{FF2B5EF4-FFF2-40B4-BE49-F238E27FC236}">
              <a16:creationId xmlns:a16="http://schemas.microsoft.com/office/drawing/2014/main" id="{119526E8-376D-46BE-92B7-15823BBBDC17}"/>
            </a:ext>
          </a:extLst>
        </cdr:cNvPr>
        <cdr:cNvSpPr/>
      </cdr:nvSpPr>
      <cdr:spPr>
        <a:xfrm xmlns:a="http://schemas.openxmlformats.org/drawingml/2006/main">
          <a:off x="6210301" y="1159164"/>
          <a:ext cx="771052" cy="27649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50164A"/>
              </a:solidFill>
              <a:latin typeface="Arial Nova Cond" panose="020B0506020202020204" pitchFamily="34" charset="0"/>
            </a:rPr>
            <a:t>1.1E-7</a:t>
          </a:r>
        </a:p>
      </cdr:txBody>
    </cdr:sp>
  </cdr:relSizeAnchor>
  <cdr:relSizeAnchor xmlns:cdr="http://schemas.openxmlformats.org/drawingml/2006/chartDrawing">
    <cdr:from>
      <cdr:x>0.80824</cdr:x>
      <cdr:y>0.19642</cdr:y>
    </cdr:from>
    <cdr:to>
      <cdr:x>0.89325</cdr:x>
      <cdr:y>0.24593</cdr:y>
    </cdr:to>
    <cdr:sp macro="" textlink="">
      <cdr:nvSpPr>
        <cdr:cNvPr id="59" name="Rectangle 58">
          <a:extLst xmlns:a="http://schemas.openxmlformats.org/drawingml/2006/main">
            <a:ext uri="{FF2B5EF4-FFF2-40B4-BE49-F238E27FC236}">
              <a16:creationId xmlns:a16="http://schemas.microsoft.com/office/drawing/2014/main" id="{961C3CE3-5EE6-DC90-E110-0301918CC8ED}"/>
            </a:ext>
          </a:extLst>
        </cdr:cNvPr>
        <cdr:cNvSpPr/>
      </cdr:nvSpPr>
      <cdr:spPr>
        <a:xfrm xmlns:a="http://schemas.openxmlformats.org/drawingml/2006/main">
          <a:off x="7032520" y="1147618"/>
          <a:ext cx="739695" cy="2892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50164A"/>
              </a:solidFill>
              <a:latin typeface="Arial Nova Cond" panose="020B0506020202020204" pitchFamily="34" charset="0"/>
            </a:rPr>
            <a:t>0.03</a:t>
          </a:r>
        </a:p>
      </cdr:txBody>
    </cdr:sp>
  </cdr:relSizeAnchor>
  <cdr:relSizeAnchor xmlns:cdr="http://schemas.openxmlformats.org/drawingml/2006/chartDrawing">
    <cdr:from>
      <cdr:x>0.90415</cdr:x>
      <cdr:y>0.19741</cdr:y>
    </cdr:from>
    <cdr:to>
      <cdr:x>0.98916</cdr:x>
      <cdr:y>0.24692</cdr:y>
    </cdr:to>
    <cdr:sp macro="" textlink="">
      <cdr:nvSpPr>
        <cdr:cNvPr id="60" name="Rectangle 59">
          <a:extLst xmlns:a="http://schemas.openxmlformats.org/drawingml/2006/main">
            <a:ext uri="{FF2B5EF4-FFF2-40B4-BE49-F238E27FC236}">
              <a16:creationId xmlns:a16="http://schemas.microsoft.com/office/drawing/2014/main" id="{EA788B34-C4C2-969D-4549-3F07A1A9CA02}"/>
            </a:ext>
          </a:extLst>
        </cdr:cNvPr>
        <cdr:cNvSpPr/>
      </cdr:nvSpPr>
      <cdr:spPr>
        <a:xfrm xmlns:a="http://schemas.openxmlformats.org/drawingml/2006/main">
          <a:off x="7867073" y="1153391"/>
          <a:ext cx="739695" cy="2892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50164A"/>
              </a:solidFill>
              <a:latin typeface="Arial Nova Cond" panose="020B0506020202020204" pitchFamily="34" charset="0"/>
            </a:rPr>
            <a:t>4.23</a:t>
          </a:r>
        </a:p>
      </cdr:txBody>
    </cdr:sp>
  </cdr:relSizeAnchor>
</c:userShapes>
</file>

<file path=xl/drawings/drawing66.xml><?xml version="1.0" encoding="utf-8"?>
<c:userShapes xmlns:c="http://schemas.openxmlformats.org/drawingml/2006/chart">
  <cdr:relSizeAnchor xmlns:cdr="http://schemas.openxmlformats.org/drawingml/2006/chartDrawing">
    <cdr:from>
      <cdr:x>0.13876</cdr:x>
      <cdr:y>0.75005</cdr:y>
    </cdr:from>
    <cdr:to>
      <cdr:x>0.24402</cdr:x>
      <cdr:y>0.93401</cdr:y>
    </cdr:to>
    <cdr:sp macro="" textlink="">
      <cdr:nvSpPr>
        <cdr:cNvPr id="3" name="TextBox 1">
          <a:extLst xmlns:a="http://schemas.openxmlformats.org/drawingml/2006/main">
            <a:ext uri="{FF2B5EF4-FFF2-40B4-BE49-F238E27FC236}">
              <a16:creationId xmlns:a16="http://schemas.microsoft.com/office/drawing/2014/main" id="{6482938D-AED1-FEDD-5853-31FAF8AD0B70}"/>
            </a:ext>
          </a:extLst>
        </cdr:cNvPr>
        <cdr:cNvSpPr txBox="1"/>
      </cdr:nvSpPr>
      <cdr:spPr>
        <a:xfrm xmlns:a="http://schemas.openxmlformats.org/drawingml/2006/main" rot="16200000">
          <a:off x="613629" y="5090842"/>
          <a:ext cx="1184663" cy="663231"/>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400" b="1" kern="1200">
              <a:latin typeface="Arial Nova Cond" panose="020B0506020202020204" pitchFamily="34" charset="0"/>
            </a:rPr>
            <a:t>Conventional Fuel </a:t>
          </a:r>
        </a:p>
      </cdr:txBody>
    </cdr:sp>
  </cdr:relSizeAnchor>
  <cdr:relSizeAnchor xmlns:cdr="http://schemas.openxmlformats.org/drawingml/2006/chartDrawing">
    <cdr:from>
      <cdr:x>0.25892</cdr:x>
      <cdr:y>0.74666</cdr:y>
    </cdr:from>
    <cdr:to>
      <cdr:x>0.36358</cdr:x>
      <cdr:y>0.93783</cdr:y>
    </cdr:to>
    <cdr:sp macro="" textlink="">
      <cdr:nvSpPr>
        <cdr:cNvPr id="4" name="TextBox 1">
          <a:extLst xmlns:a="http://schemas.openxmlformats.org/drawingml/2006/main">
            <a:ext uri="{FF2B5EF4-FFF2-40B4-BE49-F238E27FC236}">
              <a16:creationId xmlns:a16="http://schemas.microsoft.com/office/drawing/2014/main" id="{5B815E05-1080-9938-4D38-78DC39148A8F}"/>
            </a:ext>
          </a:extLst>
        </cdr:cNvPr>
        <cdr:cNvSpPr txBox="1"/>
      </cdr:nvSpPr>
      <cdr:spPr>
        <a:xfrm xmlns:a="http://schemas.openxmlformats.org/drawingml/2006/main" rot="16200000">
          <a:off x="1345630" y="5094121"/>
          <a:ext cx="1231088" cy="659425"/>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400" b="1" kern="1200">
              <a:latin typeface="Arial Nova Cond" panose="020B0506020202020204" pitchFamily="34" charset="0"/>
            </a:rPr>
            <a:t>Proposed </a:t>
          </a:r>
        </a:p>
        <a:p xmlns:a="http://schemas.openxmlformats.org/drawingml/2006/main">
          <a:pPr algn="l"/>
          <a:r>
            <a:rPr lang="en-US" sz="1400" b="1" kern="1200">
              <a:latin typeface="Arial Nova Cond" panose="020B0506020202020204" pitchFamily="34" charset="0"/>
            </a:rPr>
            <a:t>Fuel </a:t>
          </a:r>
        </a:p>
      </cdr:txBody>
    </cdr:sp>
  </cdr:relSizeAnchor>
  <cdr:relSizeAnchor xmlns:cdr="http://schemas.openxmlformats.org/drawingml/2006/chartDrawing">
    <cdr:from>
      <cdr:x>0.1354</cdr:x>
      <cdr:y>0.12051</cdr:y>
    </cdr:from>
    <cdr:to>
      <cdr:x>0.24497</cdr:x>
      <cdr:y>0.93553</cdr:y>
    </cdr:to>
    <cdr:sp macro="" textlink="">
      <cdr:nvSpPr>
        <cdr:cNvPr id="5" name="Rectangle 4">
          <a:extLst xmlns:a="http://schemas.openxmlformats.org/drawingml/2006/main">
            <a:ext uri="{FF2B5EF4-FFF2-40B4-BE49-F238E27FC236}">
              <a16:creationId xmlns:a16="http://schemas.microsoft.com/office/drawing/2014/main" id="{5D480C99-B95D-BDB1-1B9E-F6DCE2DAA165}"/>
            </a:ext>
          </a:extLst>
        </cdr:cNvPr>
        <cdr:cNvSpPr/>
      </cdr:nvSpPr>
      <cdr:spPr>
        <a:xfrm xmlns:a="http://schemas.openxmlformats.org/drawingml/2006/main">
          <a:off x="856435" y="778808"/>
          <a:ext cx="693005" cy="5267076"/>
        </a:xfrm>
        <a:prstGeom xmlns:a="http://schemas.openxmlformats.org/drawingml/2006/main" prst="rect">
          <a:avLst/>
        </a:prstGeom>
        <a:noFill xmlns:a="http://schemas.openxmlformats.org/drawingml/2006/main"/>
        <a:ln xmlns:a="http://schemas.openxmlformats.org/drawingml/2006/main" w="22225">
          <a:solidFill>
            <a:schemeClr val="bg2">
              <a:lumMod val="5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0.25521</cdr:x>
      <cdr:y>0.12117</cdr:y>
    </cdr:from>
    <cdr:to>
      <cdr:x>0.36431</cdr:x>
      <cdr:y>0.93629</cdr:y>
    </cdr:to>
    <cdr:sp macro="" textlink="">
      <cdr:nvSpPr>
        <cdr:cNvPr id="6" name="Rectangle 5">
          <a:extLst xmlns:a="http://schemas.openxmlformats.org/drawingml/2006/main">
            <a:ext uri="{FF2B5EF4-FFF2-40B4-BE49-F238E27FC236}">
              <a16:creationId xmlns:a16="http://schemas.microsoft.com/office/drawing/2014/main" id="{B84747DE-7571-CDA8-F003-9CAD0076F3EA}"/>
            </a:ext>
          </a:extLst>
        </cdr:cNvPr>
        <cdr:cNvSpPr/>
      </cdr:nvSpPr>
      <cdr:spPr>
        <a:xfrm xmlns:a="http://schemas.openxmlformats.org/drawingml/2006/main">
          <a:off x="1614201" y="783042"/>
          <a:ext cx="690034" cy="5267744"/>
        </a:xfrm>
        <a:prstGeom xmlns:a="http://schemas.openxmlformats.org/drawingml/2006/main" prst="rect">
          <a:avLst/>
        </a:prstGeom>
        <a:noFill xmlns:a="http://schemas.openxmlformats.org/drawingml/2006/main"/>
        <a:ln xmlns:a="http://schemas.openxmlformats.org/drawingml/2006/main" w="22225">
          <a:solidFill>
            <a:schemeClr val="bg2">
              <a:lumMod val="5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0.37598</cdr:x>
      <cdr:y>0.12117</cdr:y>
    </cdr:from>
    <cdr:to>
      <cdr:x>0.48478</cdr:x>
      <cdr:y>0.93553</cdr:y>
    </cdr:to>
    <cdr:sp macro="" textlink="">
      <cdr:nvSpPr>
        <cdr:cNvPr id="7" name="Rectangle 6">
          <a:extLst xmlns:a="http://schemas.openxmlformats.org/drawingml/2006/main">
            <a:ext uri="{FF2B5EF4-FFF2-40B4-BE49-F238E27FC236}">
              <a16:creationId xmlns:a16="http://schemas.microsoft.com/office/drawing/2014/main" id="{8DE51AB1-2E43-2A76-196D-764BDCD1C1A1}"/>
            </a:ext>
          </a:extLst>
        </cdr:cNvPr>
        <cdr:cNvSpPr/>
      </cdr:nvSpPr>
      <cdr:spPr>
        <a:xfrm xmlns:a="http://schemas.openxmlformats.org/drawingml/2006/main">
          <a:off x="2378097" y="783042"/>
          <a:ext cx="688138" cy="5262842"/>
        </a:xfrm>
        <a:prstGeom xmlns:a="http://schemas.openxmlformats.org/drawingml/2006/main" prst="rect">
          <a:avLst/>
        </a:prstGeom>
        <a:noFill xmlns:a="http://schemas.openxmlformats.org/drawingml/2006/main"/>
        <a:ln xmlns:a="http://schemas.openxmlformats.org/drawingml/2006/main" w="22225">
          <a:solidFill>
            <a:schemeClr val="bg2">
              <a:lumMod val="5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0.49549</cdr:x>
      <cdr:y>0.12051</cdr:y>
    </cdr:from>
    <cdr:to>
      <cdr:x>0.60458</cdr:x>
      <cdr:y>0.93629</cdr:y>
    </cdr:to>
    <cdr:sp macro="" textlink="">
      <cdr:nvSpPr>
        <cdr:cNvPr id="8" name="Rectangle 7">
          <a:extLst xmlns:a="http://schemas.openxmlformats.org/drawingml/2006/main">
            <a:ext uri="{FF2B5EF4-FFF2-40B4-BE49-F238E27FC236}">
              <a16:creationId xmlns:a16="http://schemas.microsoft.com/office/drawing/2014/main" id="{2488C354-34C8-6A67-27AE-7C400ECA1833}"/>
            </a:ext>
          </a:extLst>
        </cdr:cNvPr>
        <cdr:cNvSpPr/>
      </cdr:nvSpPr>
      <cdr:spPr>
        <a:xfrm xmlns:a="http://schemas.openxmlformats.org/drawingml/2006/main">
          <a:off x="3133968" y="778808"/>
          <a:ext cx="690033" cy="5271978"/>
        </a:xfrm>
        <a:prstGeom xmlns:a="http://schemas.openxmlformats.org/drawingml/2006/main" prst="rect">
          <a:avLst/>
        </a:prstGeom>
        <a:noFill xmlns:a="http://schemas.openxmlformats.org/drawingml/2006/main"/>
        <a:ln xmlns:a="http://schemas.openxmlformats.org/drawingml/2006/main" w="22225">
          <a:solidFill>
            <a:schemeClr val="bg2">
              <a:lumMod val="5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0.61596</cdr:x>
      <cdr:y>0.12051</cdr:y>
    </cdr:from>
    <cdr:to>
      <cdr:x>0.72439</cdr:x>
      <cdr:y>0.93477</cdr:y>
    </cdr:to>
    <cdr:sp macro="" textlink="">
      <cdr:nvSpPr>
        <cdr:cNvPr id="9" name="Rectangle 8">
          <a:extLst xmlns:a="http://schemas.openxmlformats.org/drawingml/2006/main">
            <a:ext uri="{FF2B5EF4-FFF2-40B4-BE49-F238E27FC236}">
              <a16:creationId xmlns:a16="http://schemas.microsoft.com/office/drawing/2014/main" id="{13AF2446-D1BA-7B1E-4503-29C5F4E2E9FF}"/>
            </a:ext>
          </a:extLst>
        </cdr:cNvPr>
        <cdr:cNvSpPr/>
      </cdr:nvSpPr>
      <cdr:spPr>
        <a:xfrm xmlns:a="http://schemas.openxmlformats.org/drawingml/2006/main">
          <a:off x="3895968" y="778809"/>
          <a:ext cx="685799" cy="5262174"/>
        </a:xfrm>
        <a:prstGeom xmlns:a="http://schemas.openxmlformats.org/drawingml/2006/main" prst="rect">
          <a:avLst/>
        </a:prstGeom>
        <a:noFill xmlns:a="http://schemas.openxmlformats.org/drawingml/2006/main"/>
        <a:ln xmlns:a="http://schemas.openxmlformats.org/drawingml/2006/main" w="22225">
          <a:solidFill>
            <a:schemeClr val="bg2">
              <a:lumMod val="5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0.73646</cdr:x>
      <cdr:y>0.12022</cdr:y>
    </cdr:from>
    <cdr:to>
      <cdr:x>0.84344</cdr:x>
      <cdr:y>0.93401</cdr:y>
    </cdr:to>
    <cdr:sp macro="" textlink="">
      <cdr:nvSpPr>
        <cdr:cNvPr id="10" name="Rectangle 9">
          <a:extLst xmlns:a="http://schemas.openxmlformats.org/drawingml/2006/main">
            <a:ext uri="{FF2B5EF4-FFF2-40B4-BE49-F238E27FC236}">
              <a16:creationId xmlns:a16="http://schemas.microsoft.com/office/drawing/2014/main" id="{40A5C17F-6B5E-9343-98BF-7469066B46C3}"/>
            </a:ext>
          </a:extLst>
        </cdr:cNvPr>
        <cdr:cNvSpPr/>
      </cdr:nvSpPr>
      <cdr:spPr>
        <a:xfrm xmlns:a="http://schemas.openxmlformats.org/drawingml/2006/main">
          <a:off x="4640383" y="774204"/>
          <a:ext cx="674077" cy="5240586"/>
        </a:xfrm>
        <a:prstGeom xmlns:a="http://schemas.openxmlformats.org/drawingml/2006/main" prst="rect">
          <a:avLst/>
        </a:prstGeom>
        <a:noFill xmlns:a="http://schemas.openxmlformats.org/drawingml/2006/main"/>
        <a:ln xmlns:a="http://schemas.openxmlformats.org/drawingml/2006/main" w="22225">
          <a:solidFill>
            <a:schemeClr val="bg2">
              <a:lumMod val="5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0.85585</cdr:x>
      <cdr:y>0.12051</cdr:y>
    </cdr:from>
    <cdr:to>
      <cdr:x>0.96467</cdr:x>
      <cdr:y>0.93325</cdr:y>
    </cdr:to>
    <cdr:sp macro="" textlink="">
      <cdr:nvSpPr>
        <cdr:cNvPr id="11" name="Rectangle 10">
          <a:extLst xmlns:a="http://schemas.openxmlformats.org/drawingml/2006/main">
            <a:ext uri="{FF2B5EF4-FFF2-40B4-BE49-F238E27FC236}">
              <a16:creationId xmlns:a16="http://schemas.microsoft.com/office/drawing/2014/main" id="{7B894553-336E-B76F-EA25-47285FE42C70}"/>
            </a:ext>
          </a:extLst>
        </cdr:cNvPr>
        <cdr:cNvSpPr/>
      </cdr:nvSpPr>
      <cdr:spPr>
        <a:xfrm xmlns:a="http://schemas.openxmlformats.org/drawingml/2006/main">
          <a:off x="5413238" y="778808"/>
          <a:ext cx="688297" cy="5252371"/>
        </a:xfrm>
        <a:prstGeom xmlns:a="http://schemas.openxmlformats.org/drawingml/2006/main" prst="rect">
          <a:avLst/>
        </a:prstGeom>
        <a:noFill xmlns:a="http://schemas.openxmlformats.org/drawingml/2006/main"/>
        <a:ln xmlns:a="http://schemas.openxmlformats.org/drawingml/2006/main" w="22225">
          <a:solidFill>
            <a:schemeClr val="bg2">
              <a:lumMod val="5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0.37598</cdr:x>
      <cdr:y>0.75197</cdr:y>
    </cdr:from>
    <cdr:to>
      <cdr:x>0.48452</cdr:x>
      <cdr:y>0.93657</cdr:y>
    </cdr:to>
    <cdr:sp macro="" textlink="">
      <cdr:nvSpPr>
        <cdr:cNvPr id="12" name="TextBox 1">
          <a:extLst xmlns:a="http://schemas.openxmlformats.org/drawingml/2006/main">
            <a:ext uri="{FF2B5EF4-FFF2-40B4-BE49-F238E27FC236}">
              <a16:creationId xmlns:a16="http://schemas.microsoft.com/office/drawing/2014/main" id="{B3DACABD-66FD-E276-5876-865C045697E2}"/>
            </a:ext>
          </a:extLst>
        </cdr:cNvPr>
        <cdr:cNvSpPr txBox="1"/>
      </cdr:nvSpPr>
      <cdr:spPr>
        <a:xfrm xmlns:a="http://schemas.openxmlformats.org/drawingml/2006/main" rot="16200000">
          <a:off x="2116561" y="5094961"/>
          <a:ext cx="1188805" cy="68384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400" b="1" kern="1200" baseline="0">
              <a:latin typeface="Arial Nova Cond" panose="020B0506020202020204" pitchFamily="34" charset="0"/>
            </a:rPr>
            <a:t>Industrial Composting Credit </a:t>
          </a:r>
          <a:endParaRPr lang="en-US" sz="1400" b="1" kern="1200">
            <a:latin typeface="Arial Nova Cond" panose="020B0506020202020204" pitchFamily="34" charset="0"/>
          </a:endParaRPr>
        </a:p>
      </cdr:txBody>
    </cdr:sp>
  </cdr:relSizeAnchor>
  <cdr:relSizeAnchor xmlns:cdr="http://schemas.openxmlformats.org/drawingml/2006/chartDrawing">
    <cdr:from>
      <cdr:x>0.49459</cdr:x>
      <cdr:y>0.74969</cdr:y>
    </cdr:from>
    <cdr:to>
      <cdr:x>0.6039</cdr:x>
      <cdr:y>0.93484</cdr:y>
    </cdr:to>
    <cdr:sp macro="" textlink="">
      <cdr:nvSpPr>
        <cdr:cNvPr id="13" name="TextBox 1">
          <a:extLst xmlns:a="http://schemas.openxmlformats.org/drawingml/2006/main">
            <a:ext uri="{FF2B5EF4-FFF2-40B4-BE49-F238E27FC236}">
              <a16:creationId xmlns:a16="http://schemas.microsoft.com/office/drawing/2014/main" id="{43BC537B-3191-019F-4CA6-2EA9E6D74E97}"/>
            </a:ext>
          </a:extLst>
        </cdr:cNvPr>
        <cdr:cNvSpPr txBox="1"/>
      </cdr:nvSpPr>
      <cdr:spPr>
        <a:xfrm xmlns:a="http://schemas.openxmlformats.org/drawingml/2006/main" rot="16200000">
          <a:off x="2864610" y="5079603"/>
          <a:ext cx="1192282" cy="688731"/>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400" b="1" kern="1200" baseline="0">
              <a:latin typeface="Arial Nova Cond" panose="020B0506020202020204" pitchFamily="34" charset="0"/>
            </a:rPr>
            <a:t>Anaerobic Digestion Credit </a:t>
          </a:r>
          <a:endParaRPr lang="en-US" sz="1400" b="1" kern="1200">
            <a:latin typeface="Arial Nova Cond" panose="020B0506020202020204" pitchFamily="34" charset="0"/>
          </a:endParaRPr>
        </a:p>
      </cdr:txBody>
    </cdr:sp>
  </cdr:relSizeAnchor>
  <cdr:relSizeAnchor xmlns:cdr="http://schemas.openxmlformats.org/drawingml/2006/chartDrawing">
    <cdr:from>
      <cdr:x>0.61475</cdr:x>
      <cdr:y>0.74969</cdr:y>
    </cdr:from>
    <cdr:to>
      <cdr:x>0.72328</cdr:x>
      <cdr:y>0.93553</cdr:y>
    </cdr:to>
    <cdr:sp macro="" textlink="">
      <cdr:nvSpPr>
        <cdr:cNvPr id="14" name="TextBox 1">
          <a:extLst xmlns:a="http://schemas.openxmlformats.org/drawingml/2006/main">
            <a:ext uri="{FF2B5EF4-FFF2-40B4-BE49-F238E27FC236}">
              <a16:creationId xmlns:a16="http://schemas.microsoft.com/office/drawing/2014/main" id="{FBF880C1-C992-43BD-A4BE-37EF985172E4}"/>
            </a:ext>
          </a:extLst>
        </cdr:cNvPr>
        <cdr:cNvSpPr txBox="1"/>
      </cdr:nvSpPr>
      <cdr:spPr>
        <a:xfrm xmlns:a="http://schemas.openxmlformats.org/drawingml/2006/main" rot="16200000">
          <a:off x="3617059" y="5084271"/>
          <a:ext cx="1196732" cy="683846"/>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400" b="1" kern="1200" baseline="0">
              <a:latin typeface="Arial Nova Cond" panose="020B0506020202020204" pitchFamily="34" charset="0"/>
            </a:rPr>
            <a:t>Municipal Incineration Credit</a:t>
          </a:r>
          <a:endParaRPr lang="en-US" sz="1400" b="1" kern="1200">
            <a:latin typeface="Arial Nova Cond" panose="020B0506020202020204" pitchFamily="34" charset="0"/>
          </a:endParaRPr>
        </a:p>
      </cdr:txBody>
    </cdr:sp>
  </cdr:relSizeAnchor>
  <cdr:relSizeAnchor xmlns:cdr="http://schemas.openxmlformats.org/drawingml/2006/chartDrawing">
    <cdr:from>
      <cdr:x>0.7389</cdr:x>
      <cdr:y>0.74817</cdr:y>
    </cdr:from>
    <cdr:to>
      <cdr:x>0.84267</cdr:x>
      <cdr:y>0.93576</cdr:y>
    </cdr:to>
    <cdr:sp macro="" textlink="">
      <cdr:nvSpPr>
        <cdr:cNvPr id="15" name="TextBox 1">
          <a:extLst xmlns:a="http://schemas.openxmlformats.org/drawingml/2006/main">
            <a:ext uri="{FF2B5EF4-FFF2-40B4-BE49-F238E27FC236}">
              <a16:creationId xmlns:a16="http://schemas.microsoft.com/office/drawing/2014/main" id="{58961046-6A43-E3ED-ED13-CA0258999C55}"/>
            </a:ext>
          </a:extLst>
        </cdr:cNvPr>
        <cdr:cNvSpPr txBox="1"/>
      </cdr:nvSpPr>
      <cdr:spPr>
        <a:xfrm xmlns:a="http://schemas.openxmlformats.org/drawingml/2006/main" rot="16200000">
          <a:off x="4378643" y="5095136"/>
          <a:ext cx="1208013" cy="653859"/>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400" b="1" kern="1200" baseline="0">
              <a:latin typeface="Arial Nova Cond" panose="020B0506020202020204" pitchFamily="34" charset="0"/>
            </a:rPr>
            <a:t>Sanitary Landfill Credit</a:t>
          </a:r>
          <a:endParaRPr lang="en-US" sz="1400" b="1" kern="1200">
            <a:latin typeface="Arial Nova Cond" panose="020B0506020202020204" pitchFamily="34" charset="0"/>
          </a:endParaRPr>
        </a:p>
      </cdr:txBody>
    </cdr:sp>
  </cdr:relSizeAnchor>
  <cdr:relSizeAnchor xmlns:cdr="http://schemas.openxmlformats.org/drawingml/2006/chartDrawing">
    <cdr:from>
      <cdr:x>0.8543</cdr:x>
      <cdr:y>0.74514</cdr:y>
    </cdr:from>
    <cdr:to>
      <cdr:x>0.96128</cdr:x>
      <cdr:y>0.93249</cdr:y>
    </cdr:to>
    <cdr:sp macro="" textlink="">
      <cdr:nvSpPr>
        <cdr:cNvPr id="16" name="TextBox 1">
          <a:extLst xmlns:a="http://schemas.openxmlformats.org/drawingml/2006/main">
            <a:ext uri="{FF2B5EF4-FFF2-40B4-BE49-F238E27FC236}">
              <a16:creationId xmlns:a16="http://schemas.microsoft.com/office/drawing/2014/main" id="{CDCDB2A8-9D93-6DB2-D2D9-F2BBFF528511}"/>
            </a:ext>
          </a:extLst>
        </cdr:cNvPr>
        <cdr:cNvSpPr txBox="1"/>
      </cdr:nvSpPr>
      <cdr:spPr>
        <a:xfrm xmlns:a="http://schemas.openxmlformats.org/drawingml/2006/main" rot="16200000">
          <a:off x="5116636" y="5064735"/>
          <a:ext cx="1206500" cy="674072"/>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400" b="1" kern="1200" baseline="0">
              <a:latin typeface="Arial Nova Cond" panose="020B0506020202020204" pitchFamily="34" charset="0"/>
            </a:rPr>
            <a:t>Open Pit  Landfill Credit</a:t>
          </a:r>
          <a:endParaRPr lang="en-US" sz="1400" b="1" kern="1200">
            <a:latin typeface="Arial Nova Cond" panose="020B0506020202020204" pitchFamily="34" charset="0"/>
          </a:endParaRPr>
        </a:p>
      </cdr:txBody>
    </cdr:sp>
  </cdr:relSizeAnchor>
  <cdr:relSizeAnchor xmlns:cdr="http://schemas.openxmlformats.org/drawingml/2006/chartDrawing">
    <cdr:from>
      <cdr:x>0</cdr:x>
      <cdr:y>0</cdr:y>
    </cdr:from>
    <cdr:to>
      <cdr:x>0.78771</cdr:x>
      <cdr:y>0.10234</cdr:y>
    </cdr:to>
    <cdr:sp macro="" textlink="">
      <cdr:nvSpPr>
        <cdr:cNvPr id="18" name="TextBox 1">
          <a:extLst xmlns:a="http://schemas.openxmlformats.org/drawingml/2006/main">
            <a:ext uri="{FF2B5EF4-FFF2-40B4-BE49-F238E27FC236}">
              <a16:creationId xmlns:a16="http://schemas.microsoft.com/office/drawing/2014/main" id="{E1B83C04-62F1-BA9E-CD20-8B830CAE6FD7}"/>
            </a:ext>
          </a:extLst>
        </cdr:cNvPr>
        <cdr:cNvSpPr txBox="1"/>
      </cdr:nvSpPr>
      <cdr:spPr>
        <a:xfrm xmlns:a="http://schemas.openxmlformats.org/drawingml/2006/main">
          <a:off x="0" y="0"/>
          <a:ext cx="4963582" cy="65758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800" b="1" kern="1200" baseline="0">
              <a:latin typeface="Arial Nova Cond" panose="020B0506020202020204" pitchFamily="34" charset="0"/>
            </a:rPr>
            <a:t>GLOBAL WARMING IMPACT WITH WASTE DISPOSAL CARBON CREDITS</a:t>
          </a:r>
          <a:endParaRPr lang="en-US" sz="1800" b="1" kern="1200">
            <a:latin typeface="Arial Nova Cond" panose="020B0506020202020204" pitchFamily="34" charset="0"/>
          </a:endParaRPr>
        </a:p>
      </cdr:txBody>
    </cdr:sp>
  </cdr:relSizeAnchor>
  <cdr:relSizeAnchor xmlns:cdr="http://schemas.openxmlformats.org/drawingml/2006/chartDrawing">
    <cdr:from>
      <cdr:x>0.69215</cdr:x>
      <cdr:y>0.0169</cdr:y>
    </cdr:from>
    <cdr:to>
      <cdr:x>1</cdr:x>
      <cdr:y>0.09642</cdr:y>
    </cdr:to>
    <cdr:sp macro="" textlink="">
      <cdr:nvSpPr>
        <cdr:cNvPr id="2" name="TextBox 1">
          <a:extLst xmlns:a="http://schemas.openxmlformats.org/drawingml/2006/main">
            <a:ext uri="{FF2B5EF4-FFF2-40B4-BE49-F238E27FC236}">
              <a16:creationId xmlns:a16="http://schemas.microsoft.com/office/drawing/2014/main" id="{015FDEC6-E0BC-4500-267C-460BE9C43F8B}"/>
            </a:ext>
          </a:extLst>
        </cdr:cNvPr>
        <cdr:cNvSpPr txBox="1"/>
      </cdr:nvSpPr>
      <cdr:spPr>
        <a:xfrm xmlns:a="http://schemas.openxmlformats.org/drawingml/2006/main">
          <a:off x="4367592" y="107950"/>
          <a:ext cx="1942597" cy="50803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400" b="1" kern="1200">
              <a:latin typeface="Arial Nova Cond" panose="020B0506020202020204" pitchFamily="34" charset="0"/>
            </a:rPr>
            <a:t>483,000 </a:t>
          </a:r>
          <a:r>
            <a:rPr lang="en-US" sz="1400" b="1" kern="1200" baseline="0">
              <a:latin typeface="Arial Nova Cond" panose="020B0506020202020204" pitchFamily="34" charset="0"/>
            </a:rPr>
            <a:t>TONNES-YR</a:t>
          </a:r>
          <a:r>
            <a:rPr lang="en-US" sz="1400" b="1" kern="1200" baseline="30000">
              <a:latin typeface="Arial Nova Cond" panose="020B0506020202020204" pitchFamily="34" charset="0"/>
            </a:rPr>
            <a:t>-1</a:t>
          </a:r>
        </a:p>
        <a:p xmlns:a="http://schemas.openxmlformats.org/drawingml/2006/main">
          <a:pPr algn="r"/>
          <a:r>
            <a:rPr lang="en-US" sz="1200" b="0" kern="1200" baseline="0">
              <a:latin typeface="Arial Nova Cond" panose="020B0506020202020204" pitchFamily="34" charset="0"/>
            </a:rPr>
            <a:t>ORGANIC WET WASTE FEED</a:t>
          </a:r>
          <a:endParaRPr lang="en-US" sz="1200" b="0" kern="1200">
            <a:latin typeface="Arial Nova Cond" panose="020B0506020202020204" pitchFamily="34" charset="0"/>
          </a:endParaRPr>
        </a:p>
      </cdr:txBody>
    </cdr:sp>
  </cdr:relSizeAnchor>
</c:userShapes>
</file>

<file path=xl/drawings/drawing67.xml><?xml version="1.0" encoding="utf-8"?>
<c:userShapes xmlns:c="http://schemas.openxmlformats.org/drawingml/2006/chart">
  <cdr:relSizeAnchor xmlns:cdr="http://schemas.openxmlformats.org/drawingml/2006/chartDrawing">
    <cdr:from>
      <cdr:x>0.06038</cdr:x>
      <cdr:y>0.1973</cdr:y>
    </cdr:from>
    <cdr:to>
      <cdr:x>0.99043</cdr:x>
      <cdr:y>0.24693</cdr:y>
    </cdr:to>
    <cdr:sp macro="" textlink="">
      <cdr:nvSpPr>
        <cdr:cNvPr id="2" name="Rectangle 1">
          <a:extLst xmlns:a="http://schemas.openxmlformats.org/drawingml/2006/main">
            <a:ext uri="{FF2B5EF4-FFF2-40B4-BE49-F238E27FC236}">
              <a16:creationId xmlns:a16="http://schemas.microsoft.com/office/drawing/2014/main" id="{2C2C4324-6151-B033-6D63-6E4C1C0F4FC7}"/>
            </a:ext>
          </a:extLst>
        </cdr:cNvPr>
        <cdr:cNvSpPr/>
      </cdr:nvSpPr>
      <cdr:spPr>
        <a:xfrm xmlns:a="http://schemas.openxmlformats.org/drawingml/2006/main">
          <a:off x="570319" y="1215823"/>
          <a:ext cx="8784778" cy="305835"/>
        </a:xfrm>
        <a:prstGeom xmlns:a="http://schemas.openxmlformats.org/drawingml/2006/main" prst="rect">
          <a:avLst/>
        </a:prstGeom>
        <a:solidFill xmlns:a="http://schemas.openxmlformats.org/drawingml/2006/main">
          <a:schemeClr val="bg1"/>
        </a:solidFill>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0.07945</cdr:x>
      <cdr:y>0.642</cdr:y>
    </cdr:from>
    <cdr:to>
      <cdr:x>0.12454</cdr:x>
      <cdr:y>0.83401</cdr:y>
    </cdr:to>
    <cdr:sp macro="" textlink="">
      <cdr:nvSpPr>
        <cdr:cNvPr id="4" name="Rectangle 3">
          <a:extLst xmlns:a="http://schemas.openxmlformats.org/drawingml/2006/main">
            <a:ext uri="{FF2B5EF4-FFF2-40B4-BE49-F238E27FC236}">
              <a16:creationId xmlns:a16="http://schemas.microsoft.com/office/drawing/2014/main" id="{A4AA6EBC-AA64-2CE5-EF85-A134F712A8BC}"/>
            </a:ext>
          </a:extLst>
        </cdr:cNvPr>
        <cdr:cNvSpPr/>
      </cdr:nvSpPr>
      <cdr:spPr>
        <a:xfrm xmlns:a="http://schemas.openxmlformats.org/drawingml/2006/main" rot="16200000">
          <a:off x="324231" y="4128253"/>
          <a:ext cx="1125066" cy="39200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Acidification</a:t>
          </a:r>
        </a:p>
      </cdr:txBody>
    </cdr:sp>
  </cdr:relSizeAnchor>
  <cdr:relSizeAnchor xmlns:cdr="http://schemas.openxmlformats.org/drawingml/2006/chartDrawing">
    <cdr:from>
      <cdr:x>0.06038</cdr:x>
      <cdr:y>0.14935</cdr:y>
    </cdr:from>
    <cdr:to>
      <cdr:x>0.14733</cdr:x>
      <cdr:y>0.82015</cdr:y>
    </cdr:to>
    <cdr:sp macro="" textlink="">
      <cdr:nvSpPr>
        <cdr:cNvPr id="12" name="Rectangle 11">
          <a:extLst xmlns:a="http://schemas.openxmlformats.org/drawingml/2006/main">
            <a:ext uri="{FF2B5EF4-FFF2-40B4-BE49-F238E27FC236}">
              <a16:creationId xmlns:a16="http://schemas.microsoft.com/office/drawing/2014/main" id="{8F93B1DC-81D6-704E-7B1A-2DF681A21527}"/>
            </a:ext>
          </a:extLst>
        </cdr:cNvPr>
        <cdr:cNvSpPr/>
      </cdr:nvSpPr>
      <cdr:spPr>
        <a:xfrm xmlns:a="http://schemas.openxmlformats.org/drawingml/2006/main">
          <a:off x="524524" y="878740"/>
          <a:ext cx="755340" cy="3946676"/>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0.15317</cdr:x>
      <cdr:y>0.14935</cdr:y>
    </cdr:from>
    <cdr:to>
      <cdr:x>0.24012</cdr:x>
      <cdr:y>0.82124</cdr:y>
    </cdr:to>
    <cdr:sp macro="" textlink="">
      <cdr:nvSpPr>
        <cdr:cNvPr id="13" name="Rectangle 12">
          <a:extLst xmlns:a="http://schemas.openxmlformats.org/drawingml/2006/main">
            <a:ext uri="{FF2B5EF4-FFF2-40B4-BE49-F238E27FC236}">
              <a16:creationId xmlns:a16="http://schemas.microsoft.com/office/drawing/2014/main" id="{53397101-523D-1381-5961-A2C3AFBB67C7}"/>
            </a:ext>
          </a:extLst>
        </cdr:cNvPr>
        <cdr:cNvSpPr/>
      </cdr:nvSpPr>
      <cdr:spPr>
        <a:xfrm xmlns:a="http://schemas.openxmlformats.org/drawingml/2006/main">
          <a:off x="1331451" y="876854"/>
          <a:ext cx="755826" cy="3944604"/>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0.34021</cdr:x>
      <cdr:y>0.15012</cdr:y>
    </cdr:from>
    <cdr:to>
      <cdr:x>0.42716</cdr:x>
      <cdr:y>0.81992</cdr:y>
    </cdr:to>
    <cdr:sp macro="" textlink="">
      <cdr:nvSpPr>
        <cdr:cNvPr id="15" name="Rectangle 14">
          <a:extLst xmlns:a="http://schemas.openxmlformats.org/drawingml/2006/main">
            <a:ext uri="{FF2B5EF4-FFF2-40B4-BE49-F238E27FC236}">
              <a16:creationId xmlns:a16="http://schemas.microsoft.com/office/drawing/2014/main" id="{763C7CC9-F842-D040-2FFE-F75B09255240}"/>
            </a:ext>
          </a:extLst>
        </cdr:cNvPr>
        <cdr:cNvSpPr/>
      </cdr:nvSpPr>
      <cdr:spPr>
        <a:xfrm xmlns:a="http://schemas.openxmlformats.org/drawingml/2006/main">
          <a:off x="2955423" y="883276"/>
          <a:ext cx="755340" cy="3940818"/>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0.43373</cdr:x>
      <cdr:y>0.15012</cdr:y>
    </cdr:from>
    <cdr:to>
      <cdr:x>0.52068</cdr:x>
      <cdr:y>0.82082</cdr:y>
    </cdr:to>
    <cdr:sp macro="" textlink="">
      <cdr:nvSpPr>
        <cdr:cNvPr id="16" name="Rectangle 15">
          <a:extLst xmlns:a="http://schemas.openxmlformats.org/drawingml/2006/main">
            <a:ext uri="{FF2B5EF4-FFF2-40B4-BE49-F238E27FC236}">
              <a16:creationId xmlns:a16="http://schemas.microsoft.com/office/drawing/2014/main" id="{4D31B2F8-EB0A-1599-D708-2C46D5AC4370}"/>
            </a:ext>
          </a:extLst>
        </cdr:cNvPr>
        <cdr:cNvSpPr/>
      </cdr:nvSpPr>
      <cdr:spPr>
        <a:xfrm xmlns:a="http://schemas.openxmlformats.org/drawingml/2006/main">
          <a:off x="3767837" y="883276"/>
          <a:ext cx="755339" cy="3946132"/>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0.52725</cdr:x>
      <cdr:y>0.15023</cdr:y>
    </cdr:from>
    <cdr:to>
      <cdr:x>0.6142</cdr:x>
      <cdr:y>0.82173</cdr:y>
    </cdr:to>
    <cdr:sp macro="" textlink="">
      <cdr:nvSpPr>
        <cdr:cNvPr id="17" name="Rectangle 16">
          <a:extLst xmlns:a="http://schemas.openxmlformats.org/drawingml/2006/main">
            <a:ext uri="{FF2B5EF4-FFF2-40B4-BE49-F238E27FC236}">
              <a16:creationId xmlns:a16="http://schemas.microsoft.com/office/drawing/2014/main" id="{3615032F-D089-16C2-E6E1-A54F75B6C4D8}"/>
            </a:ext>
          </a:extLst>
        </cdr:cNvPr>
        <cdr:cNvSpPr/>
      </cdr:nvSpPr>
      <cdr:spPr>
        <a:xfrm xmlns:a="http://schemas.openxmlformats.org/drawingml/2006/main">
          <a:off x="4583837" y="880251"/>
          <a:ext cx="755931" cy="3934591"/>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0.62077</cdr:x>
      <cdr:y>0.15023</cdr:y>
    </cdr:from>
    <cdr:to>
      <cdr:x>0.70772</cdr:x>
      <cdr:y>0.82173</cdr:y>
    </cdr:to>
    <cdr:sp macro="" textlink="">
      <cdr:nvSpPr>
        <cdr:cNvPr id="18" name="Rectangle 17">
          <a:extLst xmlns:a="http://schemas.openxmlformats.org/drawingml/2006/main">
            <a:ext uri="{FF2B5EF4-FFF2-40B4-BE49-F238E27FC236}">
              <a16:creationId xmlns:a16="http://schemas.microsoft.com/office/drawing/2014/main" id="{22C17833-ADB0-7797-0E08-DB7494E70DF4}"/>
            </a:ext>
          </a:extLst>
        </cdr:cNvPr>
        <cdr:cNvSpPr/>
      </cdr:nvSpPr>
      <cdr:spPr>
        <a:xfrm xmlns:a="http://schemas.openxmlformats.org/drawingml/2006/main">
          <a:off x="5396887" y="880253"/>
          <a:ext cx="755931" cy="3934590"/>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0.71429</cdr:x>
      <cdr:y>0.1509</cdr:y>
    </cdr:from>
    <cdr:to>
      <cdr:x>0.80124</cdr:x>
      <cdr:y>0.82173</cdr:y>
    </cdr:to>
    <cdr:sp macro="" textlink="">
      <cdr:nvSpPr>
        <cdr:cNvPr id="19" name="Rectangle 18">
          <a:extLst xmlns:a="http://schemas.openxmlformats.org/drawingml/2006/main">
            <a:ext uri="{FF2B5EF4-FFF2-40B4-BE49-F238E27FC236}">
              <a16:creationId xmlns:a16="http://schemas.microsoft.com/office/drawing/2014/main" id="{C4E5A007-18D2-4BC1-DF52-4B5EECB27F0E}"/>
            </a:ext>
          </a:extLst>
        </cdr:cNvPr>
        <cdr:cNvSpPr/>
      </cdr:nvSpPr>
      <cdr:spPr>
        <a:xfrm xmlns:a="http://schemas.openxmlformats.org/drawingml/2006/main">
          <a:off x="6205076" y="887812"/>
          <a:ext cx="755339" cy="3946908"/>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0.80781</cdr:x>
      <cdr:y>0.1509</cdr:y>
    </cdr:from>
    <cdr:to>
      <cdr:x>0.89476</cdr:x>
      <cdr:y>0.82173</cdr:y>
    </cdr:to>
    <cdr:sp macro="" textlink="">
      <cdr:nvSpPr>
        <cdr:cNvPr id="20" name="Rectangle 19">
          <a:extLst xmlns:a="http://schemas.openxmlformats.org/drawingml/2006/main">
            <a:ext uri="{FF2B5EF4-FFF2-40B4-BE49-F238E27FC236}">
              <a16:creationId xmlns:a16="http://schemas.microsoft.com/office/drawing/2014/main" id="{2A208449-ACA3-AEC4-0212-470095E3609A}"/>
            </a:ext>
          </a:extLst>
        </cdr:cNvPr>
        <cdr:cNvSpPr/>
      </cdr:nvSpPr>
      <cdr:spPr>
        <a:xfrm xmlns:a="http://schemas.openxmlformats.org/drawingml/2006/main">
          <a:off x="7017491" y="887812"/>
          <a:ext cx="755338" cy="3946908"/>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0.90353</cdr:x>
      <cdr:y>0.15012</cdr:y>
    </cdr:from>
    <cdr:to>
      <cdr:x>0.99049</cdr:x>
      <cdr:y>0.82082</cdr:y>
    </cdr:to>
    <cdr:sp macro="" textlink="">
      <cdr:nvSpPr>
        <cdr:cNvPr id="21" name="Rectangle 20">
          <a:extLst xmlns:a="http://schemas.openxmlformats.org/drawingml/2006/main">
            <a:ext uri="{FF2B5EF4-FFF2-40B4-BE49-F238E27FC236}">
              <a16:creationId xmlns:a16="http://schemas.microsoft.com/office/drawing/2014/main" id="{61351FB1-0038-4B90-AB07-4E583C8E7DE4}"/>
            </a:ext>
          </a:extLst>
        </cdr:cNvPr>
        <cdr:cNvSpPr/>
      </cdr:nvSpPr>
      <cdr:spPr>
        <a:xfrm xmlns:a="http://schemas.openxmlformats.org/drawingml/2006/main">
          <a:off x="7849015" y="883276"/>
          <a:ext cx="755427" cy="3946131"/>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0.17084</cdr:x>
      <cdr:y>0.64357</cdr:y>
    </cdr:from>
    <cdr:to>
      <cdr:x>0.2204</cdr:x>
      <cdr:y>0.8358</cdr:y>
    </cdr:to>
    <cdr:sp macro="" textlink="">
      <cdr:nvSpPr>
        <cdr:cNvPr id="22" name="Rectangle 21">
          <a:extLst xmlns:a="http://schemas.openxmlformats.org/drawingml/2006/main">
            <a:ext uri="{FF2B5EF4-FFF2-40B4-BE49-F238E27FC236}">
              <a16:creationId xmlns:a16="http://schemas.microsoft.com/office/drawing/2014/main" id="{5C33C0A9-6375-A84C-B005-81A2639AC214}"/>
            </a:ext>
          </a:extLst>
        </cdr:cNvPr>
        <cdr:cNvSpPr/>
      </cdr:nvSpPr>
      <cdr:spPr>
        <a:xfrm xmlns:a="http://schemas.openxmlformats.org/drawingml/2006/main" rot="16200000">
          <a:off x="1137520" y="4118694"/>
          <a:ext cx="1126356" cy="43086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Carcinogenics</a:t>
          </a:r>
        </a:p>
      </cdr:txBody>
    </cdr:sp>
  </cdr:relSizeAnchor>
  <cdr:relSizeAnchor xmlns:cdr="http://schemas.openxmlformats.org/drawingml/2006/chartDrawing">
    <cdr:from>
      <cdr:x>0.24669</cdr:x>
      <cdr:y>0.15012</cdr:y>
    </cdr:from>
    <cdr:to>
      <cdr:x>0.33364</cdr:x>
      <cdr:y>0.82082</cdr:y>
    </cdr:to>
    <cdr:sp macro="" textlink="">
      <cdr:nvSpPr>
        <cdr:cNvPr id="14" name="Rectangle 13">
          <a:extLst xmlns:a="http://schemas.openxmlformats.org/drawingml/2006/main">
            <a:ext uri="{FF2B5EF4-FFF2-40B4-BE49-F238E27FC236}">
              <a16:creationId xmlns:a16="http://schemas.microsoft.com/office/drawing/2014/main" id="{03997162-066B-80D3-16A3-060B8886A472}"/>
            </a:ext>
          </a:extLst>
        </cdr:cNvPr>
        <cdr:cNvSpPr/>
      </cdr:nvSpPr>
      <cdr:spPr>
        <a:xfrm xmlns:a="http://schemas.openxmlformats.org/drawingml/2006/main">
          <a:off x="2143010" y="883276"/>
          <a:ext cx="755339" cy="3946132"/>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dr:relSizeAnchor xmlns:cdr="http://schemas.openxmlformats.org/drawingml/2006/chartDrawing">
    <cdr:from>
      <cdr:x>0.26364</cdr:x>
      <cdr:y>0.64177</cdr:y>
    </cdr:from>
    <cdr:to>
      <cdr:x>0.31319</cdr:x>
      <cdr:y>0.834</cdr:y>
    </cdr:to>
    <cdr:sp macro="" textlink="">
      <cdr:nvSpPr>
        <cdr:cNvPr id="24" name="Rectangle 23">
          <a:extLst xmlns:a="http://schemas.openxmlformats.org/drawingml/2006/main">
            <a:ext uri="{FF2B5EF4-FFF2-40B4-BE49-F238E27FC236}">
              <a16:creationId xmlns:a16="http://schemas.microsoft.com/office/drawing/2014/main" id="{19295FFD-4759-F95C-D58D-6CB60267854B}"/>
            </a:ext>
          </a:extLst>
        </cdr:cNvPr>
        <cdr:cNvSpPr/>
      </cdr:nvSpPr>
      <cdr:spPr>
        <a:xfrm xmlns:a="http://schemas.openxmlformats.org/drawingml/2006/main" rot="16200000">
          <a:off x="1944269" y="4108170"/>
          <a:ext cx="1126355"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Ecotoxicity</a:t>
          </a:r>
        </a:p>
      </cdr:txBody>
    </cdr:sp>
  </cdr:relSizeAnchor>
  <cdr:relSizeAnchor xmlns:cdr="http://schemas.openxmlformats.org/drawingml/2006/chartDrawing">
    <cdr:from>
      <cdr:x>0.35642</cdr:x>
      <cdr:y>0.6385</cdr:y>
    </cdr:from>
    <cdr:to>
      <cdr:x>0.40597</cdr:x>
      <cdr:y>0.83073</cdr:y>
    </cdr:to>
    <cdr:sp macro="" textlink="">
      <cdr:nvSpPr>
        <cdr:cNvPr id="25" name="Rectangle 24">
          <a:extLst xmlns:a="http://schemas.openxmlformats.org/drawingml/2006/main">
            <a:ext uri="{FF2B5EF4-FFF2-40B4-BE49-F238E27FC236}">
              <a16:creationId xmlns:a16="http://schemas.microsoft.com/office/drawing/2014/main" id="{2488C2AD-7EB1-EB2D-09BD-3E9644D403FE}"/>
            </a:ext>
          </a:extLst>
        </cdr:cNvPr>
        <cdr:cNvSpPr/>
      </cdr:nvSpPr>
      <cdr:spPr>
        <a:xfrm xmlns:a="http://schemas.openxmlformats.org/drawingml/2006/main" rot="16200000">
          <a:off x="2757772" y="4063895"/>
          <a:ext cx="1119846" cy="431253"/>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00" b="1" kern="1200">
              <a:solidFill>
                <a:sysClr val="windowText" lastClr="000000"/>
              </a:solidFill>
              <a:latin typeface="Arial Nova Cond" panose="020B0506020202020204" pitchFamily="34" charset="0"/>
            </a:rPr>
            <a:t>Eutrophication</a:t>
          </a:r>
          <a:r>
            <a:rPr lang="en-US" sz="1100" b="1" kern="1200" baseline="0">
              <a:solidFill>
                <a:sysClr val="windowText" lastClr="000000"/>
              </a:solidFill>
              <a:latin typeface="Arial Nova Cond" panose="020B0506020202020204" pitchFamily="34" charset="0"/>
            </a:rPr>
            <a:t> - </a:t>
          </a:r>
          <a:r>
            <a:rPr lang="en-US" sz="1050" b="1" kern="1200" baseline="0">
              <a:solidFill>
                <a:sysClr val="windowText" lastClr="000000"/>
              </a:solidFill>
              <a:latin typeface="Arial Nova Cond" panose="020B0506020202020204" pitchFamily="34" charset="0"/>
            </a:rPr>
            <a:t>Freshwater</a:t>
          </a:r>
          <a:endParaRPr lang="en-US" sz="1050" b="1" kern="1200">
            <a:solidFill>
              <a:sysClr val="windowText" lastClr="000000"/>
            </a:solidFill>
            <a:latin typeface="Arial Nova Cond" panose="020B0506020202020204" pitchFamily="34" charset="0"/>
          </a:endParaRPr>
        </a:p>
      </cdr:txBody>
    </cdr:sp>
  </cdr:relSizeAnchor>
  <cdr:relSizeAnchor xmlns:cdr="http://schemas.openxmlformats.org/drawingml/2006/chartDrawing">
    <cdr:from>
      <cdr:x>0.45068</cdr:x>
      <cdr:y>0.64142</cdr:y>
    </cdr:from>
    <cdr:to>
      <cdr:x>0.50023</cdr:x>
      <cdr:y>0.83365</cdr:y>
    </cdr:to>
    <cdr:sp macro="" textlink="">
      <cdr:nvSpPr>
        <cdr:cNvPr id="26" name="Rectangle 25">
          <a:extLst xmlns:a="http://schemas.openxmlformats.org/drawingml/2006/main">
            <a:ext uri="{FF2B5EF4-FFF2-40B4-BE49-F238E27FC236}">
              <a16:creationId xmlns:a16="http://schemas.microsoft.com/office/drawing/2014/main" id="{C9EBE32C-823A-DE45-8E06-939CE51C6EA3}"/>
            </a:ext>
          </a:extLst>
        </cdr:cNvPr>
        <cdr:cNvSpPr/>
      </cdr:nvSpPr>
      <cdr:spPr>
        <a:xfrm xmlns:a="http://schemas.openxmlformats.org/drawingml/2006/main" rot="16200000">
          <a:off x="3578153" y="4080934"/>
          <a:ext cx="1119846" cy="431253"/>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00" b="1" kern="1200">
              <a:solidFill>
                <a:sysClr val="windowText" lastClr="000000"/>
              </a:solidFill>
              <a:latin typeface="Arial Nova Cond" panose="020B0506020202020204" pitchFamily="34" charset="0"/>
            </a:rPr>
            <a:t>Eutrophication</a:t>
          </a:r>
          <a:r>
            <a:rPr lang="en-US" sz="1100" b="1" kern="1200">
              <a:solidFill>
                <a:sysClr val="windowText" lastClr="000000"/>
              </a:solidFill>
              <a:latin typeface="Arial Nova Cond" panose="020B0506020202020204" pitchFamily="34" charset="0"/>
            </a:rPr>
            <a:t> - </a:t>
          </a:r>
          <a:r>
            <a:rPr lang="en-US" sz="1050" b="1" kern="1200">
              <a:solidFill>
                <a:sysClr val="windowText" lastClr="000000"/>
              </a:solidFill>
              <a:latin typeface="Arial Nova Cond" panose="020B0506020202020204" pitchFamily="34" charset="0"/>
            </a:rPr>
            <a:t>Marine</a:t>
          </a:r>
        </a:p>
      </cdr:txBody>
    </cdr:sp>
  </cdr:relSizeAnchor>
  <cdr:relSizeAnchor xmlns:cdr="http://schemas.openxmlformats.org/drawingml/2006/chartDrawing">
    <cdr:from>
      <cdr:x>0.54407</cdr:x>
      <cdr:y>0.63776</cdr:y>
    </cdr:from>
    <cdr:to>
      <cdr:x>0.59362</cdr:x>
      <cdr:y>0.82999</cdr:y>
    </cdr:to>
    <cdr:sp macro="" textlink="">
      <cdr:nvSpPr>
        <cdr:cNvPr id="27" name="Rectangle 26">
          <a:extLst xmlns:a="http://schemas.openxmlformats.org/drawingml/2006/main">
            <a:ext uri="{FF2B5EF4-FFF2-40B4-BE49-F238E27FC236}">
              <a16:creationId xmlns:a16="http://schemas.microsoft.com/office/drawing/2014/main" id="{D173380F-7295-0B39-EA3D-AD3ACE5848C2}"/>
            </a:ext>
          </a:extLst>
        </cdr:cNvPr>
        <cdr:cNvSpPr/>
      </cdr:nvSpPr>
      <cdr:spPr>
        <a:xfrm xmlns:a="http://schemas.openxmlformats.org/drawingml/2006/main" rot="16200000">
          <a:off x="4382276" y="4084679"/>
          <a:ext cx="1126355"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400" b="1" kern="1200">
              <a:solidFill>
                <a:sysClr val="windowText" lastClr="000000"/>
              </a:solidFill>
              <a:latin typeface="Arial Nova Cond" panose="020B0506020202020204" pitchFamily="34" charset="0"/>
            </a:rPr>
            <a:t>Global Warming</a:t>
          </a:r>
        </a:p>
      </cdr:txBody>
    </cdr:sp>
  </cdr:relSizeAnchor>
  <cdr:relSizeAnchor xmlns:cdr="http://schemas.openxmlformats.org/drawingml/2006/chartDrawing">
    <cdr:from>
      <cdr:x>0.63699</cdr:x>
      <cdr:y>0.63865</cdr:y>
    </cdr:from>
    <cdr:to>
      <cdr:x>0.68654</cdr:x>
      <cdr:y>0.83089</cdr:y>
    </cdr:to>
    <cdr:sp macro="" textlink="">
      <cdr:nvSpPr>
        <cdr:cNvPr id="28" name="Rectangle 27">
          <a:extLst xmlns:a="http://schemas.openxmlformats.org/drawingml/2006/main">
            <a:ext uri="{FF2B5EF4-FFF2-40B4-BE49-F238E27FC236}">
              <a16:creationId xmlns:a16="http://schemas.microsoft.com/office/drawing/2014/main" id="{2C74F8C8-D70A-0429-AA81-EED59264D1F3}"/>
            </a:ext>
          </a:extLst>
        </cdr:cNvPr>
        <cdr:cNvSpPr/>
      </cdr:nvSpPr>
      <cdr:spPr>
        <a:xfrm xmlns:a="http://schemas.openxmlformats.org/drawingml/2006/main" rot="16200000">
          <a:off x="5199654" y="4064829"/>
          <a:ext cx="1119903" cy="431253"/>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Non - Carcinogenics</a:t>
          </a:r>
        </a:p>
      </cdr:txBody>
    </cdr:sp>
  </cdr:relSizeAnchor>
  <cdr:relSizeAnchor xmlns:cdr="http://schemas.openxmlformats.org/drawingml/2006/chartDrawing">
    <cdr:from>
      <cdr:x>0.73196</cdr:x>
      <cdr:y>0.64319</cdr:y>
    </cdr:from>
    <cdr:to>
      <cdr:x>0.78151</cdr:x>
      <cdr:y>0.83542</cdr:y>
    </cdr:to>
    <cdr:sp macro="" textlink="">
      <cdr:nvSpPr>
        <cdr:cNvPr id="29" name="Rectangle 28">
          <a:extLst xmlns:a="http://schemas.openxmlformats.org/drawingml/2006/main">
            <a:ext uri="{FF2B5EF4-FFF2-40B4-BE49-F238E27FC236}">
              <a16:creationId xmlns:a16="http://schemas.microsoft.com/office/drawing/2014/main" id="{0F47EA4A-8642-900E-DB98-9F76F2FD3399}"/>
            </a:ext>
          </a:extLst>
        </cdr:cNvPr>
        <cdr:cNvSpPr/>
      </cdr:nvSpPr>
      <cdr:spPr>
        <a:xfrm xmlns:a="http://schemas.openxmlformats.org/drawingml/2006/main" rot="16200000">
          <a:off x="6015772" y="4116497"/>
          <a:ext cx="1126356"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200" b="1" kern="1200">
              <a:solidFill>
                <a:sysClr val="windowText" lastClr="000000"/>
              </a:solidFill>
              <a:latin typeface="Arial Nova Cond" panose="020B0506020202020204" pitchFamily="34" charset="0"/>
            </a:rPr>
            <a:t>Ozone</a:t>
          </a:r>
          <a:r>
            <a:rPr lang="en-US" sz="1200" b="1" kern="1200" baseline="0">
              <a:solidFill>
                <a:sysClr val="windowText" lastClr="000000"/>
              </a:solidFill>
              <a:latin typeface="Arial Nova Cond" panose="020B0506020202020204" pitchFamily="34" charset="0"/>
            </a:rPr>
            <a:t> Depletion</a:t>
          </a:r>
          <a:endParaRPr lang="en-US" sz="1200" b="1" kern="1200">
            <a:solidFill>
              <a:sysClr val="windowText" lastClr="000000"/>
            </a:solidFill>
            <a:latin typeface="Arial Nova Cond" panose="020B0506020202020204" pitchFamily="34" charset="0"/>
          </a:endParaRPr>
        </a:p>
      </cdr:txBody>
    </cdr:sp>
  </cdr:relSizeAnchor>
  <cdr:relSizeAnchor xmlns:cdr="http://schemas.openxmlformats.org/drawingml/2006/chartDrawing">
    <cdr:from>
      <cdr:x>0.82475</cdr:x>
      <cdr:y>0.64045</cdr:y>
    </cdr:from>
    <cdr:to>
      <cdr:x>0.8743</cdr:x>
      <cdr:y>0.83268</cdr:y>
    </cdr:to>
    <cdr:sp macro="" textlink="">
      <cdr:nvSpPr>
        <cdr:cNvPr id="30" name="Rectangle 29">
          <a:extLst xmlns:a="http://schemas.openxmlformats.org/drawingml/2006/main">
            <a:ext uri="{FF2B5EF4-FFF2-40B4-BE49-F238E27FC236}">
              <a16:creationId xmlns:a16="http://schemas.microsoft.com/office/drawing/2014/main" id="{0C906ECB-20AE-B8F1-237F-05CDF89DC515}"/>
            </a:ext>
          </a:extLst>
        </cdr:cNvPr>
        <cdr:cNvSpPr/>
      </cdr:nvSpPr>
      <cdr:spPr>
        <a:xfrm xmlns:a="http://schemas.openxmlformats.org/drawingml/2006/main" rot="16200000">
          <a:off x="6822479" y="4100470"/>
          <a:ext cx="1126356"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ysClr val="windowText" lastClr="000000"/>
              </a:solidFill>
              <a:latin typeface="Arial Nova Cond" panose="020B0506020202020204" pitchFamily="34" charset="0"/>
            </a:rPr>
            <a:t>Respiratory Effects - Particulate</a:t>
          </a:r>
        </a:p>
      </cdr:txBody>
    </cdr:sp>
  </cdr:relSizeAnchor>
  <cdr:relSizeAnchor xmlns:cdr="http://schemas.openxmlformats.org/drawingml/2006/chartDrawing">
    <cdr:from>
      <cdr:x>0.92034</cdr:x>
      <cdr:y>0.64102</cdr:y>
    </cdr:from>
    <cdr:to>
      <cdr:x>0.96989</cdr:x>
      <cdr:y>0.83325</cdr:y>
    </cdr:to>
    <cdr:sp macro="" textlink="">
      <cdr:nvSpPr>
        <cdr:cNvPr id="31" name="Rectangle 30">
          <a:extLst xmlns:a="http://schemas.openxmlformats.org/drawingml/2006/main">
            <a:ext uri="{FF2B5EF4-FFF2-40B4-BE49-F238E27FC236}">
              <a16:creationId xmlns:a16="http://schemas.microsoft.com/office/drawing/2014/main" id="{C6DBBBFA-9075-166D-CC75-935315F7D494}"/>
            </a:ext>
          </a:extLst>
        </cdr:cNvPr>
        <cdr:cNvSpPr/>
      </cdr:nvSpPr>
      <cdr:spPr>
        <a:xfrm xmlns:a="http://schemas.openxmlformats.org/drawingml/2006/main" rot="16200000">
          <a:off x="7653507" y="4103772"/>
          <a:ext cx="1126356" cy="43078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00" b="1" kern="1200">
              <a:solidFill>
                <a:sysClr val="windowText" lastClr="000000"/>
              </a:solidFill>
              <a:latin typeface="Arial Nova Cond" panose="020B0506020202020204" pitchFamily="34" charset="0"/>
            </a:rPr>
            <a:t>Photochemical</a:t>
          </a:r>
          <a:r>
            <a:rPr lang="en-US" sz="1000" b="1" kern="1200" baseline="0">
              <a:solidFill>
                <a:sysClr val="windowText" lastClr="000000"/>
              </a:solidFill>
              <a:latin typeface="Arial Nova Cond" panose="020B0506020202020204" pitchFamily="34" charset="0"/>
            </a:rPr>
            <a:t> </a:t>
          </a:r>
          <a:r>
            <a:rPr lang="en-US" sz="1050" b="1" kern="1200" baseline="0">
              <a:solidFill>
                <a:sysClr val="windowText" lastClr="000000"/>
              </a:solidFill>
              <a:latin typeface="Arial Nova Cond" panose="020B0506020202020204" pitchFamily="34" charset="0"/>
            </a:rPr>
            <a:t>Oxidation Formation</a:t>
          </a:r>
          <a:endParaRPr lang="en-US" sz="1050" b="1" kern="1200">
            <a:solidFill>
              <a:sysClr val="windowText" lastClr="000000"/>
            </a:solidFill>
            <a:latin typeface="Arial Nova Cond" panose="020B0506020202020204" pitchFamily="34" charset="0"/>
          </a:endParaRPr>
        </a:p>
      </cdr:txBody>
    </cdr:sp>
  </cdr:relSizeAnchor>
  <cdr:relSizeAnchor xmlns:cdr="http://schemas.openxmlformats.org/drawingml/2006/chartDrawing">
    <cdr:from>
      <cdr:x>0.0601</cdr:x>
      <cdr:y>0.24732</cdr:y>
    </cdr:from>
    <cdr:to>
      <cdr:x>0.1486</cdr:x>
      <cdr:y>0.32528</cdr:y>
    </cdr:to>
    <mc:AlternateContent xmlns:mc="http://schemas.openxmlformats.org/markup-compatibility/2006" xmlns:a14="http://schemas.microsoft.com/office/drawing/2010/main">
      <mc:Choice Requires="a14">
        <cdr:sp macro="" textlink="">
          <cdr:nvSpPr>
            <cdr:cNvPr id="32" name="Rectangle 31">
              <a:extLst xmlns:a="http://schemas.openxmlformats.org/drawingml/2006/main">
                <a:ext uri="{FF2B5EF4-FFF2-40B4-BE49-F238E27FC236}">
                  <a16:creationId xmlns:a16="http://schemas.microsoft.com/office/drawing/2014/main" id="{AAFE8437-5891-F732-1512-AF787AAD7DB4}"/>
                </a:ext>
              </a:extLst>
            </cdr:cNvPr>
            <cdr:cNvSpPr/>
          </cdr:nvSpPr>
          <cdr:spPr>
            <a:xfrm xmlns:a="http://schemas.openxmlformats.org/drawingml/2006/main">
              <a:off x="522464" y="1451991"/>
              <a:ext cx="769231" cy="45770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kg S</m:t>
                        </m:r>
                        <m:sSub>
                          <m:sSubPr>
                            <m:ctrlPr>
                              <a:rPr lang="en-US" sz="1050" b="0" i="0" kern="1200">
                                <a:solidFill>
                                  <a:sysClr val="windowText" lastClr="000000"/>
                                </a:solidFill>
                                <a:latin typeface="Arial Nova Cond" panose="020B0506020202020204" pitchFamily="34" charset="0"/>
                              </a:rPr>
                            </m:ctrlPr>
                          </m:sSubPr>
                          <m:e>
                            <m:r>
                              <m:rPr>
                                <m:nor/>
                              </m:rPr>
                              <a:rPr lang="en-US" sz="1050" b="0" i="0" kern="1200">
                                <a:solidFill>
                                  <a:sysClr val="windowText" lastClr="000000"/>
                                </a:solidFill>
                                <a:latin typeface="Arial Nova Cond" panose="020B0506020202020204" pitchFamily="34" charset="0"/>
                              </a:rPr>
                              <m:t>O</m:t>
                            </m:r>
                          </m:e>
                          <m:sub>
                            <m:r>
                              <m:rPr>
                                <m:nor/>
                              </m:rPr>
                              <a:rPr lang="en-US" sz="1050" b="0" i="0" kern="1200">
                                <a:solidFill>
                                  <a:sysClr val="windowText" lastClr="000000"/>
                                </a:solidFill>
                                <a:latin typeface="Arial Nova Cond" panose="020B0506020202020204" pitchFamily="34" charset="0"/>
                              </a:rPr>
                              <m:t>2−eq</m:t>
                            </m:r>
                          </m:sub>
                        </m:sSub>
                      </m:num>
                      <m:den>
                        <m:r>
                          <m:rPr>
                            <m:nor/>
                          </m:rPr>
                          <a:rPr lang="en-US" sz="1050" b="0" i="0" kern="1200">
                            <a:solidFill>
                              <a:sysClr val="windowText" lastClr="000000"/>
                            </a:solidFill>
                            <a:latin typeface="Arial Nova Cond" panose="020B0506020202020204" pitchFamily="34" charset="0"/>
                          </a:rPr>
                          <m:t>MJ</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32" name="Rectangle 31">
              <a:extLst xmlns:a="http://schemas.openxmlformats.org/drawingml/2006/main">
                <a:ext uri="{FF2B5EF4-FFF2-40B4-BE49-F238E27FC236}">
                  <a16:creationId xmlns:a16="http://schemas.microsoft.com/office/drawing/2014/main" id="{AAFE8437-5891-F732-1512-AF787AAD7DB4}"/>
                </a:ext>
              </a:extLst>
            </cdr:cNvPr>
            <cdr:cNvSpPr/>
          </cdr:nvSpPr>
          <cdr:spPr>
            <a:xfrm xmlns:a="http://schemas.openxmlformats.org/drawingml/2006/main">
              <a:off x="522464" y="1451991"/>
              <a:ext cx="769231" cy="45770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S</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O</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2−eq</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MJ</a:t>
              </a:r>
              <a:r>
                <a:rPr lang="en-US" sz="1050" b="1" i="0" kern="1200">
                  <a:solidFill>
                    <a:sysClr val="windowText" lastClr="000000"/>
                  </a:solidFill>
                  <a:latin typeface="Cambria Math" panose="02040503050406030204" pitchFamily="18" charset="0"/>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0.00358</cdr:x>
      <cdr:y>0.20077</cdr:y>
    </cdr:from>
    <cdr:to>
      <cdr:x>0.05747</cdr:x>
      <cdr:y>0.24459</cdr:y>
    </cdr:to>
    <cdr:sp macro="" textlink="">
      <cdr:nvSpPr>
        <cdr:cNvPr id="35" name="Rectangle 34">
          <a:extLst xmlns:a="http://schemas.openxmlformats.org/drawingml/2006/main">
            <a:ext uri="{FF2B5EF4-FFF2-40B4-BE49-F238E27FC236}">
              <a16:creationId xmlns:a16="http://schemas.microsoft.com/office/drawing/2014/main" id="{A2087C0C-F51B-50AA-185A-F1CB59ECEE41}"/>
            </a:ext>
          </a:extLst>
        </cdr:cNvPr>
        <cdr:cNvSpPr/>
      </cdr:nvSpPr>
      <cdr:spPr>
        <a:xfrm xmlns:a="http://schemas.openxmlformats.org/drawingml/2006/main">
          <a:off x="31066" y="1173885"/>
          <a:ext cx="467647" cy="256209"/>
        </a:xfrm>
        <a:prstGeom xmlns:a="http://schemas.openxmlformats.org/drawingml/2006/main" prst="rect">
          <a:avLst/>
        </a:prstGeom>
        <a:solidFill xmlns:a="http://schemas.openxmlformats.org/drawingml/2006/main">
          <a:schemeClr val="bg1"/>
        </a:solidFill>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horz"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900" b="1" kern="1200">
              <a:solidFill>
                <a:srgbClr val="339933"/>
              </a:solidFill>
              <a:latin typeface="Arial Nova Cond" panose="020B0506020202020204" pitchFamily="34" charset="0"/>
            </a:rPr>
            <a:t>PROP</a:t>
          </a:r>
        </a:p>
      </cdr:txBody>
    </cdr:sp>
  </cdr:relSizeAnchor>
  <cdr:relSizeAnchor xmlns:cdr="http://schemas.openxmlformats.org/drawingml/2006/chartDrawing">
    <cdr:from>
      <cdr:x>0.00589</cdr:x>
      <cdr:y>0.67385</cdr:y>
    </cdr:from>
    <cdr:to>
      <cdr:x>0.05596</cdr:x>
      <cdr:y>0.81899</cdr:y>
    </cdr:to>
    <cdr:sp macro="" textlink="">
      <cdr:nvSpPr>
        <cdr:cNvPr id="36" name="Rectangle 35">
          <a:extLst xmlns:a="http://schemas.openxmlformats.org/drawingml/2006/main">
            <a:ext uri="{FF2B5EF4-FFF2-40B4-BE49-F238E27FC236}">
              <a16:creationId xmlns:a16="http://schemas.microsoft.com/office/drawing/2014/main" id="{E736BAA7-EF69-0A3E-732A-35EC6878566F}"/>
            </a:ext>
          </a:extLst>
        </cdr:cNvPr>
        <cdr:cNvSpPr/>
      </cdr:nvSpPr>
      <cdr:spPr>
        <a:xfrm xmlns:a="http://schemas.openxmlformats.org/drawingml/2006/main">
          <a:off x="51263" y="3925571"/>
          <a:ext cx="435778" cy="845521"/>
        </a:xfrm>
        <a:prstGeom xmlns:a="http://schemas.openxmlformats.org/drawingml/2006/main" prst="rect">
          <a:avLst/>
        </a:prstGeom>
        <a:solidFill xmlns:a="http://schemas.openxmlformats.org/drawingml/2006/main">
          <a:schemeClr val="bg1"/>
        </a:solidFill>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vert270"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100" b="1" kern="1200">
              <a:solidFill>
                <a:sysClr val="windowText" lastClr="000000"/>
              </a:solidFill>
              <a:latin typeface="Arial Nova Cond" panose="020B0506020202020204" pitchFamily="34" charset="0"/>
            </a:rPr>
            <a:t>CATEGORY</a:t>
          </a:r>
        </a:p>
      </cdr:txBody>
    </cdr:sp>
  </cdr:relSizeAnchor>
  <cdr:relSizeAnchor xmlns:cdr="http://schemas.openxmlformats.org/drawingml/2006/chartDrawing">
    <cdr:from>
      <cdr:x>0.15282</cdr:x>
      <cdr:y>0.2498</cdr:y>
    </cdr:from>
    <cdr:to>
      <cdr:x>0.24008</cdr:x>
      <cdr:y>0.31886</cdr:y>
    </cdr:to>
    <mc:AlternateContent xmlns:mc="http://schemas.openxmlformats.org/markup-compatibility/2006" xmlns:a14="http://schemas.microsoft.com/office/drawing/2010/main">
      <mc:Choice Requires="a14">
        <cdr:sp macro="" textlink="">
          <cdr:nvSpPr>
            <cdr:cNvPr id="37" name="Rectangle 36">
              <a:extLst xmlns:a="http://schemas.openxmlformats.org/drawingml/2006/main">
                <a:ext uri="{FF2B5EF4-FFF2-40B4-BE49-F238E27FC236}">
                  <a16:creationId xmlns:a16="http://schemas.microsoft.com/office/drawing/2014/main" id="{6F6C0593-74C2-EDC8-2A46-DFBEED548368}"/>
                </a:ext>
              </a:extLst>
            </cdr:cNvPr>
            <cdr:cNvSpPr/>
          </cdr:nvSpPr>
          <cdr:spPr>
            <a:xfrm xmlns:a="http://schemas.openxmlformats.org/drawingml/2006/main">
              <a:off x="1328425" y="1466569"/>
              <a:ext cx="758503" cy="40542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CTUh</m:t>
                        </m:r>
                      </m:num>
                      <m:den>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MJ</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37" name="Rectangle 36">
              <a:extLst xmlns:a="http://schemas.openxmlformats.org/drawingml/2006/main">
                <a:ext uri="{FF2B5EF4-FFF2-40B4-BE49-F238E27FC236}">
                  <a16:creationId xmlns:a16="http://schemas.microsoft.com/office/drawing/2014/main" id="{6F6C0593-74C2-EDC8-2A46-DFBEED548368}"/>
                </a:ext>
              </a:extLst>
            </cdr:cNvPr>
            <cdr:cNvSpPr/>
          </cdr:nvSpPr>
          <cdr:spPr>
            <a:xfrm xmlns:a="http://schemas.openxmlformats.org/drawingml/2006/main">
              <a:off x="1328425" y="1466569"/>
              <a:ext cx="758503" cy="40542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"CTUh</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MJ</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0.24723</cdr:x>
      <cdr:y>0.24647</cdr:y>
    </cdr:from>
    <cdr:to>
      <cdr:x>0.33312</cdr:x>
      <cdr:y>0.32135</cdr:y>
    </cdr:to>
    <mc:AlternateContent xmlns:mc="http://schemas.openxmlformats.org/markup-compatibility/2006" xmlns:a14="http://schemas.microsoft.com/office/drawing/2010/main">
      <mc:Choice Requires="a14">
        <cdr:sp macro="" textlink="">
          <cdr:nvSpPr>
            <cdr:cNvPr id="38" name="Rectangle 37">
              <a:extLst xmlns:a="http://schemas.openxmlformats.org/drawingml/2006/main">
                <a:ext uri="{FF2B5EF4-FFF2-40B4-BE49-F238E27FC236}">
                  <a16:creationId xmlns:a16="http://schemas.microsoft.com/office/drawing/2014/main" id="{31E9AFB0-C834-DFB0-9095-CE06D96D44AE}"/>
                </a:ext>
              </a:extLst>
            </cdr:cNvPr>
            <cdr:cNvSpPr/>
          </cdr:nvSpPr>
          <cdr:spPr>
            <a:xfrm xmlns:a="http://schemas.openxmlformats.org/drawingml/2006/main">
              <a:off x="2149041" y="1447030"/>
              <a:ext cx="746673" cy="43961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CTUe</m:t>
                        </m:r>
                      </m:num>
                      <m:den>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MJ</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38" name="Rectangle 37">
              <a:extLst xmlns:a="http://schemas.openxmlformats.org/drawingml/2006/main">
                <a:ext uri="{FF2B5EF4-FFF2-40B4-BE49-F238E27FC236}">
                  <a16:creationId xmlns:a16="http://schemas.microsoft.com/office/drawing/2014/main" id="{31E9AFB0-C834-DFB0-9095-CE06D96D44AE}"/>
                </a:ext>
              </a:extLst>
            </cdr:cNvPr>
            <cdr:cNvSpPr/>
          </cdr:nvSpPr>
          <cdr:spPr>
            <a:xfrm xmlns:a="http://schemas.openxmlformats.org/drawingml/2006/main">
              <a:off x="2149041" y="1447030"/>
              <a:ext cx="746673" cy="43961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"CTUe</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MJ</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0.33938</cdr:x>
      <cdr:y>0.2473</cdr:y>
    </cdr:from>
    <cdr:to>
      <cdr:x>0.42859</cdr:x>
      <cdr:y>0.32052</cdr:y>
    </cdr:to>
    <mc:AlternateContent xmlns:mc="http://schemas.openxmlformats.org/markup-compatibility/2006" xmlns:a14="http://schemas.microsoft.com/office/drawing/2010/main">
      <mc:Choice Requires="a14">
        <cdr:sp macro="" textlink="">
          <cdr:nvSpPr>
            <cdr:cNvPr id="39" name="Rectangle 38">
              <a:extLst xmlns:a="http://schemas.openxmlformats.org/drawingml/2006/main">
                <a:ext uri="{FF2B5EF4-FFF2-40B4-BE49-F238E27FC236}">
                  <a16:creationId xmlns:a16="http://schemas.microsoft.com/office/drawing/2014/main" id="{AC840EDB-41D4-2D04-1BF8-4B5FBF088B61}"/>
                </a:ext>
              </a:extLst>
            </cdr:cNvPr>
            <cdr:cNvSpPr/>
          </cdr:nvSpPr>
          <cdr:spPr>
            <a:xfrm xmlns:a="http://schemas.openxmlformats.org/drawingml/2006/main">
              <a:off x="2950119" y="1451915"/>
              <a:ext cx="775460" cy="42984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kg </m:t>
                        </m:r>
                        <m:sSub>
                          <m:sSubPr>
                            <m:ctrlPr>
                              <a:rPr lang="en-US" sz="1050" b="0" i="0" kern="1200">
                                <a:solidFill>
                                  <a:sysClr val="windowText" lastClr="000000"/>
                                </a:solidFill>
                                <a:latin typeface="Arial Nova Cond" panose="020B0506020202020204" pitchFamily="34" charset="0"/>
                              </a:rPr>
                            </m:ctrlPr>
                          </m:sSubPr>
                          <m:e>
                            <m:r>
                              <m:rPr>
                                <m:nor/>
                              </m:rPr>
                              <a:rPr lang="en-US" sz="1050" b="0" i="0" kern="1200">
                                <a:solidFill>
                                  <a:sysClr val="windowText" lastClr="000000"/>
                                </a:solidFill>
                                <a:latin typeface="Arial Nova Cond" panose="020B0506020202020204" pitchFamily="34" charset="0"/>
                              </a:rPr>
                              <m:t>P</m:t>
                            </m:r>
                          </m:e>
                          <m:sub>
                            <m:r>
                              <m:rPr>
                                <m:nor/>
                              </m:rPr>
                              <a:rPr lang="en-US" sz="1050" b="0" i="0" kern="1200">
                                <a:solidFill>
                                  <a:sysClr val="windowText" lastClr="000000"/>
                                </a:solidFill>
                                <a:latin typeface="Arial Nova Cond" panose="020B0506020202020204" pitchFamily="34" charset="0"/>
                              </a:rPr>
                              <m:t>eq</m:t>
                            </m:r>
                          </m:sub>
                        </m:sSub>
                      </m:num>
                      <m:den>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MJ</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39" name="Rectangle 38">
              <a:extLst xmlns:a="http://schemas.openxmlformats.org/drawingml/2006/main">
                <a:ext uri="{FF2B5EF4-FFF2-40B4-BE49-F238E27FC236}">
                  <a16:creationId xmlns:a16="http://schemas.microsoft.com/office/drawing/2014/main" id="{AC840EDB-41D4-2D04-1BF8-4B5FBF088B61}"/>
                </a:ext>
              </a:extLst>
            </cdr:cNvPr>
            <cdr:cNvSpPr/>
          </cdr:nvSpPr>
          <cdr:spPr>
            <a:xfrm xmlns:a="http://schemas.openxmlformats.org/drawingml/2006/main">
              <a:off x="2950119" y="1451915"/>
              <a:ext cx="775460" cy="42984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P</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eq</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MJ</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0.43435</cdr:x>
      <cdr:y>0.24647</cdr:y>
    </cdr:from>
    <cdr:to>
      <cdr:x>0.52199</cdr:x>
      <cdr:y>0.31969</cdr:y>
    </cdr:to>
    <mc:AlternateContent xmlns:mc="http://schemas.openxmlformats.org/markup-compatibility/2006" xmlns:a14="http://schemas.microsoft.com/office/drawing/2010/main">
      <mc:Choice Requires="a14">
        <cdr:sp macro="" textlink="">
          <cdr:nvSpPr>
            <cdr:cNvPr id="40" name="Rectangle 39">
              <a:extLst xmlns:a="http://schemas.openxmlformats.org/drawingml/2006/main">
                <a:ext uri="{FF2B5EF4-FFF2-40B4-BE49-F238E27FC236}">
                  <a16:creationId xmlns:a16="http://schemas.microsoft.com/office/drawing/2014/main" id="{586CB80F-27C6-AAE0-C6AB-154855B78E61}"/>
                </a:ext>
              </a:extLst>
            </cdr:cNvPr>
            <cdr:cNvSpPr/>
          </cdr:nvSpPr>
          <cdr:spPr>
            <a:xfrm xmlns:a="http://schemas.openxmlformats.org/drawingml/2006/main">
              <a:off x="3775619" y="1447030"/>
              <a:ext cx="761840" cy="42984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kg </m:t>
                        </m:r>
                        <m:sSub>
                          <m:sSubPr>
                            <m:ctrlPr>
                              <a:rPr lang="en-US" sz="1050" b="0" i="0" kern="1200">
                                <a:solidFill>
                                  <a:sysClr val="windowText" lastClr="000000"/>
                                </a:solidFill>
                                <a:latin typeface="Arial Nova Cond" panose="020B0506020202020204" pitchFamily="34" charset="0"/>
                              </a:rPr>
                            </m:ctrlPr>
                          </m:sSubPr>
                          <m:e>
                            <m:r>
                              <m:rPr>
                                <m:nor/>
                              </m:rPr>
                              <a:rPr lang="en-US" sz="1050" b="0" i="0" kern="1200">
                                <a:solidFill>
                                  <a:sysClr val="windowText" lastClr="000000"/>
                                </a:solidFill>
                                <a:latin typeface="Arial Nova Cond" panose="020B0506020202020204" pitchFamily="34" charset="0"/>
                              </a:rPr>
                              <m:t>N</m:t>
                            </m:r>
                          </m:e>
                          <m:sub>
                            <m:r>
                              <m:rPr>
                                <m:nor/>
                              </m:rPr>
                              <a:rPr lang="en-US" sz="1050" b="0" i="0" kern="1200">
                                <a:solidFill>
                                  <a:sysClr val="windowText" lastClr="000000"/>
                                </a:solidFill>
                                <a:latin typeface="Arial Nova Cond" panose="020B0506020202020204" pitchFamily="34" charset="0"/>
                              </a:rPr>
                              <m:t>eq</m:t>
                            </m:r>
                          </m:sub>
                        </m:sSub>
                      </m:num>
                      <m:den>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MJ</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0" name="Rectangle 39">
              <a:extLst xmlns:a="http://schemas.openxmlformats.org/drawingml/2006/main">
                <a:ext uri="{FF2B5EF4-FFF2-40B4-BE49-F238E27FC236}">
                  <a16:creationId xmlns:a16="http://schemas.microsoft.com/office/drawing/2014/main" id="{586CB80F-27C6-AAE0-C6AB-154855B78E61}"/>
                </a:ext>
              </a:extLst>
            </cdr:cNvPr>
            <cdr:cNvSpPr/>
          </cdr:nvSpPr>
          <cdr:spPr>
            <a:xfrm xmlns:a="http://schemas.openxmlformats.org/drawingml/2006/main">
              <a:off x="3775619" y="1447030"/>
              <a:ext cx="761840" cy="42984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N</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eq</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MJ</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0.52706</cdr:x>
      <cdr:y>0.24647</cdr:y>
    </cdr:from>
    <cdr:to>
      <cdr:x>0.61563</cdr:x>
      <cdr:y>0.32135</cdr:y>
    </cdr:to>
    <mc:AlternateContent xmlns:mc="http://schemas.openxmlformats.org/markup-compatibility/2006" xmlns:a14="http://schemas.microsoft.com/office/drawing/2010/main">
      <mc:Choice Requires="a14">
        <cdr:sp macro="" textlink="">
          <cdr:nvSpPr>
            <cdr:cNvPr id="41" name="Rectangle 40">
              <a:extLst xmlns:a="http://schemas.openxmlformats.org/drawingml/2006/main">
                <a:ext uri="{FF2B5EF4-FFF2-40B4-BE49-F238E27FC236}">
                  <a16:creationId xmlns:a16="http://schemas.microsoft.com/office/drawing/2014/main" id="{E4B9830C-75A7-CA5D-03C1-6A0D5D70DB95}"/>
                </a:ext>
              </a:extLst>
            </cdr:cNvPr>
            <cdr:cNvSpPr/>
          </cdr:nvSpPr>
          <cdr:spPr>
            <a:xfrm xmlns:a="http://schemas.openxmlformats.org/drawingml/2006/main">
              <a:off x="4581579" y="1447030"/>
              <a:ext cx="769869" cy="43961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kg C</m:t>
                        </m:r>
                        <m:sSub>
                          <m:sSubPr>
                            <m:ctrlPr>
                              <a:rPr lang="en-US" sz="1050" b="0" i="0" kern="1200">
                                <a:solidFill>
                                  <a:sysClr val="windowText" lastClr="000000"/>
                                </a:solidFill>
                                <a:latin typeface="Arial Nova Cond" panose="020B0506020202020204" pitchFamily="34" charset="0"/>
                              </a:rPr>
                            </m:ctrlPr>
                          </m:sSubPr>
                          <m:e>
                            <m:r>
                              <m:rPr>
                                <m:nor/>
                              </m:rPr>
                              <a:rPr lang="en-US" sz="1050" b="0" i="0" kern="1200">
                                <a:solidFill>
                                  <a:sysClr val="windowText" lastClr="000000"/>
                                </a:solidFill>
                                <a:latin typeface="Arial Nova Cond" panose="020B0506020202020204" pitchFamily="34" charset="0"/>
                              </a:rPr>
                              <m:t>O</m:t>
                            </m:r>
                          </m:e>
                          <m:sub>
                            <m:r>
                              <m:rPr>
                                <m:nor/>
                              </m:rPr>
                              <a:rPr lang="en-US" sz="1050" b="0" i="0" kern="1200">
                                <a:solidFill>
                                  <a:sysClr val="windowText" lastClr="000000"/>
                                </a:solidFill>
                                <a:latin typeface="Arial Nova Cond" panose="020B0506020202020204" pitchFamily="34" charset="0"/>
                              </a:rPr>
                              <m:t>2−eq</m:t>
                            </m:r>
                          </m:sub>
                        </m:sSub>
                      </m:num>
                      <m:den>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MJ</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1" name="Rectangle 40">
              <a:extLst xmlns:a="http://schemas.openxmlformats.org/drawingml/2006/main">
                <a:ext uri="{FF2B5EF4-FFF2-40B4-BE49-F238E27FC236}">
                  <a16:creationId xmlns:a16="http://schemas.microsoft.com/office/drawing/2014/main" id="{E4B9830C-75A7-CA5D-03C1-6A0D5D70DB95}"/>
                </a:ext>
              </a:extLst>
            </cdr:cNvPr>
            <cdr:cNvSpPr/>
          </cdr:nvSpPr>
          <cdr:spPr>
            <a:xfrm xmlns:a="http://schemas.openxmlformats.org/drawingml/2006/main">
              <a:off x="4581579" y="1447030"/>
              <a:ext cx="769869" cy="43961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C</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O</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2−eq</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MJ</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0.62034</cdr:x>
      <cdr:y>0.2473</cdr:y>
    </cdr:from>
    <cdr:to>
      <cdr:x>0.70915</cdr:x>
      <cdr:y>0.32302</cdr:y>
    </cdr:to>
    <mc:AlternateContent xmlns:mc="http://schemas.openxmlformats.org/markup-compatibility/2006" xmlns:a14="http://schemas.microsoft.com/office/drawing/2010/main">
      <mc:Choice Requires="a14">
        <cdr:sp macro="" textlink="">
          <cdr:nvSpPr>
            <cdr:cNvPr id="42" name="Rectangle 41">
              <a:extLst xmlns:a="http://schemas.openxmlformats.org/drawingml/2006/main">
                <a:ext uri="{FF2B5EF4-FFF2-40B4-BE49-F238E27FC236}">
                  <a16:creationId xmlns:a16="http://schemas.microsoft.com/office/drawing/2014/main" id="{D8ADE223-B36C-AD36-21B1-DC5E3D66F8E0}"/>
                </a:ext>
              </a:extLst>
            </cdr:cNvPr>
            <cdr:cNvSpPr/>
          </cdr:nvSpPr>
          <cdr:spPr>
            <a:xfrm xmlns:a="http://schemas.openxmlformats.org/drawingml/2006/main">
              <a:off x="5392425" y="1451915"/>
              <a:ext cx="771959"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CTUh</m:t>
                        </m:r>
                      </m:num>
                      <m:den>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MJ</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2" name="Rectangle 41">
              <a:extLst xmlns:a="http://schemas.openxmlformats.org/drawingml/2006/main">
                <a:ext uri="{FF2B5EF4-FFF2-40B4-BE49-F238E27FC236}">
                  <a16:creationId xmlns:a16="http://schemas.microsoft.com/office/drawing/2014/main" id="{D8ADE223-B36C-AD36-21B1-DC5E3D66F8E0}"/>
                </a:ext>
              </a:extLst>
            </cdr:cNvPr>
            <cdr:cNvSpPr/>
          </cdr:nvSpPr>
          <cdr:spPr>
            <a:xfrm xmlns:a="http://schemas.openxmlformats.org/drawingml/2006/main">
              <a:off x="5392425" y="1451915"/>
              <a:ext cx="771959"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"CTUh</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MJ</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0.71362</cdr:x>
      <cdr:y>0.24647</cdr:y>
    </cdr:from>
    <cdr:to>
      <cdr:x>0.80194</cdr:x>
      <cdr:y>0.32218</cdr:y>
    </cdr:to>
    <mc:AlternateContent xmlns:mc="http://schemas.openxmlformats.org/markup-compatibility/2006" xmlns:a14="http://schemas.microsoft.com/office/drawing/2010/main">
      <mc:Choice Requires="a14">
        <cdr:sp macro="" textlink="">
          <cdr:nvSpPr>
            <cdr:cNvPr id="43" name="Rectangle 42">
              <a:extLst xmlns:a="http://schemas.openxmlformats.org/drawingml/2006/main">
                <a:ext uri="{FF2B5EF4-FFF2-40B4-BE49-F238E27FC236}">
                  <a16:creationId xmlns:a16="http://schemas.microsoft.com/office/drawing/2014/main" id="{1A85A80C-315C-B629-C24A-40AC9ACA6AB4}"/>
                </a:ext>
              </a:extLst>
            </cdr:cNvPr>
            <cdr:cNvSpPr/>
          </cdr:nvSpPr>
          <cdr:spPr>
            <a:xfrm xmlns:a="http://schemas.openxmlformats.org/drawingml/2006/main">
              <a:off x="6203271" y="1447030"/>
              <a:ext cx="767703"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CFC−11</m:t>
                        </m:r>
                      </m:num>
                      <m:den>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MJ</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3" name="Rectangle 42">
              <a:extLst xmlns:a="http://schemas.openxmlformats.org/drawingml/2006/main">
                <a:ext uri="{FF2B5EF4-FFF2-40B4-BE49-F238E27FC236}">
                  <a16:creationId xmlns:a16="http://schemas.microsoft.com/office/drawing/2014/main" id="{1A85A80C-315C-B629-C24A-40AC9ACA6AB4}"/>
                </a:ext>
              </a:extLst>
            </cdr:cNvPr>
            <cdr:cNvSpPr/>
          </cdr:nvSpPr>
          <cdr:spPr>
            <a:xfrm xmlns:a="http://schemas.openxmlformats.org/drawingml/2006/main">
              <a:off x="6203271" y="1447030"/>
              <a:ext cx="767703" cy="444499"/>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Arial Nova Cond" panose="020B0506020202020204" pitchFamily="34" charset="0"/>
                </a:rPr>
                <a:t>"CFC−11</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MJ</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0.80803</cdr:x>
      <cdr:y>0.24814</cdr:y>
    </cdr:from>
    <cdr:to>
      <cdr:x>0.89472</cdr:x>
      <cdr:y>0.32052</cdr:y>
    </cdr:to>
    <mc:AlternateContent xmlns:mc="http://schemas.openxmlformats.org/markup-compatibility/2006" xmlns:a14="http://schemas.microsoft.com/office/drawing/2010/main">
      <mc:Choice Requires="a14">
        <cdr:sp macro="" textlink="">
          <cdr:nvSpPr>
            <cdr:cNvPr id="44" name="Rectangle 43">
              <a:extLst xmlns:a="http://schemas.openxmlformats.org/drawingml/2006/main">
                <a:ext uri="{FF2B5EF4-FFF2-40B4-BE49-F238E27FC236}">
                  <a16:creationId xmlns:a16="http://schemas.microsoft.com/office/drawing/2014/main" id="{40A061A1-B095-537E-39C7-3D687C52D94E}"/>
                </a:ext>
              </a:extLst>
            </cdr:cNvPr>
            <cdr:cNvSpPr/>
          </cdr:nvSpPr>
          <cdr:spPr>
            <a:xfrm xmlns:a="http://schemas.openxmlformats.org/drawingml/2006/main">
              <a:off x="7023887" y="1456800"/>
              <a:ext cx="753591" cy="42496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P</m:t>
                        </m:r>
                        <m:sSub>
                          <m:sSubPr>
                            <m:ctrlPr>
                              <a:rPr lang="en-US" sz="1050" b="0" i="0" kern="1200">
                                <a:solidFill>
                                  <a:sysClr val="windowText" lastClr="000000"/>
                                </a:solidFill>
                                <a:latin typeface="Arial Nova Cond" panose="020B0506020202020204" pitchFamily="34" charset="0"/>
                              </a:rPr>
                            </m:ctrlPr>
                          </m:sSubPr>
                          <m:e>
                            <m:r>
                              <m:rPr>
                                <m:nor/>
                              </m:rPr>
                              <a:rPr lang="en-US" sz="1050" b="0" i="0" kern="1200">
                                <a:solidFill>
                                  <a:sysClr val="windowText" lastClr="000000"/>
                                </a:solidFill>
                                <a:latin typeface="Arial Nova Cond" panose="020B0506020202020204" pitchFamily="34" charset="0"/>
                              </a:rPr>
                              <m:t>M</m:t>
                            </m:r>
                          </m:e>
                          <m:sub>
                            <m:r>
                              <m:rPr>
                                <m:nor/>
                              </m:rPr>
                              <a:rPr lang="en-US" sz="1050" b="0" i="0" kern="1200">
                                <a:solidFill>
                                  <a:sysClr val="windowText" lastClr="000000"/>
                                </a:solidFill>
                                <a:latin typeface="Arial Nova Cond" panose="020B0506020202020204" pitchFamily="34" charset="0"/>
                              </a:rPr>
                              <m:t>2.5</m:t>
                            </m:r>
                          </m:sub>
                        </m:sSub>
                        <m:r>
                          <m:rPr>
                            <m:nor/>
                          </m:rPr>
                          <a:rPr lang="en-US" sz="1050" b="0" i="0" kern="1200">
                            <a:solidFill>
                              <a:sysClr val="windowText" lastClr="000000"/>
                            </a:solidFill>
                            <a:latin typeface="Arial Nova Cond" panose="020B0506020202020204" pitchFamily="34" charset="0"/>
                          </a:rPr>
                          <m:t> </m:t>
                        </m:r>
                      </m:num>
                      <m:den>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MJ</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4" name="Rectangle 43">
              <a:extLst xmlns:a="http://schemas.openxmlformats.org/drawingml/2006/main">
                <a:ext uri="{FF2B5EF4-FFF2-40B4-BE49-F238E27FC236}">
                  <a16:creationId xmlns:a16="http://schemas.microsoft.com/office/drawing/2014/main" id="{40A061A1-B095-537E-39C7-3D687C52D94E}"/>
                </a:ext>
              </a:extLst>
            </cdr:cNvPr>
            <cdr:cNvSpPr/>
          </cdr:nvSpPr>
          <cdr:spPr>
            <a:xfrm xmlns:a="http://schemas.openxmlformats.org/drawingml/2006/main">
              <a:off x="7023887" y="1456800"/>
              <a:ext cx="753591" cy="42496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P</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M</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2.5</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 </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MJ</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0.90412</cdr:x>
      <cdr:y>0.24897</cdr:y>
    </cdr:from>
    <cdr:to>
      <cdr:x>0.98971</cdr:x>
      <cdr:y>0.32135</cdr:y>
    </cdr:to>
    <mc:AlternateContent xmlns:mc="http://schemas.openxmlformats.org/markup-compatibility/2006" xmlns:a14="http://schemas.microsoft.com/office/drawing/2010/main">
      <mc:Choice Requires="a14">
        <cdr:sp macro="" textlink="">
          <cdr:nvSpPr>
            <cdr:cNvPr id="45" name="Rectangle 44">
              <a:extLst xmlns:a="http://schemas.openxmlformats.org/drawingml/2006/main">
                <a:ext uri="{FF2B5EF4-FFF2-40B4-BE49-F238E27FC236}">
                  <a16:creationId xmlns:a16="http://schemas.microsoft.com/office/drawing/2014/main" id="{1E801B24-40DD-32FD-2E59-59B722406D01}"/>
                </a:ext>
              </a:extLst>
            </cdr:cNvPr>
            <cdr:cNvSpPr/>
          </cdr:nvSpPr>
          <cdr:spPr>
            <a:xfrm xmlns:a="http://schemas.openxmlformats.org/drawingml/2006/main">
              <a:off x="7859156" y="1461684"/>
              <a:ext cx="744035" cy="42496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kg </m:t>
                        </m:r>
                        <m:sSub>
                          <m:sSubPr>
                            <m:ctrlPr>
                              <a:rPr lang="en-US" sz="1050" b="0" i="0" kern="1200">
                                <a:solidFill>
                                  <a:sysClr val="windowText" lastClr="000000"/>
                                </a:solidFill>
                                <a:latin typeface="Arial Nova Cond" panose="020B0506020202020204" pitchFamily="34" charset="0"/>
                              </a:rPr>
                            </m:ctrlPr>
                          </m:sSubPr>
                          <m:e>
                            <m:r>
                              <m:rPr>
                                <m:nor/>
                              </m:rPr>
                              <a:rPr lang="en-US" sz="1050" b="0" i="0" kern="1200">
                                <a:solidFill>
                                  <a:sysClr val="windowText" lastClr="000000"/>
                                </a:solidFill>
                                <a:latin typeface="Arial Nova Cond" panose="020B0506020202020204" pitchFamily="34" charset="0"/>
                              </a:rPr>
                              <m:t>O</m:t>
                            </m:r>
                          </m:e>
                          <m:sub>
                            <m:r>
                              <m:rPr>
                                <m:nor/>
                              </m:rPr>
                              <a:rPr lang="en-US" sz="1050" b="0" i="0" kern="1200">
                                <a:solidFill>
                                  <a:sysClr val="windowText" lastClr="000000"/>
                                </a:solidFill>
                                <a:latin typeface="Arial Nova Cond" panose="020B0506020202020204" pitchFamily="34" charset="0"/>
                              </a:rPr>
                              <m:t>3−eq</m:t>
                            </m:r>
                          </m:sub>
                        </m:sSub>
                      </m:num>
                      <m:den>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MJ</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5" name="Rectangle 44">
              <a:extLst xmlns:a="http://schemas.openxmlformats.org/drawingml/2006/main">
                <a:ext uri="{FF2B5EF4-FFF2-40B4-BE49-F238E27FC236}">
                  <a16:creationId xmlns:a16="http://schemas.microsoft.com/office/drawing/2014/main" id="{1E801B24-40DD-32FD-2E59-59B722406D01}"/>
                </a:ext>
              </a:extLst>
            </cdr:cNvPr>
            <cdr:cNvSpPr/>
          </cdr:nvSpPr>
          <cdr:spPr>
            <a:xfrm xmlns:a="http://schemas.openxmlformats.org/drawingml/2006/main">
              <a:off x="7859156" y="1461684"/>
              <a:ext cx="744035" cy="42496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O</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3−eq</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MJ</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0.05965</cdr:x>
      <cdr:y>0.14883</cdr:y>
    </cdr:from>
    <cdr:to>
      <cdr:x>0.14654</cdr:x>
      <cdr:y>0.19858</cdr:y>
    </cdr:to>
    <cdr:sp macro="" textlink="">
      <cdr:nvSpPr>
        <cdr:cNvPr id="46" name="Rectangle 45">
          <a:extLst xmlns:a="http://schemas.openxmlformats.org/drawingml/2006/main">
            <a:ext uri="{FF2B5EF4-FFF2-40B4-BE49-F238E27FC236}">
              <a16:creationId xmlns:a16="http://schemas.microsoft.com/office/drawing/2014/main" id="{56E65776-C183-6A93-EE21-4E50CB981602}"/>
            </a:ext>
          </a:extLst>
        </cdr:cNvPr>
        <cdr:cNvSpPr/>
      </cdr:nvSpPr>
      <cdr:spPr>
        <a:xfrm xmlns:a="http://schemas.openxmlformats.org/drawingml/2006/main">
          <a:off x="518516" y="873802"/>
          <a:ext cx="755283" cy="29205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1.17E-3</a:t>
          </a:r>
        </a:p>
      </cdr:txBody>
    </cdr:sp>
  </cdr:relSizeAnchor>
  <cdr:relSizeAnchor xmlns:cdr="http://schemas.openxmlformats.org/drawingml/2006/chartDrawing">
    <cdr:from>
      <cdr:x>0.1539</cdr:x>
      <cdr:y>0.14913</cdr:y>
    </cdr:from>
    <cdr:to>
      <cdr:x>0.24229</cdr:x>
      <cdr:y>0.19822</cdr:y>
    </cdr:to>
    <cdr:sp macro="" textlink="">
      <cdr:nvSpPr>
        <cdr:cNvPr id="47" name="Rectangle 46">
          <a:extLst xmlns:a="http://schemas.openxmlformats.org/drawingml/2006/main">
            <a:ext uri="{FF2B5EF4-FFF2-40B4-BE49-F238E27FC236}">
              <a16:creationId xmlns:a16="http://schemas.microsoft.com/office/drawing/2014/main" id="{BA0DD814-EA4F-7E03-A0C7-9B94172B1451}"/>
            </a:ext>
          </a:extLst>
        </cdr:cNvPr>
        <cdr:cNvSpPr/>
      </cdr:nvSpPr>
      <cdr:spPr>
        <a:xfrm xmlns:a="http://schemas.openxmlformats.org/drawingml/2006/main">
          <a:off x="1337797" y="875531"/>
          <a:ext cx="768342" cy="28819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1.25E-9</a:t>
          </a:r>
        </a:p>
      </cdr:txBody>
    </cdr:sp>
  </cdr:relSizeAnchor>
  <cdr:relSizeAnchor xmlns:cdr="http://schemas.openxmlformats.org/drawingml/2006/chartDrawing">
    <cdr:from>
      <cdr:x>0.24578</cdr:x>
      <cdr:y>0.15079</cdr:y>
    </cdr:from>
    <cdr:to>
      <cdr:x>0.33581</cdr:x>
      <cdr:y>0.19738</cdr:y>
    </cdr:to>
    <mc:AlternateContent xmlns:mc="http://schemas.openxmlformats.org/markup-compatibility/2006" xmlns:a14="http://schemas.microsoft.com/office/drawing/2010/main">
      <mc:Choice Requires="a14">
        <cdr:sp macro="" textlink="">
          <cdr:nvSpPr>
            <cdr:cNvPr id="48" name="Rectangle 47">
              <a:extLst xmlns:a="http://schemas.openxmlformats.org/drawingml/2006/main">
                <a:ext uri="{FF2B5EF4-FFF2-40B4-BE49-F238E27FC236}">
                  <a16:creationId xmlns:a16="http://schemas.microsoft.com/office/drawing/2014/main" id="{AC1D82BA-5F3F-FA3B-C561-C416E432DD6F}"/>
                </a:ext>
              </a:extLst>
            </cdr:cNvPr>
            <cdr:cNvSpPr/>
          </cdr:nvSpPr>
          <cdr:spPr>
            <a:xfrm xmlns:a="http://schemas.openxmlformats.org/drawingml/2006/main">
              <a:off x="2136476" y="885301"/>
              <a:ext cx="782599" cy="27353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ParaPr>
                    <m:jc m:val="center"/>
                  </m:oMathParaPr>
                  <m:oMath>
                    <m:r>
                      <m:rPr>
                        <m:nor/>
                      </m:rPr>
                      <a:rPr lang="en-US" sz="1050" b="0" i="0" kern="1200">
                        <a:solidFill>
                          <a:schemeClr val="tx1"/>
                        </a:solidFill>
                        <a:latin typeface="Arial Nova Cond" panose="020B0506020202020204" pitchFamily="34" charset="0"/>
                      </a:rPr>
                      <m:t>0.20</m:t>
                    </m:r>
                  </m:oMath>
                </m:oMathPara>
              </a14:m>
              <a:endParaRPr lang="en-US" sz="900" b="1" kern="1200">
                <a:solidFill>
                  <a:schemeClr val="tx1"/>
                </a:solidFill>
                <a:latin typeface="Arial Nova Cond" panose="020B0506020202020204" pitchFamily="34" charset="0"/>
              </a:endParaRPr>
            </a:p>
          </cdr:txBody>
        </cdr:sp>
      </mc:Choice>
      <mc:Fallback xmlns="">
        <cdr:sp macro="" textlink="">
          <cdr:nvSpPr>
            <cdr:cNvPr id="48" name="Rectangle 47">
              <a:extLst xmlns:a="http://schemas.openxmlformats.org/drawingml/2006/main">
                <a:ext uri="{FF2B5EF4-FFF2-40B4-BE49-F238E27FC236}">
                  <a16:creationId xmlns:a16="http://schemas.microsoft.com/office/drawing/2014/main" id="{AC1D82BA-5F3F-FA3B-C561-C416E432DD6F}"/>
                </a:ext>
              </a:extLst>
            </cdr:cNvPr>
            <cdr:cNvSpPr/>
          </cdr:nvSpPr>
          <cdr:spPr>
            <a:xfrm xmlns:a="http://schemas.openxmlformats.org/drawingml/2006/main">
              <a:off x="2136476" y="885301"/>
              <a:ext cx="782599" cy="27353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chemeClr val="tx1"/>
                  </a:solidFill>
                  <a:latin typeface="Cambria Math" panose="02040503050406030204" pitchFamily="18" charset="0"/>
                </a:rPr>
                <a:t>"0.20</a:t>
              </a:r>
              <a:r>
                <a:rPr lang="en-US" sz="1050" b="1" i="0" kern="1200">
                  <a:solidFill>
                    <a:schemeClr val="tx1"/>
                  </a:solidFill>
                  <a:latin typeface="Arial Nova Cond" panose="020B0506020202020204" pitchFamily="34" charset="0"/>
                </a:rPr>
                <a:t>"</a:t>
              </a:r>
              <a:endParaRPr lang="en-US" sz="900" b="1" kern="1200">
                <a:solidFill>
                  <a:schemeClr val="tx1"/>
                </a:solidFill>
                <a:latin typeface="Arial Nova Cond" panose="020B0506020202020204" pitchFamily="34" charset="0"/>
              </a:endParaRPr>
            </a:p>
          </cdr:txBody>
        </cdr:sp>
      </mc:Fallback>
    </mc:AlternateContent>
  </cdr:relSizeAnchor>
  <cdr:relSizeAnchor xmlns:cdr="http://schemas.openxmlformats.org/drawingml/2006/chartDrawing">
    <cdr:from>
      <cdr:x>0.34021</cdr:x>
      <cdr:y>0.15079</cdr:y>
    </cdr:from>
    <cdr:to>
      <cdr:x>0.42859</cdr:x>
      <cdr:y>0.19655</cdr:y>
    </cdr:to>
    <cdr:sp macro="" textlink="">
      <cdr:nvSpPr>
        <cdr:cNvPr id="49" name="Rectangle 48">
          <a:extLst xmlns:a="http://schemas.openxmlformats.org/drawingml/2006/main">
            <a:ext uri="{FF2B5EF4-FFF2-40B4-BE49-F238E27FC236}">
              <a16:creationId xmlns:a16="http://schemas.microsoft.com/office/drawing/2014/main" id="{A8593A93-4E72-147A-7B78-4661359932E7}"/>
            </a:ext>
          </a:extLst>
        </cdr:cNvPr>
        <cdr:cNvSpPr/>
      </cdr:nvSpPr>
      <cdr:spPr>
        <a:xfrm xmlns:a="http://schemas.openxmlformats.org/drawingml/2006/main">
          <a:off x="2957323" y="885301"/>
          <a:ext cx="768255" cy="26865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1.25E-6</a:t>
          </a:r>
        </a:p>
      </cdr:txBody>
    </cdr:sp>
  </cdr:relSizeAnchor>
  <cdr:relSizeAnchor xmlns:cdr="http://schemas.openxmlformats.org/drawingml/2006/chartDrawing">
    <cdr:from>
      <cdr:x>0.43446</cdr:x>
      <cdr:y>0.14996</cdr:y>
    </cdr:from>
    <cdr:to>
      <cdr:x>0.52285</cdr:x>
      <cdr:y>0.19655</cdr:y>
    </cdr:to>
    <cdr:sp macro="" textlink="">
      <cdr:nvSpPr>
        <cdr:cNvPr id="50" name="Rectangle 49">
          <a:extLst xmlns:a="http://schemas.openxmlformats.org/drawingml/2006/main">
            <a:ext uri="{FF2B5EF4-FFF2-40B4-BE49-F238E27FC236}">
              <a16:creationId xmlns:a16="http://schemas.microsoft.com/office/drawing/2014/main" id="{F9145A33-E83F-2E98-13B9-4999CD251D94}"/>
            </a:ext>
          </a:extLst>
        </cdr:cNvPr>
        <cdr:cNvSpPr/>
      </cdr:nvSpPr>
      <cdr:spPr>
        <a:xfrm xmlns:a="http://schemas.openxmlformats.org/drawingml/2006/main">
          <a:off x="3776603" y="880415"/>
          <a:ext cx="768343" cy="273538"/>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1.50E-3</a:t>
          </a:r>
        </a:p>
      </cdr:txBody>
    </cdr:sp>
  </cdr:relSizeAnchor>
  <cdr:relSizeAnchor xmlns:cdr="http://schemas.openxmlformats.org/drawingml/2006/chartDrawing">
    <cdr:from>
      <cdr:x>0.52798</cdr:x>
      <cdr:y>0.15079</cdr:y>
    </cdr:from>
    <cdr:to>
      <cdr:x>0.61672</cdr:x>
      <cdr:y>0.19945</cdr:y>
    </cdr:to>
    <cdr:sp macro="" textlink="">
      <cdr:nvSpPr>
        <cdr:cNvPr id="51" name="Rectangle 50">
          <a:extLst xmlns:a="http://schemas.openxmlformats.org/drawingml/2006/main">
            <a:ext uri="{FF2B5EF4-FFF2-40B4-BE49-F238E27FC236}">
              <a16:creationId xmlns:a16="http://schemas.microsoft.com/office/drawing/2014/main" id="{4F90D23D-E474-E255-4383-CB4217276AF9}"/>
            </a:ext>
          </a:extLst>
        </cdr:cNvPr>
        <cdr:cNvSpPr/>
      </cdr:nvSpPr>
      <cdr:spPr>
        <a:xfrm xmlns:a="http://schemas.openxmlformats.org/drawingml/2006/main">
          <a:off x="4596703" y="874809"/>
          <a:ext cx="772574" cy="28230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0.11</a:t>
          </a:r>
        </a:p>
      </cdr:txBody>
    </cdr:sp>
  </cdr:relSizeAnchor>
  <cdr:relSizeAnchor xmlns:cdr="http://schemas.openxmlformats.org/drawingml/2006/chartDrawing">
    <cdr:from>
      <cdr:x>0.62016</cdr:x>
      <cdr:y>0.14913</cdr:y>
    </cdr:from>
    <cdr:to>
      <cdr:x>0.70855</cdr:x>
      <cdr:y>0.19738</cdr:y>
    </cdr:to>
    <cdr:sp macro="" textlink="">
      <cdr:nvSpPr>
        <cdr:cNvPr id="52" name="Rectangle 51">
          <a:extLst xmlns:a="http://schemas.openxmlformats.org/drawingml/2006/main">
            <a:ext uri="{FF2B5EF4-FFF2-40B4-BE49-F238E27FC236}">
              <a16:creationId xmlns:a16="http://schemas.microsoft.com/office/drawing/2014/main" id="{DDAEBF90-0F50-9696-B4A9-4A0C8BA3611E}"/>
            </a:ext>
          </a:extLst>
        </cdr:cNvPr>
        <cdr:cNvSpPr/>
      </cdr:nvSpPr>
      <cdr:spPr>
        <a:xfrm xmlns:a="http://schemas.openxmlformats.org/drawingml/2006/main">
          <a:off x="5390830" y="875532"/>
          <a:ext cx="768342" cy="28330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4.83E-9</a:t>
          </a:r>
        </a:p>
      </cdr:txBody>
    </cdr:sp>
  </cdr:relSizeAnchor>
  <cdr:relSizeAnchor xmlns:cdr="http://schemas.openxmlformats.org/drawingml/2006/chartDrawing">
    <cdr:from>
      <cdr:x>0.71649</cdr:x>
      <cdr:y>0.14996</cdr:y>
    </cdr:from>
    <cdr:to>
      <cdr:x>0.7996</cdr:x>
      <cdr:y>0.19655</cdr:y>
    </cdr:to>
    <cdr:sp macro="" textlink="">
      <cdr:nvSpPr>
        <cdr:cNvPr id="53" name="Rectangle 52">
          <a:extLst xmlns:a="http://schemas.openxmlformats.org/drawingml/2006/main">
            <a:ext uri="{FF2B5EF4-FFF2-40B4-BE49-F238E27FC236}">
              <a16:creationId xmlns:a16="http://schemas.microsoft.com/office/drawing/2014/main" id="{5CB22B86-324E-23AC-3B14-D20A7E8846BE}"/>
            </a:ext>
          </a:extLst>
        </cdr:cNvPr>
        <cdr:cNvSpPr/>
      </cdr:nvSpPr>
      <cdr:spPr>
        <a:xfrm xmlns:a="http://schemas.openxmlformats.org/drawingml/2006/main">
          <a:off x="6228188" y="880416"/>
          <a:ext cx="722430" cy="273537"/>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2.83E-9</a:t>
          </a:r>
        </a:p>
      </cdr:txBody>
    </cdr:sp>
  </cdr:relSizeAnchor>
  <cdr:relSizeAnchor xmlns:cdr="http://schemas.openxmlformats.org/drawingml/2006/chartDrawing">
    <cdr:from>
      <cdr:x>0.81001</cdr:x>
      <cdr:y>0.15246</cdr:y>
    </cdr:from>
    <cdr:to>
      <cdr:x>0.89288</cdr:x>
      <cdr:y>0.19572</cdr:y>
    </cdr:to>
    <cdr:sp macro="" textlink="">
      <cdr:nvSpPr>
        <cdr:cNvPr id="54" name="Rectangle 53">
          <a:extLst xmlns:a="http://schemas.openxmlformats.org/drawingml/2006/main">
            <a:ext uri="{FF2B5EF4-FFF2-40B4-BE49-F238E27FC236}">
              <a16:creationId xmlns:a16="http://schemas.microsoft.com/office/drawing/2014/main" id="{EAEC0698-FAF8-E0B3-BA1D-C357CB6F587F}"/>
            </a:ext>
          </a:extLst>
        </cdr:cNvPr>
        <cdr:cNvSpPr/>
      </cdr:nvSpPr>
      <cdr:spPr>
        <a:xfrm xmlns:a="http://schemas.openxmlformats.org/drawingml/2006/main">
          <a:off x="7041124" y="895069"/>
          <a:ext cx="720340" cy="254000"/>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chemeClr val="tx1"/>
              </a:solidFill>
              <a:latin typeface="Arial Nova Cond" panose="020B0506020202020204" pitchFamily="34" charset="0"/>
            </a:rPr>
            <a:t>1.67E-4</a:t>
          </a:r>
        </a:p>
      </cdr:txBody>
    </cdr:sp>
  </cdr:relSizeAnchor>
  <cdr:relSizeAnchor xmlns:cdr="http://schemas.openxmlformats.org/drawingml/2006/chartDrawing">
    <cdr:from>
      <cdr:x>0.90501</cdr:x>
      <cdr:y>0.14996</cdr:y>
    </cdr:from>
    <cdr:to>
      <cdr:x>0.99009</cdr:x>
      <cdr:y>0.19738</cdr:y>
    </cdr:to>
    <cdr:sp macro="" textlink="">
      <cdr:nvSpPr>
        <cdr:cNvPr id="55" name="Rectangle 54">
          <a:extLst xmlns:a="http://schemas.openxmlformats.org/drawingml/2006/main">
            <a:ext uri="{FF2B5EF4-FFF2-40B4-BE49-F238E27FC236}">
              <a16:creationId xmlns:a16="http://schemas.microsoft.com/office/drawing/2014/main" id="{ED3137F6-8530-771F-4ECF-D66360899FD4}"/>
            </a:ext>
          </a:extLst>
        </cdr:cNvPr>
        <cdr:cNvSpPr/>
      </cdr:nvSpPr>
      <cdr:spPr>
        <a:xfrm xmlns:a="http://schemas.openxmlformats.org/drawingml/2006/main">
          <a:off x="7866924" y="880416"/>
          <a:ext cx="739578" cy="27842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chemeClr val="tx1"/>
              </a:solidFill>
              <a:latin typeface="Arial Nova Cond" panose="020B0506020202020204" pitchFamily="34" charset="0"/>
            </a:rPr>
            <a:t>0.04</a:t>
          </a:r>
          <a:endParaRPr lang="en-US" sz="1050" b="1" kern="1200">
            <a:solidFill>
              <a:schemeClr val="tx1"/>
            </a:solidFill>
            <a:latin typeface="Arial Nova Cond" panose="020B0506020202020204" pitchFamily="34" charset="0"/>
          </a:endParaRPr>
        </a:p>
      </cdr:txBody>
    </cdr:sp>
  </cdr:relSizeAnchor>
  <cdr:relSizeAnchor xmlns:cdr="http://schemas.openxmlformats.org/drawingml/2006/chartDrawing">
    <cdr:from>
      <cdr:x>0.62468</cdr:x>
      <cdr:y>0.01158</cdr:y>
    </cdr:from>
    <cdr:to>
      <cdr:x>0.99414</cdr:x>
      <cdr:y>0.07917</cdr:y>
    </cdr:to>
    <mc:AlternateContent xmlns:mc="http://schemas.openxmlformats.org/markup-compatibility/2006" xmlns:a14="http://schemas.microsoft.com/office/drawing/2010/main">
      <mc:Choice Requires="a14">
        <cdr:sp macro="" textlink="">
          <cdr:nvSpPr>
            <cdr:cNvPr id="5" name="TextBox 1">
              <a:extLst xmlns:a="http://schemas.openxmlformats.org/drawingml/2006/main">
                <a:ext uri="{FF2B5EF4-FFF2-40B4-BE49-F238E27FC236}">
                  <a16:creationId xmlns:a16="http://schemas.microsoft.com/office/drawing/2014/main" id="{78EF29C4-F20A-FAB4-2C42-012749947D5E}"/>
                </a:ext>
              </a:extLst>
            </cdr:cNvPr>
            <cdr:cNvSpPr txBox="1"/>
          </cdr:nvSpPr>
          <cdr:spPr>
            <a:xfrm xmlns:a="http://schemas.openxmlformats.org/drawingml/2006/main">
              <a:off x="5900422" y="71342"/>
              <a:ext cx="3489731" cy="41651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400" b="1" kern="1200">
                  <a:latin typeface="Arial Nova Cond" panose="020B0506020202020204" pitchFamily="34" charset="0"/>
                </a:rPr>
                <a:t>Plant Scale: </a:t>
              </a:r>
              <a:r>
                <a:rPr lang="en-US" sz="1400" kern="1200">
                  <a:latin typeface="Arial Nova Cond" panose="020B0506020202020204" pitchFamily="34" charset="0"/>
                </a:rPr>
                <a:t>~483,000 </a:t>
              </a:r>
              <a14:m>
                <m:oMath xmlns:m="http://schemas.openxmlformats.org/officeDocument/2006/math">
                  <m:f>
                    <m:fPr>
                      <m:ctrlPr>
                        <a:rPr lang="en-US" sz="1200" b="0" i="0" kern="1200">
                          <a:latin typeface="Arial Nova Cond" panose="020B0506020202020204" pitchFamily="34" charset="0"/>
                        </a:rPr>
                      </m:ctrlPr>
                    </m:fPr>
                    <m:num>
                      <m:r>
                        <m:rPr>
                          <m:nor/>
                        </m:rPr>
                        <a:rPr lang="en-US" sz="1200" b="0" i="0" kern="1200">
                          <a:latin typeface="Arial Nova Cond" panose="020B0506020202020204" pitchFamily="34" charset="0"/>
                        </a:rPr>
                        <m:t>MT</m:t>
                      </m:r>
                    </m:num>
                    <m:den>
                      <m:r>
                        <m:rPr>
                          <m:nor/>
                        </m:rPr>
                        <a:rPr lang="en-US" sz="1200" b="0" i="0" kern="1200">
                          <a:latin typeface="Arial Nova Cond" panose="020B0506020202020204" pitchFamily="34" charset="0"/>
                        </a:rPr>
                        <m:t>yr</m:t>
                      </m:r>
                    </m:den>
                  </m:f>
                </m:oMath>
              </a14:m>
              <a:r>
                <a:rPr lang="en-US" sz="1200" kern="1200">
                  <a:latin typeface="Arial Nova Cond" panose="020B0506020202020204" pitchFamily="34" charset="0"/>
                </a:rPr>
                <a:t> </a:t>
              </a:r>
              <a:r>
                <a:rPr lang="en-US" sz="1400" kern="1200" baseline="0">
                  <a:latin typeface="Arial Nova Cond" panose="020B0506020202020204" pitchFamily="34" charset="0"/>
                </a:rPr>
                <a:t> Organic Waste</a:t>
              </a:r>
              <a:endParaRPr lang="en-US" sz="1400" kern="1200">
                <a:latin typeface="Arial Nova Cond" panose="020B0506020202020204" pitchFamily="34" charset="0"/>
              </a:endParaRPr>
            </a:p>
          </cdr:txBody>
        </cdr:sp>
      </mc:Choice>
      <mc:Fallback xmlns="">
        <cdr:sp macro="" textlink="">
          <cdr:nvSpPr>
            <cdr:cNvPr id="5" name="TextBox 1">
              <a:extLst xmlns:a="http://schemas.openxmlformats.org/drawingml/2006/main">
                <a:ext uri="{FF2B5EF4-FFF2-40B4-BE49-F238E27FC236}">
                  <a16:creationId xmlns:a16="http://schemas.microsoft.com/office/drawing/2014/main" id="{78EF29C4-F20A-FAB4-2C42-012749947D5E}"/>
                </a:ext>
              </a:extLst>
            </cdr:cNvPr>
            <cdr:cNvSpPr txBox="1"/>
          </cdr:nvSpPr>
          <cdr:spPr>
            <a:xfrm xmlns:a="http://schemas.openxmlformats.org/drawingml/2006/main">
              <a:off x="5900422" y="71342"/>
              <a:ext cx="3489731" cy="41651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400" b="1" kern="1200">
                  <a:latin typeface="Arial Nova Cond" panose="020B0506020202020204" pitchFamily="34" charset="0"/>
                </a:rPr>
                <a:t>Plant Scale: </a:t>
              </a:r>
              <a:r>
                <a:rPr lang="en-US" sz="1400" kern="1200">
                  <a:latin typeface="Arial Nova Cond" panose="020B0506020202020204" pitchFamily="34" charset="0"/>
                </a:rPr>
                <a:t>~483,000 </a:t>
              </a:r>
              <a:r>
                <a:rPr lang="en-US" sz="1200" b="0" i="0" kern="1200">
                  <a:latin typeface="Arial Nova Cond" panose="020B0506020202020204" pitchFamily="34" charset="0"/>
                </a:rPr>
                <a:t>"MT</a:t>
              </a:r>
              <a:r>
                <a:rPr lang="en-US" sz="1200" b="0" i="0" kern="1200">
                  <a:latin typeface="Cambria Math" panose="02040503050406030204" pitchFamily="18" charset="0"/>
                </a:rPr>
                <a:t>" /"</a:t>
              </a:r>
              <a:r>
                <a:rPr lang="en-US" sz="1200" b="0" i="0" kern="1200">
                  <a:latin typeface="Arial Nova Cond" panose="020B0506020202020204" pitchFamily="34" charset="0"/>
                </a:rPr>
                <a:t>yr</a:t>
              </a:r>
              <a:r>
                <a:rPr lang="en-US" sz="1200" b="0" i="0" kern="1200">
                  <a:latin typeface="Cambria Math" panose="02040503050406030204" pitchFamily="18" charset="0"/>
                </a:rPr>
                <a:t>" </a:t>
              </a:r>
              <a:r>
                <a:rPr lang="en-US" sz="1200" kern="1200">
                  <a:latin typeface="Arial Nova Cond" panose="020B0506020202020204" pitchFamily="34" charset="0"/>
                </a:rPr>
                <a:t> </a:t>
              </a:r>
              <a:r>
                <a:rPr lang="en-US" sz="1400" kern="1200" baseline="0">
                  <a:latin typeface="Arial Nova Cond" panose="020B0506020202020204" pitchFamily="34" charset="0"/>
                </a:rPr>
                <a:t> Organic Waste</a:t>
              </a:r>
              <a:endParaRPr lang="en-US" sz="1400" kern="1200">
                <a:latin typeface="Arial Nova Cond" panose="020B0506020202020204" pitchFamily="34" charset="0"/>
              </a:endParaRPr>
            </a:p>
          </cdr:txBody>
        </cdr:sp>
      </mc:Fallback>
    </mc:AlternateContent>
  </cdr:relSizeAnchor>
  <cdr:relSizeAnchor xmlns:cdr="http://schemas.openxmlformats.org/drawingml/2006/chartDrawing">
    <cdr:from>
      <cdr:x>0.00359</cdr:x>
      <cdr:y>0.15098</cdr:y>
    </cdr:from>
    <cdr:to>
      <cdr:x>0.05764</cdr:x>
      <cdr:y>0.19553</cdr:y>
    </cdr:to>
    <cdr:sp macro="" textlink="">
      <cdr:nvSpPr>
        <cdr:cNvPr id="7" name="Rectangle 6">
          <a:extLst xmlns:a="http://schemas.openxmlformats.org/drawingml/2006/main">
            <a:ext uri="{FF2B5EF4-FFF2-40B4-BE49-F238E27FC236}">
              <a16:creationId xmlns:a16="http://schemas.microsoft.com/office/drawing/2014/main" id="{01C549B7-6F0D-55EB-1DF9-E46C824B8B10}"/>
            </a:ext>
          </a:extLst>
        </cdr:cNvPr>
        <cdr:cNvSpPr/>
      </cdr:nvSpPr>
      <cdr:spPr>
        <a:xfrm xmlns:a="http://schemas.openxmlformats.org/drawingml/2006/main">
          <a:off x="31153" y="882771"/>
          <a:ext cx="469035" cy="260476"/>
        </a:xfrm>
        <a:prstGeom xmlns:a="http://schemas.openxmlformats.org/drawingml/2006/main" prst="rect">
          <a:avLst/>
        </a:prstGeom>
        <a:solidFill xmlns:a="http://schemas.openxmlformats.org/drawingml/2006/main">
          <a:schemeClr val="bg1"/>
        </a:solidFill>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horz"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900" b="1" kern="1200">
              <a:solidFill>
                <a:sysClr val="windowText" lastClr="000000"/>
              </a:solidFill>
              <a:latin typeface="Arial Nova Cond" panose="020B0506020202020204" pitchFamily="34" charset="0"/>
            </a:rPr>
            <a:t>CONV</a:t>
          </a:r>
        </a:p>
      </cdr:txBody>
    </cdr:sp>
  </cdr:relSizeAnchor>
  <cdr:relSizeAnchor xmlns:cdr="http://schemas.openxmlformats.org/drawingml/2006/chartDrawing">
    <cdr:from>
      <cdr:x>0.00956</cdr:x>
      <cdr:y>0.01674</cdr:y>
    </cdr:from>
    <cdr:to>
      <cdr:x>0.66692</cdr:x>
      <cdr:y>0.12243</cdr:y>
    </cdr:to>
    <cdr:sp macro="" textlink="">
      <cdr:nvSpPr>
        <cdr:cNvPr id="8" name="TextBox 7">
          <a:extLst xmlns:a="http://schemas.openxmlformats.org/drawingml/2006/main">
            <a:ext uri="{FF2B5EF4-FFF2-40B4-BE49-F238E27FC236}">
              <a16:creationId xmlns:a16="http://schemas.microsoft.com/office/drawing/2014/main" id="{AD2C0E70-E8C1-3E10-775D-D417054915DF}"/>
            </a:ext>
          </a:extLst>
        </cdr:cNvPr>
        <cdr:cNvSpPr txBox="1"/>
      </cdr:nvSpPr>
      <cdr:spPr>
        <a:xfrm xmlns:a="http://schemas.openxmlformats.org/drawingml/2006/main">
          <a:off x="83119" y="98063"/>
          <a:ext cx="5715000" cy="619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0.00714</cdr:x>
      <cdr:y>0.00488</cdr:y>
    </cdr:from>
    <cdr:to>
      <cdr:x>0.72232</cdr:x>
      <cdr:y>0.14927</cdr:y>
    </cdr:to>
    <cdr:sp macro="" textlink="">
      <cdr:nvSpPr>
        <cdr:cNvPr id="9" name="TextBox 8">
          <a:extLst xmlns:a="http://schemas.openxmlformats.org/drawingml/2006/main">
            <a:ext uri="{FF2B5EF4-FFF2-40B4-BE49-F238E27FC236}">
              <a16:creationId xmlns:a16="http://schemas.microsoft.com/office/drawing/2014/main" id="{4894452E-5DAD-8998-6E47-2488F9C428CC}"/>
            </a:ext>
          </a:extLst>
        </cdr:cNvPr>
        <cdr:cNvSpPr txBox="1"/>
      </cdr:nvSpPr>
      <cdr:spPr>
        <a:xfrm xmlns:a="http://schemas.openxmlformats.org/drawingml/2006/main">
          <a:off x="62260" y="28200"/>
          <a:ext cx="6236939" cy="8338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2800" b="1" kern="1200">
              <a:latin typeface="Arial Nova Cond" panose="020B0506020202020204" pitchFamily="34" charset="0"/>
            </a:rPr>
            <a:t>LIFE CYCLE</a:t>
          </a:r>
          <a:r>
            <a:rPr lang="en-US" sz="2800" b="1" kern="1200" baseline="0">
              <a:latin typeface="Arial Nova Cond" panose="020B0506020202020204" pitchFamily="34" charset="0"/>
            </a:rPr>
            <a:t> ASSESSMENT</a:t>
          </a:r>
        </a:p>
        <a:p xmlns:a="http://schemas.openxmlformats.org/drawingml/2006/main">
          <a:r>
            <a:rPr lang="en-US" sz="1400" b="1" kern="1200">
              <a:latin typeface="Arial Nova Cond" panose="020B0506020202020204" pitchFamily="34" charset="0"/>
            </a:rPr>
            <a:t>of </a:t>
          </a:r>
          <a:r>
            <a:rPr lang="en-US" sz="1400" b="1" kern="1200">
              <a:solidFill>
                <a:srgbClr val="339933"/>
              </a:solidFill>
              <a:latin typeface="Arial Nova Cond" panose="020B0506020202020204" pitchFamily="34" charset="0"/>
            </a:rPr>
            <a:t>Proposed</a:t>
          </a:r>
          <a:r>
            <a:rPr lang="en-US" sz="1400" b="1" kern="1200">
              <a:latin typeface="Arial Nova Cond" panose="020B0506020202020204" pitchFamily="34" charset="0"/>
            </a:rPr>
            <a:t> Path</a:t>
          </a:r>
          <a:r>
            <a:rPr lang="en-US" sz="1400" b="1" kern="1200" baseline="0">
              <a:latin typeface="Arial Nova Cond" panose="020B0506020202020204" pitchFamily="34" charset="0"/>
            </a:rPr>
            <a:t> AB</a:t>
          </a:r>
          <a:r>
            <a:rPr lang="en-US" sz="1400" b="1" kern="1200">
              <a:latin typeface="Arial Nova Cond" panose="020B0506020202020204" pitchFamily="34" charset="0"/>
            </a:rPr>
            <a:t> Aviation</a:t>
          </a:r>
          <a:r>
            <a:rPr lang="en-US" sz="1400" b="1" kern="1200" baseline="0">
              <a:latin typeface="Arial Nova Cond" panose="020B0506020202020204" pitchFamily="34" charset="0"/>
            </a:rPr>
            <a:t> Fuel </a:t>
          </a:r>
          <a:r>
            <a:rPr lang="en-US" sz="1400" b="0" kern="1200">
              <a:latin typeface="Arial Nova Cond" panose="020B0506020202020204" pitchFamily="34" charset="0"/>
            </a:rPr>
            <a:t>compared to Conventional Aviation</a:t>
          </a:r>
          <a:r>
            <a:rPr lang="en-US" sz="1400" b="0" kern="1200" baseline="0">
              <a:latin typeface="Arial Nova Cond" panose="020B0506020202020204" pitchFamily="34" charset="0"/>
            </a:rPr>
            <a:t> Fuel</a:t>
          </a:r>
          <a:endParaRPr lang="en-US" sz="1400" b="0" kern="1200">
            <a:latin typeface="Arial Nova Cond" panose="020B0506020202020204" pitchFamily="34" charset="0"/>
          </a:endParaRPr>
        </a:p>
      </cdr:txBody>
    </cdr:sp>
  </cdr:relSizeAnchor>
  <cdr:relSizeAnchor xmlns:cdr="http://schemas.openxmlformats.org/drawingml/2006/chartDrawing">
    <cdr:from>
      <cdr:x>0.06024</cdr:x>
      <cdr:y>0.1984</cdr:y>
    </cdr:from>
    <cdr:to>
      <cdr:x>0.14768</cdr:x>
      <cdr:y>0.24584</cdr:y>
    </cdr:to>
    <cdr:sp macro="" textlink="">
      <cdr:nvSpPr>
        <cdr:cNvPr id="10" name="Rectangle 9">
          <a:extLst xmlns:a="http://schemas.openxmlformats.org/drawingml/2006/main">
            <a:ext uri="{FF2B5EF4-FFF2-40B4-BE49-F238E27FC236}">
              <a16:creationId xmlns:a16="http://schemas.microsoft.com/office/drawing/2014/main" id="{F1142C89-5FA5-CAA1-8F74-56E178EF05F2}"/>
            </a:ext>
          </a:extLst>
        </cdr:cNvPr>
        <cdr:cNvSpPr/>
      </cdr:nvSpPr>
      <cdr:spPr>
        <a:xfrm xmlns:a="http://schemas.openxmlformats.org/drawingml/2006/main">
          <a:off x="522750" y="1160013"/>
          <a:ext cx="758797" cy="27739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339933"/>
              </a:solidFill>
              <a:latin typeface="Arial Nova Cond" panose="020B0506020202020204" pitchFamily="34" charset="0"/>
            </a:rPr>
            <a:t>7.40E-4</a:t>
          </a:r>
        </a:p>
      </cdr:txBody>
    </cdr:sp>
  </cdr:relSizeAnchor>
  <cdr:relSizeAnchor xmlns:cdr="http://schemas.openxmlformats.org/drawingml/2006/chartDrawing">
    <cdr:from>
      <cdr:x>0.15275</cdr:x>
      <cdr:y>0.19751</cdr:y>
    </cdr:from>
    <cdr:to>
      <cdr:x>0.239</cdr:x>
      <cdr:y>0.24692</cdr:y>
    </cdr:to>
    <cdr:sp macro="" textlink="">
      <cdr:nvSpPr>
        <cdr:cNvPr id="11" name="Rectangle 10">
          <a:extLst xmlns:a="http://schemas.openxmlformats.org/drawingml/2006/main">
            <a:ext uri="{FF2B5EF4-FFF2-40B4-BE49-F238E27FC236}">
              <a16:creationId xmlns:a16="http://schemas.microsoft.com/office/drawing/2014/main" id="{3D394DC3-53AB-8548-C9C9-DB689270CE69}"/>
            </a:ext>
          </a:extLst>
        </cdr:cNvPr>
        <cdr:cNvSpPr/>
      </cdr:nvSpPr>
      <cdr:spPr>
        <a:xfrm xmlns:a="http://schemas.openxmlformats.org/drawingml/2006/main">
          <a:off x="1329065" y="1153991"/>
          <a:ext cx="750455"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339933"/>
              </a:solidFill>
              <a:latin typeface="Arial Nova Cond" panose="020B0506020202020204" pitchFamily="34" charset="0"/>
            </a:rPr>
            <a:t>2.67E-9</a:t>
          </a:r>
        </a:p>
      </cdr:txBody>
    </cdr:sp>
  </cdr:relSizeAnchor>
  <cdr:relSizeAnchor xmlns:cdr="http://schemas.openxmlformats.org/drawingml/2006/chartDrawing">
    <cdr:from>
      <cdr:x>0.24696</cdr:x>
      <cdr:y>0.19741</cdr:y>
    </cdr:from>
    <cdr:to>
      <cdr:x>0.33321</cdr:x>
      <cdr:y>0.24681</cdr:y>
    </cdr:to>
    <cdr:sp macro="" textlink="">
      <cdr:nvSpPr>
        <cdr:cNvPr id="23" name="Rectangle 22">
          <a:extLst xmlns:a="http://schemas.openxmlformats.org/drawingml/2006/main">
            <a:ext uri="{FF2B5EF4-FFF2-40B4-BE49-F238E27FC236}">
              <a16:creationId xmlns:a16="http://schemas.microsoft.com/office/drawing/2014/main" id="{F88C6C2F-D165-2FBC-C4FD-79D188286206}"/>
            </a:ext>
          </a:extLst>
        </cdr:cNvPr>
        <cdr:cNvSpPr/>
      </cdr:nvSpPr>
      <cdr:spPr>
        <a:xfrm xmlns:a="http://schemas.openxmlformats.org/drawingml/2006/main">
          <a:off x="2148794" y="1153391"/>
          <a:ext cx="750454"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339933"/>
              </a:solidFill>
              <a:latin typeface="Arial Nova Cond" panose="020B0506020202020204" pitchFamily="34" charset="0"/>
            </a:rPr>
            <a:t>0.46</a:t>
          </a:r>
        </a:p>
      </cdr:txBody>
    </cdr:sp>
  </cdr:relSizeAnchor>
  <cdr:relSizeAnchor xmlns:cdr="http://schemas.openxmlformats.org/drawingml/2006/chartDrawing">
    <cdr:from>
      <cdr:x>0.34088</cdr:x>
      <cdr:y>0.19544</cdr:y>
    </cdr:from>
    <cdr:to>
      <cdr:x>0.42713</cdr:x>
      <cdr:y>0.24484</cdr:y>
    </cdr:to>
    <cdr:sp macro="" textlink="">
      <cdr:nvSpPr>
        <cdr:cNvPr id="33" name="Rectangle 32">
          <a:extLst xmlns:a="http://schemas.openxmlformats.org/drawingml/2006/main">
            <a:ext uri="{FF2B5EF4-FFF2-40B4-BE49-F238E27FC236}">
              <a16:creationId xmlns:a16="http://schemas.microsoft.com/office/drawing/2014/main" id="{CF8E6F71-0011-BC38-BB7C-AA91624271EE}"/>
            </a:ext>
          </a:extLst>
        </cdr:cNvPr>
        <cdr:cNvSpPr/>
      </cdr:nvSpPr>
      <cdr:spPr>
        <a:xfrm xmlns:a="http://schemas.openxmlformats.org/drawingml/2006/main">
          <a:off x="2966027" y="1141845"/>
          <a:ext cx="750454"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339933"/>
              </a:solidFill>
              <a:latin typeface="Arial Nova Cond" panose="020B0506020202020204" pitchFamily="34" charset="0"/>
            </a:rPr>
            <a:t>7.08E-6</a:t>
          </a:r>
        </a:p>
      </cdr:txBody>
    </cdr:sp>
  </cdr:relSizeAnchor>
  <cdr:relSizeAnchor xmlns:cdr="http://schemas.openxmlformats.org/drawingml/2006/chartDrawing">
    <cdr:from>
      <cdr:x>0.43604</cdr:x>
      <cdr:y>0.19544</cdr:y>
    </cdr:from>
    <cdr:to>
      <cdr:x>0.5203</cdr:x>
      <cdr:y>0.24484</cdr:y>
    </cdr:to>
    <cdr:sp macro="" textlink="">
      <cdr:nvSpPr>
        <cdr:cNvPr id="34" name="Rectangle 33">
          <a:extLst xmlns:a="http://schemas.openxmlformats.org/drawingml/2006/main">
            <a:ext uri="{FF2B5EF4-FFF2-40B4-BE49-F238E27FC236}">
              <a16:creationId xmlns:a16="http://schemas.microsoft.com/office/drawing/2014/main" id="{1E0A755A-A199-1A2B-4E3A-60B334DB84B2}"/>
            </a:ext>
          </a:extLst>
        </cdr:cNvPr>
        <cdr:cNvSpPr/>
      </cdr:nvSpPr>
      <cdr:spPr>
        <a:xfrm xmlns:a="http://schemas.openxmlformats.org/drawingml/2006/main">
          <a:off x="3794021" y="1141845"/>
          <a:ext cx="733136" cy="2886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339933"/>
              </a:solidFill>
              <a:latin typeface="Arial Nova Cond" panose="020B0506020202020204" pitchFamily="34" charset="0"/>
            </a:rPr>
            <a:t>1.00E-3</a:t>
          </a:r>
        </a:p>
      </cdr:txBody>
    </cdr:sp>
  </cdr:relSizeAnchor>
  <cdr:relSizeAnchor xmlns:cdr="http://schemas.openxmlformats.org/drawingml/2006/chartDrawing">
    <cdr:from>
      <cdr:x>0.52797</cdr:x>
      <cdr:y>0.1985</cdr:y>
    </cdr:from>
    <cdr:to>
      <cdr:x>0.61223</cdr:x>
      <cdr:y>0.24791</cdr:y>
    </cdr:to>
    <cdr:sp macro="" textlink="">
      <cdr:nvSpPr>
        <cdr:cNvPr id="56" name="Rectangle 55">
          <a:extLst xmlns:a="http://schemas.openxmlformats.org/drawingml/2006/main">
            <a:ext uri="{FF2B5EF4-FFF2-40B4-BE49-F238E27FC236}">
              <a16:creationId xmlns:a16="http://schemas.microsoft.com/office/drawing/2014/main" id="{12894642-16C3-0997-C3DD-38F93A4EDFF3}"/>
            </a:ext>
          </a:extLst>
        </cdr:cNvPr>
        <cdr:cNvSpPr/>
      </cdr:nvSpPr>
      <cdr:spPr>
        <a:xfrm xmlns:a="http://schemas.openxmlformats.org/drawingml/2006/main">
          <a:off x="4593936" y="1159763"/>
          <a:ext cx="733136" cy="288637"/>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339933"/>
              </a:solidFill>
              <a:latin typeface="Arial Nova Cond" panose="020B0506020202020204" pitchFamily="34" charset="0"/>
            </a:rPr>
            <a:t>0.02</a:t>
          </a:r>
        </a:p>
      </cdr:txBody>
    </cdr:sp>
  </cdr:relSizeAnchor>
  <cdr:relSizeAnchor xmlns:cdr="http://schemas.openxmlformats.org/drawingml/2006/chartDrawing">
    <cdr:from>
      <cdr:x>0.61915</cdr:x>
      <cdr:y>0.19751</cdr:y>
    </cdr:from>
    <cdr:to>
      <cdr:x>0.70777</cdr:x>
      <cdr:y>0.24484</cdr:y>
    </cdr:to>
    <cdr:sp macro="" textlink="">
      <cdr:nvSpPr>
        <cdr:cNvPr id="57" name="Rectangle 56">
          <a:extLst xmlns:a="http://schemas.openxmlformats.org/drawingml/2006/main">
            <a:ext uri="{FF2B5EF4-FFF2-40B4-BE49-F238E27FC236}">
              <a16:creationId xmlns:a16="http://schemas.microsoft.com/office/drawing/2014/main" id="{5F906069-F3F1-1742-358F-C716FFCD387E}"/>
            </a:ext>
          </a:extLst>
        </cdr:cNvPr>
        <cdr:cNvSpPr/>
      </cdr:nvSpPr>
      <cdr:spPr>
        <a:xfrm xmlns:a="http://schemas.openxmlformats.org/drawingml/2006/main">
          <a:off x="5387293" y="1153991"/>
          <a:ext cx="771052" cy="27649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339933"/>
              </a:solidFill>
              <a:latin typeface="Arial Nova Cond" panose="020B0506020202020204" pitchFamily="34" charset="0"/>
            </a:rPr>
            <a:t>3.58E-8</a:t>
          </a:r>
        </a:p>
      </cdr:txBody>
    </cdr:sp>
  </cdr:relSizeAnchor>
  <cdr:relSizeAnchor xmlns:cdr="http://schemas.openxmlformats.org/drawingml/2006/chartDrawing">
    <cdr:from>
      <cdr:x>0.71374</cdr:x>
      <cdr:y>0.1984</cdr:y>
    </cdr:from>
    <cdr:to>
      <cdr:x>0.80236</cdr:x>
      <cdr:y>0.24572</cdr:y>
    </cdr:to>
    <cdr:sp macro="" textlink="">
      <cdr:nvSpPr>
        <cdr:cNvPr id="58" name="Rectangle 57">
          <a:extLst xmlns:a="http://schemas.openxmlformats.org/drawingml/2006/main">
            <a:ext uri="{FF2B5EF4-FFF2-40B4-BE49-F238E27FC236}">
              <a16:creationId xmlns:a16="http://schemas.microsoft.com/office/drawing/2014/main" id="{119526E8-376D-46BE-92B7-15823BBBDC17}"/>
            </a:ext>
          </a:extLst>
        </cdr:cNvPr>
        <cdr:cNvSpPr/>
      </cdr:nvSpPr>
      <cdr:spPr>
        <a:xfrm xmlns:a="http://schemas.openxmlformats.org/drawingml/2006/main">
          <a:off x="6210301" y="1159164"/>
          <a:ext cx="771052" cy="27649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339933"/>
              </a:solidFill>
              <a:latin typeface="Arial Nova Cond" panose="020B0506020202020204" pitchFamily="34" charset="0"/>
            </a:rPr>
            <a:t>7.08E-10</a:t>
          </a:r>
        </a:p>
      </cdr:txBody>
    </cdr:sp>
  </cdr:relSizeAnchor>
  <cdr:relSizeAnchor xmlns:cdr="http://schemas.openxmlformats.org/drawingml/2006/chartDrawing">
    <cdr:from>
      <cdr:x>0.80824</cdr:x>
      <cdr:y>0.19642</cdr:y>
    </cdr:from>
    <cdr:to>
      <cdr:x>0.89325</cdr:x>
      <cdr:y>0.24593</cdr:y>
    </cdr:to>
    <cdr:sp macro="" textlink="">
      <cdr:nvSpPr>
        <cdr:cNvPr id="59" name="Rectangle 58">
          <a:extLst xmlns:a="http://schemas.openxmlformats.org/drawingml/2006/main">
            <a:ext uri="{FF2B5EF4-FFF2-40B4-BE49-F238E27FC236}">
              <a16:creationId xmlns:a16="http://schemas.microsoft.com/office/drawing/2014/main" id="{961C3CE3-5EE6-DC90-E110-0301918CC8ED}"/>
            </a:ext>
          </a:extLst>
        </cdr:cNvPr>
        <cdr:cNvSpPr/>
      </cdr:nvSpPr>
      <cdr:spPr>
        <a:xfrm xmlns:a="http://schemas.openxmlformats.org/drawingml/2006/main">
          <a:off x="7032520" y="1147618"/>
          <a:ext cx="739695" cy="2892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339933"/>
              </a:solidFill>
              <a:latin typeface="Arial Nova Cond" panose="020B0506020202020204" pitchFamily="34" charset="0"/>
            </a:rPr>
            <a:t>1.67E-4</a:t>
          </a:r>
        </a:p>
      </cdr:txBody>
    </cdr:sp>
  </cdr:relSizeAnchor>
  <cdr:relSizeAnchor xmlns:cdr="http://schemas.openxmlformats.org/drawingml/2006/chartDrawing">
    <cdr:from>
      <cdr:x>0.90415</cdr:x>
      <cdr:y>0.19741</cdr:y>
    </cdr:from>
    <cdr:to>
      <cdr:x>0.98916</cdr:x>
      <cdr:y>0.24692</cdr:y>
    </cdr:to>
    <cdr:sp macro="" textlink="">
      <cdr:nvSpPr>
        <cdr:cNvPr id="60" name="Rectangle 59">
          <a:extLst xmlns:a="http://schemas.openxmlformats.org/drawingml/2006/main">
            <a:ext uri="{FF2B5EF4-FFF2-40B4-BE49-F238E27FC236}">
              <a16:creationId xmlns:a16="http://schemas.microsoft.com/office/drawing/2014/main" id="{EA788B34-C4C2-969D-4549-3F07A1A9CA02}"/>
            </a:ext>
          </a:extLst>
        </cdr:cNvPr>
        <cdr:cNvSpPr/>
      </cdr:nvSpPr>
      <cdr:spPr>
        <a:xfrm xmlns:a="http://schemas.openxmlformats.org/drawingml/2006/main">
          <a:off x="7867073" y="1153391"/>
          <a:ext cx="739695" cy="289236"/>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kern="1200">
              <a:solidFill>
                <a:srgbClr val="339933"/>
              </a:solidFill>
              <a:latin typeface="Arial Nova Cond" panose="020B0506020202020204" pitchFamily="34" charset="0"/>
            </a:rPr>
            <a:t>0.02</a:t>
          </a:r>
        </a:p>
      </cdr:txBody>
    </cdr:sp>
  </cdr:relSizeAnchor>
</c:userShapes>
</file>

<file path=xl/drawings/drawing68.xml><?xml version="1.0" encoding="utf-8"?>
<c:userShapes xmlns:c="http://schemas.openxmlformats.org/drawingml/2006/chart">
  <cdr:relSizeAnchor xmlns:cdr="http://schemas.openxmlformats.org/drawingml/2006/chartDrawing">
    <cdr:from>
      <cdr:x>0.34313</cdr:x>
      <cdr:y>0.73294</cdr:y>
    </cdr:from>
    <cdr:to>
      <cdr:x>0.70173</cdr:x>
      <cdr:y>0.78068</cdr:y>
    </cdr:to>
    <cdr:sp macro="" textlink="">
      <cdr:nvSpPr>
        <cdr:cNvPr id="27" name="Rectangle 26">
          <a:extLst xmlns:a="http://schemas.openxmlformats.org/drawingml/2006/main">
            <a:ext uri="{FF2B5EF4-FFF2-40B4-BE49-F238E27FC236}">
              <a16:creationId xmlns:a16="http://schemas.microsoft.com/office/drawing/2014/main" id="{D173380F-7295-0B39-EA3D-AD3ACE5848C2}"/>
            </a:ext>
          </a:extLst>
        </cdr:cNvPr>
        <cdr:cNvSpPr/>
      </cdr:nvSpPr>
      <cdr:spPr>
        <a:xfrm xmlns:a="http://schemas.openxmlformats.org/drawingml/2006/main">
          <a:off x="3009067" y="4261365"/>
          <a:ext cx="3144648" cy="27751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800" b="1" kern="1200">
              <a:solidFill>
                <a:sysClr val="windowText" lastClr="000000"/>
              </a:solidFill>
              <a:latin typeface="Arial Nova Cond" panose="020B0506020202020204" pitchFamily="34" charset="0"/>
            </a:rPr>
            <a:t>Global Warming</a:t>
          </a:r>
        </a:p>
      </cdr:txBody>
    </cdr:sp>
  </cdr:relSizeAnchor>
  <cdr:relSizeAnchor xmlns:cdr="http://schemas.openxmlformats.org/drawingml/2006/chartDrawing">
    <cdr:from>
      <cdr:x>0.0572</cdr:x>
      <cdr:y>0.24465</cdr:y>
    </cdr:from>
    <cdr:to>
      <cdr:x>0.98697</cdr:x>
      <cdr:y>0.33202</cdr:y>
    </cdr:to>
    <cdr:sp macro="" textlink="">
      <cdr:nvSpPr>
        <cdr:cNvPr id="35" name="Rectangle 34">
          <a:extLst xmlns:a="http://schemas.openxmlformats.org/drawingml/2006/main">
            <a:ext uri="{FF2B5EF4-FFF2-40B4-BE49-F238E27FC236}">
              <a16:creationId xmlns:a16="http://schemas.microsoft.com/office/drawing/2014/main" id="{A2087C0C-F51B-50AA-185A-F1CB59ECEE41}"/>
            </a:ext>
          </a:extLst>
        </cdr:cNvPr>
        <cdr:cNvSpPr/>
      </cdr:nvSpPr>
      <cdr:spPr>
        <a:xfrm xmlns:a="http://schemas.openxmlformats.org/drawingml/2006/main">
          <a:off x="501649" y="1422400"/>
          <a:ext cx="8153400" cy="507999"/>
        </a:xfrm>
        <a:prstGeom xmlns:a="http://schemas.openxmlformats.org/drawingml/2006/main" prst="rect">
          <a:avLst/>
        </a:prstGeom>
        <a:solidFill xmlns:a="http://schemas.openxmlformats.org/drawingml/2006/main">
          <a:schemeClr val="bg1">
            <a:lumMod val="95000"/>
          </a:schemeClr>
        </a:solidFill>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horz"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US" sz="1400" b="1" kern="1200">
              <a:solidFill>
                <a:srgbClr val="339933"/>
              </a:solidFill>
              <a:latin typeface="Arial Nova Cond" panose="020B0506020202020204" pitchFamily="34" charset="0"/>
            </a:rPr>
            <a:t>PROPOSED</a:t>
          </a:r>
        </a:p>
      </cdr:txBody>
    </cdr:sp>
  </cdr:relSizeAnchor>
  <cdr:relSizeAnchor xmlns:cdr="http://schemas.openxmlformats.org/drawingml/2006/chartDrawing">
    <cdr:from>
      <cdr:x>0.85508</cdr:x>
      <cdr:y>0.25084</cdr:y>
    </cdr:from>
    <cdr:to>
      <cdr:x>0.94365</cdr:x>
      <cdr:y>0.32572</cdr:y>
    </cdr:to>
    <mc:AlternateContent xmlns:mc="http://schemas.openxmlformats.org/markup-compatibility/2006" xmlns:a14="http://schemas.microsoft.com/office/drawing/2010/main">
      <mc:Choice Requires="a14">
        <cdr:sp macro="" textlink="">
          <cdr:nvSpPr>
            <cdr:cNvPr id="41" name="Rectangle 40">
              <a:extLst xmlns:a="http://schemas.openxmlformats.org/drawingml/2006/main">
                <a:ext uri="{FF2B5EF4-FFF2-40B4-BE49-F238E27FC236}">
                  <a16:creationId xmlns:a16="http://schemas.microsoft.com/office/drawing/2014/main" id="{E4B9830C-75A7-CA5D-03C1-6A0D5D70DB95}"/>
                </a:ext>
              </a:extLst>
            </cdr:cNvPr>
            <cdr:cNvSpPr/>
          </cdr:nvSpPr>
          <cdr:spPr>
            <a:xfrm xmlns:a="http://schemas.openxmlformats.org/drawingml/2006/main">
              <a:off x="7498523" y="1458384"/>
              <a:ext cx="776701" cy="43535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kg C</m:t>
                        </m:r>
                        <m:sSub>
                          <m:sSubPr>
                            <m:ctrlPr>
                              <a:rPr lang="en-US" sz="1050" b="0" i="0" kern="1200">
                                <a:solidFill>
                                  <a:sysClr val="windowText" lastClr="000000"/>
                                </a:solidFill>
                                <a:latin typeface="Arial Nova Cond" panose="020B0506020202020204" pitchFamily="34" charset="0"/>
                              </a:rPr>
                            </m:ctrlPr>
                          </m:sSubPr>
                          <m:e>
                            <m:r>
                              <m:rPr>
                                <m:nor/>
                              </m:rPr>
                              <a:rPr lang="en-US" sz="1050" b="0" i="0" kern="1200">
                                <a:solidFill>
                                  <a:sysClr val="windowText" lastClr="000000"/>
                                </a:solidFill>
                                <a:latin typeface="Arial Nova Cond" panose="020B0506020202020204" pitchFamily="34" charset="0"/>
                              </a:rPr>
                              <m:t>O</m:t>
                            </m:r>
                          </m:e>
                          <m:sub>
                            <m:r>
                              <m:rPr>
                                <m:nor/>
                              </m:rPr>
                              <a:rPr lang="en-US" sz="1050" b="0" i="0" kern="1200">
                                <a:solidFill>
                                  <a:sysClr val="windowText" lastClr="000000"/>
                                </a:solidFill>
                                <a:latin typeface="Arial Nova Cond" panose="020B0506020202020204" pitchFamily="34" charset="0"/>
                              </a:rPr>
                              <m:t>2−eq</m:t>
                            </m:r>
                          </m:sub>
                        </m:sSub>
                      </m:num>
                      <m:den>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GGE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41" name="Rectangle 40">
              <a:extLst xmlns:a="http://schemas.openxmlformats.org/drawingml/2006/main">
                <a:ext uri="{FF2B5EF4-FFF2-40B4-BE49-F238E27FC236}">
                  <a16:creationId xmlns:a16="http://schemas.microsoft.com/office/drawing/2014/main" id="{E4B9830C-75A7-CA5D-03C1-6A0D5D70DB95}"/>
                </a:ext>
              </a:extLst>
            </cdr:cNvPr>
            <cdr:cNvSpPr/>
          </cdr:nvSpPr>
          <cdr:spPr>
            <a:xfrm xmlns:a="http://schemas.openxmlformats.org/drawingml/2006/main">
              <a:off x="7498523" y="1458384"/>
              <a:ext cx="776701" cy="43535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C</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O</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2−eq</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GGE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0.47802</cdr:x>
      <cdr:y>0.16608</cdr:y>
    </cdr:from>
    <cdr:to>
      <cdr:x>0.56676</cdr:x>
      <cdr:y>0.21474</cdr:y>
    </cdr:to>
    <cdr:sp macro="" textlink="">
      <cdr:nvSpPr>
        <cdr:cNvPr id="51" name="Rectangle 50">
          <a:extLst xmlns:a="http://schemas.openxmlformats.org/drawingml/2006/main">
            <a:ext uri="{FF2B5EF4-FFF2-40B4-BE49-F238E27FC236}">
              <a16:creationId xmlns:a16="http://schemas.microsoft.com/office/drawing/2014/main" id="{4F90D23D-E474-E255-4383-CB4217276AF9}"/>
            </a:ext>
          </a:extLst>
        </cdr:cNvPr>
        <cdr:cNvSpPr/>
      </cdr:nvSpPr>
      <cdr:spPr>
        <a:xfrm xmlns:a="http://schemas.openxmlformats.org/drawingml/2006/main">
          <a:off x="4191891" y="965598"/>
          <a:ext cx="778192" cy="282911"/>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2000" b="1" kern="1200">
              <a:solidFill>
                <a:schemeClr val="tx1"/>
              </a:solidFill>
              <a:latin typeface="Arial Nova Cond" panose="020B0506020202020204" pitchFamily="34" charset="0"/>
            </a:rPr>
            <a:t>13.36</a:t>
          </a:r>
        </a:p>
      </cdr:txBody>
    </cdr:sp>
  </cdr:relSizeAnchor>
  <cdr:relSizeAnchor xmlns:cdr="http://schemas.openxmlformats.org/drawingml/2006/chartDrawing">
    <cdr:from>
      <cdr:x>0.71321</cdr:x>
      <cdr:y>0.00576</cdr:y>
    </cdr:from>
    <cdr:to>
      <cdr:x>1</cdr:x>
      <cdr:y>0.07335</cdr:y>
    </cdr:to>
    <mc:AlternateContent xmlns:mc="http://schemas.openxmlformats.org/markup-compatibility/2006" xmlns:a14="http://schemas.microsoft.com/office/drawing/2010/main">
      <mc:Choice Requires="a14">
        <cdr:sp macro="" textlink="">
          <cdr:nvSpPr>
            <cdr:cNvPr id="3" name="TextBox 2">
              <a:extLst xmlns:a="http://schemas.openxmlformats.org/drawingml/2006/main">
                <a:ext uri="{FF2B5EF4-FFF2-40B4-BE49-F238E27FC236}">
                  <a16:creationId xmlns:a16="http://schemas.microsoft.com/office/drawing/2014/main" id="{2E16D9B2-103F-B7DA-A891-FB3D998588DD}"/>
                </a:ext>
              </a:extLst>
            </cdr:cNvPr>
            <cdr:cNvSpPr txBox="1"/>
          </cdr:nvSpPr>
          <cdr:spPr>
            <a:xfrm xmlns:a="http://schemas.openxmlformats.org/drawingml/2006/main">
              <a:off x="6219825" y="33263"/>
              <a:ext cx="2501022" cy="390324"/>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400" b="1" kern="1200">
                  <a:latin typeface="Arial Nova Cond" panose="020B0506020202020204" pitchFamily="34" charset="0"/>
                </a:rPr>
                <a:t>Unit Scale: </a:t>
              </a:r>
              <a:r>
                <a:rPr kumimoji="0" lang="en-US" sz="14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17 M </a:t>
              </a:r>
              <a14:m>
                <m:oMath xmlns:m="http://schemas.openxmlformats.org/officeDocument/2006/math">
                  <m:f>
                    <m:fPr>
                      <m:ctrlP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ctrlPr>
                    </m:fPr>
                    <m:num>
                      <m:r>
                        <m:rPr>
                          <m:nor/>
                        </m:rP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GGE</m:t>
                      </m:r>
                    </m:num>
                    <m:den>
                      <m:r>
                        <m:rPr>
                          <m:nor/>
                        </m:rP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yr</m:t>
                      </m:r>
                    </m:den>
                  </m:f>
                </m:oMath>
              </a14:m>
              <a: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a:t>
              </a:r>
              <a:r>
                <a:rPr kumimoji="0" lang="en-US" sz="14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Fuel</a:t>
              </a:r>
              <a:endParaRPr lang="en-US" sz="1400" kern="1200">
                <a:latin typeface="Arial Nova Cond" panose="020B0506020202020204" pitchFamily="34" charset="0"/>
              </a:endParaRPr>
            </a:p>
          </cdr:txBody>
        </cdr:sp>
      </mc:Choice>
      <mc:Fallback xmlns="">
        <cdr:sp macro="" textlink="">
          <cdr:nvSpPr>
            <cdr:cNvPr id="3" name="TextBox 2">
              <a:extLst xmlns:a="http://schemas.openxmlformats.org/drawingml/2006/main">
                <a:ext uri="{FF2B5EF4-FFF2-40B4-BE49-F238E27FC236}">
                  <a16:creationId xmlns:a16="http://schemas.microsoft.com/office/drawing/2014/main" id="{2E16D9B2-103F-B7DA-A891-FB3D998588DD}"/>
                </a:ext>
              </a:extLst>
            </cdr:cNvPr>
            <cdr:cNvSpPr txBox="1"/>
          </cdr:nvSpPr>
          <cdr:spPr>
            <a:xfrm xmlns:a="http://schemas.openxmlformats.org/drawingml/2006/main">
              <a:off x="6219825" y="33263"/>
              <a:ext cx="2501022" cy="390324"/>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400" b="1" kern="1200">
                  <a:latin typeface="Arial Nova Cond" panose="020B0506020202020204" pitchFamily="34" charset="0"/>
                </a:rPr>
                <a:t>Unit Scale: </a:t>
              </a:r>
              <a:r>
                <a:rPr kumimoji="0" lang="en-US" sz="14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17 M </a:t>
              </a:r>
              <a: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"GGE</a:t>
              </a:r>
              <a:r>
                <a:rPr kumimoji="0" lang="en-US" sz="1200" b="0"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yr</a:t>
              </a:r>
              <a:r>
                <a:rPr kumimoji="0" lang="en-US" sz="1200" b="0"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r>
                <a:rPr kumimoji="0" lang="en-US" sz="12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a:t>
              </a:r>
              <a:r>
                <a:rPr kumimoji="0" lang="en-US" sz="140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 Fuel</a:t>
              </a:r>
              <a:endParaRPr lang="en-US" sz="1400" kern="1200">
                <a:latin typeface="Arial Nova Cond" panose="020B0506020202020204" pitchFamily="34" charset="0"/>
              </a:endParaRPr>
            </a:p>
          </cdr:txBody>
        </cdr:sp>
      </mc:Fallback>
    </mc:AlternateContent>
  </cdr:relSizeAnchor>
  <cdr:relSizeAnchor xmlns:cdr="http://schemas.openxmlformats.org/drawingml/2006/chartDrawing">
    <cdr:from>
      <cdr:x>0.62675</cdr:x>
      <cdr:y>0.07499</cdr:y>
    </cdr:from>
    <cdr:to>
      <cdr:x>0.99621</cdr:x>
      <cdr:y>0.14258</cdr:y>
    </cdr:to>
    <mc:AlternateContent xmlns:mc="http://schemas.openxmlformats.org/markup-compatibility/2006" xmlns:a14="http://schemas.microsoft.com/office/drawing/2010/main">
      <mc:Choice Requires="a14">
        <cdr:sp macro="" textlink="">
          <cdr:nvSpPr>
            <cdr:cNvPr id="5" name="TextBox 1">
              <a:extLst xmlns:a="http://schemas.openxmlformats.org/drawingml/2006/main">
                <a:ext uri="{FF2B5EF4-FFF2-40B4-BE49-F238E27FC236}">
                  <a16:creationId xmlns:a16="http://schemas.microsoft.com/office/drawing/2014/main" id="{78EF29C4-F20A-FAB4-2C42-012749947D5E}"/>
                </a:ext>
              </a:extLst>
            </cdr:cNvPr>
            <cdr:cNvSpPr txBox="1"/>
          </cdr:nvSpPr>
          <cdr:spPr>
            <a:xfrm xmlns:a="http://schemas.openxmlformats.org/drawingml/2006/main">
              <a:off x="5448869" y="439317"/>
              <a:ext cx="3212041" cy="39589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b="1" kern="1200">
                  <a:latin typeface="Arial Nova Cond" panose="020B0506020202020204" pitchFamily="34" charset="0"/>
                </a:rPr>
                <a:t>Plant Scale: </a:t>
              </a:r>
              <a:r>
                <a:rPr lang="en-US" sz="1400" kern="1200">
                  <a:latin typeface="Arial Nova Cond" panose="020B0506020202020204" pitchFamily="34" charset="0"/>
                </a:rPr>
                <a:t>~483,000 </a:t>
              </a:r>
              <a14:m>
                <m:oMath xmlns:m="http://schemas.openxmlformats.org/officeDocument/2006/math">
                  <m:f>
                    <m:fPr>
                      <m:ctrlPr>
                        <a:rPr lang="en-US" sz="1200" b="0" i="0" kern="1200">
                          <a:latin typeface="Arial Nova Cond" panose="020B0506020202020204" pitchFamily="34" charset="0"/>
                        </a:rPr>
                      </m:ctrlPr>
                    </m:fPr>
                    <m:num>
                      <m:r>
                        <m:rPr>
                          <m:nor/>
                        </m:rPr>
                        <a:rPr lang="en-US" sz="1200" b="0" i="0" kern="1200">
                          <a:latin typeface="Arial Nova Cond" panose="020B0506020202020204" pitchFamily="34" charset="0"/>
                        </a:rPr>
                        <m:t>MT</m:t>
                      </m:r>
                    </m:num>
                    <m:den>
                      <m:r>
                        <m:rPr>
                          <m:nor/>
                        </m:rPr>
                        <a:rPr lang="en-US" sz="1200" b="0" i="0" kern="1200">
                          <a:latin typeface="Arial Nova Cond" panose="020B0506020202020204" pitchFamily="34" charset="0"/>
                        </a:rPr>
                        <m:t>yr</m:t>
                      </m:r>
                    </m:den>
                  </m:f>
                </m:oMath>
              </a14:m>
              <a:r>
                <a:rPr lang="en-US" sz="1200" kern="1200">
                  <a:latin typeface="Arial Nova Cond" panose="020B0506020202020204" pitchFamily="34" charset="0"/>
                </a:rPr>
                <a:t> </a:t>
              </a:r>
              <a:r>
                <a:rPr lang="en-US" sz="1400" kern="1200" baseline="0">
                  <a:latin typeface="Arial Nova Cond" panose="020B0506020202020204" pitchFamily="34" charset="0"/>
                </a:rPr>
                <a:t> Organic Waste</a:t>
              </a:r>
              <a:endParaRPr lang="en-US" sz="1400" kern="1200">
                <a:latin typeface="Arial Nova Cond" panose="020B0506020202020204" pitchFamily="34" charset="0"/>
              </a:endParaRPr>
            </a:p>
          </cdr:txBody>
        </cdr:sp>
      </mc:Choice>
      <mc:Fallback xmlns="">
        <cdr:sp macro="" textlink="">
          <cdr:nvSpPr>
            <cdr:cNvPr id="5" name="TextBox 1">
              <a:extLst xmlns:a="http://schemas.openxmlformats.org/drawingml/2006/main">
                <a:ext uri="{FF2B5EF4-FFF2-40B4-BE49-F238E27FC236}">
                  <a16:creationId xmlns:a16="http://schemas.microsoft.com/office/drawing/2014/main" id="{78EF29C4-F20A-FAB4-2C42-012749947D5E}"/>
                </a:ext>
              </a:extLst>
            </cdr:cNvPr>
            <cdr:cNvSpPr txBox="1"/>
          </cdr:nvSpPr>
          <cdr:spPr>
            <a:xfrm xmlns:a="http://schemas.openxmlformats.org/drawingml/2006/main">
              <a:off x="5448869" y="439317"/>
              <a:ext cx="3212041" cy="39589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b="1" kern="1200">
                  <a:latin typeface="Arial Nova Cond" panose="020B0506020202020204" pitchFamily="34" charset="0"/>
                </a:rPr>
                <a:t>Plant Scale: </a:t>
              </a:r>
              <a:r>
                <a:rPr lang="en-US" sz="1400" kern="1200">
                  <a:latin typeface="Arial Nova Cond" panose="020B0506020202020204" pitchFamily="34" charset="0"/>
                </a:rPr>
                <a:t>~483,000 </a:t>
              </a:r>
              <a:r>
                <a:rPr lang="en-US" sz="1200" b="0" i="0" kern="1200">
                  <a:latin typeface="Arial Nova Cond" panose="020B0506020202020204" pitchFamily="34" charset="0"/>
                </a:rPr>
                <a:t>"MT</a:t>
              </a:r>
              <a:r>
                <a:rPr lang="en-US" sz="1200" b="0" i="0" kern="1200">
                  <a:latin typeface="Cambria Math" panose="02040503050406030204" pitchFamily="18" charset="0"/>
                </a:rPr>
                <a:t>" /"</a:t>
              </a:r>
              <a:r>
                <a:rPr lang="en-US" sz="1200" b="0" i="0" kern="1200">
                  <a:latin typeface="Arial Nova Cond" panose="020B0506020202020204" pitchFamily="34" charset="0"/>
                </a:rPr>
                <a:t>yr</a:t>
              </a:r>
              <a:r>
                <a:rPr lang="en-US" sz="1200" b="0" i="0" kern="1200">
                  <a:latin typeface="Cambria Math" panose="02040503050406030204" pitchFamily="18" charset="0"/>
                </a:rPr>
                <a:t>" </a:t>
              </a:r>
              <a:r>
                <a:rPr lang="en-US" sz="1200" kern="1200">
                  <a:latin typeface="Arial Nova Cond" panose="020B0506020202020204" pitchFamily="34" charset="0"/>
                </a:rPr>
                <a:t> </a:t>
              </a:r>
              <a:r>
                <a:rPr lang="en-US" sz="1400" kern="1200" baseline="0">
                  <a:latin typeface="Arial Nova Cond" panose="020B0506020202020204" pitchFamily="34" charset="0"/>
                </a:rPr>
                <a:t> Organic Waste</a:t>
              </a:r>
              <a:endParaRPr lang="en-US" sz="1400" kern="1200">
                <a:latin typeface="Arial Nova Cond" panose="020B0506020202020204" pitchFamily="34" charset="0"/>
              </a:endParaRPr>
            </a:p>
          </cdr:txBody>
        </cdr:sp>
      </mc:Fallback>
    </mc:AlternateContent>
  </cdr:relSizeAnchor>
  <cdr:relSizeAnchor xmlns:cdr="http://schemas.openxmlformats.org/drawingml/2006/chartDrawing">
    <cdr:from>
      <cdr:x>0.05576</cdr:x>
      <cdr:y>0.15291</cdr:y>
    </cdr:from>
    <cdr:to>
      <cdr:x>0.98697</cdr:x>
      <cdr:y>0.23482</cdr:y>
    </cdr:to>
    <cdr:sp macro="" textlink="">
      <cdr:nvSpPr>
        <cdr:cNvPr id="7" name="Rectangle 6">
          <a:extLst xmlns:a="http://schemas.openxmlformats.org/drawingml/2006/main">
            <a:ext uri="{FF2B5EF4-FFF2-40B4-BE49-F238E27FC236}">
              <a16:creationId xmlns:a16="http://schemas.microsoft.com/office/drawing/2014/main" id="{01C549B7-6F0D-55EB-1DF9-E46C824B8B10}"/>
            </a:ext>
          </a:extLst>
        </cdr:cNvPr>
        <cdr:cNvSpPr/>
      </cdr:nvSpPr>
      <cdr:spPr>
        <a:xfrm xmlns:a="http://schemas.openxmlformats.org/drawingml/2006/main">
          <a:off x="488950" y="889000"/>
          <a:ext cx="8166100" cy="476249"/>
        </a:xfrm>
        <a:prstGeom xmlns:a="http://schemas.openxmlformats.org/drawingml/2006/main" prst="rect">
          <a:avLst/>
        </a:prstGeom>
        <a:noFill xmlns:a="http://schemas.openxmlformats.org/drawingml/2006/main"/>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horz"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US" sz="1400" b="1" kern="1200">
              <a:solidFill>
                <a:sysClr val="windowText" lastClr="000000"/>
              </a:solidFill>
              <a:latin typeface="Arial Nova Cond" panose="020B0506020202020204" pitchFamily="34" charset="0"/>
            </a:rPr>
            <a:t>CONVENTIONAL</a:t>
          </a:r>
        </a:p>
      </cdr:txBody>
    </cdr:sp>
  </cdr:relSizeAnchor>
  <cdr:relSizeAnchor xmlns:cdr="http://schemas.openxmlformats.org/drawingml/2006/chartDrawing">
    <cdr:from>
      <cdr:x>0.00956</cdr:x>
      <cdr:y>0.01674</cdr:y>
    </cdr:from>
    <cdr:to>
      <cdr:x>0.66692</cdr:x>
      <cdr:y>0.12243</cdr:y>
    </cdr:to>
    <cdr:sp macro="" textlink="">
      <cdr:nvSpPr>
        <cdr:cNvPr id="8" name="TextBox 7">
          <a:extLst xmlns:a="http://schemas.openxmlformats.org/drawingml/2006/main">
            <a:ext uri="{FF2B5EF4-FFF2-40B4-BE49-F238E27FC236}">
              <a16:creationId xmlns:a16="http://schemas.microsoft.com/office/drawing/2014/main" id="{AD2C0E70-E8C1-3E10-775D-D417054915DF}"/>
            </a:ext>
          </a:extLst>
        </cdr:cNvPr>
        <cdr:cNvSpPr txBox="1"/>
      </cdr:nvSpPr>
      <cdr:spPr>
        <a:xfrm xmlns:a="http://schemas.openxmlformats.org/drawingml/2006/main">
          <a:off x="83119" y="98063"/>
          <a:ext cx="5715000" cy="619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0.00714</cdr:x>
      <cdr:y>0.00488</cdr:y>
    </cdr:from>
    <cdr:to>
      <cdr:x>0.72232</cdr:x>
      <cdr:y>0.16929</cdr:y>
    </cdr:to>
    <cdr:sp macro="" textlink="">
      <cdr:nvSpPr>
        <cdr:cNvPr id="9" name="TextBox 8">
          <a:extLst xmlns:a="http://schemas.openxmlformats.org/drawingml/2006/main">
            <a:ext uri="{FF2B5EF4-FFF2-40B4-BE49-F238E27FC236}">
              <a16:creationId xmlns:a16="http://schemas.microsoft.com/office/drawing/2014/main" id="{4894452E-5DAD-8998-6E47-2488F9C428CC}"/>
            </a:ext>
          </a:extLst>
        </cdr:cNvPr>
        <cdr:cNvSpPr txBox="1"/>
      </cdr:nvSpPr>
      <cdr:spPr>
        <a:xfrm xmlns:a="http://schemas.openxmlformats.org/drawingml/2006/main">
          <a:off x="46745" y="28372"/>
          <a:ext cx="4682175" cy="95587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2800" b="1" kern="1200">
              <a:latin typeface="Arial Nova Cond" panose="020B0506020202020204" pitchFamily="34" charset="0"/>
            </a:rPr>
            <a:t>LIFE CYCLE</a:t>
          </a:r>
          <a:r>
            <a:rPr lang="en-US" sz="2800" b="1" kern="1200" baseline="0">
              <a:latin typeface="Arial Nova Cond" panose="020B0506020202020204" pitchFamily="34" charset="0"/>
            </a:rPr>
            <a:t> ASSESSMENT</a:t>
          </a:r>
        </a:p>
        <a:p xmlns:a="http://schemas.openxmlformats.org/drawingml/2006/main">
          <a:r>
            <a:rPr lang="en-US" sz="1400" b="1" kern="1200">
              <a:latin typeface="Arial Nova Cond" panose="020B0506020202020204" pitchFamily="34" charset="0"/>
            </a:rPr>
            <a:t>of </a:t>
          </a:r>
          <a:r>
            <a:rPr lang="en-US" sz="1400" b="1" kern="1200">
              <a:solidFill>
                <a:srgbClr val="339933"/>
              </a:solidFill>
              <a:latin typeface="Arial Nova Cond" panose="020B0506020202020204" pitchFamily="34" charset="0"/>
            </a:rPr>
            <a:t>Proposed</a:t>
          </a:r>
          <a:r>
            <a:rPr lang="en-US" sz="1400" b="1" kern="1200">
              <a:latin typeface="Arial Nova Cond" panose="020B0506020202020204" pitchFamily="34" charset="0"/>
            </a:rPr>
            <a:t> Path</a:t>
          </a:r>
          <a:r>
            <a:rPr lang="en-US" sz="1400" b="1" kern="1200" baseline="0">
              <a:latin typeface="Arial Nova Cond" panose="020B0506020202020204" pitchFamily="34" charset="0"/>
            </a:rPr>
            <a:t> AB</a:t>
          </a:r>
          <a:r>
            <a:rPr lang="en-US" sz="1400" b="1" kern="1200">
              <a:latin typeface="Arial Nova Cond" panose="020B0506020202020204" pitchFamily="34" charset="0"/>
            </a:rPr>
            <a:t> Aviation</a:t>
          </a:r>
          <a:r>
            <a:rPr lang="en-US" sz="1400" b="1" kern="1200" baseline="0">
              <a:latin typeface="Arial Nova Cond" panose="020B0506020202020204" pitchFamily="34" charset="0"/>
            </a:rPr>
            <a:t> Fuel </a:t>
          </a:r>
          <a:r>
            <a:rPr lang="en-US" sz="1400" b="0" kern="1200">
              <a:latin typeface="Arial Nova Cond" panose="020B0506020202020204" pitchFamily="34" charset="0"/>
            </a:rPr>
            <a:t>compared to Conventional Aviation</a:t>
          </a:r>
          <a:r>
            <a:rPr lang="en-US" sz="1400" b="0" kern="1200" baseline="0">
              <a:latin typeface="Arial Nova Cond" panose="020B0506020202020204" pitchFamily="34" charset="0"/>
            </a:rPr>
            <a:t> Fuel</a:t>
          </a:r>
          <a:endParaRPr lang="en-US" sz="1400" b="0" kern="1200">
            <a:latin typeface="Arial Nova Cond" panose="020B0506020202020204" pitchFamily="34" charset="0"/>
          </a:endParaRPr>
        </a:p>
      </cdr:txBody>
    </cdr:sp>
  </cdr:relSizeAnchor>
  <cdr:relSizeAnchor xmlns:cdr="http://schemas.openxmlformats.org/drawingml/2006/chartDrawing">
    <cdr:from>
      <cdr:x>0.48307</cdr:x>
      <cdr:y>0.26512</cdr:y>
    </cdr:from>
    <cdr:to>
      <cdr:x>0.56734</cdr:x>
      <cdr:y>0.31453</cdr:y>
    </cdr:to>
    <cdr:sp macro="" textlink="">
      <cdr:nvSpPr>
        <cdr:cNvPr id="56" name="Rectangle 55">
          <a:extLst xmlns:a="http://schemas.openxmlformats.org/drawingml/2006/main">
            <a:ext uri="{FF2B5EF4-FFF2-40B4-BE49-F238E27FC236}">
              <a16:creationId xmlns:a16="http://schemas.microsoft.com/office/drawing/2014/main" id="{12894642-16C3-0997-C3DD-38F93A4EDFF3}"/>
            </a:ext>
          </a:extLst>
        </cdr:cNvPr>
        <cdr:cNvSpPr/>
      </cdr:nvSpPr>
      <cdr:spPr>
        <a:xfrm xmlns:a="http://schemas.openxmlformats.org/drawingml/2006/main">
          <a:off x="4236253" y="1541435"/>
          <a:ext cx="738906" cy="287272"/>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2000" b="1" kern="1200">
              <a:solidFill>
                <a:srgbClr val="339933"/>
              </a:solidFill>
              <a:latin typeface="Arial Nova Cond" panose="020B0506020202020204" pitchFamily="34" charset="0"/>
            </a:rPr>
            <a:t>2.20</a:t>
          </a:r>
        </a:p>
      </cdr:txBody>
    </cdr:sp>
  </cdr:relSizeAnchor>
  <cdr:relSizeAnchor xmlns:cdr="http://schemas.openxmlformats.org/drawingml/2006/chartDrawing">
    <cdr:from>
      <cdr:x>0.85301</cdr:x>
      <cdr:y>0.15509</cdr:y>
    </cdr:from>
    <cdr:to>
      <cdr:x>0.94158</cdr:x>
      <cdr:y>0.22997</cdr:y>
    </cdr:to>
    <mc:AlternateContent xmlns:mc="http://schemas.openxmlformats.org/markup-compatibility/2006" xmlns:a14="http://schemas.microsoft.com/office/drawing/2010/main">
      <mc:Choice Requires="a14">
        <cdr:sp macro="" textlink="">
          <cdr:nvSpPr>
            <cdr:cNvPr id="6" name="Rectangle 5">
              <a:extLst xmlns:a="http://schemas.openxmlformats.org/drawingml/2006/main">
                <a:ext uri="{FF2B5EF4-FFF2-40B4-BE49-F238E27FC236}">
                  <a16:creationId xmlns:a16="http://schemas.microsoft.com/office/drawing/2014/main" id="{2F0E5E16-28F9-8E05-3418-E679D7EE8647}"/>
                </a:ext>
              </a:extLst>
            </cdr:cNvPr>
            <cdr:cNvSpPr/>
          </cdr:nvSpPr>
          <cdr:spPr>
            <a:xfrm xmlns:a="http://schemas.openxmlformats.org/drawingml/2006/main">
              <a:off x="7480300" y="901700"/>
              <a:ext cx="776701" cy="43535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14:m>
                <m:oMathPara xmlns:m="http://schemas.openxmlformats.org/officeDocument/2006/math">
                  <m:oMath>
                    <m:f>
                      <m:fPr>
                        <m:ctrlPr>
                          <a:rPr lang="en-US" sz="1050" b="0" i="0" kern="1200">
                            <a:solidFill>
                              <a:sysClr val="windowText" lastClr="000000"/>
                            </a:solidFill>
                            <a:latin typeface="Arial Nova Cond" panose="020B0506020202020204" pitchFamily="34" charset="0"/>
                          </a:rPr>
                        </m:ctrlPr>
                      </m:fPr>
                      <m:num>
                        <m:r>
                          <m:rPr>
                            <m:nor/>
                          </m:rPr>
                          <a:rPr lang="en-US" sz="1050" b="0" i="0" kern="1200">
                            <a:solidFill>
                              <a:sysClr val="windowText" lastClr="000000"/>
                            </a:solidFill>
                            <a:latin typeface="Arial Nova Cond" panose="020B0506020202020204" pitchFamily="34" charset="0"/>
                          </a:rPr>
                          <m:t>kg C</m:t>
                        </m:r>
                        <m:sSub>
                          <m:sSubPr>
                            <m:ctrlPr>
                              <a:rPr lang="en-US" sz="1050" b="0" i="0" kern="1200">
                                <a:solidFill>
                                  <a:sysClr val="windowText" lastClr="000000"/>
                                </a:solidFill>
                                <a:latin typeface="Arial Nova Cond" panose="020B0506020202020204" pitchFamily="34" charset="0"/>
                              </a:rPr>
                            </m:ctrlPr>
                          </m:sSubPr>
                          <m:e>
                            <m:r>
                              <m:rPr>
                                <m:nor/>
                              </m:rPr>
                              <a:rPr lang="en-US" sz="1050" b="0" i="0" kern="1200">
                                <a:solidFill>
                                  <a:sysClr val="windowText" lastClr="000000"/>
                                </a:solidFill>
                                <a:latin typeface="Arial Nova Cond" panose="020B0506020202020204" pitchFamily="34" charset="0"/>
                              </a:rPr>
                              <m:t>O</m:t>
                            </m:r>
                          </m:e>
                          <m:sub>
                            <m:r>
                              <m:rPr>
                                <m:nor/>
                              </m:rPr>
                              <a:rPr lang="en-US" sz="1050" b="0" i="0" kern="1200">
                                <a:solidFill>
                                  <a:sysClr val="windowText" lastClr="000000"/>
                                </a:solidFill>
                                <a:latin typeface="Arial Nova Cond" panose="020B0506020202020204" pitchFamily="34" charset="0"/>
                              </a:rPr>
                              <m:t>2−eq</m:t>
                            </m:r>
                          </m:sub>
                        </m:sSub>
                      </m:num>
                      <m:den>
                        <m:r>
                          <m:rPr>
                            <m:nor/>
                          </m:rPr>
                          <a:rPr kumimoji="0" lang="en-US" sz="1050" b="0"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m:t>GGE</m:t>
                        </m:r>
                      </m:den>
                    </m:f>
                  </m:oMath>
                </m:oMathPara>
              </a14:m>
              <a:endParaRPr lang="en-US" sz="1050" b="1" kern="1200">
                <a:solidFill>
                  <a:sysClr val="windowText" lastClr="000000"/>
                </a:solidFill>
                <a:latin typeface="Arial Nova Cond" panose="020B0506020202020204" pitchFamily="34" charset="0"/>
              </a:endParaRPr>
            </a:p>
          </cdr:txBody>
        </cdr:sp>
      </mc:Choice>
      <mc:Fallback xmlns="">
        <cdr:sp macro="" textlink="">
          <cdr:nvSpPr>
            <cdr:cNvPr id="6" name="Rectangle 5">
              <a:extLst xmlns:a="http://schemas.openxmlformats.org/drawingml/2006/main">
                <a:ext uri="{FF2B5EF4-FFF2-40B4-BE49-F238E27FC236}">
                  <a16:creationId xmlns:a16="http://schemas.microsoft.com/office/drawing/2014/main" id="{2F0E5E16-28F9-8E05-3418-E679D7EE8647}"/>
                </a:ext>
              </a:extLst>
            </cdr:cNvPr>
            <cdr:cNvSpPr/>
          </cdr:nvSpPr>
          <cdr:spPr>
            <a:xfrm xmlns:a="http://schemas.openxmlformats.org/drawingml/2006/main">
              <a:off x="7480300" y="901700"/>
              <a:ext cx="776701" cy="435355"/>
            </a:xfrm>
            <a:prstGeom xmlns:a="http://schemas.openxmlformats.org/drawingml/2006/main" prst="rect">
              <a:avLst/>
            </a:prstGeom>
            <a:noFill xmlns:a="http://schemas.openxmlformats.org/drawingml/2006/main"/>
            <a:ln xmlns:a="http://schemas.openxmlformats.org/drawingml/2006/main" w="6350">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050" b="1" i="0" kern="1200">
                  <a:solidFill>
                    <a:sysClr val="windowText" lastClr="000000"/>
                  </a:solidFill>
                  <a:latin typeface="Cambria Math" panose="02040503050406030204" pitchFamily="18" charset="0"/>
                </a:rPr>
                <a:t>("</a:t>
              </a:r>
              <a:r>
                <a:rPr lang="en-US" sz="1050" b="1" i="0" kern="1200">
                  <a:solidFill>
                    <a:sysClr val="windowText" lastClr="000000"/>
                  </a:solidFill>
                  <a:latin typeface="Arial Nova Cond" panose="020B0506020202020204" pitchFamily="34" charset="0"/>
                </a:rPr>
                <a:t>kg C</a:t>
              </a:r>
              <a:r>
                <a:rPr lang="en-US" sz="1050" b="1" i="0" kern="1200">
                  <a:solidFill>
                    <a:sysClr val="windowText" lastClr="000000"/>
                  </a:solidFill>
                  <a:latin typeface="Cambria Math" panose="02040503050406030204" pitchFamily="18" charset="0"/>
                </a:rPr>
                <a:t>" "</a:t>
              </a:r>
              <a:r>
                <a:rPr lang="en-US" sz="1050" b="1" i="0" kern="1200">
                  <a:solidFill>
                    <a:sysClr val="windowText" lastClr="000000"/>
                  </a:solidFill>
                  <a:latin typeface="Arial Nova Cond" panose="020B0506020202020204" pitchFamily="34" charset="0"/>
                </a:rPr>
                <a:t>O</a:t>
              </a:r>
              <a:r>
                <a:rPr lang="en-US" sz="1050" b="1" i="0" kern="1200">
                  <a:solidFill>
                    <a:sysClr val="windowText" lastClr="000000"/>
                  </a:solidFill>
                  <a:latin typeface="Cambria Math" panose="02040503050406030204" pitchFamily="18" charset="0"/>
                </a:rPr>
                <a:t>" _"</a:t>
              </a:r>
              <a:r>
                <a:rPr lang="en-US" sz="1050" b="1" i="0" kern="1200">
                  <a:solidFill>
                    <a:sysClr val="windowText" lastClr="000000"/>
                  </a:solidFill>
                  <a:latin typeface="Arial Nova Cond" panose="020B0506020202020204" pitchFamily="34" charset="0"/>
                </a:rPr>
                <a:t>2−eq</a:t>
              </a:r>
              <a:r>
                <a:rPr lang="en-US" sz="1050" b="1" i="0" kern="1200">
                  <a:solidFill>
                    <a:sysClr val="windowText" lastClr="000000"/>
                  </a:solidFill>
                  <a:latin typeface="Cambria Math" panose="02040503050406030204" pitchFamily="18" charset="0"/>
                </a:rPr>
                <a:t>" )/</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a:t>
              </a:r>
              <a:r>
                <a:rPr kumimoji="0" lang="en-US" sz="1050" b="1" i="0" u="none" strike="noStrike" kern="1200" cap="none" spc="0" normalizeH="0" baseline="0" noProof="0">
                  <a:ln>
                    <a:noFill/>
                  </a:ln>
                  <a:solidFill>
                    <a:sysClr val="windowText" lastClr="000000"/>
                  </a:solidFill>
                  <a:effectLst/>
                  <a:uLnTx/>
                  <a:uFillTx/>
                  <a:latin typeface="Arial Nova Cond" panose="020B0506020202020204" pitchFamily="34" charset="0"/>
                  <a:ea typeface="+mn-ea"/>
                  <a:cs typeface="+mn-cs"/>
                </a:rPr>
                <a:t>GGE</a:t>
              </a:r>
              <a:r>
                <a:rPr kumimoji="0" lang="en-US" sz="1050" b="1" i="0" u="none" strike="noStrike" kern="1200" cap="none" spc="0" normalizeH="0" baseline="0" noProof="0">
                  <a:ln>
                    <a:noFill/>
                  </a:ln>
                  <a:solidFill>
                    <a:sysClr val="windowText" lastClr="000000"/>
                  </a:solidFill>
                  <a:effectLst/>
                  <a:uLnTx/>
                  <a:uFillTx/>
                  <a:latin typeface="Cambria Math" panose="02040503050406030204" pitchFamily="18" charset="0"/>
                  <a:ea typeface="+mn-ea"/>
                  <a:cs typeface="+mn-cs"/>
                </a:rPr>
                <a:t>" </a:t>
              </a:r>
              <a:endParaRPr lang="en-US" sz="1050" b="1" kern="1200">
                <a:solidFill>
                  <a:sysClr val="windowText" lastClr="000000"/>
                </a:solidFill>
                <a:latin typeface="Arial Nova Cond" panose="020B0506020202020204" pitchFamily="34" charset="0"/>
              </a:endParaRPr>
            </a:p>
          </cdr:txBody>
        </cdr:sp>
      </mc:Fallback>
    </mc:AlternateContent>
  </cdr:relSizeAnchor>
  <cdr:relSizeAnchor xmlns:cdr="http://schemas.openxmlformats.org/drawingml/2006/chartDrawing">
    <cdr:from>
      <cdr:x>0.26575</cdr:x>
      <cdr:y>0.15181</cdr:y>
    </cdr:from>
    <cdr:to>
      <cdr:x>0.77552</cdr:x>
      <cdr:y>0.79402</cdr:y>
    </cdr:to>
    <cdr:sp macro="" textlink="">
      <cdr:nvSpPr>
        <cdr:cNvPr id="61" name="Rectangle 60">
          <a:extLst xmlns:a="http://schemas.openxmlformats.org/drawingml/2006/main">
            <a:ext uri="{FF2B5EF4-FFF2-40B4-BE49-F238E27FC236}">
              <a16:creationId xmlns:a16="http://schemas.microsoft.com/office/drawing/2014/main" id="{E2EAF11B-96B7-C9F4-C3DA-74437258CEEA}"/>
            </a:ext>
          </a:extLst>
        </cdr:cNvPr>
        <cdr:cNvSpPr/>
      </cdr:nvSpPr>
      <cdr:spPr>
        <a:xfrm xmlns:a="http://schemas.openxmlformats.org/drawingml/2006/main">
          <a:off x="2330449" y="882650"/>
          <a:ext cx="4470400" cy="3733800"/>
        </a:xfrm>
        <a:prstGeom xmlns:a="http://schemas.openxmlformats.org/drawingml/2006/main" prst="rect">
          <a:avLst/>
        </a:prstGeom>
        <a:noFill xmlns:a="http://schemas.openxmlformats.org/drawingml/2006/main"/>
        <a:ln xmlns:a="http://schemas.openxmlformats.org/drawingml/2006/main">
          <a:solidFill>
            <a:sysClr val="windowText" lastClr="00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9.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20.xml"/><Relationship Id="rId1" Type="http://schemas.openxmlformats.org/officeDocument/2006/relationships/printerSettings" Target="../printerSettings/printerSettings5.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2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40.xml"/><Relationship Id="rId1" Type="http://schemas.openxmlformats.org/officeDocument/2006/relationships/printerSettings" Target="../printerSettings/printerSettings7.bin"/><Relationship Id="rId4" Type="http://schemas.openxmlformats.org/officeDocument/2006/relationships/comments" Target="../comments8.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42.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44.xml"/><Relationship Id="rId1" Type="http://schemas.openxmlformats.org/officeDocument/2006/relationships/printerSettings" Target="../printerSettings/printerSettings8.bin"/><Relationship Id="rId4" Type="http://schemas.openxmlformats.org/officeDocument/2006/relationships/comments" Target="../comments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49.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51.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54.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56.xml"/><Relationship Id="rId1" Type="http://schemas.openxmlformats.org/officeDocument/2006/relationships/printerSettings" Target="../printerSettings/printerSettings9.bin"/><Relationship Id="rId4" Type="http://schemas.openxmlformats.org/officeDocument/2006/relationships/comments" Target="../comments14.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58.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60.x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drawing" Target="../drawings/drawing61.xml"/></Relationships>
</file>

<file path=xl/worksheets/_rels/sheet22.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2CE44-E834-4DE1-B3A8-9CF0B9B408F8}">
  <sheetPr codeName="Sheet1"/>
  <dimension ref="A1:O897"/>
  <sheetViews>
    <sheetView tabSelected="1" workbookViewId="0">
      <selection activeCell="E13" sqref="E13"/>
    </sheetView>
  </sheetViews>
  <sheetFormatPr baseColWidth="10" defaultColWidth="8.83203125" defaultRowHeight="15" x14ac:dyDescent="0.2"/>
  <cols>
    <col min="1" max="1" width="25" customWidth="1"/>
    <col min="2" max="2" width="63.1640625" customWidth="1"/>
    <col min="3" max="3" width="16" customWidth="1"/>
    <col min="4" max="4" width="17.33203125" customWidth="1"/>
    <col min="5" max="5" width="19.1640625" customWidth="1"/>
    <col min="6" max="6" width="21.1640625" customWidth="1"/>
    <col min="10" max="10" width="9.6640625" customWidth="1"/>
    <col min="12" max="12" width="15.1640625" customWidth="1"/>
    <col min="13" max="13" width="15.5" customWidth="1"/>
    <col min="14" max="14" width="9.5" bestFit="1" customWidth="1"/>
    <col min="15" max="15" width="9.83203125" customWidth="1"/>
  </cols>
  <sheetData>
    <row r="1" spans="1:15" ht="16" thickBot="1" x14ac:dyDescent="0.25">
      <c r="A1" s="4" t="s">
        <v>49</v>
      </c>
      <c r="B1" s="4" t="s">
        <v>50</v>
      </c>
      <c r="C1" s="4" t="s">
        <v>41</v>
      </c>
      <c r="D1" s="4" t="s">
        <v>42</v>
      </c>
      <c r="E1" s="4" t="s">
        <v>43</v>
      </c>
      <c r="F1" s="5" t="s">
        <v>44</v>
      </c>
    </row>
    <row r="2" spans="1:15" x14ac:dyDescent="0.2">
      <c r="A2" s="28" t="s">
        <v>46</v>
      </c>
      <c r="B2" s="3"/>
      <c r="C2" s="3"/>
      <c r="D2" s="3"/>
      <c r="E2" s="3"/>
      <c r="F2" s="21"/>
    </row>
    <row r="3" spans="1:15" x14ac:dyDescent="0.2">
      <c r="A3" s="6" t="s">
        <v>287</v>
      </c>
      <c r="B3" t="s">
        <v>47</v>
      </c>
      <c r="C3" t="s">
        <v>48</v>
      </c>
      <c r="D3">
        <v>8000</v>
      </c>
      <c r="F3" s="9">
        <f>IF(ISBLANK(E3),D3,E3)</f>
        <v>8000</v>
      </c>
    </row>
    <row r="4" spans="1:15" x14ac:dyDescent="0.2">
      <c r="A4" s="6" t="s">
        <v>284</v>
      </c>
      <c r="B4" t="s">
        <v>282</v>
      </c>
      <c r="C4" t="s">
        <v>283</v>
      </c>
      <c r="D4">
        <v>53.8</v>
      </c>
      <c r="F4" s="9">
        <f t="shared" ref="F4:F214" si="0">IF(ISBLANK(E4),D4,E4)</f>
        <v>53.8</v>
      </c>
    </row>
    <row r="5" spans="1:15" x14ac:dyDescent="0.2">
      <c r="A5" s="6" t="s">
        <v>330</v>
      </c>
      <c r="B5" t="s">
        <v>331</v>
      </c>
      <c r="C5" t="s">
        <v>332</v>
      </c>
      <c r="D5">
        <v>60</v>
      </c>
      <c r="F5" s="9">
        <f t="shared" si="0"/>
        <v>60</v>
      </c>
    </row>
    <row r="6" spans="1:15" x14ac:dyDescent="0.2">
      <c r="A6" s="6" t="s">
        <v>333</v>
      </c>
      <c r="B6" t="s">
        <v>334</v>
      </c>
      <c r="C6" t="s">
        <v>332</v>
      </c>
      <c r="D6">
        <v>60</v>
      </c>
      <c r="F6" s="9">
        <f t="shared" si="0"/>
        <v>60</v>
      </c>
    </row>
    <row r="7" spans="1:15" x14ac:dyDescent="0.2">
      <c r="A7" s="6" t="s">
        <v>351</v>
      </c>
      <c r="B7" t="s">
        <v>352</v>
      </c>
      <c r="C7" t="s">
        <v>353</v>
      </c>
      <c r="D7">
        <v>0.45</v>
      </c>
      <c r="F7" s="9">
        <f t="shared" si="0"/>
        <v>0.45</v>
      </c>
    </row>
    <row r="8" spans="1:15" x14ac:dyDescent="0.2">
      <c r="A8" s="6" t="s">
        <v>591</v>
      </c>
      <c r="B8" t="s">
        <v>592</v>
      </c>
      <c r="C8" t="s">
        <v>593</v>
      </c>
      <c r="D8">
        <v>60</v>
      </c>
      <c r="F8" s="9">
        <f t="shared" si="0"/>
        <v>60</v>
      </c>
    </row>
    <row r="9" spans="1:15" x14ac:dyDescent="0.2">
      <c r="A9" s="6" t="s">
        <v>2805</v>
      </c>
      <c r="B9" t="s">
        <v>2806</v>
      </c>
      <c r="C9" t="s">
        <v>1081</v>
      </c>
      <c r="D9">
        <v>0.7</v>
      </c>
      <c r="F9" s="9">
        <f t="shared" si="0"/>
        <v>0.7</v>
      </c>
    </row>
    <row r="10" spans="1:15" x14ac:dyDescent="0.2">
      <c r="A10" s="6"/>
      <c r="F10" s="9">
        <f t="shared" si="0"/>
        <v>0</v>
      </c>
    </row>
    <row r="11" spans="1:15" x14ac:dyDescent="0.2">
      <c r="F11" s="9">
        <f t="shared" si="0"/>
        <v>0</v>
      </c>
    </row>
    <row r="12" spans="1:15" x14ac:dyDescent="0.2">
      <c r="A12" s="226" t="s">
        <v>270</v>
      </c>
      <c r="B12" s="10"/>
      <c r="C12" s="10"/>
      <c r="D12" s="10"/>
      <c r="F12" s="9">
        <f t="shared" si="0"/>
        <v>0</v>
      </c>
      <c r="H12" s="1514" t="s">
        <v>3286</v>
      </c>
      <c r="I12" s="1514"/>
      <c r="J12" s="1514"/>
      <c r="K12" s="1514"/>
      <c r="L12" s="1514"/>
      <c r="M12" s="1514"/>
      <c r="N12" s="1514"/>
      <c r="O12" s="1514"/>
    </row>
    <row r="13" spans="1:15" x14ac:dyDescent="0.2">
      <c r="A13" s="6" t="s">
        <v>272</v>
      </c>
      <c r="B13" t="s">
        <v>271</v>
      </c>
      <c r="C13" t="s">
        <v>267</v>
      </c>
      <c r="D13" s="243">
        <v>150000</v>
      </c>
      <c r="E13" s="243">
        <v>25000</v>
      </c>
      <c r="F13" s="9">
        <f t="shared" si="0"/>
        <v>25000</v>
      </c>
      <c r="H13" s="1515" t="s">
        <v>444</v>
      </c>
      <c r="I13" s="1515"/>
      <c r="J13" s="1515" t="s">
        <v>3018</v>
      </c>
      <c r="K13" s="1515"/>
      <c r="L13" s="1515" t="s">
        <v>1522</v>
      </c>
      <c r="M13" s="1515"/>
      <c r="N13" s="1515" t="s">
        <v>3019</v>
      </c>
      <c r="O13" s="1515"/>
    </row>
    <row r="14" spans="1:15" x14ac:dyDescent="0.2">
      <c r="A14" s="6" t="s">
        <v>273</v>
      </c>
      <c r="B14" t="s">
        <v>274</v>
      </c>
      <c r="C14" t="s">
        <v>1081</v>
      </c>
      <c r="D14">
        <v>0.1</v>
      </c>
      <c r="E14" s="33"/>
      <c r="F14" s="9">
        <f>IF(ISBLANK(E14),D14,E14)</f>
        <v>0.1</v>
      </c>
      <c r="H14" s="9" t="s">
        <v>3287</v>
      </c>
      <c r="I14" s="9" t="s">
        <v>3288</v>
      </c>
      <c r="J14" s="9" t="s">
        <v>3287</v>
      </c>
      <c r="K14" s="9" t="s">
        <v>3288</v>
      </c>
      <c r="L14" s="9" t="s">
        <v>3287</v>
      </c>
      <c r="M14" s="9" t="s">
        <v>3288</v>
      </c>
      <c r="N14" s="9" t="s">
        <v>3287</v>
      </c>
      <c r="O14" s="9" t="s">
        <v>3288</v>
      </c>
    </row>
    <row r="15" spans="1:15" x14ac:dyDescent="0.2">
      <c r="A15" s="6" t="s">
        <v>278</v>
      </c>
      <c r="B15" t="s">
        <v>279</v>
      </c>
      <c r="C15" t="s">
        <v>1081</v>
      </c>
      <c r="D15">
        <v>0.9</v>
      </c>
      <c r="E15" s="33"/>
      <c r="F15" s="9">
        <f>IF(ISBLANK(E15),D15,E15)</f>
        <v>0.9</v>
      </c>
      <c r="H15" s="27">
        <f>F13/1050</f>
        <v>23.80952380952381</v>
      </c>
      <c r="I15" s="27">
        <f>F13/(1050)*2</f>
        <v>47.61904761904762</v>
      </c>
      <c r="J15" s="27">
        <f>Inputs!F13/Units!C45</f>
        <v>27.557774875025494</v>
      </c>
      <c r="K15" s="27">
        <f>Inputs!F13/(Units!C45)*2</f>
        <v>55.115549750050988</v>
      </c>
      <c r="L15" s="27">
        <f>J15*Units!C55*Units!C52</f>
        <v>241406.1079052233</v>
      </c>
      <c r="M15" s="27">
        <f>K15*Units!C55*Units!C52</f>
        <v>482812.21581044659</v>
      </c>
      <c r="N15" s="27">
        <f>J15*Units!C55</f>
        <v>661.3865970006118</v>
      </c>
      <c r="O15" s="27">
        <f>N15*2</f>
        <v>1322.7731940012236</v>
      </c>
    </row>
    <row r="16" spans="1:15" x14ac:dyDescent="0.2">
      <c r="A16" s="6" t="s">
        <v>1335</v>
      </c>
      <c r="B16" t="s">
        <v>1336</v>
      </c>
      <c r="C16" t="s">
        <v>1081</v>
      </c>
      <c r="D16">
        <v>0.6</v>
      </c>
      <c r="F16" s="9">
        <f t="shared" si="0"/>
        <v>0.6</v>
      </c>
      <c r="J16" s="243"/>
    </row>
    <row r="17" spans="1:6" x14ac:dyDescent="0.2">
      <c r="A17" s="6" t="s">
        <v>1337</v>
      </c>
      <c r="B17" t="s">
        <v>1338</v>
      </c>
      <c r="C17" t="s">
        <v>1081</v>
      </c>
      <c r="D17">
        <v>0.4</v>
      </c>
      <c r="F17" s="9">
        <f t="shared" si="0"/>
        <v>0.4</v>
      </c>
    </row>
    <row r="18" spans="1:6" x14ac:dyDescent="0.2">
      <c r="A18" s="6"/>
      <c r="B18" s="6"/>
      <c r="C18" s="6"/>
      <c r="D18" s="6"/>
      <c r="F18" s="9">
        <f t="shared" si="0"/>
        <v>0</v>
      </c>
    </row>
    <row r="19" spans="1:6" x14ac:dyDescent="0.2">
      <c r="A19" s="6"/>
      <c r="B19" s="6"/>
      <c r="C19" s="6"/>
      <c r="D19" s="6"/>
      <c r="F19" s="9">
        <f t="shared" si="0"/>
        <v>0</v>
      </c>
    </row>
    <row r="20" spans="1:6" x14ac:dyDescent="0.2">
      <c r="A20" s="6"/>
      <c r="B20" s="6"/>
      <c r="C20" s="6"/>
      <c r="D20" s="6"/>
      <c r="F20" s="9">
        <f t="shared" si="0"/>
        <v>0</v>
      </c>
    </row>
    <row r="21" spans="1:6" x14ac:dyDescent="0.2">
      <c r="A21" s="226" t="s">
        <v>1576</v>
      </c>
      <c r="B21" s="226"/>
      <c r="C21" s="226"/>
      <c r="D21" s="226"/>
      <c r="F21" s="9">
        <f t="shared" si="0"/>
        <v>0</v>
      </c>
    </row>
    <row r="22" spans="1:6" x14ac:dyDescent="0.2">
      <c r="A22" s="6" t="s">
        <v>1301</v>
      </c>
      <c r="B22" t="s">
        <v>1315</v>
      </c>
      <c r="C22" t="s">
        <v>1345</v>
      </c>
      <c r="D22">
        <v>0.4052</v>
      </c>
      <c r="F22" s="9">
        <f t="shared" si="0"/>
        <v>0.4052</v>
      </c>
    </row>
    <row r="23" spans="1:6" x14ac:dyDescent="0.2">
      <c r="A23" s="6" t="s">
        <v>1302</v>
      </c>
      <c r="B23" t="s">
        <v>1317</v>
      </c>
      <c r="C23" t="s">
        <v>1346</v>
      </c>
      <c r="D23">
        <v>0.39960000000000001</v>
      </c>
      <c r="F23" s="9">
        <f t="shared" si="0"/>
        <v>0.39960000000000001</v>
      </c>
    </row>
    <row r="24" spans="1:6" x14ac:dyDescent="0.2">
      <c r="A24" s="6" t="s">
        <v>1303</v>
      </c>
      <c r="B24" t="s">
        <v>1318</v>
      </c>
      <c r="C24" t="s">
        <v>1316</v>
      </c>
      <c r="D24">
        <v>1500</v>
      </c>
      <c r="F24" s="9">
        <f t="shared" si="0"/>
        <v>1500</v>
      </c>
    </row>
    <row r="25" spans="1:6" x14ac:dyDescent="0.2">
      <c r="A25" s="6" t="s">
        <v>1304</v>
      </c>
      <c r="B25" t="s">
        <v>1319</v>
      </c>
      <c r="C25" t="s">
        <v>1316</v>
      </c>
      <c r="D25">
        <v>670</v>
      </c>
      <c r="F25" s="9">
        <f t="shared" si="0"/>
        <v>670</v>
      </c>
    </row>
    <row r="26" spans="1:6" x14ac:dyDescent="0.2">
      <c r="A26" s="6" t="s">
        <v>1305</v>
      </c>
      <c r="B26" t="s">
        <v>1320</v>
      </c>
      <c r="C26" t="s">
        <v>1316</v>
      </c>
      <c r="D26">
        <v>870</v>
      </c>
      <c r="F26" s="9">
        <f t="shared" si="0"/>
        <v>870</v>
      </c>
    </row>
    <row r="27" spans="1:6" x14ac:dyDescent="0.2">
      <c r="A27" s="6" t="s">
        <v>1306</v>
      </c>
      <c r="B27" t="s">
        <v>1321</v>
      </c>
      <c r="C27" t="s">
        <v>1316</v>
      </c>
      <c r="D27">
        <v>580</v>
      </c>
      <c r="F27" s="9">
        <f t="shared" si="0"/>
        <v>580</v>
      </c>
    </row>
    <row r="28" spans="1:6" x14ac:dyDescent="0.2">
      <c r="A28" s="6" t="s">
        <v>1307</v>
      </c>
      <c r="B28" t="s">
        <v>1322</v>
      </c>
      <c r="C28" t="s">
        <v>1316</v>
      </c>
      <c r="D28">
        <v>190</v>
      </c>
      <c r="F28" s="9">
        <f t="shared" si="0"/>
        <v>190</v>
      </c>
    </row>
    <row r="29" spans="1:6" x14ac:dyDescent="0.2">
      <c r="A29" s="6" t="s">
        <v>1308</v>
      </c>
      <c r="B29" t="s">
        <v>1323</v>
      </c>
      <c r="C29" t="s">
        <v>1316</v>
      </c>
      <c r="D29">
        <v>380</v>
      </c>
      <c r="F29" s="9">
        <f t="shared" si="0"/>
        <v>380</v>
      </c>
    </row>
    <row r="30" spans="1:6" x14ac:dyDescent="0.2">
      <c r="A30" s="6" t="s">
        <v>1309</v>
      </c>
      <c r="B30" t="s">
        <v>1324</v>
      </c>
      <c r="C30" t="s">
        <v>1330</v>
      </c>
      <c r="D30">
        <v>2.5000000000000001E-2</v>
      </c>
      <c r="F30" s="9">
        <f t="shared" si="0"/>
        <v>2.5000000000000001E-2</v>
      </c>
    </row>
    <row r="31" spans="1:6" x14ac:dyDescent="0.2">
      <c r="A31" s="6" t="s">
        <v>1331</v>
      </c>
      <c r="B31" t="s">
        <v>1332</v>
      </c>
      <c r="C31" t="s">
        <v>1333</v>
      </c>
      <c r="D31">
        <v>0.28999999999999998</v>
      </c>
      <c r="F31" s="9">
        <f t="shared" si="0"/>
        <v>0.28999999999999998</v>
      </c>
    </row>
    <row r="32" spans="1:6" x14ac:dyDescent="0.2">
      <c r="A32" s="6" t="s">
        <v>1310</v>
      </c>
      <c r="B32" t="s">
        <v>1328</v>
      </c>
      <c r="C32" t="s">
        <v>1333</v>
      </c>
      <c r="D32">
        <v>0.69</v>
      </c>
      <c r="F32" s="9">
        <f t="shared" si="0"/>
        <v>0.69</v>
      </c>
    </row>
    <row r="33" spans="1:6" x14ac:dyDescent="0.2">
      <c r="A33" s="6" t="s">
        <v>1311</v>
      </c>
      <c r="B33" t="s">
        <v>1325</v>
      </c>
      <c r="C33" t="s">
        <v>1333</v>
      </c>
      <c r="D33">
        <v>0.02</v>
      </c>
      <c r="F33" s="9">
        <f t="shared" si="0"/>
        <v>0.02</v>
      </c>
    </row>
    <row r="34" spans="1:6" x14ac:dyDescent="0.2">
      <c r="A34" s="6" t="s">
        <v>1312</v>
      </c>
      <c r="B34" t="s">
        <v>1327</v>
      </c>
      <c r="C34" t="s">
        <v>1330</v>
      </c>
      <c r="D34">
        <v>1.2999999999999999E-2</v>
      </c>
      <c r="F34" s="9">
        <f t="shared" si="0"/>
        <v>1.2999999999999999E-2</v>
      </c>
    </row>
    <row r="35" spans="1:6" x14ac:dyDescent="0.2">
      <c r="A35" s="6" t="s">
        <v>1313</v>
      </c>
      <c r="B35" t="s">
        <v>1326</v>
      </c>
      <c r="C35" t="s">
        <v>1334</v>
      </c>
      <c r="D35">
        <v>0.01</v>
      </c>
      <c r="F35" s="9">
        <f t="shared" si="0"/>
        <v>0.01</v>
      </c>
    </row>
    <row r="36" spans="1:6" x14ac:dyDescent="0.2">
      <c r="A36" s="6" t="s">
        <v>1314</v>
      </c>
      <c r="B36" t="s">
        <v>1329</v>
      </c>
      <c r="C36" t="s">
        <v>1334</v>
      </c>
      <c r="D36">
        <v>0.99</v>
      </c>
      <c r="F36" s="9">
        <f t="shared" si="0"/>
        <v>0.99</v>
      </c>
    </row>
    <row r="37" spans="1:6" x14ac:dyDescent="0.2">
      <c r="A37" s="6" t="s">
        <v>1594</v>
      </c>
      <c r="B37" t="s">
        <v>1596</v>
      </c>
      <c r="C37" t="s">
        <v>1595</v>
      </c>
      <c r="D37">
        <v>7.57575E-3</v>
      </c>
      <c r="F37" s="9">
        <f t="shared" si="0"/>
        <v>7.57575E-3</v>
      </c>
    </row>
    <row r="38" spans="1:6" x14ac:dyDescent="0.2">
      <c r="A38" s="6" t="s">
        <v>1577</v>
      </c>
      <c r="B38" t="s">
        <v>1578</v>
      </c>
      <c r="C38" t="s">
        <v>1041</v>
      </c>
      <c r="D38">
        <v>0.3</v>
      </c>
      <c r="F38" s="9">
        <f t="shared" si="0"/>
        <v>0.3</v>
      </c>
    </row>
    <row r="39" spans="1:6" x14ac:dyDescent="0.2">
      <c r="A39" s="6" t="s">
        <v>3090</v>
      </c>
      <c r="B39" t="s">
        <v>3091</v>
      </c>
      <c r="C39" t="s">
        <v>1081</v>
      </c>
      <c r="D39">
        <v>0.5</v>
      </c>
      <c r="F39" s="9">
        <f t="shared" si="0"/>
        <v>0.5</v>
      </c>
    </row>
    <row r="40" spans="1:6" x14ac:dyDescent="0.2">
      <c r="A40" s="6"/>
      <c r="D40" s="6"/>
      <c r="F40" s="9">
        <f t="shared" si="0"/>
        <v>0</v>
      </c>
    </row>
    <row r="41" spans="1:6" x14ac:dyDescent="0.2">
      <c r="A41" s="6"/>
      <c r="B41" s="6"/>
      <c r="C41" s="6"/>
      <c r="D41" s="6"/>
      <c r="F41" s="9">
        <f t="shared" si="0"/>
        <v>0</v>
      </c>
    </row>
    <row r="42" spans="1:6" x14ac:dyDescent="0.2">
      <c r="A42" s="226" t="s">
        <v>1363</v>
      </c>
      <c r="B42" s="226"/>
      <c r="C42" s="226"/>
      <c r="D42" s="226"/>
      <c r="F42" s="9">
        <f t="shared" si="0"/>
        <v>0</v>
      </c>
    </row>
    <row r="43" spans="1:6" x14ac:dyDescent="0.2">
      <c r="A43" s="6" t="s">
        <v>1339</v>
      </c>
      <c r="B43" t="s">
        <v>1343</v>
      </c>
      <c r="C43" t="s">
        <v>1347</v>
      </c>
      <c r="D43">
        <v>0.22900000000000001</v>
      </c>
      <c r="F43" s="9">
        <f t="shared" si="0"/>
        <v>0.22900000000000001</v>
      </c>
    </row>
    <row r="44" spans="1:6" x14ac:dyDescent="0.2">
      <c r="A44" s="6" t="s">
        <v>1340</v>
      </c>
      <c r="B44" t="s">
        <v>1344</v>
      </c>
      <c r="C44" t="s">
        <v>1348</v>
      </c>
      <c r="D44">
        <v>0.17929999999999999</v>
      </c>
      <c r="F44" s="9">
        <f t="shared" si="0"/>
        <v>0.17929999999999999</v>
      </c>
    </row>
    <row r="45" spans="1:6" x14ac:dyDescent="0.2">
      <c r="A45" s="6" t="s">
        <v>1256</v>
      </c>
      <c r="B45" t="s">
        <v>1257</v>
      </c>
      <c r="C45" s="6"/>
      <c r="D45">
        <v>7.4</v>
      </c>
      <c r="F45" s="9">
        <f t="shared" si="0"/>
        <v>7.4</v>
      </c>
    </row>
    <row r="46" spans="1:6" x14ac:dyDescent="0.2">
      <c r="A46" s="6" t="s">
        <v>1258</v>
      </c>
      <c r="B46" t="s">
        <v>1259</v>
      </c>
      <c r="C46" t="s">
        <v>1260</v>
      </c>
      <c r="D46">
        <v>19.3</v>
      </c>
      <c r="F46" s="9">
        <f t="shared" si="0"/>
        <v>19.3</v>
      </c>
    </row>
    <row r="47" spans="1:6" x14ac:dyDescent="0.2">
      <c r="A47" s="6" t="s">
        <v>1261</v>
      </c>
      <c r="B47" t="s">
        <v>1262</v>
      </c>
      <c r="C47" t="s">
        <v>1260</v>
      </c>
      <c r="D47">
        <v>500.4</v>
      </c>
      <c r="F47" s="9">
        <f t="shared" si="0"/>
        <v>500.4</v>
      </c>
    </row>
    <row r="48" spans="1:6" x14ac:dyDescent="0.2">
      <c r="A48" s="6" t="s">
        <v>1263</v>
      </c>
      <c r="B48" t="s">
        <v>1264</v>
      </c>
      <c r="C48" t="s">
        <v>1260</v>
      </c>
      <c r="D48">
        <v>25.2</v>
      </c>
      <c r="F48" s="9">
        <f t="shared" si="0"/>
        <v>25.2</v>
      </c>
    </row>
    <row r="49" spans="1:6" x14ac:dyDescent="0.2">
      <c r="A49" s="6" t="s">
        <v>1265</v>
      </c>
      <c r="B49" t="s">
        <v>1266</v>
      </c>
      <c r="C49" t="s">
        <v>1260</v>
      </c>
      <c r="D49">
        <v>3.7</v>
      </c>
      <c r="F49" s="9">
        <f t="shared" si="0"/>
        <v>3.7</v>
      </c>
    </row>
    <row r="50" spans="1:6" ht="14.25" customHeight="1" x14ac:dyDescent="0.2">
      <c r="A50" s="6" t="s">
        <v>1267</v>
      </c>
      <c r="B50" t="s">
        <v>1268</v>
      </c>
      <c r="C50" t="s">
        <v>1260</v>
      </c>
      <c r="D50">
        <v>27.3</v>
      </c>
      <c r="F50" s="9">
        <f t="shared" si="0"/>
        <v>27.3</v>
      </c>
    </row>
    <row r="51" spans="1:6" x14ac:dyDescent="0.2">
      <c r="A51" s="6" t="s">
        <v>1269</v>
      </c>
      <c r="B51" t="s">
        <v>1270</v>
      </c>
      <c r="C51" t="s">
        <v>1260</v>
      </c>
      <c r="D51">
        <v>9</v>
      </c>
      <c r="F51" s="9">
        <f t="shared" si="0"/>
        <v>9</v>
      </c>
    </row>
    <row r="52" spans="1:6" x14ac:dyDescent="0.2">
      <c r="A52" s="6" t="s">
        <v>1271</v>
      </c>
      <c r="B52" t="s">
        <v>1272</v>
      </c>
      <c r="C52" t="s">
        <v>1260</v>
      </c>
      <c r="D52">
        <v>7.3</v>
      </c>
      <c r="F52" s="9">
        <f t="shared" si="0"/>
        <v>7.3</v>
      </c>
    </row>
    <row r="53" spans="1:6" x14ac:dyDescent="0.2">
      <c r="A53" s="6" t="s">
        <v>1273</v>
      </c>
      <c r="B53" t="s">
        <v>1274</v>
      </c>
      <c r="C53" t="s">
        <v>1260</v>
      </c>
      <c r="D53">
        <v>19.600000000000001</v>
      </c>
      <c r="F53" s="9">
        <f t="shared" si="0"/>
        <v>19.600000000000001</v>
      </c>
    </row>
    <row r="54" spans="1:6" x14ac:dyDescent="0.2">
      <c r="A54" s="6" t="s">
        <v>1275</v>
      </c>
      <c r="B54" t="s">
        <v>1276</v>
      </c>
      <c r="C54" t="s">
        <v>1260</v>
      </c>
      <c r="D54">
        <v>6</v>
      </c>
      <c r="F54" s="9">
        <f t="shared" si="0"/>
        <v>6</v>
      </c>
    </row>
    <row r="55" spans="1:6" x14ac:dyDescent="0.2">
      <c r="A55" s="6" t="s">
        <v>1277</v>
      </c>
      <c r="B55" t="s">
        <v>1278</v>
      </c>
      <c r="C55" t="s">
        <v>1260</v>
      </c>
      <c r="D55">
        <v>3.6</v>
      </c>
      <c r="F55" s="9">
        <f t="shared" si="0"/>
        <v>3.6</v>
      </c>
    </row>
    <row r="56" spans="1:6" x14ac:dyDescent="0.2">
      <c r="A56" s="6" t="s">
        <v>1589</v>
      </c>
      <c r="B56" t="s">
        <v>1590</v>
      </c>
      <c r="C56" t="s">
        <v>1591</v>
      </c>
      <c r="D56" s="243">
        <v>60000</v>
      </c>
      <c r="F56" s="9">
        <f t="shared" si="0"/>
        <v>60000</v>
      </c>
    </row>
    <row r="57" spans="1:6" x14ac:dyDescent="0.2">
      <c r="A57" s="6"/>
      <c r="F57" s="9">
        <f t="shared" si="0"/>
        <v>0</v>
      </c>
    </row>
    <row r="58" spans="1:6" x14ac:dyDescent="0.2">
      <c r="F58" s="9">
        <f t="shared" si="0"/>
        <v>0</v>
      </c>
    </row>
    <row r="59" spans="1:6" x14ac:dyDescent="0.2">
      <c r="A59" s="226" t="s">
        <v>1364</v>
      </c>
      <c r="B59" s="10"/>
      <c r="C59" s="10"/>
      <c r="D59" s="10"/>
      <c r="F59" s="9">
        <f t="shared" si="0"/>
        <v>0</v>
      </c>
    </row>
    <row r="60" spans="1:6" x14ac:dyDescent="0.2">
      <c r="A60" s="6" t="s">
        <v>1341</v>
      </c>
      <c r="B60" t="s">
        <v>1343</v>
      </c>
      <c r="C60" t="s">
        <v>1347</v>
      </c>
      <c r="D60">
        <v>0.22900000000000001</v>
      </c>
      <c r="F60" s="9">
        <f t="shared" si="0"/>
        <v>0.22900000000000001</v>
      </c>
    </row>
    <row r="61" spans="1:6" x14ac:dyDescent="0.2">
      <c r="A61" s="6" t="s">
        <v>1342</v>
      </c>
      <c r="B61" t="s">
        <v>1344</v>
      </c>
      <c r="C61" t="s">
        <v>1348</v>
      </c>
      <c r="D61">
        <v>0.17929999999999999</v>
      </c>
      <c r="F61" s="9">
        <f t="shared" si="0"/>
        <v>0.17929999999999999</v>
      </c>
    </row>
    <row r="62" spans="1:6" x14ac:dyDescent="0.2">
      <c r="A62" s="6" t="s">
        <v>1279</v>
      </c>
      <c r="B62" t="s">
        <v>1280</v>
      </c>
      <c r="D62">
        <v>6.5</v>
      </c>
      <c r="F62" s="9">
        <f t="shared" si="0"/>
        <v>6.5</v>
      </c>
    </row>
    <row r="63" spans="1:6" x14ac:dyDescent="0.2">
      <c r="A63" s="6" t="s">
        <v>1291</v>
      </c>
      <c r="B63" t="s">
        <v>1281</v>
      </c>
      <c r="C63" t="s">
        <v>1260</v>
      </c>
      <c r="D63">
        <v>19.399999999999999</v>
      </c>
      <c r="F63" s="9">
        <f t="shared" si="0"/>
        <v>19.399999999999999</v>
      </c>
    </row>
    <row r="64" spans="1:6" x14ac:dyDescent="0.2">
      <c r="A64" s="6" t="s">
        <v>1292</v>
      </c>
      <c r="B64" t="s">
        <v>1282</v>
      </c>
      <c r="C64" t="s">
        <v>1260</v>
      </c>
      <c r="D64">
        <v>550.79999999999995</v>
      </c>
      <c r="F64" s="9">
        <f t="shared" si="0"/>
        <v>550.79999999999995</v>
      </c>
    </row>
    <row r="65" spans="1:6" x14ac:dyDescent="0.2">
      <c r="A65" s="6" t="s">
        <v>1293</v>
      </c>
      <c r="B65" t="s">
        <v>1283</v>
      </c>
      <c r="C65" t="s">
        <v>1260</v>
      </c>
      <c r="D65">
        <v>25.9</v>
      </c>
      <c r="F65" s="9">
        <f t="shared" si="0"/>
        <v>25.9</v>
      </c>
    </row>
    <row r="66" spans="1:6" x14ac:dyDescent="0.2">
      <c r="A66" s="6" t="s">
        <v>1294</v>
      </c>
      <c r="B66" t="s">
        <v>1284</v>
      </c>
      <c r="C66" t="s">
        <v>1260</v>
      </c>
      <c r="D66">
        <v>36.700000000000003</v>
      </c>
      <c r="F66" s="9">
        <f t="shared" si="0"/>
        <v>36.700000000000003</v>
      </c>
    </row>
    <row r="67" spans="1:6" x14ac:dyDescent="0.2">
      <c r="A67" s="6" t="s">
        <v>1295</v>
      </c>
      <c r="B67" t="s">
        <v>1285</v>
      </c>
      <c r="C67" t="s">
        <v>1260</v>
      </c>
      <c r="D67">
        <v>26.3</v>
      </c>
      <c r="F67" s="9">
        <f t="shared" si="0"/>
        <v>26.3</v>
      </c>
    </row>
    <row r="68" spans="1:6" x14ac:dyDescent="0.2">
      <c r="A68" s="6" t="s">
        <v>1296</v>
      </c>
      <c r="B68" t="s">
        <v>1286</v>
      </c>
      <c r="C68" t="s">
        <v>1260</v>
      </c>
      <c r="D68">
        <v>29</v>
      </c>
      <c r="F68" s="9">
        <f t="shared" si="0"/>
        <v>29</v>
      </c>
    </row>
    <row r="69" spans="1:6" x14ac:dyDescent="0.2">
      <c r="A69" s="6" t="s">
        <v>1297</v>
      </c>
      <c r="B69" t="s">
        <v>1287</v>
      </c>
      <c r="C69" t="s">
        <v>1260</v>
      </c>
      <c r="D69">
        <v>11.4</v>
      </c>
      <c r="F69" s="9">
        <f t="shared" si="0"/>
        <v>11.4</v>
      </c>
    </row>
    <row r="70" spans="1:6" x14ac:dyDescent="0.2">
      <c r="A70" s="6" t="s">
        <v>1298</v>
      </c>
      <c r="B70" t="s">
        <v>1288</v>
      </c>
      <c r="C70" t="s">
        <v>1260</v>
      </c>
      <c r="D70">
        <v>26.4</v>
      </c>
      <c r="F70" s="9">
        <f t="shared" si="0"/>
        <v>26.4</v>
      </c>
    </row>
    <row r="71" spans="1:6" x14ac:dyDescent="0.2">
      <c r="A71" s="6" t="s">
        <v>1299</v>
      </c>
      <c r="B71" t="s">
        <v>1289</v>
      </c>
      <c r="C71" t="s">
        <v>1260</v>
      </c>
      <c r="D71">
        <v>9.8000000000000007</v>
      </c>
      <c r="F71" s="9">
        <f t="shared" si="0"/>
        <v>9.8000000000000007</v>
      </c>
    </row>
    <row r="72" spans="1:6" x14ac:dyDescent="0.2">
      <c r="A72" s="6" t="s">
        <v>1300</v>
      </c>
      <c r="B72" t="s">
        <v>1290</v>
      </c>
      <c r="C72" t="s">
        <v>1260</v>
      </c>
      <c r="D72">
        <v>4.3</v>
      </c>
      <c r="F72" s="9">
        <f t="shared" si="0"/>
        <v>4.3</v>
      </c>
    </row>
    <row r="73" spans="1:6" x14ac:dyDescent="0.2">
      <c r="A73" s="6" t="s">
        <v>1592</v>
      </c>
      <c r="B73" t="s">
        <v>1593</v>
      </c>
      <c r="C73" t="s">
        <v>1591</v>
      </c>
      <c r="D73" s="243">
        <v>50000</v>
      </c>
      <c r="F73" s="9">
        <f t="shared" si="0"/>
        <v>50000</v>
      </c>
    </row>
    <row r="74" spans="1:6" x14ac:dyDescent="0.2">
      <c r="A74" s="6"/>
      <c r="F74" s="9">
        <f t="shared" si="0"/>
        <v>0</v>
      </c>
    </row>
    <row r="75" spans="1:6" x14ac:dyDescent="0.2">
      <c r="A75" s="6"/>
      <c r="F75" s="9">
        <f t="shared" si="0"/>
        <v>0</v>
      </c>
    </row>
    <row r="76" spans="1:6" x14ac:dyDescent="0.2">
      <c r="A76" s="337" t="s">
        <v>2577</v>
      </c>
      <c r="B76" s="129"/>
      <c r="C76" s="129"/>
      <c r="D76" s="129"/>
      <c r="F76" s="9">
        <f t="shared" si="0"/>
        <v>0</v>
      </c>
    </row>
    <row r="77" spans="1:6" x14ac:dyDescent="0.2">
      <c r="A77" s="6" t="s">
        <v>2578</v>
      </c>
      <c r="B77" t="s">
        <v>2581</v>
      </c>
      <c r="C77" t="s">
        <v>1908</v>
      </c>
      <c r="D77">
        <v>10500</v>
      </c>
      <c r="F77" s="9">
        <f t="shared" si="0"/>
        <v>10500</v>
      </c>
    </row>
    <row r="78" spans="1:6" x14ac:dyDescent="0.2">
      <c r="A78" s="6" t="s">
        <v>2580</v>
      </c>
      <c r="B78" t="s">
        <v>2593</v>
      </c>
      <c r="C78" t="s">
        <v>1908</v>
      </c>
      <c r="D78">
        <v>380</v>
      </c>
      <c r="F78" s="9">
        <f t="shared" si="0"/>
        <v>380</v>
      </c>
    </row>
    <row r="79" spans="1:6" x14ac:dyDescent="0.2">
      <c r="A79" s="6" t="s">
        <v>2582</v>
      </c>
      <c r="B79" t="s">
        <v>2583</v>
      </c>
      <c r="C79" t="s">
        <v>1908</v>
      </c>
      <c r="D79">
        <v>1250</v>
      </c>
      <c r="F79" s="9">
        <f t="shared" si="0"/>
        <v>1250</v>
      </c>
    </row>
    <row r="80" spans="1:6" x14ac:dyDescent="0.2">
      <c r="A80" s="6" t="s">
        <v>2584</v>
      </c>
      <c r="B80" t="s">
        <v>2585</v>
      </c>
      <c r="C80" t="s">
        <v>1908</v>
      </c>
      <c r="D80">
        <v>400</v>
      </c>
      <c r="F80" s="9">
        <f t="shared" si="0"/>
        <v>400</v>
      </c>
    </row>
    <row r="81" spans="1:6" x14ac:dyDescent="0.2">
      <c r="A81" s="6" t="s">
        <v>2579</v>
      </c>
      <c r="B81" t="s">
        <v>2588</v>
      </c>
      <c r="C81" t="s">
        <v>1908</v>
      </c>
      <c r="D81">
        <v>16535.439999999999</v>
      </c>
      <c r="F81" s="9">
        <f t="shared" si="0"/>
        <v>16535.439999999999</v>
      </c>
    </row>
    <row r="82" spans="1:6" x14ac:dyDescent="0.2">
      <c r="A82" s="6" t="s">
        <v>2586</v>
      </c>
      <c r="B82" t="s">
        <v>2587</v>
      </c>
      <c r="C82" t="s">
        <v>1908</v>
      </c>
      <c r="D82">
        <v>5899.07</v>
      </c>
      <c r="F82" s="9">
        <f t="shared" si="0"/>
        <v>5899.07</v>
      </c>
    </row>
    <row r="83" spans="1:6" x14ac:dyDescent="0.2">
      <c r="A83" s="6"/>
      <c r="F83" s="9">
        <f t="shared" si="0"/>
        <v>0</v>
      </c>
    </row>
    <row r="84" spans="1:6" x14ac:dyDescent="0.2">
      <c r="A84" s="6"/>
      <c r="F84" s="9">
        <f t="shared" si="0"/>
        <v>0</v>
      </c>
    </row>
    <row r="85" spans="1:6" x14ac:dyDescent="0.2">
      <c r="A85" s="826" t="s">
        <v>2317</v>
      </c>
      <c r="B85" s="827"/>
      <c r="C85" s="827"/>
      <c r="D85" s="827"/>
      <c r="E85" s="827"/>
      <c r="F85" s="9">
        <f t="shared" si="0"/>
        <v>0</v>
      </c>
    </row>
    <row r="86" spans="1:6" x14ac:dyDescent="0.2">
      <c r="A86" s="6" t="s">
        <v>911</v>
      </c>
      <c r="B86" t="s">
        <v>288</v>
      </c>
      <c r="C86" t="s">
        <v>23</v>
      </c>
      <c r="D86">
        <v>6</v>
      </c>
      <c r="F86" s="9">
        <f t="shared" si="0"/>
        <v>6</v>
      </c>
    </row>
    <row r="87" spans="1:6" x14ac:dyDescent="0.2">
      <c r="A87" s="6" t="s">
        <v>1029</v>
      </c>
      <c r="B87" t="s">
        <v>312</v>
      </c>
      <c r="C87" t="s">
        <v>161</v>
      </c>
      <c r="D87">
        <v>298.14999999999998</v>
      </c>
      <c r="F87" s="9">
        <f t="shared" si="0"/>
        <v>298.14999999999998</v>
      </c>
    </row>
    <row r="88" spans="1:6" x14ac:dyDescent="0.2">
      <c r="A88" s="6" t="s">
        <v>1030</v>
      </c>
      <c r="B88" t="s">
        <v>814</v>
      </c>
      <c r="C88" t="s">
        <v>391</v>
      </c>
      <c r="D88">
        <v>18</v>
      </c>
      <c r="F88" s="9">
        <f t="shared" si="0"/>
        <v>18</v>
      </c>
    </row>
    <row r="89" spans="1:6" x14ac:dyDescent="0.2">
      <c r="A89" s="6" t="s">
        <v>291</v>
      </c>
      <c r="B89" t="s">
        <v>292</v>
      </c>
      <c r="D89">
        <v>1</v>
      </c>
      <c r="F89" s="9">
        <f t="shared" si="0"/>
        <v>1</v>
      </c>
    </row>
    <row r="90" spans="1:6" x14ac:dyDescent="0.2">
      <c r="A90" s="6" t="s">
        <v>293</v>
      </c>
      <c r="B90" t="s">
        <v>770</v>
      </c>
      <c r="C90" t="s">
        <v>764</v>
      </c>
      <c r="D90">
        <v>2</v>
      </c>
      <c r="F90" s="9">
        <f t="shared" si="0"/>
        <v>2</v>
      </c>
    </row>
    <row r="91" spans="1:6" x14ac:dyDescent="0.2">
      <c r="A91" s="6" t="s">
        <v>295</v>
      </c>
      <c r="B91" t="s">
        <v>766</v>
      </c>
      <c r="C91" t="s">
        <v>769</v>
      </c>
      <c r="D91">
        <v>0.6</v>
      </c>
      <c r="F91" s="9">
        <f t="shared" si="0"/>
        <v>0.6</v>
      </c>
    </row>
    <row r="92" spans="1:6" x14ac:dyDescent="0.2">
      <c r="A92" s="6" t="s">
        <v>297</v>
      </c>
      <c r="B92" t="s">
        <v>767</v>
      </c>
      <c r="C92" t="s">
        <v>769</v>
      </c>
      <c r="D92">
        <v>0.3</v>
      </c>
      <c r="F92" s="9">
        <f t="shared" si="0"/>
        <v>0.3</v>
      </c>
    </row>
    <row r="93" spans="1:6" x14ac:dyDescent="0.2">
      <c r="A93" s="6" t="s">
        <v>1082</v>
      </c>
      <c r="B93" t="s">
        <v>1083</v>
      </c>
      <c r="C93" t="s">
        <v>769</v>
      </c>
      <c r="D93">
        <v>0.3</v>
      </c>
      <c r="F93" s="9">
        <f t="shared" si="0"/>
        <v>0.3</v>
      </c>
    </row>
    <row r="94" spans="1:6" x14ac:dyDescent="0.2">
      <c r="A94" s="6" t="s">
        <v>296</v>
      </c>
      <c r="B94" t="s">
        <v>765</v>
      </c>
      <c r="C94" t="s">
        <v>764</v>
      </c>
      <c r="D94">
        <v>2</v>
      </c>
      <c r="F94" s="9">
        <f t="shared" si="0"/>
        <v>2</v>
      </c>
    </row>
    <row r="95" spans="1:6" x14ac:dyDescent="0.2">
      <c r="A95" s="6" t="s">
        <v>299</v>
      </c>
      <c r="B95" t="s">
        <v>768</v>
      </c>
      <c r="C95" t="s">
        <v>764</v>
      </c>
      <c r="D95">
        <v>1</v>
      </c>
      <c r="F95" s="9">
        <f t="shared" si="0"/>
        <v>1</v>
      </c>
    </row>
    <row r="96" spans="1:6" x14ac:dyDescent="0.2">
      <c r="A96" s="6" t="s">
        <v>300</v>
      </c>
      <c r="B96" t="s">
        <v>301</v>
      </c>
      <c r="C96" t="s">
        <v>302</v>
      </c>
      <c r="D96">
        <v>10</v>
      </c>
      <c r="F96" s="9">
        <f t="shared" si="0"/>
        <v>10</v>
      </c>
    </row>
    <row r="97" spans="1:6" x14ac:dyDescent="0.2">
      <c r="A97" s="6" t="s">
        <v>303</v>
      </c>
      <c r="B97" t="s">
        <v>304</v>
      </c>
      <c r="C97" t="s">
        <v>305</v>
      </c>
      <c r="D97">
        <v>5</v>
      </c>
      <c r="F97" s="9">
        <f t="shared" si="0"/>
        <v>5</v>
      </c>
    </row>
    <row r="98" spans="1:6" x14ac:dyDescent="0.2">
      <c r="A98" s="6" t="s">
        <v>306</v>
      </c>
      <c r="B98" t="s">
        <v>307</v>
      </c>
      <c r="C98" t="s">
        <v>305</v>
      </c>
      <c r="D98">
        <v>5</v>
      </c>
      <c r="F98" s="9">
        <f t="shared" si="0"/>
        <v>5</v>
      </c>
    </row>
    <row r="99" spans="1:6" x14ac:dyDescent="0.2">
      <c r="A99" s="6" t="s">
        <v>308</v>
      </c>
      <c r="B99" t="s">
        <v>309</v>
      </c>
      <c r="C99" t="s">
        <v>7</v>
      </c>
      <c r="D99">
        <v>1</v>
      </c>
      <c r="F99" s="9">
        <f t="shared" si="0"/>
        <v>1</v>
      </c>
    </row>
    <row r="100" spans="1:6" x14ac:dyDescent="0.2">
      <c r="A100" s="6" t="s">
        <v>310</v>
      </c>
      <c r="B100" t="s">
        <v>311</v>
      </c>
      <c r="C100" t="s">
        <v>10</v>
      </c>
      <c r="D100">
        <v>0.01</v>
      </c>
      <c r="F100" s="9">
        <f t="shared" si="0"/>
        <v>0.01</v>
      </c>
    </row>
    <row r="101" spans="1:6" x14ac:dyDescent="0.2">
      <c r="A101" s="6" t="s">
        <v>315</v>
      </c>
      <c r="B101" t="s">
        <v>316</v>
      </c>
      <c r="C101" t="s">
        <v>335</v>
      </c>
      <c r="D101">
        <v>1</v>
      </c>
      <c r="F101" s="9">
        <f t="shared" si="0"/>
        <v>1</v>
      </c>
    </row>
    <row r="102" spans="1:6" x14ac:dyDescent="0.2">
      <c r="A102" s="6" t="s">
        <v>313</v>
      </c>
      <c r="B102" t="s">
        <v>314</v>
      </c>
      <c r="C102" t="s">
        <v>10</v>
      </c>
      <c r="D102">
        <v>4.5</v>
      </c>
      <c r="F102" s="9">
        <f t="shared" si="0"/>
        <v>4.5</v>
      </c>
    </row>
    <row r="103" spans="1:6" x14ac:dyDescent="0.2">
      <c r="A103" s="6" t="s">
        <v>758</v>
      </c>
      <c r="B103" t="s">
        <v>759</v>
      </c>
      <c r="C103" t="s">
        <v>760</v>
      </c>
      <c r="D103">
        <v>500</v>
      </c>
      <c r="F103" s="9">
        <f t="shared" si="0"/>
        <v>500</v>
      </c>
    </row>
    <row r="104" spans="1:6" x14ac:dyDescent="0.2">
      <c r="A104" s="6" t="s">
        <v>761</v>
      </c>
      <c r="B104" t="s">
        <v>762</v>
      </c>
      <c r="C104" t="s">
        <v>787</v>
      </c>
      <c r="D104">
        <v>100</v>
      </c>
      <c r="F104" s="9">
        <f t="shared" si="0"/>
        <v>100</v>
      </c>
    </row>
    <row r="105" spans="1:6" x14ac:dyDescent="0.2">
      <c r="A105" s="6" t="s">
        <v>771</v>
      </c>
      <c r="B105" t="s">
        <v>772</v>
      </c>
      <c r="C105" t="s">
        <v>10</v>
      </c>
      <c r="D105">
        <v>1E-3</v>
      </c>
      <c r="F105" s="9">
        <f t="shared" si="0"/>
        <v>1E-3</v>
      </c>
    </row>
    <row r="106" spans="1:6" x14ac:dyDescent="0.2">
      <c r="A106" s="6" t="s">
        <v>776</v>
      </c>
      <c r="B106" t="s">
        <v>775</v>
      </c>
      <c r="C106" t="s">
        <v>788</v>
      </c>
      <c r="D106">
        <v>3</v>
      </c>
      <c r="F106" s="9">
        <f t="shared" si="0"/>
        <v>3</v>
      </c>
    </row>
    <row r="107" spans="1:6" x14ac:dyDescent="0.2">
      <c r="A107" s="6" t="s">
        <v>778</v>
      </c>
      <c r="B107" t="s">
        <v>780</v>
      </c>
      <c r="C107" t="s">
        <v>788</v>
      </c>
      <c r="D107">
        <v>1</v>
      </c>
      <c r="F107" s="9">
        <f t="shared" si="0"/>
        <v>1</v>
      </c>
    </row>
    <row r="108" spans="1:6" x14ac:dyDescent="0.2">
      <c r="A108" s="6" t="s">
        <v>777</v>
      </c>
      <c r="B108" t="s">
        <v>781</v>
      </c>
      <c r="C108" t="s">
        <v>788</v>
      </c>
      <c r="D108">
        <v>1</v>
      </c>
      <c r="F108" s="9">
        <f t="shared" si="0"/>
        <v>1</v>
      </c>
    </row>
    <row r="109" spans="1:6" x14ac:dyDescent="0.2">
      <c r="A109" s="6" t="s">
        <v>779</v>
      </c>
      <c r="B109" t="s">
        <v>782</v>
      </c>
      <c r="C109" t="s">
        <v>788</v>
      </c>
      <c r="D109">
        <v>2</v>
      </c>
      <c r="F109" s="9">
        <f t="shared" si="0"/>
        <v>2</v>
      </c>
    </row>
    <row r="110" spans="1:6" x14ac:dyDescent="0.2">
      <c r="A110" s="6" t="s">
        <v>793</v>
      </c>
      <c r="B110" t="s">
        <v>794</v>
      </c>
      <c r="C110" t="s">
        <v>7</v>
      </c>
      <c r="D110">
        <v>1.44</v>
      </c>
      <c r="F110" s="9">
        <f t="shared" si="0"/>
        <v>1.44</v>
      </c>
    </row>
    <row r="111" spans="1:6" x14ac:dyDescent="0.2">
      <c r="A111" s="6" t="s">
        <v>795</v>
      </c>
      <c r="B111" t="s">
        <v>796</v>
      </c>
      <c r="C111" t="s">
        <v>10</v>
      </c>
      <c r="D111">
        <v>0.25</v>
      </c>
      <c r="F111" s="9">
        <f t="shared" si="0"/>
        <v>0.25</v>
      </c>
    </row>
    <row r="112" spans="1:6" x14ac:dyDescent="0.2">
      <c r="A112" s="6" t="s">
        <v>825</v>
      </c>
      <c r="B112" t="s">
        <v>819</v>
      </c>
      <c r="C112" t="s">
        <v>820</v>
      </c>
      <c r="D112">
        <v>4</v>
      </c>
      <c r="F112" s="9">
        <f t="shared" si="0"/>
        <v>4</v>
      </c>
    </row>
    <row r="113" spans="1:6" x14ac:dyDescent="0.2">
      <c r="A113" s="6" t="s">
        <v>827</v>
      </c>
      <c r="B113" t="s">
        <v>1108</v>
      </c>
      <c r="C113" t="s">
        <v>1</v>
      </c>
      <c r="D113">
        <v>1</v>
      </c>
      <c r="F113" s="9">
        <f t="shared" si="0"/>
        <v>1</v>
      </c>
    </row>
    <row r="114" spans="1:6" x14ac:dyDescent="0.2">
      <c r="A114" s="6" t="s">
        <v>830</v>
      </c>
      <c r="B114" t="s">
        <v>831</v>
      </c>
      <c r="C114" t="s">
        <v>824</v>
      </c>
      <c r="D114">
        <v>1.2</v>
      </c>
      <c r="F114" s="9">
        <f t="shared" si="0"/>
        <v>1.2</v>
      </c>
    </row>
    <row r="115" spans="1:6" x14ac:dyDescent="0.2">
      <c r="A115" s="6" t="s">
        <v>1107</v>
      </c>
      <c r="B115" t="s">
        <v>1109</v>
      </c>
      <c r="C115" t="s">
        <v>275</v>
      </c>
      <c r="D115">
        <v>80</v>
      </c>
      <c r="F115" s="9">
        <f t="shared" si="0"/>
        <v>80</v>
      </c>
    </row>
    <row r="116" spans="1:6" x14ac:dyDescent="0.2">
      <c r="F116" s="9">
        <f t="shared" si="0"/>
        <v>0</v>
      </c>
    </row>
    <row r="117" spans="1:6" x14ac:dyDescent="0.2">
      <c r="A117" s="6"/>
      <c r="F117" s="9">
        <f t="shared" si="0"/>
        <v>0</v>
      </c>
    </row>
    <row r="118" spans="1:6" x14ac:dyDescent="0.2">
      <c r="A118" s="829" t="s">
        <v>2318</v>
      </c>
      <c r="B118" s="161"/>
      <c r="C118" s="161"/>
      <c r="D118" s="161"/>
      <c r="E118" s="161"/>
      <c r="F118" s="9">
        <f t="shared" si="0"/>
        <v>0</v>
      </c>
    </row>
    <row r="119" spans="1:6" x14ac:dyDescent="0.2">
      <c r="A119" s="6" t="s">
        <v>2816</v>
      </c>
      <c r="B119" s="76" t="s">
        <v>2817</v>
      </c>
      <c r="C119" s="25" t="s">
        <v>302</v>
      </c>
      <c r="D119" s="76">
        <v>250</v>
      </c>
      <c r="F119" s="9">
        <f t="shared" si="0"/>
        <v>250</v>
      </c>
    </row>
    <row r="120" spans="1:6" x14ac:dyDescent="0.2">
      <c r="A120" s="6"/>
      <c r="B120" s="76" t="s">
        <v>2651</v>
      </c>
      <c r="C120" s="25" t="s">
        <v>302</v>
      </c>
      <c r="D120" s="76">
        <v>175</v>
      </c>
      <c r="F120" s="9">
        <f t="shared" si="0"/>
        <v>175</v>
      </c>
    </row>
    <row r="121" spans="1:6" x14ac:dyDescent="0.2">
      <c r="A121" s="6"/>
      <c r="B121" s="76" t="s">
        <v>2818</v>
      </c>
      <c r="C121" s="25" t="s">
        <v>2656</v>
      </c>
      <c r="D121" s="76">
        <v>3750</v>
      </c>
      <c r="F121" s="9">
        <f t="shared" si="0"/>
        <v>3750</v>
      </c>
    </row>
    <row r="122" spans="1:6" x14ac:dyDescent="0.2">
      <c r="A122" s="6"/>
      <c r="B122" s="76" t="s">
        <v>2819</v>
      </c>
      <c r="C122" s="25" t="s">
        <v>23</v>
      </c>
      <c r="D122" s="76">
        <v>84</v>
      </c>
      <c r="F122" s="9">
        <f t="shared" si="0"/>
        <v>84</v>
      </c>
    </row>
    <row r="123" spans="1:6" x14ac:dyDescent="0.2">
      <c r="A123" s="6"/>
      <c r="B123" s="76" t="s">
        <v>2820</v>
      </c>
      <c r="C123" s="25" t="s">
        <v>902</v>
      </c>
      <c r="D123" s="76">
        <v>55</v>
      </c>
      <c r="F123" s="9">
        <f t="shared" si="0"/>
        <v>55</v>
      </c>
    </row>
    <row r="124" spans="1:6" x14ac:dyDescent="0.2">
      <c r="A124" s="6" t="s">
        <v>2821</v>
      </c>
      <c r="B124" t="s">
        <v>2825</v>
      </c>
      <c r="C124" s="24" t="s">
        <v>1</v>
      </c>
      <c r="D124">
        <v>50</v>
      </c>
      <c r="F124" s="9">
        <f t="shared" si="0"/>
        <v>50</v>
      </c>
    </row>
    <row r="125" spans="1:6" x14ac:dyDescent="0.2">
      <c r="A125" s="6" t="s">
        <v>2822</v>
      </c>
      <c r="B125" t="s">
        <v>831</v>
      </c>
      <c r="C125" s="24" t="s">
        <v>824</v>
      </c>
      <c r="D125">
        <v>1.2</v>
      </c>
      <c r="F125" s="9">
        <f t="shared" si="0"/>
        <v>1.2</v>
      </c>
    </row>
    <row r="126" spans="1:6" x14ac:dyDescent="0.2">
      <c r="A126" s="6" t="s">
        <v>2823</v>
      </c>
      <c r="B126" t="s">
        <v>2826</v>
      </c>
      <c r="C126" s="24" t="s">
        <v>1081</v>
      </c>
      <c r="D126">
        <v>0.8</v>
      </c>
      <c r="F126" s="9">
        <f t="shared" si="0"/>
        <v>0.8</v>
      </c>
    </row>
    <row r="127" spans="1:6" x14ac:dyDescent="0.2">
      <c r="A127" s="6" t="s">
        <v>2824</v>
      </c>
      <c r="B127" t="s">
        <v>2827</v>
      </c>
      <c r="C127" t="s">
        <v>281</v>
      </c>
      <c r="D127">
        <v>100</v>
      </c>
      <c r="F127" s="9">
        <f t="shared" si="0"/>
        <v>100</v>
      </c>
    </row>
    <row r="128" spans="1:6" x14ac:dyDescent="0.2">
      <c r="A128" s="6" t="s">
        <v>2828</v>
      </c>
      <c r="B128" t="s">
        <v>2829</v>
      </c>
      <c r="C128" s="24" t="s">
        <v>302</v>
      </c>
      <c r="D128">
        <v>16</v>
      </c>
      <c r="F128" s="9">
        <f t="shared" si="0"/>
        <v>16</v>
      </c>
    </row>
    <row r="129" spans="1:6" x14ac:dyDescent="0.2">
      <c r="A129" s="6" t="s">
        <v>2830</v>
      </c>
      <c r="B129" t="s">
        <v>2831</v>
      </c>
      <c r="C129" s="24" t="s">
        <v>374</v>
      </c>
      <c r="D129">
        <v>5.5</v>
      </c>
      <c r="F129" s="9">
        <f t="shared" si="0"/>
        <v>5.5</v>
      </c>
    </row>
    <row r="130" spans="1:6" x14ac:dyDescent="0.2">
      <c r="A130" s="6" t="s">
        <v>2832</v>
      </c>
      <c r="B130" t="s">
        <v>2833</v>
      </c>
      <c r="C130" s="24" t="s">
        <v>23</v>
      </c>
      <c r="D130">
        <v>96</v>
      </c>
      <c r="F130" s="9">
        <f t="shared" si="0"/>
        <v>96</v>
      </c>
    </row>
    <row r="131" spans="1:6" x14ac:dyDescent="0.2">
      <c r="A131" s="6" t="s">
        <v>2834</v>
      </c>
      <c r="B131" t="s">
        <v>2835</v>
      </c>
      <c r="C131" s="24" t="s">
        <v>902</v>
      </c>
      <c r="D131">
        <v>45</v>
      </c>
      <c r="F131" s="9">
        <f t="shared" si="0"/>
        <v>45</v>
      </c>
    </row>
    <row r="132" spans="1:6" x14ac:dyDescent="0.2">
      <c r="A132" s="6" t="s">
        <v>2836</v>
      </c>
      <c r="B132" t="s">
        <v>2859</v>
      </c>
      <c r="C132" s="24" t="s">
        <v>1</v>
      </c>
      <c r="D132">
        <v>50</v>
      </c>
      <c r="F132" s="9">
        <f t="shared" si="0"/>
        <v>50</v>
      </c>
    </row>
    <row r="133" spans="1:6" x14ac:dyDescent="0.2">
      <c r="A133" s="6" t="s">
        <v>2837</v>
      </c>
      <c r="B133" t="s">
        <v>831</v>
      </c>
      <c r="C133" s="24" t="s">
        <v>824</v>
      </c>
      <c r="D133">
        <v>1.2</v>
      </c>
      <c r="F133" s="9">
        <f t="shared" si="0"/>
        <v>1.2</v>
      </c>
    </row>
    <row r="134" spans="1:6" x14ac:dyDescent="0.2">
      <c r="A134" s="6" t="s">
        <v>2838</v>
      </c>
      <c r="B134" t="s">
        <v>2860</v>
      </c>
      <c r="C134" s="24" t="s">
        <v>275</v>
      </c>
      <c r="D134">
        <v>80</v>
      </c>
      <c r="F134" s="9">
        <f t="shared" si="0"/>
        <v>80</v>
      </c>
    </row>
    <row r="135" spans="1:6" x14ac:dyDescent="0.2">
      <c r="A135" s="6" t="s">
        <v>2839</v>
      </c>
      <c r="B135" t="s">
        <v>2861</v>
      </c>
      <c r="C135" t="s">
        <v>281</v>
      </c>
      <c r="D135">
        <v>100</v>
      </c>
      <c r="F135" s="9">
        <f t="shared" si="0"/>
        <v>100</v>
      </c>
    </row>
    <row r="136" spans="1:6" x14ac:dyDescent="0.2">
      <c r="A136" s="6" t="s">
        <v>2869</v>
      </c>
      <c r="B136" t="s">
        <v>2870</v>
      </c>
      <c r="C136" s="24" t="s">
        <v>23</v>
      </c>
      <c r="D136">
        <v>0.5</v>
      </c>
      <c r="F136" s="9">
        <f t="shared" si="0"/>
        <v>0.5</v>
      </c>
    </row>
    <row r="137" spans="1:6" x14ac:dyDescent="0.2">
      <c r="A137" s="6" t="s">
        <v>2862</v>
      </c>
      <c r="B137" t="s">
        <v>2866</v>
      </c>
      <c r="C137" s="24" t="s">
        <v>1</v>
      </c>
      <c r="D137">
        <v>50</v>
      </c>
      <c r="F137" s="9">
        <f t="shared" si="0"/>
        <v>50</v>
      </c>
    </row>
    <row r="138" spans="1:6" x14ac:dyDescent="0.2">
      <c r="A138" s="6" t="s">
        <v>2863</v>
      </c>
      <c r="B138" t="s">
        <v>831</v>
      </c>
      <c r="C138" s="24" t="s">
        <v>824</v>
      </c>
      <c r="D138">
        <v>1.2</v>
      </c>
      <c r="F138" s="9">
        <f t="shared" si="0"/>
        <v>1.2</v>
      </c>
    </row>
    <row r="139" spans="1:6" x14ac:dyDescent="0.2">
      <c r="A139" s="6" t="s">
        <v>2864</v>
      </c>
      <c r="B139" t="s">
        <v>2867</v>
      </c>
      <c r="C139" s="24" t="s">
        <v>275</v>
      </c>
      <c r="D139">
        <v>0.8</v>
      </c>
      <c r="F139" s="9">
        <f t="shared" si="0"/>
        <v>0.8</v>
      </c>
    </row>
    <row r="140" spans="1:6" x14ac:dyDescent="0.2">
      <c r="A140" s="6" t="s">
        <v>2865</v>
      </c>
      <c r="B140" t="s">
        <v>2868</v>
      </c>
      <c r="C140" t="s">
        <v>281</v>
      </c>
      <c r="D140">
        <v>100</v>
      </c>
      <c r="F140" s="9">
        <f t="shared" si="0"/>
        <v>100</v>
      </c>
    </row>
    <row r="141" spans="1:6" x14ac:dyDescent="0.2">
      <c r="A141" s="6" t="s">
        <v>2848</v>
      </c>
      <c r="B141" t="s">
        <v>2849</v>
      </c>
      <c r="C141" s="24" t="s">
        <v>2850</v>
      </c>
      <c r="D141">
        <v>26</v>
      </c>
      <c r="F141" s="9">
        <f t="shared" si="0"/>
        <v>26</v>
      </c>
    </row>
    <row r="142" spans="1:6" x14ac:dyDescent="0.2">
      <c r="A142" s="6" t="s">
        <v>2877</v>
      </c>
      <c r="B142" t="s">
        <v>2878</v>
      </c>
      <c r="C142" s="24" t="s">
        <v>1081</v>
      </c>
      <c r="D142">
        <v>0.3</v>
      </c>
      <c r="F142" s="9">
        <f t="shared" si="0"/>
        <v>0.3</v>
      </c>
    </row>
    <row r="143" spans="1:6" x14ac:dyDescent="0.2">
      <c r="A143" s="6"/>
      <c r="F143" s="9">
        <f t="shared" si="0"/>
        <v>0</v>
      </c>
    </row>
    <row r="144" spans="1:6" x14ac:dyDescent="0.2">
      <c r="A144" s="6"/>
      <c r="F144" s="9">
        <f t="shared" si="0"/>
        <v>0</v>
      </c>
    </row>
    <row r="145" spans="1:6" x14ac:dyDescent="0.2">
      <c r="A145" s="842" t="s">
        <v>2897</v>
      </c>
      <c r="B145" s="23"/>
      <c r="C145" s="23"/>
      <c r="D145" s="23"/>
      <c r="E145" s="23"/>
      <c r="F145" s="9">
        <f t="shared" si="0"/>
        <v>0</v>
      </c>
    </row>
    <row r="146" spans="1:6" x14ac:dyDescent="0.2">
      <c r="A146" s="843" t="s">
        <v>2917</v>
      </c>
      <c r="B146" t="s">
        <v>2918</v>
      </c>
      <c r="C146" t="s">
        <v>11</v>
      </c>
      <c r="D146">
        <v>5</v>
      </c>
      <c r="F146" s="9">
        <f t="shared" si="0"/>
        <v>5</v>
      </c>
    </row>
    <row r="147" spans="1:6" x14ac:dyDescent="0.2">
      <c r="A147" s="843" t="s">
        <v>2917</v>
      </c>
      <c r="B147" t="s">
        <v>2919</v>
      </c>
      <c r="C147" t="s">
        <v>2920</v>
      </c>
      <c r="D147">
        <v>0.8</v>
      </c>
      <c r="F147" s="9">
        <f t="shared" si="0"/>
        <v>0.8</v>
      </c>
    </row>
    <row r="148" spans="1:6" x14ac:dyDescent="0.2">
      <c r="A148" s="6" t="s">
        <v>2899</v>
      </c>
      <c r="B148" t="s">
        <v>2898</v>
      </c>
      <c r="C148" s="24" t="s">
        <v>23</v>
      </c>
      <c r="D148">
        <v>0.5</v>
      </c>
      <c r="F148" s="9">
        <f t="shared" si="0"/>
        <v>0.5</v>
      </c>
    </row>
    <row r="149" spans="1:6" x14ac:dyDescent="0.2">
      <c r="A149" s="6" t="s">
        <v>2900</v>
      </c>
      <c r="B149" t="s">
        <v>2904</v>
      </c>
      <c r="C149" s="24" t="s">
        <v>1</v>
      </c>
      <c r="D149">
        <v>300</v>
      </c>
      <c r="F149" s="9">
        <f t="shared" si="0"/>
        <v>300</v>
      </c>
    </row>
    <row r="150" spans="1:6" x14ac:dyDescent="0.2">
      <c r="A150" s="6" t="s">
        <v>2901</v>
      </c>
      <c r="B150" t="s">
        <v>831</v>
      </c>
      <c r="C150" s="24" t="s">
        <v>824</v>
      </c>
      <c r="D150">
        <v>1.2</v>
      </c>
      <c r="F150" s="9">
        <f t="shared" si="0"/>
        <v>1.2</v>
      </c>
    </row>
    <row r="151" spans="1:6" x14ac:dyDescent="0.2">
      <c r="A151" s="6" t="s">
        <v>2902</v>
      </c>
      <c r="B151" t="s">
        <v>2905</v>
      </c>
      <c r="C151" s="24" t="s">
        <v>275</v>
      </c>
      <c r="D151">
        <v>0.8</v>
      </c>
      <c r="F151" s="9">
        <f t="shared" si="0"/>
        <v>0.8</v>
      </c>
    </row>
    <row r="152" spans="1:6" x14ac:dyDescent="0.2">
      <c r="A152" s="6" t="s">
        <v>2903</v>
      </c>
      <c r="B152" t="s">
        <v>2906</v>
      </c>
      <c r="C152" t="s">
        <v>281</v>
      </c>
      <c r="D152">
        <v>100</v>
      </c>
      <c r="F152" s="9">
        <f t="shared" si="0"/>
        <v>100</v>
      </c>
    </row>
    <row r="153" spans="1:6" x14ac:dyDescent="0.2">
      <c r="A153" s="6" t="s">
        <v>2907</v>
      </c>
      <c r="B153" t="s">
        <v>2912</v>
      </c>
      <c r="C153" s="24" t="s">
        <v>23</v>
      </c>
      <c r="D153">
        <v>0.5</v>
      </c>
      <c r="F153" s="9">
        <f t="shared" si="0"/>
        <v>0.5</v>
      </c>
    </row>
    <row r="154" spans="1:6" x14ac:dyDescent="0.2">
      <c r="A154" s="6" t="s">
        <v>2908</v>
      </c>
      <c r="B154" t="s">
        <v>2913</v>
      </c>
      <c r="C154" s="24" t="s">
        <v>1</v>
      </c>
      <c r="D154">
        <v>300</v>
      </c>
      <c r="F154" s="9">
        <f t="shared" si="0"/>
        <v>300</v>
      </c>
    </row>
    <row r="155" spans="1:6" x14ac:dyDescent="0.2">
      <c r="A155" s="6" t="s">
        <v>2909</v>
      </c>
      <c r="B155" t="s">
        <v>831</v>
      </c>
      <c r="C155" s="24" t="s">
        <v>824</v>
      </c>
      <c r="D155">
        <v>1.2</v>
      </c>
      <c r="F155" s="9">
        <f t="shared" si="0"/>
        <v>1.2</v>
      </c>
    </row>
    <row r="156" spans="1:6" x14ac:dyDescent="0.2">
      <c r="A156" s="6" t="s">
        <v>2910</v>
      </c>
      <c r="B156" t="s">
        <v>2914</v>
      </c>
      <c r="C156" s="24" t="s">
        <v>275</v>
      </c>
      <c r="D156">
        <v>0.8</v>
      </c>
      <c r="F156" s="9">
        <f t="shared" si="0"/>
        <v>0.8</v>
      </c>
    </row>
    <row r="157" spans="1:6" x14ac:dyDescent="0.2">
      <c r="A157" s="6" t="s">
        <v>2911</v>
      </c>
      <c r="B157" t="s">
        <v>2915</v>
      </c>
      <c r="C157" t="s">
        <v>281</v>
      </c>
      <c r="D157">
        <v>100</v>
      </c>
      <c r="F157" s="9">
        <f t="shared" si="0"/>
        <v>100</v>
      </c>
    </row>
    <row r="158" spans="1:6" x14ac:dyDescent="0.2">
      <c r="A158" s="6"/>
      <c r="F158" s="9"/>
    </row>
    <row r="159" spans="1:6" x14ac:dyDescent="0.2">
      <c r="A159" s="6"/>
      <c r="F159" s="9">
        <f t="shared" si="0"/>
        <v>0</v>
      </c>
    </row>
    <row r="160" spans="1:6" x14ac:dyDescent="0.2">
      <c r="A160" s="6"/>
      <c r="F160" s="9">
        <f t="shared" si="0"/>
        <v>0</v>
      </c>
    </row>
    <row r="161" spans="1:6" x14ac:dyDescent="0.2">
      <c r="A161" s="6"/>
      <c r="F161" s="9">
        <f t="shared" si="0"/>
        <v>0</v>
      </c>
    </row>
    <row r="162" spans="1:6" x14ac:dyDescent="0.2">
      <c r="A162" s="230" t="s">
        <v>861</v>
      </c>
      <c r="B162" s="20"/>
      <c r="C162" s="20"/>
      <c r="D162" s="20"/>
      <c r="E162" s="20"/>
      <c r="F162" s="9">
        <f t="shared" si="0"/>
        <v>0</v>
      </c>
    </row>
    <row r="163" spans="1:6" x14ac:dyDescent="0.2">
      <c r="A163" s="6" t="s">
        <v>336</v>
      </c>
      <c r="B163" t="s">
        <v>863</v>
      </c>
      <c r="C163" t="s">
        <v>864</v>
      </c>
      <c r="D163">
        <v>1</v>
      </c>
      <c r="F163" s="9">
        <f t="shared" si="0"/>
        <v>1</v>
      </c>
    </row>
    <row r="164" spans="1:6" x14ac:dyDescent="0.2">
      <c r="A164" s="6" t="s">
        <v>337</v>
      </c>
      <c r="B164" t="s">
        <v>865</v>
      </c>
      <c r="C164" t="s">
        <v>866</v>
      </c>
      <c r="D164">
        <v>0</v>
      </c>
      <c r="F164" s="9">
        <f t="shared" si="0"/>
        <v>0</v>
      </c>
    </row>
    <row r="165" spans="1:6" x14ac:dyDescent="0.2">
      <c r="A165" s="6" t="s">
        <v>862</v>
      </c>
      <c r="B165" t="s">
        <v>867</v>
      </c>
      <c r="C165" t="s">
        <v>866</v>
      </c>
      <c r="D165">
        <v>1</v>
      </c>
      <c r="F165" s="9">
        <f t="shared" si="0"/>
        <v>1</v>
      </c>
    </row>
    <row r="166" spans="1:6" x14ac:dyDescent="0.2">
      <c r="A166" s="6"/>
      <c r="F166" s="9">
        <f t="shared" si="0"/>
        <v>0</v>
      </c>
    </row>
    <row r="167" spans="1:6" x14ac:dyDescent="0.2">
      <c r="F167" s="9">
        <f t="shared" si="0"/>
        <v>0</v>
      </c>
    </row>
    <row r="168" spans="1:6" x14ac:dyDescent="0.2">
      <c r="A168" s="225" t="s">
        <v>45</v>
      </c>
      <c r="B168" s="2"/>
      <c r="C168" s="2"/>
      <c r="D168" s="2"/>
      <c r="E168" s="2"/>
      <c r="F168" s="9">
        <f t="shared" si="0"/>
        <v>0</v>
      </c>
    </row>
    <row r="169" spans="1:6" x14ac:dyDescent="0.2">
      <c r="A169" s="224" t="s">
        <v>868</v>
      </c>
      <c r="B169" s="207"/>
      <c r="C169" s="207"/>
      <c r="D169" s="207"/>
      <c r="E169" s="127"/>
      <c r="F169" s="9">
        <f t="shared" si="0"/>
        <v>0</v>
      </c>
    </row>
    <row r="170" spans="1:6" x14ac:dyDescent="0.2">
      <c r="A170" s="6" t="s">
        <v>1101</v>
      </c>
      <c r="B170" t="s">
        <v>268</v>
      </c>
      <c r="C170" t="s">
        <v>269</v>
      </c>
      <c r="D170">
        <v>10</v>
      </c>
      <c r="F170" s="9">
        <f t="shared" si="0"/>
        <v>10</v>
      </c>
    </row>
    <row r="171" spans="1:6" x14ac:dyDescent="0.2">
      <c r="A171" s="6" t="s">
        <v>1102</v>
      </c>
      <c r="B171" t="s">
        <v>823</v>
      </c>
      <c r="C171" t="s">
        <v>1</v>
      </c>
      <c r="D171">
        <v>300</v>
      </c>
      <c r="F171" s="9">
        <f t="shared" si="0"/>
        <v>300</v>
      </c>
    </row>
    <row r="172" spans="1:6" x14ac:dyDescent="0.2">
      <c r="A172" s="6" t="s">
        <v>832</v>
      </c>
      <c r="B172" t="s">
        <v>831</v>
      </c>
      <c r="C172" t="s">
        <v>824</v>
      </c>
      <c r="D172">
        <v>1.2</v>
      </c>
      <c r="F172" s="9">
        <f t="shared" si="0"/>
        <v>1.2</v>
      </c>
    </row>
    <row r="173" spans="1:6" x14ac:dyDescent="0.2">
      <c r="A173" s="6" t="s">
        <v>1098</v>
      </c>
      <c r="B173" t="s">
        <v>1099</v>
      </c>
      <c r="C173" t="s">
        <v>275</v>
      </c>
      <c r="D173">
        <v>80</v>
      </c>
      <c r="F173" s="9">
        <f t="shared" si="0"/>
        <v>80</v>
      </c>
    </row>
    <row r="174" spans="1:6" x14ac:dyDescent="0.2">
      <c r="A174" s="6" t="s">
        <v>1103</v>
      </c>
      <c r="B174" t="s">
        <v>822</v>
      </c>
      <c r="C174" t="s">
        <v>15</v>
      </c>
      <c r="D174">
        <v>3000</v>
      </c>
      <c r="F174" s="9">
        <f t="shared" si="0"/>
        <v>3000</v>
      </c>
    </row>
    <row r="175" spans="1:6" x14ac:dyDescent="0.2">
      <c r="A175" s="6" t="s">
        <v>1104</v>
      </c>
      <c r="B175" t="s">
        <v>280</v>
      </c>
      <c r="C175" t="s">
        <v>281</v>
      </c>
      <c r="D175">
        <v>254</v>
      </c>
      <c r="F175" s="9">
        <f t="shared" si="0"/>
        <v>254</v>
      </c>
    </row>
    <row r="176" spans="1:6" x14ac:dyDescent="0.2">
      <c r="A176" s="6" t="s">
        <v>1603</v>
      </c>
      <c r="B176" t="s">
        <v>1602</v>
      </c>
      <c r="D176">
        <v>5</v>
      </c>
      <c r="F176" s="9">
        <f t="shared" si="0"/>
        <v>5</v>
      </c>
    </row>
    <row r="177" spans="1:6" x14ac:dyDescent="0.2">
      <c r="A177" s="6" t="s">
        <v>1604</v>
      </c>
      <c r="B177" t="s">
        <v>1605</v>
      </c>
      <c r="D177">
        <v>5</v>
      </c>
      <c r="F177" s="9">
        <f t="shared" si="0"/>
        <v>5</v>
      </c>
    </row>
    <row r="178" spans="1:6" x14ac:dyDescent="0.2">
      <c r="A178" s="6" t="s">
        <v>1105</v>
      </c>
      <c r="B178" t="s">
        <v>1649</v>
      </c>
      <c r="C178" t="s">
        <v>285</v>
      </c>
      <c r="D178">
        <v>2.4</v>
      </c>
      <c r="F178" s="9">
        <f t="shared" si="0"/>
        <v>2.4</v>
      </c>
    </row>
    <row r="179" spans="1:6" x14ac:dyDescent="0.2">
      <c r="A179" s="6" t="s">
        <v>289</v>
      </c>
      <c r="B179" t="s">
        <v>290</v>
      </c>
      <c r="C179" t="s">
        <v>1081</v>
      </c>
      <c r="D179">
        <v>0.3</v>
      </c>
      <c r="F179" s="9">
        <f t="shared" si="0"/>
        <v>0.3</v>
      </c>
    </row>
    <row r="180" spans="1:6" x14ac:dyDescent="0.2">
      <c r="A180" s="843" t="s">
        <v>389</v>
      </c>
      <c r="B180" s="105" t="s">
        <v>390</v>
      </c>
      <c r="C180" s="105" t="s">
        <v>1081</v>
      </c>
      <c r="D180" s="105">
        <v>0.8</v>
      </c>
      <c r="E180" s="279"/>
      <c r="F180" s="9">
        <f t="shared" si="0"/>
        <v>0.8</v>
      </c>
    </row>
    <row r="181" spans="1:6" x14ac:dyDescent="0.2">
      <c r="A181" s="6" t="s">
        <v>1253</v>
      </c>
      <c r="B181" t="s">
        <v>1254</v>
      </c>
      <c r="C181" t="s">
        <v>1100</v>
      </c>
      <c r="D181">
        <v>1.5</v>
      </c>
      <c r="F181" s="9">
        <f t="shared" si="0"/>
        <v>1.5</v>
      </c>
    </row>
    <row r="182" spans="1:6" x14ac:dyDescent="0.2">
      <c r="A182" s="6" t="s">
        <v>1106</v>
      </c>
      <c r="B182" t="s">
        <v>1642</v>
      </c>
      <c r="C182" t="s">
        <v>1100</v>
      </c>
      <c r="D182">
        <v>1.4</v>
      </c>
      <c r="F182" s="9">
        <f t="shared" si="0"/>
        <v>1.4</v>
      </c>
    </row>
    <row r="183" spans="1:6" x14ac:dyDescent="0.2">
      <c r="A183" s="6" t="s">
        <v>2930</v>
      </c>
      <c r="B183" t="s">
        <v>2931</v>
      </c>
      <c r="C183" t="s">
        <v>902</v>
      </c>
      <c r="D183">
        <v>35</v>
      </c>
      <c r="F183" s="9">
        <f t="shared" si="0"/>
        <v>35</v>
      </c>
    </row>
    <row r="184" spans="1:6" x14ac:dyDescent="0.2">
      <c r="A184" s="6"/>
      <c r="F184" s="9">
        <f t="shared" si="0"/>
        <v>0</v>
      </c>
    </row>
    <row r="185" spans="1:6" x14ac:dyDescent="0.2">
      <c r="F185" s="9">
        <f t="shared" si="0"/>
        <v>0</v>
      </c>
    </row>
    <row r="186" spans="1:6" x14ac:dyDescent="0.2">
      <c r="A186" s="223" t="s">
        <v>276</v>
      </c>
      <c r="B186" s="11"/>
      <c r="C186" s="11"/>
      <c r="D186" s="11"/>
      <c r="F186" s="9">
        <f t="shared" si="0"/>
        <v>0</v>
      </c>
    </row>
    <row r="187" spans="1:6" x14ac:dyDescent="0.2">
      <c r="A187" s="7" t="s">
        <v>51</v>
      </c>
      <c r="B187" t="s">
        <v>165</v>
      </c>
      <c r="D187" s="6">
        <v>0.1</v>
      </c>
      <c r="F187" s="9">
        <f t="shared" si="0"/>
        <v>0.1</v>
      </c>
    </row>
    <row r="188" spans="1:6" x14ac:dyDescent="0.2">
      <c r="A188" s="7" t="s">
        <v>52</v>
      </c>
      <c r="B188" t="s">
        <v>166</v>
      </c>
      <c r="D188" s="6">
        <v>0.2</v>
      </c>
      <c r="F188" s="9">
        <f t="shared" si="0"/>
        <v>0.2</v>
      </c>
    </row>
    <row r="189" spans="1:6" x14ac:dyDescent="0.2">
      <c r="A189" s="7" t="s">
        <v>53</v>
      </c>
      <c r="B189" t="s">
        <v>167</v>
      </c>
      <c r="D189" s="6">
        <v>0.2</v>
      </c>
      <c r="F189" s="9">
        <f t="shared" si="0"/>
        <v>0.2</v>
      </c>
    </row>
    <row r="190" spans="1:6" x14ac:dyDescent="0.2">
      <c r="A190" s="7" t="s">
        <v>54</v>
      </c>
      <c r="B190" t="s">
        <v>168</v>
      </c>
      <c r="D190" s="6">
        <v>0.2</v>
      </c>
      <c r="F190" s="9">
        <f t="shared" si="0"/>
        <v>0.2</v>
      </c>
    </row>
    <row r="191" spans="1:6" x14ac:dyDescent="0.2">
      <c r="A191" s="7" t="s">
        <v>55</v>
      </c>
      <c r="B191" t="s">
        <v>169</v>
      </c>
      <c r="D191" s="6">
        <v>0.3</v>
      </c>
      <c r="F191" s="9">
        <f t="shared" si="0"/>
        <v>0.3</v>
      </c>
    </row>
    <row r="192" spans="1:6" x14ac:dyDescent="0.2">
      <c r="A192" s="7" t="s">
        <v>56</v>
      </c>
      <c r="B192" t="s">
        <v>170</v>
      </c>
      <c r="C192" t="s">
        <v>154</v>
      </c>
      <c r="D192" s="6">
        <v>2.6857142857142856E-3</v>
      </c>
      <c r="F192" s="9">
        <f t="shared" si="0"/>
        <v>2.6857142857142856E-3</v>
      </c>
    </row>
    <row r="193" spans="1:6" x14ac:dyDescent="0.2">
      <c r="A193" s="7" t="s">
        <v>57</v>
      </c>
      <c r="B193" t="s">
        <v>171</v>
      </c>
      <c r="C193" t="s">
        <v>154</v>
      </c>
      <c r="D193" s="6">
        <v>4.2857142857142859E-3</v>
      </c>
      <c r="F193" s="9">
        <f t="shared" si="0"/>
        <v>4.2857142857142859E-3</v>
      </c>
    </row>
    <row r="194" spans="1:6" x14ac:dyDescent="0.2">
      <c r="A194" s="7" t="s">
        <v>58</v>
      </c>
      <c r="B194" t="s">
        <v>172</v>
      </c>
      <c r="C194" t="s">
        <v>154</v>
      </c>
      <c r="D194" s="6">
        <v>7.0000000000000001E-3</v>
      </c>
      <c r="F194" s="9">
        <f t="shared" si="0"/>
        <v>7.0000000000000001E-3</v>
      </c>
    </row>
    <row r="195" spans="1:6" x14ac:dyDescent="0.2">
      <c r="A195" s="7" t="s">
        <v>59</v>
      </c>
      <c r="B195" t="s">
        <v>173</v>
      </c>
      <c r="C195" t="s">
        <v>155</v>
      </c>
      <c r="D195" s="6">
        <v>2.7859999999999999E-2</v>
      </c>
      <c r="F195" s="9">
        <f t="shared" si="0"/>
        <v>2.7859999999999999E-2</v>
      </c>
    </row>
    <row r="196" spans="1:6" x14ac:dyDescent="0.2">
      <c r="A196" s="7" t="s">
        <v>60</v>
      </c>
      <c r="B196" t="s">
        <v>174</v>
      </c>
      <c r="C196" t="s">
        <v>155</v>
      </c>
      <c r="D196" s="6">
        <v>0.03</v>
      </c>
      <c r="F196" s="9">
        <f t="shared" si="0"/>
        <v>0.03</v>
      </c>
    </row>
    <row r="197" spans="1:6" x14ac:dyDescent="0.2">
      <c r="A197" s="7" t="s">
        <v>61</v>
      </c>
      <c r="B197" t="s">
        <v>175</v>
      </c>
      <c r="C197" t="s">
        <v>155</v>
      </c>
      <c r="D197" s="6">
        <v>3.1300000000000001E-2</v>
      </c>
      <c r="F197" s="9">
        <f t="shared" si="0"/>
        <v>3.1300000000000001E-2</v>
      </c>
    </row>
    <row r="198" spans="1:6" x14ac:dyDescent="0.2">
      <c r="A198" s="7" t="s">
        <v>62</v>
      </c>
      <c r="B198" t="s">
        <v>176</v>
      </c>
      <c r="C198" t="s">
        <v>155</v>
      </c>
      <c r="D198" s="6">
        <v>0.03</v>
      </c>
      <c r="F198" s="9">
        <f t="shared" si="0"/>
        <v>0.03</v>
      </c>
    </row>
    <row r="199" spans="1:6" x14ac:dyDescent="0.2">
      <c r="A199" s="7" t="s">
        <v>63</v>
      </c>
      <c r="B199" t="s">
        <v>177</v>
      </c>
      <c r="C199" t="s">
        <v>155</v>
      </c>
      <c r="D199" s="6">
        <v>2.1999999999999999E-2</v>
      </c>
      <c r="F199" s="9">
        <f t="shared" si="0"/>
        <v>2.1999999999999999E-2</v>
      </c>
    </row>
    <row r="200" spans="1:6" x14ac:dyDescent="0.2">
      <c r="A200" s="7" t="s">
        <v>64</v>
      </c>
      <c r="B200" t="s">
        <v>178</v>
      </c>
      <c r="C200" t="s">
        <v>155</v>
      </c>
      <c r="D200" s="6">
        <v>0.03</v>
      </c>
      <c r="F200" s="9">
        <f t="shared" si="0"/>
        <v>0.03</v>
      </c>
    </row>
    <row r="201" spans="1:6" ht="15" customHeight="1" x14ac:dyDescent="0.2">
      <c r="A201" s="7" t="s">
        <v>65</v>
      </c>
      <c r="B201" t="s">
        <v>179</v>
      </c>
      <c r="C201" t="s">
        <v>155</v>
      </c>
      <c r="D201" s="6">
        <v>3.1300000000000001E-2</v>
      </c>
      <c r="F201" s="9">
        <f t="shared" si="0"/>
        <v>3.1300000000000001E-2</v>
      </c>
    </row>
    <row r="202" spans="1:6" x14ac:dyDescent="0.2">
      <c r="A202" s="7" t="s">
        <v>66</v>
      </c>
      <c r="B202" t="s">
        <v>180</v>
      </c>
      <c r="C202" t="s">
        <v>155</v>
      </c>
      <c r="D202" s="6">
        <v>0.03</v>
      </c>
      <c r="F202" s="9">
        <f t="shared" si="0"/>
        <v>0.03</v>
      </c>
    </row>
    <row r="203" spans="1:6" x14ac:dyDescent="0.2">
      <c r="A203" s="7" t="s">
        <v>67</v>
      </c>
      <c r="B203" t="s">
        <v>181</v>
      </c>
      <c r="D203" s="6">
        <v>0.95</v>
      </c>
      <c r="F203" s="9">
        <f t="shared" si="0"/>
        <v>0.95</v>
      </c>
    </row>
    <row r="204" spans="1:6" x14ac:dyDescent="0.2">
      <c r="A204" s="7" t="s">
        <v>68</v>
      </c>
      <c r="B204" t="s">
        <v>182</v>
      </c>
      <c r="C204" t="s">
        <v>155</v>
      </c>
      <c r="D204" s="6">
        <v>2.1700000000000001E-2</v>
      </c>
      <c r="F204" s="9">
        <f t="shared" si="0"/>
        <v>2.1700000000000001E-2</v>
      </c>
    </row>
    <row r="205" spans="1:6" x14ac:dyDescent="0.2">
      <c r="A205" s="7" t="s">
        <v>69</v>
      </c>
      <c r="B205" t="s">
        <v>183</v>
      </c>
      <c r="D205" s="6">
        <v>0.19</v>
      </c>
      <c r="F205" s="9">
        <f t="shared" si="0"/>
        <v>0.19</v>
      </c>
    </row>
    <row r="206" spans="1:6" x14ac:dyDescent="0.2">
      <c r="A206" s="7" t="s">
        <v>70</v>
      </c>
      <c r="B206" t="s">
        <v>184</v>
      </c>
      <c r="D206" s="6">
        <v>0.13</v>
      </c>
      <c r="F206" s="9">
        <f t="shared" si="0"/>
        <v>0.13</v>
      </c>
    </row>
    <row r="207" spans="1:6" x14ac:dyDescent="0.2">
      <c r="A207" s="7" t="s">
        <v>71</v>
      </c>
      <c r="B207" t="s">
        <v>185</v>
      </c>
      <c r="D207" s="6">
        <v>0.27</v>
      </c>
      <c r="F207" s="9">
        <f t="shared" si="0"/>
        <v>0.27</v>
      </c>
    </row>
    <row r="208" spans="1:6" x14ac:dyDescent="0.2">
      <c r="A208" s="7" t="s">
        <v>72</v>
      </c>
      <c r="B208" t="s">
        <v>186</v>
      </c>
      <c r="D208" s="6">
        <v>0.41</v>
      </c>
      <c r="F208" s="9">
        <f t="shared" si="0"/>
        <v>0.41</v>
      </c>
    </row>
    <row r="209" spans="1:6" x14ac:dyDescent="0.2">
      <c r="A209" s="7" t="s">
        <v>73</v>
      </c>
      <c r="B209" t="s">
        <v>187</v>
      </c>
      <c r="C209" t="s">
        <v>154</v>
      </c>
      <c r="D209" s="6">
        <v>5.7142857142857099E-3</v>
      </c>
      <c r="F209" s="9">
        <f t="shared" si="0"/>
        <v>5.7142857142857099E-3</v>
      </c>
    </row>
    <row r="210" spans="1:6" x14ac:dyDescent="0.2">
      <c r="A210" s="7" t="s">
        <v>74</v>
      </c>
      <c r="B210" t="s">
        <v>188</v>
      </c>
      <c r="C210" t="s">
        <v>155</v>
      </c>
      <c r="D210" s="6">
        <v>2.5000000000000001E-2</v>
      </c>
      <c r="F210" s="9">
        <f t="shared" si="0"/>
        <v>2.5000000000000001E-2</v>
      </c>
    </row>
    <row r="211" spans="1:6" x14ac:dyDescent="0.2">
      <c r="A211" s="7" t="s">
        <v>75</v>
      </c>
      <c r="B211" t="s">
        <v>189</v>
      </c>
      <c r="C211" t="s">
        <v>155</v>
      </c>
      <c r="D211" s="6">
        <v>2.6800000000000001E-2</v>
      </c>
      <c r="F211" s="9">
        <f t="shared" si="0"/>
        <v>2.6800000000000001E-2</v>
      </c>
    </row>
    <row r="212" spans="1:6" x14ac:dyDescent="0.2">
      <c r="A212" s="7" t="s">
        <v>76</v>
      </c>
      <c r="B212" t="s">
        <v>190</v>
      </c>
      <c r="C212" t="s">
        <v>155</v>
      </c>
      <c r="D212" s="6">
        <v>3.1300000000000001E-2</v>
      </c>
      <c r="F212" s="9">
        <f t="shared" si="0"/>
        <v>3.1300000000000001E-2</v>
      </c>
    </row>
    <row r="213" spans="1:6" x14ac:dyDescent="0.2">
      <c r="A213" s="7" t="s">
        <v>77</v>
      </c>
      <c r="B213" t="s">
        <v>191</v>
      </c>
      <c r="C213" t="s">
        <v>155</v>
      </c>
      <c r="D213" s="6">
        <v>3.1300000000000001E-2</v>
      </c>
      <c r="F213" s="9">
        <f t="shared" si="0"/>
        <v>3.1300000000000001E-2</v>
      </c>
    </row>
    <row r="214" spans="1:6" x14ac:dyDescent="0.2">
      <c r="A214" s="7" t="s">
        <v>78</v>
      </c>
      <c r="B214" t="s">
        <v>192</v>
      </c>
      <c r="D214" s="6">
        <v>0.1</v>
      </c>
      <c r="F214" s="9">
        <f t="shared" si="0"/>
        <v>0.1</v>
      </c>
    </row>
    <row r="215" spans="1:6" x14ac:dyDescent="0.2">
      <c r="A215" s="7" t="s">
        <v>79</v>
      </c>
      <c r="B215" t="s">
        <v>193</v>
      </c>
      <c r="D215" s="6">
        <v>0.06</v>
      </c>
      <c r="F215" s="9">
        <f t="shared" ref="F215:F231" si="1">IF(ISBLANK(E215),D215,E215)</f>
        <v>0.06</v>
      </c>
    </row>
    <row r="216" spans="1:6" x14ac:dyDescent="0.2">
      <c r="A216" s="7" t="s">
        <v>80</v>
      </c>
      <c r="B216" t="s">
        <v>194</v>
      </c>
      <c r="D216" s="6">
        <v>0.23</v>
      </c>
      <c r="F216" s="9">
        <f t="shared" si="1"/>
        <v>0.23</v>
      </c>
    </row>
    <row r="217" spans="1:6" x14ac:dyDescent="0.2">
      <c r="A217" s="7" t="s">
        <v>81</v>
      </c>
      <c r="B217" t="s">
        <v>195</v>
      </c>
      <c r="D217" s="6">
        <v>0.26</v>
      </c>
      <c r="F217" s="9">
        <f t="shared" si="1"/>
        <v>0.26</v>
      </c>
    </row>
    <row r="218" spans="1:6" x14ac:dyDescent="0.2">
      <c r="A218" s="7" t="s">
        <v>82</v>
      </c>
      <c r="B218" t="s">
        <v>196</v>
      </c>
      <c r="D218" s="6">
        <v>0.05</v>
      </c>
      <c r="F218" s="9">
        <f t="shared" si="1"/>
        <v>0.05</v>
      </c>
    </row>
    <row r="219" spans="1:6" x14ac:dyDescent="0.2">
      <c r="A219" s="7" t="s">
        <v>83</v>
      </c>
      <c r="B219" t="s">
        <v>197</v>
      </c>
      <c r="D219" s="6">
        <v>0.4</v>
      </c>
      <c r="F219" s="9">
        <f t="shared" si="1"/>
        <v>0.4</v>
      </c>
    </row>
    <row r="220" spans="1:6" x14ac:dyDescent="0.2">
      <c r="A220" s="7" t="s">
        <v>84</v>
      </c>
      <c r="B220" t="s">
        <v>198</v>
      </c>
      <c r="C220" t="s">
        <v>155</v>
      </c>
      <c r="D220" s="6">
        <v>2.4E-2</v>
      </c>
      <c r="F220" s="9">
        <f t="shared" si="1"/>
        <v>2.4E-2</v>
      </c>
    </row>
    <row r="221" spans="1:6" x14ac:dyDescent="0.2">
      <c r="A221" s="7" t="s">
        <v>85</v>
      </c>
      <c r="B221" t="s">
        <v>199</v>
      </c>
      <c r="C221" t="s">
        <v>156</v>
      </c>
      <c r="D221" s="6">
        <v>0.08</v>
      </c>
      <c r="F221" s="9">
        <f t="shared" si="1"/>
        <v>0.08</v>
      </c>
    </row>
    <row r="222" spans="1:6" x14ac:dyDescent="0.2">
      <c r="A222" s="7" t="s">
        <v>86</v>
      </c>
      <c r="B222" t="s">
        <v>200</v>
      </c>
      <c r="C222" t="s">
        <v>156</v>
      </c>
      <c r="D222" s="6">
        <v>0.06</v>
      </c>
      <c r="F222" s="9">
        <f t="shared" si="1"/>
        <v>0.06</v>
      </c>
    </row>
    <row r="223" spans="1:6" x14ac:dyDescent="0.2">
      <c r="A223" s="7" t="s">
        <v>87</v>
      </c>
      <c r="B223" t="s">
        <v>201</v>
      </c>
      <c r="C223" t="s">
        <v>156</v>
      </c>
      <c r="D223" s="6">
        <v>0.06</v>
      </c>
      <c r="F223" s="9">
        <f t="shared" si="1"/>
        <v>0.06</v>
      </c>
    </row>
    <row r="224" spans="1:6" x14ac:dyDescent="0.2">
      <c r="A224" s="7" t="s">
        <v>88</v>
      </c>
      <c r="B224" t="s">
        <v>202</v>
      </c>
      <c r="C224" t="s">
        <v>156</v>
      </c>
      <c r="D224" s="6">
        <v>0.04</v>
      </c>
      <c r="F224" s="9">
        <f t="shared" si="1"/>
        <v>0.04</v>
      </c>
    </row>
    <row r="225" spans="1:6" x14ac:dyDescent="0.2">
      <c r="A225" s="7" t="s">
        <v>89</v>
      </c>
      <c r="B225" t="s">
        <v>203</v>
      </c>
      <c r="C225" t="s">
        <v>155</v>
      </c>
      <c r="D225" s="6">
        <v>1.5599999999999999E-2</v>
      </c>
      <c r="F225" s="9">
        <f t="shared" si="1"/>
        <v>1.5599999999999999E-2</v>
      </c>
    </row>
    <row r="226" spans="1:6" x14ac:dyDescent="0.2">
      <c r="A226" s="7" t="s">
        <v>90</v>
      </c>
      <c r="B226" t="s">
        <v>204</v>
      </c>
      <c r="C226" t="s">
        <v>156</v>
      </c>
      <c r="D226" s="6">
        <v>0.05</v>
      </c>
      <c r="F226" s="9">
        <f t="shared" si="1"/>
        <v>0.05</v>
      </c>
    </row>
    <row r="227" spans="1:6" x14ac:dyDescent="0.2">
      <c r="A227" s="7" t="s">
        <v>91</v>
      </c>
      <c r="B227" t="s">
        <v>205</v>
      </c>
      <c r="C227" t="s">
        <v>156</v>
      </c>
      <c r="D227" s="6">
        <v>0.06</v>
      </c>
      <c r="F227" s="9">
        <f t="shared" si="1"/>
        <v>0.06</v>
      </c>
    </row>
    <row r="228" spans="1:6" x14ac:dyDescent="0.2">
      <c r="A228" s="7" t="s">
        <v>92</v>
      </c>
      <c r="B228" t="s">
        <v>206</v>
      </c>
      <c r="C228" t="s">
        <v>157</v>
      </c>
      <c r="D228" s="6">
        <v>0.5</v>
      </c>
      <c r="F228" s="9">
        <f t="shared" si="1"/>
        <v>0.5</v>
      </c>
    </row>
    <row r="229" spans="1:6" x14ac:dyDescent="0.2">
      <c r="A229" s="7" t="s">
        <v>93</v>
      </c>
      <c r="B229" t="s">
        <v>207</v>
      </c>
      <c r="C229" t="s">
        <v>157</v>
      </c>
      <c r="D229" s="6">
        <v>10</v>
      </c>
      <c r="F229" s="9">
        <f t="shared" si="1"/>
        <v>10</v>
      </c>
    </row>
    <row r="230" spans="1:6" x14ac:dyDescent="0.2">
      <c r="A230" s="7" t="s">
        <v>94</v>
      </c>
      <c r="B230" t="s">
        <v>208</v>
      </c>
      <c r="C230" t="s">
        <v>157</v>
      </c>
      <c r="D230" s="6">
        <v>10</v>
      </c>
      <c r="F230" s="9">
        <f t="shared" si="1"/>
        <v>10</v>
      </c>
    </row>
    <row r="231" spans="1:6" x14ac:dyDescent="0.2">
      <c r="A231" s="7" t="s">
        <v>95</v>
      </c>
      <c r="B231" t="s">
        <v>209</v>
      </c>
      <c r="C231" t="s">
        <v>157</v>
      </c>
      <c r="D231" s="6">
        <v>10</v>
      </c>
      <c r="F231" s="9">
        <f t="shared" si="1"/>
        <v>10</v>
      </c>
    </row>
    <row r="232" spans="1:6" x14ac:dyDescent="0.2">
      <c r="A232" s="7" t="s">
        <v>96</v>
      </c>
      <c r="B232" t="s">
        <v>210</v>
      </c>
      <c r="C232" t="s">
        <v>158</v>
      </c>
      <c r="D232" s="6">
        <v>1E-4</v>
      </c>
      <c r="F232" s="9">
        <f t="shared" ref="F232:F278" si="2">IF(ISBLANK(E232),D232,E232)</f>
        <v>1E-4</v>
      </c>
    </row>
    <row r="233" spans="1:6" x14ac:dyDescent="0.2">
      <c r="A233" s="7" t="s">
        <v>97</v>
      </c>
      <c r="B233" t="s">
        <v>211</v>
      </c>
      <c r="C233" t="s">
        <v>157</v>
      </c>
      <c r="D233" s="6">
        <v>30</v>
      </c>
      <c r="F233" s="9">
        <f t="shared" si="2"/>
        <v>30</v>
      </c>
    </row>
    <row r="234" spans="1:6" x14ac:dyDescent="0.2">
      <c r="A234" s="7" t="s">
        <v>98</v>
      </c>
      <c r="B234" t="s">
        <v>212</v>
      </c>
      <c r="C234" t="s">
        <v>159</v>
      </c>
      <c r="D234" s="6">
        <v>0.5</v>
      </c>
      <c r="F234" s="9">
        <f t="shared" si="2"/>
        <v>0.5</v>
      </c>
    </row>
    <row r="235" spans="1:6" x14ac:dyDescent="0.2">
      <c r="A235" s="7" t="s">
        <v>99</v>
      </c>
      <c r="B235" t="s">
        <v>213</v>
      </c>
      <c r="D235" s="6">
        <v>5.5</v>
      </c>
      <c r="F235" s="9">
        <f t="shared" si="2"/>
        <v>5.5</v>
      </c>
    </row>
    <row r="236" spans="1:6" x14ac:dyDescent="0.2">
      <c r="A236" s="7" t="s">
        <v>100</v>
      </c>
      <c r="B236" t="s">
        <v>214</v>
      </c>
      <c r="D236" s="6">
        <v>4</v>
      </c>
      <c r="F236" s="9">
        <f t="shared" si="2"/>
        <v>4</v>
      </c>
    </row>
    <row r="237" spans="1:6" x14ac:dyDescent="0.2">
      <c r="A237" s="7" t="s">
        <v>101</v>
      </c>
      <c r="B237" t="s">
        <v>215</v>
      </c>
      <c r="C237" t="s">
        <v>157</v>
      </c>
      <c r="D237" s="6">
        <v>50</v>
      </c>
      <c r="F237" s="9">
        <f t="shared" si="2"/>
        <v>50</v>
      </c>
    </row>
    <row r="238" spans="1:6" x14ac:dyDescent="0.2">
      <c r="A238" s="7" t="s">
        <v>102</v>
      </c>
      <c r="B238" t="s">
        <v>216</v>
      </c>
      <c r="C238" t="s">
        <v>159</v>
      </c>
      <c r="D238" s="6">
        <v>0.3</v>
      </c>
      <c r="F238" s="9">
        <f t="shared" si="2"/>
        <v>0.3</v>
      </c>
    </row>
    <row r="239" spans="1:6" x14ac:dyDescent="0.2">
      <c r="A239" s="7" t="s">
        <v>103</v>
      </c>
      <c r="B239" t="s">
        <v>217</v>
      </c>
      <c r="C239" t="s">
        <v>157</v>
      </c>
      <c r="D239" s="6">
        <v>6</v>
      </c>
      <c r="F239" s="9">
        <f t="shared" si="2"/>
        <v>6</v>
      </c>
    </row>
    <row r="240" spans="1:6" x14ac:dyDescent="0.2">
      <c r="A240" s="7" t="s">
        <v>104</v>
      </c>
      <c r="B240" t="s">
        <v>218</v>
      </c>
      <c r="C240" t="s">
        <v>159</v>
      </c>
      <c r="D240" s="6">
        <v>0.4</v>
      </c>
      <c r="F240" s="9">
        <f t="shared" si="2"/>
        <v>0.4</v>
      </c>
    </row>
    <row r="241" spans="1:6" x14ac:dyDescent="0.2">
      <c r="A241" s="7" t="s">
        <v>105</v>
      </c>
      <c r="B241" t="s">
        <v>219</v>
      </c>
      <c r="C241" t="s">
        <v>159</v>
      </c>
      <c r="D241" s="6">
        <v>5.0000000000000004E-6</v>
      </c>
      <c r="F241" s="9">
        <f t="shared" si="2"/>
        <v>5.0000000000000004E-6</v>
      </c>
    </row>
    <row r="242" spans="1:6" x14ac:dyDescent="0.2">
      <c r="A242" s="7" t="s">
        <v>106</v>
      </c>
      <c r="B242" t="s">
        <v>220</v>
      </c>
      <c r="C242" t="s">
        <v>157</v>
      </c>
      <c r="D242" s="6">
        <v>20</v>
      </c>
      <c r="F242" s="9">
        <f t="shared" si="2"/>
        <v>20</v>
      </c>
    </row>
    <row r="243" spans="1:6" x14ac:dyDescent="0.2">
      <c r="A243" s="7" t="s">
        <v>107</v>
      </c>
      <c r="B243" t="s">
        <v>221</v>
      </c>
      <c r="C243" t="s">
        <v>159</v>
      </c>
      <c r="D243" s="6">
        <v>0.2</v>
      </c>
      <c r="F243" s="9">
        <f t="shared" si="2"/>
        <v>0.2</v>
      </c>
    </row>
    <row r="244" spans="1:6" x14ac:dyDescent="0.2">
      <c r="A244" s="7" t="s">
        <v>108</v>
      </c>
      <c r="B244" t="s">
        <v>222</v>
      </c>
      <c r="C244" t="s">
        <v>159</v>
      </c>
      <c r="D244" s="6">
        <v>1.0000000000000001E-5</v>
      </c>
      <c r="F244" s="9">
        <f t="shared" si="2"/>
        <v>1.0000000000000001E-5</v>
      </c>
    </row>
    <row r="245" spans="1:6" x14ac:dyDescent="0.2">
      <c r="A245" s="7" t="s">
        <v>109</v>
      </c>
      <c r="B245" t="s">
        <v>223</v>
      </c>
      <c r="C245" t="s">
        <v>157</v>
      </c>
      <c r="D245" s="6">
        <v>13</v>
      </c>
      <c r="F245" s="9">
        <f t="shared" si="2"/>
        <v>13</v>
      </c>
    </row>
    <row r="246" spans="1:6" x14ac:dyDescent="0.2">
      <c r="A246" s="7" t="s">
        <v>110</v>
      </c>
      <c r="B246" t="s">
        <v>224</v>
      </c>
      <c r="C246" t="s">
        <v>159</v>
      </c>
      <c r="D246" s="6">
        <v>0.1</v>
      </c>
      <c r="F246" s="9">
        <f t="shared" si="2"/>
        <v>0.1</v>
      </c>
    </row>
    <row r="247" spans="1:6" x14ac:dyDescent="0.2">
      <c r="A247" s="7" t="s">
        <v>111</v>
      </c>
      <c r="B247" t="s">
        <v>225</v>
      </c>
      <c r="C247" t="s">
        <v>159</v>
      </c>
      <c r="D247" s="6">
        <v>3.4999999999999999E-6</v>
      </c>
      <c r="F247" s="9">
        <f t="shared" si="2"/>
        <v>3.4999999999999999E-6</v>
      </c>
    </row>
    <row r="248" spans="1:6" x14ac:dyDescent="0.2">
      <c r="A248" s="7" t="s">
        <v>112</v>
      </c>
      <c r="B248" t="s">
        <v>226</v>
      </c>
      <c r="C248" t="s">
        <v>157</v>
      </c>
      <c r="D248" s="6">
        <v>8</v>
      </c>
      <c r="F248" s="9">
        <f t="shared" si="2"/>
        <v>8</v>
      </c>
    </row>
    <row r="249" spans="1:6" x14ac:dyDescent="0.2">
      <c r="A249" s="7" t="s">
        <v>113</v>
      </c>
      <c r="B249" t="s">
        <v>227</v>
      </c>
      <c r="C249" t="s">
        <v>159</v>
      </c>
      <c r="D249" s="6">
        <v>0.15</v>
      </c>
      <c r="F249" s="9">
        <f t="shared" si="2"/>
        <v>0.15</v>
      </c>
    </row>
    <row r="250" spans="1:6" x14ac:dyDescent="0.2">
      <c r="A250" s="7" t="s">
        <v>114</v>
      </c>
      <c r="B250" t="s">
        <v>228</v>
      </c>
      <c r="C250" t="s">
        <v>158</v>
      </c>
      <c r="D250" s="6">
        <v>1.8E-3</v>
      </c>
      <c r="F250" s="9">
        <f t="shared" si="2"/>
        <v>1.8E-3</v>
      </c>
    </row>
    <row r="251" spans="1:6" x14ac:dyDescent="0.2">
      <c r="A251" s="7" t="s">
        <v>115</v>
      </c>
      <c r="B251" t="s">
        <v>229</v>
      </c>
      <c r="D251" s="6">
        <v>7</v>
      </c>
      <c r="F251" s="9">
        <f t="shared" si="2"/>
        <v>7</v>
      </c>
    </row>
    <row r="252" spans="1:6" x14ac:dyDescent="0.2">
      <c r="A252" s="7" t="s">
        <v>116</v>
      </c>
      <c r="B252" t="s">
        <v>230</v>
      </c>
      <c r="D252" s="6">
        <v>6</v>
      </c>
      <c r="F252" s="9">
        <f t="shared" si="2"/>
        <v>6</v>
      </c>
    </row>
    <row r="253" spans="1:6" x14ac:dyDescent="0.2">
      <c r="A253" s="7" t="s">
        <v>117</v>
      </c>
      <c r="B253" t="s">
        <v>231</v>
      </c>
      <c r="C253" t="s">
        <v>157</v>
      </c>
      <c r="D253" s="6">
        <v>35</v>
      </c>
      <c r="F253" s="9">
        <f t="shared" si="2"/>
        <v>35</v>
      </c>
    </row>
    <row r="254" spans="1:6" x14ac:dyDescent="0.2">
      <c r="A254" s="7" t="s">
        <v>118</v>
      </c>
      <c r="B254" t="s">
        <v>232</v>
      </c>
      <c r="C254" t="s">
        <v>159</v>
      </c>
      <c r="D254" s="6">
        <v>6.9999999999999999E-6</v>
      </c>
      <c r="F254" s="9">
        <f t="shared" si="2"/>
        <v>6.9999999999999999E-6</v>
      </c>
    </row>
    <row r="255" spans="1:6" x14ac:dyDescent="0.2">
      <c r="A255" s="7" t="s">
        <v>119</v>
      </c>
      <c r="B255" t="s">
        <v>233</v>
      </c>
      <c r="D255" s="6">
        <v>6</v>
      </c>
      <c r="F255" s="9">
        <f t="shared" si="2"/>
        <v>6</v>
      </c>
    </row>
    <row r="256" spans="1:6" x14ac:dyDescent="0.2">
      <c r="A256" s="7" t="s">
        <v>120</v>
      </c>
      <c r="B256" t="s">
        <v>234</v>
      </c>
      <c r="D256" s="6">
        <v>5</v>
      </c>
      <c r="F256" s="9">
        <f t="shared" si="2"/>
        <v>5</v>
      </c>
    </row>
    <row r="257" spans="1:6" x14ac:dyDescent="0.2">
      <c r="A257" s="7" t="s">
        <v>121</v>
      </c>
      <c r="B257" t="s">
        <v>235</v>
      </c>
      <c r="C257" t="s">
        <v>157</v>
      </c>
      <c r="D257" s="6">
        <v>0.02</v>
      </c>
      <c r="F257" s="9">
        <f t="shared" si="2"/>
        <v>0.02</v>
      </c>
    </row>
    <row r="258" spans="1:6" x14ac:dyDescent="0.2">
      <c r="A258" s="7" t="s">
        <v>122</v>
      </c>
      <c r="B258" t="s">
        <v>236</v>
      </c>
      <c r="C258" t="s">
        <v>157</v>
      </c>
      <c r="D258" s="6">
        <v>0.02</v>
      </c>
      <c r="F258" s="9">
        <f t="shared" si="2"/>
        <v>0.02</v>
      </c>
    </row>
    <row r="259" spans="1:6" x14ac:dyDescent="0.2">
      <c r="A259" s="7" t="s">
        <v>123</v>
      </c>
      <c r="B259" t="s">
        <v>237</v>
      </c>
      <c r="C259" t="s">
        <v>157</v>
      </c>
      <c r="D259" s="6">
        <v>0.02</v>
      </c>
      <c r="F259" s="9">
        <f t="shared" si="2"/>
        <v>0.02</v>
      </c>
    </row>
    <row r="260" spans="1:6" x14ac:dyDescent="0.2">
      <c r="A260" s="7" t="s">
        <v>124</v>
      </c>
      <c r="B260" t="s">
        <v>238</v>
      </c>
      <c r="C260" t="s">
        <v>157</v>
      </c>
      <c r="D260" s="6">
        <v>0.02</v>
      </c>
      <c r="F260" s="9">
        <f t="shared" si="2"/>
        <v>0.02</v>
      </c>
    </row>
    <row r="261" spans="1:6" x14ac:dyDescent="0.2">
      <c r="A261" s="7" t="s">
        <v>125</v>
      </c>
      <c r="B261" t="s">
        <v>239</v>
      </c>
      <c r="C261" t="s">
        <v>157</v>
      </c>
      <c r="D261" s="6">
        <v>0.02</v>
      </c>
      <c r="F261" s="9">
        <f t="shared" si="2"/>
        <v>0.02</v>
      </c>
    </row>
    <row r="262" spans="1:6" x14ac:dyDescent="0.2">
      <c r="A262" s="7" t="s">
        <v>126</v>
      </c>
      <c r="B262" t="s">
        <v>240</v>
      </c>
      <c r="C262" t="s">
        <v>157</v>
      </c>
      <c r="D262" s="6">
        <v>0.02</v>
      </c>
      <c r="F262" s="9">
        <f t="shared" si="2"/>
        <v>0.02</v>
      </c>
    </row>
    <row r="263" spans="1:6" x14ac:dyDescent="0.2">
      <c r="A263" s="7" t="s">
        <v>127</v>
      </c>
      <c r="B263" t="s">
        <v>241</v>
      </c>
      <c r="C263" t="s">
        <v>157</v>
      </c>
      <c r="D263" s="6">
        <v>0.02</v>
      </c>
      <c r="F263" s="9">
        <f t="shared" si="2"/>
        <v>0.02</v>
      </c>
    </row>
    <row r="264" spans="1:6" x14ac:dyDescent="0.2">
      <c r="A264" s="7" t="s">
        <v>128</v>
      </c>
      <c r="B264" t="s">
        <v>242</v>
      </c>
      <c r="C264" t="s">
        <v>160</v>
      </c>
      <c r="D264" s="6">
        <v>8.3144999999999997E-2</v>
      </c>
      <c r="F264" s="9">
        <f t="shared" si="2"/>
        <v>8.3144999999999997E-2</v>
      </c>
    </row>
    <row r="265" spans="1:6" x14ac:dyDescent="0.2">
      <c r="A265" s="7" t="s">
        <v>129</v>
      </c>
      <c r="B265" t="s">
        <v>243</v>
      </c>
      <c r="C265" t="s">
        <v>161</v>
      </c>
      <c r="D265" s="6">
        <v>298.14999999999998</v>
      </c>
      <c r="F265" s="9">
        <f t="shared" si="2"/>
        <v>298.14999999999998</v>
      </c>
    </row>
    <row r="266" spans="1:6" x14ac:dyDescent="0.2">
      <c r="A266" s="7" t="s">
        <v>130</v>
      </c>
      <c r="B266" t="s">
        <v>244</v>
      </c>
      <c r="C266" t="s">
        <v>161</v>
      </c>
      <c r="D266" s="6">
        <v>308.14999999999998</v>
      </c>
      <c r="F266" s="9">
        <f t="shared" si="2"/>
        <v>308.14999999999998</v>
      </c>
    </row>
    <row r="267" spans="1:6" x14ac:dyDescent="0.2">
      <c r="A267" s="7" t="s">
        <v>131</v>
      </c>
      <c r="C267" t="s">
        <v>161</v>
      </c>
      <c r="D267" s="6">
        <v>308.14999999999998</v>
      </c>
      <c r="F267" s="9">
        <f t="shared" si="2"/>
        <v>308.14999999999998</v>
      </c>
    </row>
    <row r="268" spans="1:6" x14ac:dyDescent="0.2">
      <c r="A268" s="7" t="s">
        <v>132</v>
      </c>
      <c r="B268" t="s">
        <v>245</v>
      </c>
      <c r="C268" t="s">
        <v>158</v>
      </c>
      <c r="D268" s="6">
        <f>10^(-14)*EXP((55900/($D$261*100))*((1/$D$262)-(1/$D$263)))</f>
        <v>1E-14</v>
      </c>
      <c r="F268" s="9">
        <f t="shared" si="2"/>
        <v>1E-14</v>
      </c>
    </row>
    <row r="269" spans="1:6" x14ac:dyDescent="0.2">
      <c r="A269" s="7" t="s">
        <v>133</v>
      </c>
      <c r="B269" t="s">
        <v>246</v>
      </c>
      <c r="C269" t="s">
        <v>158</v>
      </c>
      <c r="D269" s="6">
        <f>10^(-4.86)</f>
        <v>1.3803842646028827E-5</v>
      </c>
      <c r="F269" s="9">
        <f t="shared" si="2"/>
        <v>1.3803842646028827E-5</v>
      </c>
    </row>
    <row r="270" spans="1:6" x14ac:dyDescent="0.2">
      <c r="A270" s="7" t="s">
        <v>134</v>
      </c>
      <c r="B270" t="s">
        <v>247</v>
      </c>
      <c r="C270" t="s">
        <v>158</v>
      </c>
      <c r="D270" s="6">
        <f>10^(-4.82)</f>
        <v>1.5135612484362051E-5</v>
      </c>
      <c r="F270" s="9">
        <f t="shared" si="2"/>
        <v>1.5135612484362051E-5</v>
      </c>
    </row>
    <row r="271" spans="1:6" x14ac:dyDescent="0.2">
      <c r="A271" s="7" t="s">
        <v>135</v>
      </c>
      <c r="B271" t="s">
        <v>248</v>
      </c>
      <c r="C271" t="s">
        <v>158</v>
      </c>
      <c r="D271" s="6">
        <f>10^(-4.88)</f>
        <v>1.3182567385564052E-5</v>
      </c>
      <c r="F271" s="9">
        <f t="shared" si="2"/>
        <v>1.3182567385564052E-5</v>
      </c>
    </row>
    <row r="272" spans="1:6" x14ac:dyDescent="0.2">
      <c r="A272" s="7" t="s">
        <v>136</v>
      </c>
      <c r="B272" t="s">
        <v>249</v>
      </c>
      <c r="C272" t="s">
        <v>158</v>
      </c>
      <c r="D272" s="6">
        <f>10^(-4.76)</f>
        <v>1.7378008287493744E-5</v>
      </c>
      <c r="F272" s="9">
        <f t="shared" si="2"/>
        <v>1.7378008287493744E-5</v>
      </c>
    </row>
    <row r="273" spans="1:6" x14ac:dyDescent="0.2">
      <c r="A273" s="7" t="s">
        <v>137</v>
      </c>
      <c r="B273" t="s">
        <v>250</v>
      </c>
      <c r="C273" t="s">
        <v>158</v>
      </c>
      <c r="D273" s="6">
        <f>10^(-6.35)*EXP((7646/($D$261*100))*((1/$D$262)-(1/$D$263)))</f>
        <v>4.4668359215096327E-7</v>
      </c>
      <c r="F273" s="9">
        <f t="shared" si="2"/>
        <v>4.4668359215096327E-7</v>
      </c>
    </row>
    <row r="274" spans="1:6" x14ac:dyDescent="0.2">
      <c r="A274" s="7" t="s">
        <v>138</v>
      </c>
      <c r="B274" t="s">
        <v>251</v>
      </c>
      <c r="C274" t="s">
        <v>158</v>
      </c>
      <c r="D274" s="6">
        <f>10^(-9.25)*EXP((51965/($D$261*100))*((1/$D$262)-(1/$D$263)))</f>
        <v>5.6234132519034889E-10</v>
      </c>
      <c r="F274" s="9">
        <f t="shared" si="2"/>
        <v>5.6234132519034889E-10</v>
      </c>
    </row>
    <row r="275" spans="1:6" x14ac:dyDescent="0.2">
      <c r="A275" s="7" t="s">
        <v>139</v>
      </c>
      <c r="B275" t="s">
        <v>252</v>
      </c>
      <c r="C275" t="s">
        <v>162</v>
      </c>
      <c r="D275" s="6">
        <f t="shared" ref="D275:D280" si="3">10^10</f>
        <v>10000000000</v>
      </c>
      <c r="F275" s="9">
        <f t="shared" si="2"/>
        <v>10000000000</v>
      </c>
    </row>
    <row r="276" spans="1:6" x14ac:dyDescent="0.2">
      <c r="A276" s="7" t="s">
        <v>140</v>
      </c>
      <c r="B276" t="s">
        <v>253</v>
      </c>
      <c r="C276" t="s">
        <v>162</v>
      </c>
      <c r="D276" s="6">
        <f t="shared" si="3"/>
        <v>10000000000</v>
      </c>
      <c r="F276" s="9">
        <f t="shared" si="2"/>
        <v>10000000000</v>
      </c>
    </row>
    <row r="277" spans="1:6" x14ac:dyDescent="0.2">
      <c r="A277" s="7" t="s">
        <v>141</v>
      </c>
      <c r="B277" t="s">
        <v>254</v>
      </c>
      <c r="C277" t="s">
        <v>162</v>
      </c>
      <c r="D277" s="6">
        <f t="shared" si="3"/>
        <v>10000000000</v>
      </c>
      <c r="F277" s="9">
        <f t="shared" si="2"/>
        <v>10000000000</v>
      </c>
    </row>
    <row r="278" spans="1:6" x14ac:dyDescent="0.2">
      <c r="A278" s="7" t="s">
        <v>142</v>
      </c>
      <c r="B278" t="s">
        <v>255</v>
      </c>
      <c r="C278" t="s">
        <v>162</v>
      </c>
      <c r="D278" s="6">
        <f t="shared" si="3"/>
        <v>10000000000</v>
      </c>
      <c r="F278" s="9">
        <f t="shared" si="2"/>
        <v>10000000000</v>
      </c>
    </row>
    <row r="279" spans="1:6" x14ac:dyDescent="0.2">
      <c r="A279" s="7" t="s">
        <v>143</v>
      </c>
      <c r="B279" t="s">
        <v>256</v>
      </c>
      <c r="C279" t="s">
        <v>162</v>
      </c>
      <c r="D279" s="6">
        <f t="shared" si="3"/>
        <v>10000000000</v>
      </c>
      <c r="F279" s="9">
        <f t="shared" ref="F279:F342" si="4">IF(ISBLANK(E279),D279,E279)</f>
        <v>10000000000</v>
      </c>
    </row>
    <row r="280" spans="1:6" x14ac:dyDescent="0.2">
      <c r="A280" s="7" t="s">
        <v>144</v>
      </c>
      <c r="B280" t="s">
        <v>257</v>
      </c>
      <c r="C280" t="s">
        <v>162</v>
      </c>
      <c r="D280" s="6">
        <f t="shared" si="3"/>
        <v>10000000000</v>
      </c>
      <c r="F280" s="9">
        <f t="shared" si="4"/>
        <v>10000000000</v>
      </c>
    </row>
    <row r="281" spans="1:6" x14ac:dyDescent="0.2">
      <c r="A281" s="7" t="s">
        <v>145</v>
      </c>
      <c r="B281" t="s">
        <v>258</v>
      </c>
      <c r="C281" t="s">
        <v>17</v>
      </c>
      <c r="D281" s="6">
        <v>1.0129999999999999</v>
      </c>
      <c r="F281" s="9">
        <f t="shared" si="4"/>
        <v>1.0129999999999999</v>
      </c>
    </row>
    <row r="282" spans="1:6" x14ac:dyDescent="0.2">
      <c r="A282" s="7" t="s">
        <v>146</v>
      </c>
      <c r="B282" t="s">
        <v>259</v>
      </c>
      <c r="C282" t="s">
        <v>17</v>
      </c>
      <c r="D282" s="6">
        <f>(0.0313)*EXP((5290)*((1/$D$262)-(1/$D$263)))</f>
        <v>3.1300000000000001E-2</v>
      </c>
      <c r="F282" s="9">
        <f t="shared" si="4"/>
        <v>3.1300000000000001E-2</v>
      </c>
    </row>
    <row r="283" spans="1:6" x14ac:dyDescent="0.2">
      <c r="A283" s="7" t="s">
        <v>147</v>
      </c>
      <c r="B283" t="s">
        <v>260</v>
      </c>
      <c r="C283" t="s">
        <v>163</v>
      </c>
      <c r="D283" s="6">
        <f>5*10^4</f>
        <v>50000</v>
      </c>
      <c r="F283" s="9">
        <f t="shared" si="4"/>
        <v>50000</v>
      </c>
    </row>
    <row r="284" spans="1:6" x14ac:dyDescent="0.2">
      <c r="A284" s="7" t="s">
        <v>148</v>
      </c>
      <c r="B284" t="s">
        <v>261</v>
      </c>
      <c r="C284" t="s">
        <v>157</v>
      </c>
      <c r="D284" s="6">
        <v>200</v>
      </c>
      <c r="F284" s="9">
        <f t="shared" si="4"/>
        <v>200</v>
      </c>
    </row>
    <row r="285" spans="1:6" x14ac:dyDescent="0.2">
      <c r="A285" s="7" t="s">
        <v>149</v>
      </c>
      <c r="B285" t="s">
        <v>262</v>
      </c>
      <c r="C285" t="s">
        <v>164</v>
      </c>
      <c r="D285" s="6">
        <f>0.035*EXP((-19410/($D$261*100))*((1/$D$262)-(1/$D$263)))</f>
        <v>3.5000000000000003E-2</v>
      </c>
      <c r="F285" s="9">
        <f t="shared" si="4"/>
        <v>3.5000000000000003E-2</v>
      </c>
    </row>
    <row r="286" spans="1:6" x14ac:dyDescent="0.2">
      <c r="A286" s="7" t="s">
        <v>150</v>
      </c>
      <c r="B286" t="s">
        <v>263</v>
      </c>
      <c r="C286" t="s">
        <v>164</v>
      </c>
      <c r="D286" s="6">
        <f>0.0014*EXP((-14240/($D$261*100))*((1/$D$262)-(1/$D$263)))</f>
        <v>1.4E-3</v>
      </c>
      <c r="F286" s="9">
        <f t="shared" si="4"/>
        <v>1.4E-3</v>
      </c>
    </row>
    <row r="287" spans="1:6" x14ac:dyDescent="0.2">
      <c r="A287" s="7" t="s">
        <v>151</v>
      </c>
      <c r="B287" t="s">
        <v>264</v>
      </c>
      <c r="C287" t="s">
        <v>164</v>
      </c>
      <c r="D287" s="6">
        <f>(7.8*10^(-4))*EXP((-4180/($D$261*100))*((1/$D$262)-(1/$D$263)))</f>
        <v>7.7999999999999999E-4</v>
      </c>
      <c r="F287" s="9">
        <f t="shared" si="4"/>
        <v>7.7999999999999999E-4</v>
      </c>
    </row>
    <row r="288" spans="1:6" x14ac:dyDescent="0.2">
      <c r="A288" s="7" t="s">
        <v>152</v>
      </c>
      <c r="B288" t="s">
        <v>265</v>
      </c>
      <c r="C288" t="s">
        <v>1</v>
      </c>
      <c r="D288" s="6">
        <v>3400</v>
      </c>
      <c r="F288" s="9">
        <f t="shared" si="4"/>
        <v>3400</v>
      </c>
    </row>
    <row r="289" spans="1:6" x14ac:dyDescent="0.2">
      <c r="A289" s="6" t="s">
        <v>153</v>
      </c>
      <c r="B289" t="s">
        <v>266</v>
      </c>
      <c r="C289" t="s">
        <v>1</v>
      </c>
      <c r="D289" s="6">
        <v>300</v>
      </c>
      <c r="F289" s="9">
        <f t="shared" si="4"/>
        <v>300</v>
      </c>
    </row>
    <row r="290" spans="1:6" x14ac:dyDescent="0.2">
      <c r="A290" s="223" t="s">
        <v>277</v>
      </c>
      <c r="B290" s="11"/>
      <c r="C290" s="11"/>
      <c r="D290" s="223"/>
      <c r="F290" s="9">
        <f t="shared" si="4"/>
        <v>0</v>
      </c>
    </row>
    <row r="291" spans="1:6" x14ac:dyDescent="0.2">
      <c r="A291" s="7" t="s">
        <v>51</v>
      </c>
      <c r="B291" t="s">
        <v>165</v>
      </c>
      <c r="D291" s="6">
        <v>0.1</v>
      </c>
      <c r="F291" s="9">
        <f t="shared" si="4"/>
        <v>0.1</v>
      </c>
    </row>
    <row r="292" spans="1:6" x14ac:dyDescent="0.2">
      <c r="A292" s="7" t="s">
        <v>52</v>
      </c>
      <c r="B292" t="s">
        <v>166</v>
      </c>
      <c r="D292" s="6">
        <v>0.2</v>
      </c>
      <c r="F292" s="9">
        <f t="shared" si="4"/>
        <v>0.2</v>
      </c>
    </row>
    <row r="293" spans="1:6" x14ac:dyDescent="0.2">
      <c r="A293" s="7" t="s">
        <v>53</v>
      </c>
      <c r="B293" t="s">
        <v>167</v>
      </c>
      <c r="D293" s="6">
        <v>0.2</v>
      </c>
      <c r="F293" s="9">
        <f t="shared" si="4"/>
        <v>0.2</v>
      </c>
    </row>
    <row r="294" spans="1:6" x14ac:dyDescent="0.2">
      <c r="A294" s="7" t="s">
        <v>54</v>
      </c>
      <c r="B294" t="s">
        <v>168</v>
      </c>
      <c r="D294" s="6">
        <v>0.2</v>
      </c>
      <c r="F294" s="9">
        <f t="shared" si="4"/>
        <v>0.2</v>
      </c>
    </row>
    <row r="295" spans="1:6" x14ac:dyDescent="0.2">
      <c r="A295" s="7" t="s">
        <v>55</v>
      </c>
      <c r="B295" t="s">
        <v>169</v>
      </c>
      <c r="D295" s="6">
        <v>0.3</v>
      </c>
      <c r="F295" s="9">
        <f t="shared" si="4"/>
        <v>0.3</v>
      </c>
    </row>
    <row r="296" spans="1:6" x14ac:dyDescent="0.2">
      <c r="A296" s="7" t="s">
        <v>56</v>
      </c>
      <c r="B296" t="s">
        <v>170</v>
      </c>
      <c r="C296" t="s">
        <v>154</v>
      </c>
      <c r="D296" s="6">
        <v>2.6857142857142856E-3</v>
      </c>
      <c r="F296" s="9">
        <f t="shared" si="4"/>
        <v>2.6857142857142856E-3</v>
      </c>
    </row>
    <row r="297" spans="1:6" x14ac:dyDescent="0.2">
      <c r="A297" s="7" t="s">
        <v>57</v>
      </c>
      <c r="B297" t="s">
        <v>171</v>
      </c>
      <c r="C297" t="s">
        <v>154</v>
      </c>
      <c r="D297" s="6">
        <v>4.2857142857142859E-3</v>
      </c>
      <c r="F297" s="9">
        <f t="shared" si="4"/>
        <v>4.2857142857142859E-3</v>
      </c>
    </row>
    <row r="298" spans="1:6" x14ac:dyDescent="0.2">
      <c r="A298" s="7" t="s">
        <v>58</v>
      </c>
      <c r="B298" t="s">
        <v>172</v>
      </c>
      <c r="C298" t="s">
        <v>154</v>
      </c>
      <c r="D298" s="6">
        <v>7.0000000000000001E-3</v>
      </c>
      <c r="F298" s="9">
        <f t="shared" si="4"/>
        <v>7.0000000000000001E-3</v>
      </c>
    </row>
    <row r="299" spans="1:6" x14ac:dyDescent="0.2">
      <c r="A299" s="7" t="s">
        <v>59</v>
      </c>
      <c r="B299" t="s">
        <v>173</v>
      </c>
      <c r="C299" t="s">
        <v>155</v>
      </c>
      <c r="D299" s="6">
        <v>2.7859999999999999E-2</v>
      </c>
      <c r="F299" s="9">
        <f t="shared" si="4"/>
        <v>2.7859999999999999E-2</v>
      </c>
    </row>
    <row r="300" spans="1:6" x14ac:dyDescent="0.2">
      <c r="A300" s="7" t="s">
        <v>60</v>
      </c>
      <c r="B300" t="s">
        <v>174</v>
      </c>
      <c r="C300" t="s">
        <v>155</v>
      </c>
      <c r="D300" s="6">
        <v>0.03</v>
      </c>
      <c r="F300" s="9">
        <f t="shared" si="4"/>
        <v>0.03</v>
      </c>
    </row>
    <row r="301" spans="1:6" x14ac:dyDescent="0.2">
      <c r="A301" s="7" t="s">
        <v>61</v>
      </c>
      <c r="B301" t="s">
        <v>175</v>
      </c>
      <c r="C301" t="s">
        <v>155</v>
      </c>
      <c r="D301" s="6">
        <v>3.1300000000000001E-2</v>
      </c>
      <c r="F301" s="9">
        <f t="shared" si="4"/>
        <v>3.1300000000000001E-2</v>
      </c>
    </row>
    <row r="302" spans="1:6" x14ac:dyDescent="0.2">
      <c r="A302" s="7" t="s">
        <v>62</v>
      </c>
      <c r="B302" t="s">
        <v>176</v>
      </c>
      <c r="C302" t="s">
        <v>155</v>
      </c>
      <c r="D302" s="6">
        <v>0.03</v>
      </c>
      <c r="F302" s="9">
        <f t="shared" si="4"/>
        <v>0.03</v>
      </c>
    </row>
    <row r="303" spans="1:6" x14ac:dyDescent="0.2">
      <c r="A303" s="7" t="s">
        <v>63</v>
      </c>
      <c r="B303" t="s">
        <v>177</v>
      </c>
      <c r="C303" t="s">
        <v>155</v>
      </c>
      <c r="D303" s="6">
        <v>2.1999999999999999E-2</v>
      </c>
      <c r="F303" s="9">
        <f t="shared" si="4"/>
        <v>2.1999999999999999E-2</v>
      </c>
    </row>
    <row r="304" spans="1:6" x14ac:dyDescent="0.2">
      <c r="A304" s="7" t="s">
        <v>64</v>
      </c>
      <c r="B304" t="s">
        <v>178</v>
      </c>
      <c r="C304" t="s">
        <v>155</v>
      </c>
      <c r="D304" s="6">
        <v>0.03</v>
      </c>
      <c r="F304" s="9">
        <f t="shared" si="4"/>
        <v>0.03</v>
      </c>
    </row>
    <row r="305" spans="1:6" ht="14.25" customHeight="1" x14ac:dyDescent="0.2">
      <c r="A305" s="7" t="s">
        <v>65</v>
      </c>
      <c r="B305" t="s">
        <v>179</v>
      </c>
      <c r="C305" t="s">
        <v>155</v>
      </c>
      <c r="D305" s="6">
        <v>3.1300000000000001E-2</v>
      </c>
      <c r="F305" s="9">
        <f t="shared" si="4"/>
        <v>3.1300000000000001E-2</v>
      </c>
    </row>
    <row r="306" spans="1:6" x14ac:dyDescent="0.2">
      <c r="A306" s="7" t="s">
        <v>66</v>
      </c>
      <c r="B306" t="s">
        <v>180</v>
      </c>
      <c r="C306" t="s">
        <v>155</v>
      </c>
      <c r="D306" s="6">
        <v>0.03</v>
      </c>
      <c r="F306" s="9">
        <f t="shared" si="4"/>
        <v>0.03</v>
      </c>
    </row>
    <row r="307" spans="1:6" x14ac:dyDescent="0.2">
      <c r="A307" s="7" t="s">
        <v>67</v>
      </c>
      <c r="B307" t="s">
        <v>181</v>
      </c>
      <c r="D307" s="6">
        <v>0.95</v>
      </c>
      <c r="F307" s="9">
        <f t="shared" si="4"/>
        <v>0.95</v>
      </c>
    </row>
    <row r="308" spans="1:6" x14ac:dyDescent="0.2">
      <c r="A308" s="7" t="s">
        <v>68</v>
      </c>
      <c r="B308" t="s">
        <v>182</v>
      </c>
      <c r="C308" t="s">
        <v>155</v>
      </c>
      <c r="D308" s="6">
        <v>2.1700000000000001E-2</v>
      </c>
      <c r="F308" s="9">
        <f t="shared" si="4"/>
        <v>2.1700000000000001E-2</v>
      </c>
    </row>
    <row r="309" spans="1:6" x14ac:dyDescent="0.2">
      <c r="A309" s="7" t="s">
        <v>69</v>
      </c>
      <c r="B309" t="s">
        <v>183</v>
      </c>
      <c r="D309" s="253">
        <v>0.19</v>
      </c>
      <c r="F309" s="9">
        <f t="shared" si="4"/>
        <v>0.19</v>
      </c>
    </row>
    <row r="310" spans="1:6" x14ac:dyDescent="0.2">
      <c r="A310" s="7" t="s">
        <v>70</v>
      </c>
      <c r="B310" t="s">
        <v>184</v>
      </c>
      <c r="D310" s="6">
        <v>0.13</v>
      </c>
      <c r="F310" s="9">
        <f t="shared" si="4"/>
        <v>0.13</v>
      </c>
    </row>
    <row r="311" spans="1:6" x14ac:dyDescent="0.2">
      <c r="A311" s="7" t="s">
        <v>71</v>
      </c>
      <c r="B311" t="s">
        <v>185</v>
      </c>
      <c r="D311" s="6">
        <v>0.27</v>
      </c>
      <c r="F311" s="9">
        <f t="shared" si="4"/>
        <v>0.27</v>
      </c>
    </row>
    <row r="312" spans="1:6" x14ac:dyDescent="0.2">
      <c r="A312" s="7" t="s">
        <v>72</v>
      </c>
      <c r="B312" t="s">
        <v>186</v>
      </c>
      <c r="D312" s="6">
        <v>0.41</v>
      </c>
      <c r="F312" s="9">
        <f t="shared" si="4"/>
        <v>0.41</v>
      </c>
    </row>
    <row r="313" spans="1:6" x14ac:dyDescent="0.2">
      <c r="A313" s="7" t="s">
        <v>73</v>
      </c>
      <c r="B313" t="s">
        <v>187</v>
      </c>
      <c r="C313" t="s">
        <v>154</v>
      </c>
      <c r="D313" s="6">
        <v>5.7142857142857099E-3</v>
      </c>
      <c r="F313" s="9">
        <f t="shared" si="4"/>
        <v>5.7142857142857099E-3</v>
      </c>
    </row>
    <row r="314" spans="1:6" x14ac:dyDescent="0.2">
      <c r="A314" s="7" t="s">
        <v>74</v>
      </c>
      <c r="B314" t="s">
        <v>188</v>
      </c>
      <c r="C314" t="s">
        <v>155</v>
      </c>
      <c r="D314" s="6">
        <v>2.5000000000000001E-2</v>
      </c>
      <c r="F314" s="9">
        <f t="shared" si="4"/>
        <v>2.5000000000000001E-2</v>
      </c>
    </row>
    <row r="315" spans="1:6" x14ac:dyDescent="0.2">
      <c r="A315" s="7" t="s">
        <v>75</v>
      </c>
      <c r="B315" t="s">
        <v>189</v>
      </c>
      <c r="C315" t="s">
        <v>155</v>
      </c>
      <c r="D315" s="6">
        <v>2.6800000000000001E-2</v>
      </c>
      <c r="F315" s="9">
        <f t="shared" si="4"/>
        <v>2.6800000000000001E-2</v>
      </c>
    </row>
    <row r="316" spans="1:6" x14ac:dyDescent="0.2">
      <c r="A316" s="7" t="s">
        <v>76</v>
      </c>
      <c r="B316" t="s">
        <v>190</v>
      </c>
      <c r="C316" t="s">
        <v>155</v>
      </c>
      <c r="D316" s="6">
        <v>3.1300000000000001E-2</v>
      </c>
      <c r="F316" s="9">
        <f t="shared" si="4"/>
        <v>3.1300000000000001E-2</v>
      </c>
    </row>
    <row r="317" spans="1:6" x14ac:dyDescent="0.2">
      <c r="A317" s="7" t="s">
        <v>77</v>
      </c>
      <c r="B317" t="s">
        <v>191</v>
      </c>
      <c r="C317" t="s">
        <v>155</v>
      </c>
      <c r="D317" s="6">
        <v>3.1300000000000001E-2</v>
      </c>
      <c r="F317" s="9">
        <f t="shared" si="4"/>
        <v>3.1300000000000001E-2</v>
      </c>
    </row>
    <row r="318" spans="1:6" x14ac:dyDescent="0.2">
      <c r="A318" s="7" t="s">
        <v>78</v>
      </c>
      <c r="B318" t="s">
        <v>192</v>
      </c>
      <c r="D318" s="6">
        <v>0.1</v>
      </c>
      <c r="F318" s="9">
        <f t="shared" si="4"/>
        <v>0.1</v>
      </c>
    </row>
    <row r="319" spans="1:6" x14ac:dyDescent="0.2">
      <c r="A319" s="7" t="s">
        <v>79</v>
      </c>
      <c r="B319" t="s">
        <v>193</v>
      </c>
      <c r="D319" s="6">
        <v>0.06</v>
      </c>
      <c r="F319" s="9">
        <f t="shared" si="4"/>
        <v>0.06</v>
      </c>
    </row>
    <row r="320" spans="1:6" x14ac:dyDescent="0.2">
      <c r="A320" s="7" t="s">
        <v>80</v>
      </c>
      <c r="B320" t="s">
        <v>194</v>
      </c>
      <c r="D320" s="6">
        <v>0.23</v>
      </c>
      <c r="F320" s="9">
        <f t="shared" si="4"/>
        <v>0.23</v>
      </c>
    </row>
    <row r="321" spans="1:6" x14ac:dyDescent="0.2">
      <c r="A321" s="7" t="s">
        <v>81</v>
      </c>
      <c r="B321" t="s">
        <v>195</v>
      </c>
      <c r="D321" s="6">
        <v>0.26</v>
      </c>
      <c r="F321" s="9">
        <f t="shared" si="4"/>
        <v>0.26</v>
      </c>
    </row>
    <row r="322" spans="1:6" x14ac:dyDescent="0.2">
      <c r="A322" s="7" t="s">
        <v>82</v>
      </c>
      <c r="B322" t="s">
        <v>196</v>
      </c>
      <c r="D322" s="6">
        <v>0.05</v>
      </c>
      <c r="F322" s="9">
        <f t="shared" si="4"/>
        <v>0.05</v>
      </c>
    </row>
    <row r="323" spans="1:6" x14ac:dyDescent="0.2">
      <c r="A323" s="7" t="s">
        <v>83</v>
      </c>
      <c r="B323" t="s">
        <v>197</v>
      </c>
      <c r="D323" s="6">
        <v>0.4</v>
      </c>
      <c r="F323" s="9">
        <f t="shared" si="4"/>
        <v>0.4</v>
      </c>
    </row>
    <row r="324" spans="1:6" x14ac:dyDescent="0.2">
      <c r="A324" s="7" t="s">
        <v>84</v>
      </c>
      <c r="B324" t="s">
        <v>198</v>
      </c>
      <c r="C324" t="s">
        <v>155</v>
      </c>
      <c r="D324" s="6">
        <v>2.4E-2</v>
      </c>
      <c r="F324" s="9">
        <f t="shared" si="4"/>
        <v>2.4E-2</v>
      </c>
    </row>
    <row r="325" spans="1:6" x14ac:dyDescent="0.2">
      <c r="A325" s="7" t="s">
        <v>85</v>
      </c>
      <c r="B325" t="s">
        <v>199</v>
      </c>
      <c r="C325" t="s">
        <v>156</v>
      </c>
      <c r="D325" s="6">
        <v>0.08</v>
      </c>
      <c r="F325" s="9">
        <f t="shared" si="4"/>
        <v>0.08</v>
      </c>
    </row>
    <row r="326" spans="1:6" x14ac:dyDescent="0.2">
      <c r="A326" s="7" t="s">
        <v>86</v>
      </c>
      <c r="B326" t="s">
        <v>200</v>
      </c>
      <c r="C326" t="s">
        <v>156</v>
      </c>
      <c r="D326" s="6">
        <v>0.06</v>
      </c>
      <c r="F326" s="9">
        <f t="shared" si="4"/>
        <v>0.06</v>
      </c>
    </row>
    <row r="327" spans="1:6" x14ac:dyDescent="0.2">
      <c r="A327" s="7" t="s">
        <v>87</v>
      </c>
      <c r="B327" t="s">
        <v>201</v>
      </c>
      <c r="C327" t="s">
        <v>156</v>
      </c>
      <c r="D327" s="6">
        <v>0.06</v>
      </c>
      <c r="F327" s="9">
        <f t="shared" si="4"/>
        <v>0.06</v>
      </c>
    </row>
    <row r="328" spans="1:6" x14ac:dyDescent="0.2">
      <c r="A328" s="7" t="s">
        <v>88</v>
      </c>
      <c r="B328" t="s">
        <v>202</v>
      </c>
      <c r="C328" t="s">
        <v>156</v>
      </c>
      <c r="D328" s="6">
        <v>0.04</v>
      </c>
      <c r="F328" s="9">
        <f t="shared" si="4"/>
        <v>0.04</v>
      </c>
    </row>
    <row r="329" spans="1:6" x14ac:dyDescent="0.2">
      <c r="A329" s="7" t="s">
        <v>89</v>
      </c>
      <c r="B329" t="s">
        <v>203</v>
      </c>
      <c r="C329" t="s">
        <v>155</v>
      </c>
      <c r="D329" s="6">
        <v>1.5599999999999999E-2</v>
      </c>
      <c r="F329" s="9">
        <f t="shared" si="4"/>
        <v>1.5599999999999999E-2</v>
      </c>
    </row>
    <row r="330" spans="1:6" x14ac:dyDescent="0.2">
      <c r="A330" s="7" t="s">
        <v>90</v>
      </c>
      <c r="B330" t="s">
        <v>204</v>
      </c>
      <c r="C330" t="s">
        <v>156</v>
      </c>
      <c r="D330" s="6">
        <v>0.05</v>
      </c>
      <c r="F330" s="9">
        <f t="shared" si="4"/>
        <v>0.05</v>
      </c>
    </row>
    <row r="331" spans="1:6" x14ac:dyDescent="0.2">
      <c r="A331" s="7" t="s">
        <v>91</v>
      </c>
      <c r="B331" t="s">
        <v>205</v>
      </c>
      <c r="C331" t="s">
        <v>156</v>
      </c>
      <c r="D331" s="6">
        <v>0.06</v>
      </c>
      <c r="F331" s="9">
        <f t="shared" si="4"/>
        <v>0.06</v>
      </c>
    </row>
    <row r="332" spans="1:6" x14ac:dyDescent="0.2">
      <c r="A332" s="7" t="s">
        <v>92</v>
      </c>
      <c r="B332" t="s">
        <v>206</v>
      </c>
      <c r="C332" t="s">
        <v>157</v>
      </c>
      <c r="D332" s="6">
        <v>0.5</v>
      </c>
      <c r="F332" s="9">
        <f t="shared" si="4"/>
        <v>0.5</v>
      </c>
    </row>
    <row r="333" spans="1:6" x14ac:dyDescent="0.2">
      <c r="A333" s="7" t="s">
        <v>93</v>
      </c>
      <c r="B333" t="s">
        <v>207</v>
      </c>
      <c r="C333" t="s">
        <v>157</v>
      </c>
      <c r="D333" s="6">
        <v>10</v>
      </c>
      <c r="F333" s="9">
        <f t="shared" si="4"/>
        <v>10</v>
      </c>
    </row>
    <row r="334" spans="1:6" x14ac:dyDescent="0.2">
      <c r="A334" s="7" t="s">
        <v>94</v>
      </c>
      <c r="B334" t="s">
        <v>208</v>
      </c>
      <c r="C334" t="s">
        <v>157</v>
      </c>
      <c r="D334" s="6">
        <v>10</v>
      </c>
      <c r="F334" s="9">
        <f t="shared" si="4"/>
        <v>10</v>
      </c>
    </row>
    <row r="335" spans="1:6" x14ac:dyDescent="0.2">
      <c r="A335" s="7" t="s">
        <v>95</v>
      </c>
      <c r="B335" t="s">
        <v>209</v>
      </c>
      <c r="C335" t="s">
        <v>157</v>
      </c>
      <c r="D335" s="6">
        <v>10</v>
      </c>
      <c r="F335" s="9">
        <f t="shared" si="4"/>
        <v>10</v>
      </c>
    </row>
    <row r="336" spans="1:6" x14ac:dyDescent="0.2">
      <c r="A336" s="7" t="s">
        <v>96</v>
      </c>
      <c r="B336" t="s">
        <v>210</v>
      </c>
      <c r="C336" t="s">
        <v>158</v>
      </c>
      <c r="D336" s="6">
        <v>1E-4</v>
      </c>
      <c r="F336" s="9">
        <f t="shared" si="4"/>
        <v>1E-4</v>
      </c>
    </row>
    <row r="337" spans="1:6" x14ac:dyDescent="0.2">
      <c r="A337" s="7" t="s">
        <v>97</v>
      </c>
      <c r="B337" t="s">
        <v>211</v>
      </c>
      <c r="C337" t="s">
        <v>157</v>
      </c>
      <c r="D337" s="6">
        <v>30</v>
      </c>
      <c r="F337" s="9">
        <f t="shared" si="4"/>
        <v>30</v>
      </c>
    </row>
    <row r="338" spans="1:6" x14ac:dyDescent="0.2">
      <c r="A338" s="7" t="s">
        <v>98</v>
      </c>
      <c r="B338" t="s">
        <v>212</v>
      </c>
      <c r="C338" t="s">
        <v>159</v>
      </c>
      <c r="D338" s="6">
        <v>0.5</v>
      </c>
      <c r="F338" s="9">
        <f t="shared" si="4"/>
        <v>0.5</v>
      </c>
    </row>
    <row r="339" spans="1:6" x14ac:dyDescent="0.2">
      <c r="A339" s="7" t="s">
        <v>99</v>
      </c>
      <c r="B339" t="s">
        <v>213</v>
      </c>
      <c r="D339" s="6">
        <v>5.5</v>
      </c>
      <c r="F339" s="9">
        <f t="shared" si="4"/>
        <v>5.5</v>
      </c>
    </row>
    <row r="340" spans="1:6" x14ac:dyDescent="0.2">
      <c r="A340" s="7" t="s">
        <v>100</v>
      </c>
      <c r="B340" t="s">
        <v>214</v>
      </c>
      <c r="D340" s="6">
        <v>4</v>
      </c>
      <c r="F340" s="9">
        <f t="shared" si="4"/>
        <v>4</v>
      </c>
    </row>
    <row r="341" spans="1:6" x14ac:dyDescent="0.2">
      <c r="A341" s="7" t="s">
        <v>101</v>
      </c>
      <c r="B341" t="s">
        <v>215</v>
      </c>
      <c r="C341" t="s">
        <v>157</v>
      </c>
      <c r="D341" s="6">
        <v>50</v>
      </c>
      <c r="F341" s="9">
        <f t="shared" si="4"/>
        <v>50</v>
      </c>
    </row>
    <row r="342" spans="1:6" x14ac:dyDescent="0.2">
      <c r="A342" s="7" t="s">
        <v>102</v>
      </c>
      <c r="B342" t="s">
        <v>216</v>
      </c>
      <c r="C342" t="s">
        <v>159</v>
      </c>
      <c r="D342" s="6">
        <v>0.3</v>
      </c>
      <c r="F342" s="9">
        <f t="shared" si="4"/>
        <v>0.3</v>
      </c>
    </row>
    <row r="343" spans="1:6" x14ac:dyDescent="0.2">
      <c r="A343" s="7" t="s">
        <v>103</v>
      </c>
      <c r="B343" t="s">
        <v>217</v>
      </c>
      <c r="C343" t="s">
        <v>157</v>
      </c>
      <c r="D343" s="6">
        <v>6</v>
      </c>
      <c r="F343" s="9">
        <f t="shared" ref="F343:F425" si="5">IF(ISBLANK(E343),D343,E343)</f>
        <v>6</v>
      </c>
    </row>
    <row r="344" spans="1:6" x14ac:dyDescent="0.2">
      <c r="A344" s="7" t="s">
        <v>104</v>
      </c>
      <c r="B344" t="s">
        <v>218</v>
      </c>
      <c r="C344" t="s">
        <v>159</v>
      </c>
      <c r="D344" s="6">
        <v>0.4</v>
      </c>
      <c r="F344" s="9">
        <f t="shared" si="5"/>
        <v>0.4</v>
      </c>
    </row>
    <row r="345" spans="1:6" x14ac:dyDescent="0.2">
      <c r="A345" s="7" t="s">
        <v>105</v>
      </c>
      <c r="B345" t="s">
        <v>219</v>
      </c>
      <c r="C345" t="s">
        <v>159</v>
      </c>
      <c r="D345" s="6">
        <v>5.0000000000000004E-6</v>
      </c>
      <c r="F345" s="9">
        <f t="shared" si="5"/>
        <v>5.0000000000000004E-6</v>
      </c>
    </row>
    <row r="346" spans="1:6" x14ac:dyDescent="0.2">
      <c r="A346" s="7" t="s">
        <v>106</v>
      </c>
      <c r="B346" t="s">
        <v>220</v>
      </c>
      <c r="C346" t="s">
        <v>157</v>
      </c>
      <c r="D346" s="6">
        <v>20</v>
      </c>
      <c r="F346" s="9">
        <f t="shared" si="5"/>
        <v>20</v>
      </c>
    </row>
    <row r="347" spans="1:6" x14ac:dyDescent="0.2">
      <c r="A347" s="7" t="s">
        <v>107</v>
      </c>
      <c r="B347" t="s">
        <v>221</v>
      </c>
      <c r="C347" t="s">
        <v>159</v>
      </c>
      <c r="D347" s="6">
        <v>0.2</v>
      </c>
      <c r="F347" s="9">
        <f t="shared" si="5"/>
        <v>0.2</v>
      </c>
    </row>
    <row r="348" spans="1:6" x14ac:dyDescent="0.2">
      <c r="A348" s="7" t="s">
        <v>108</v>
      </c>
      <c r="B348" t="s">
        <v>222</v>
      </c>
      <c r="C348" t="s">
        <v>159</v>
      </c>
      <c r="D348" s="6">
        <v>1.0000000000000001E-5</v>
      </c>
      <c r="F348" s="9">
        <f t="shared" si="5"/>
        <v>1.0000000000000001E-5</v>
      </c>
    </row>
    <row r="349" spans="1:6" x14ac:dyDescent="0.2">
      <c r="A349" s="7" t="s">
        <v>109</v>
      </c>
      <c r="B349" t="s">
        <v>223</v>
      </c>
      <c r="C349" t="s">
        <v>157</v>
      </c>
      <c r="D349" s="6">
        <v>13</v>
      </c>
      <c r="F349" s="9">
        <f t="shared" si="5"/>
        <v>13</v>
      </c>
    </row>
    <row r="350" spans="1:6" x14ac:dyDescent="0.2">
      <c r="A350" s="7" t="s">
        <v>110</v>
      </c>
      <c r="B350" t="s">
        <v>224</v>
      </c>
      <c r="C350" t="s">
        <v>159</v>
      </c>
      <c r="D350" s="6">
        <v>0.1</v>
      </c>
      <c r="F350" s="9">
        <f t="shared" si="5"/>
        <v>0.1</v>
      </c>
    </row>
    <row r="351" spans="1:6" x14ac:dyDescent="0.2">
      <c r="A351" s="7" t="s">
        <v>111</v>
      </c>
      <c r="B351" t="s">
        <v>225</v>
      </c>
      <c r="C351" t="s">
        <v>159</v>
      </c>
      <c r="D351" s="6">
        <v>3.4999999999999999E-6</v>
      </c>
      <c r="F351" s="9">
        <f t="shared" si="5"/>
        <v>3.4999999999999999E-6</v>
      </c>
    </row>
    <row r="352" spans="1:6" x14ac:dyDescent="0.2">
      <c r="A352" s="7" t="s">
        <v>112</v>
      </c>
      <c r="B352" t="s">
        <v>226</v>
      </c>
      <c r="C352" t="s">
        <v>157</v>
      </c>
      <c r="D352" s="6">
        <v>8</v>
      </c>
      <c r="F352" s="9">
        <f t="shared" si="5"/>
        <v>8</v>
      </c>
    </row>
    <row r="353" spans="1:6" x14ac:dyDescent="0.2">
      <c r="A353" s="7" t="s">
        <v>113</v>
      </c>
      <c r="B353" t="s">
        <v>227</v>
      </c>
      <c r="C353" t="s">
        <v>159</v>
      </c>
      <c r="D353" s="6">
        <v>0.15</v>
      </c>
      <c r="F353" s="9">
        <f t="shared" si="5"/>
        <v>0.15</v>
      </c>
    </row>
    <row r="354" spans="1:6" x14ac:dyDescent="0.2">
      <c r="A354" s="7" t="s">
        <v>114</v>
      </c>
      <c r="B354" t="s">
        <v>228</v>
      </c>
      <c r="C354" t="s">
        <v>158</v>
      </c>
      <c r="D354" s="6">
        <v>1.8E-3</v>
      </c>
      <c r="F354" s="9">
        <f t="shared" si="5"/>
        <v>1.8E-3</v>
      </c>
    </row>
    <row r="355" spans="1:6" x14ac:dyDescent="0.2">
      <c r="A355" s="7" t="s">
        <v>115</v>
      </c>
      <c r="B355" t="s">
        <v>229</v>
      </c>
      <c r="D355" s="6">
        <v>7</v>
      </c>
      <c r="F355" s="9">
        <f t="shared" si="5"/>
        <v>7</v>
      </c>
    </row>
    <row r="356" spans="1:6" x14ac:dyDescent="0.2">
      <c r="A356" s="7" t="s">
        <v>116</v>
      </c>
      <c r="B356" t="s">
        <v>230</v>
      </c>
      <c r="D356" s="6">
        <v>6</v>
      </c>
      <c r="F356" s="9">
        <f t="shared" si="5"/>
        <v>6</v>
      </c>
    </row>
    <row r="357" spans="1:6" x14ac:dyDescent="0.2">
      <c r="A357" s="7" t="s">
        <v>117</v>
      </c>
      <c r="B357" t="s">
        <v>231</v>
      </c>
      <c r="C357" t="s">
        <v>157</v>
      </c>
      <c r="D357" s="6">
        <v>35</v>
      </c>
      <c r="F357" s="9">
        <f t="shared" si="5"/>
        <v>35</v>
      </c>
    </row>
    <row r="358" spans="1:6" x14ac:dyDescent="0.2">
      <c r="A358" s="7" t="s">
        <v>118</v>
      </c>
      <c r="B358" t="s">
        <v>232</v>
      </c>
      <c r="C358" t="s">
        <v>159</v>
      </c>
      <c r="D358" s="6">
        <v>6.9999999999999999E-6</v>
      </c>
      <c r="F358" s="9">
        <f t="shared" si="5"/>
        <v>6.9999999999999999E-6</v>
      </c>
    </row>
    <row r="359" spans="1:6" x14ac:dyDescent="0.2">
      <c r="A359" s="7" t="s">
        <v>119</v>
      </c>
      <c r="B359" t="s">
        <v>233</v>
      </c>
      <c r="D359" s="6">
        <v>6</v>
      </c>
      <c r="F359" s="9">
        <f t="shared" si="5"/>
        <v>6</v>
      </c>
    </row>
    <row r="360" spans="1:6" x14ac:dyDescent="0.2">
      <c r="A360" s="7" t="s">
        <v>120</v>
      </c>
      <c r="B360" t="s">
        <v>234</v>
      </c>
      <c r="D360" s="6">
        <v>5</v>
      </c>
      <c r="F360" s="9">
        <f t="shared" si="5"/>
        <v>5</v>
      </c>
    </row>
    <row r="361" spans="1:6" x14ac:dyDescent="0.2">
      <c r="A361" s="7" t="s">
        <v>121</v>
      </c>
      <c r="B361" t="s">
        <v>235</v>
      </c>
      <c r="C361" t="s">
        <v>157</v>
      </c>
      <c r="D361" s="6">
        <v>0.02</v>
      </c>
      <c r="F361" s="9">
        <f t="shared" si="5"/>
        <v>0.02</v>
      </c>
    </row>
    <row r="362" spans="1:6" x14ac:dyDescent="0.2">
      <c r="A362" s="7" t="s">
        <v>122</v>
      </c>
      <c r="B362" t="s">
        <v>236</v>
      </c>
      <c r="C362" t="s">
        <v>157</v>
      </c>
      <c r="D362" s="6">
        <v>0.02</v>
      </c>
      <c r="F362" s="9">
        <f t="shared" si="5"/>
        <v>0.02</v>
      </c>
    </row>
    <row r="363" spans="1:6" x14ac:dyDescent="0.2">
      <c r="A363" s="7" t="s">
        <v>123</v>
      </c>
      <c r="B363" t="s">
        <v>237</v>
      </c>
      <c r="C363" t="s">
        <v>157</v>
      </c>
      <c r="D363" s="6">
        <v>0.02</v>
      </c>
      <c r="F363" s="9">
        <f t="shared" si="5"/>
        <v>0.02</v>
      </c>
    </row>
    <row r="364" spans="1:6" x14ac:dyDescent="0.2">
      <c r="A364" s="7" t="s">
        <v>124</v>
      </c>
      <c r="B364" t="s">
        <v>238</v>
      </c>
      <c r="C364" t="s">
        <v>157</v>
      </c>
      <c r="D364" s="6">
        <v>0.02</v>
      </c>
      <c r="F364" s="9">
        <f t="shared" si="5"/>
        <v>0.02</v>
      </c>
    </row>
    <row r="365" spans="1:6" x14ac:dyDescent="0.2">
      <c r="A365" s="7" t="s">
        <v>125</v>
      </c>
      <c r="B365" t="s">
        <v>239</v>
      </c>
      <c r="C365" t="s">
        <v>157</v>
      </c>
      <c r="D365" s="6">
        <v>0.02</v>
      </c>
      <c r="F365" s="9">
        <f t="shared" si="5"/>
        <v>0.02</v>
      </c>
    </row>
    <row r="366" spans="1:6" x14ac:dyDescent="0.2">
      <c r="A366" s="7" t="s">
        <v>126</v>
      </c>
      <c r="B366" t="s">
        <v>240</v>
      </c>
      <c r="C366" t="s">
        <v>157</v>
      </c>
      <c r="D366" s="6">
        <v>0.02</v>
      </c>
      <c r="F366" s="9">
        <f t="shared" si="5"/>
        <v>0.02</v>
      </c>
    </row>
    <row r="367" spans="1:6" x14ac:dyDescent="0.2">
      <c r="A367" s="7" t="s">
        <v>127</v>
      </c>
      <c r="B367" t="s">
        <v>241</v>
      </c>
      <c r="C367" t="s">
        <v>157</v>
      </c>
      <c r="D367" s="6">
        <v>0.02</v>
      </c>
      <c r="F367" s="9">
        <f t="shared" si="5"/>
        <v>0.02</v>
      </c>
    </row>
    <row r="368" spans="1:6" x14ac:dyDescent="0.2">
      <c r="A368" s="7" t="s">
        <v>128</v>
      </c>
      <c r="B368" t="s">
        <v>242</v>
      </c>
      <c r="C368" t="s">
        <v>160</v>
      </c>
      <c r="D368" s="6">
        <v>8.3144999999999997E-2</v>
      </c>
      <c r="F368" s="9">
        <f t="shared" si="5"/>
        <v>8.3144999999999997E-2</v>
      </c>
    </row>
    <row r="369" spans="1:6" x14ac:dyDescent="0.2">
      <c r="A369" s="7" t="s">
        <v>129</v>
      </c>
      <c r="B369" t="s">
        <v>243</v>
      </c>
      <c r="C369" t="s">
        <v>161</v>
      </c>
      <c r="D369" s="6">
        <v>298.14999999999998</v>
      </c>
      <c r="F369" s="9">
        <f t="shared" si="5"/>
        <v>298.14999999999998</v>
      </c>
    </row>
    <row r="370" spans="1:6" x14ac:dyDescent="0.2">
      <c r="A370" s="7" t="s">
        <v>130</v>
      </c>
      <c r="B370" t="s">
        <v>244</v>
      </c>
      <c r="C370" t="s">
        <v>161</v>
      </c>
      <c r="D370" s="6">
        <v>308.14999999999998</v>
      </c>
      <c r="F370" s="9">
        <f t="shared" si="5"/>
        <v>308.14999999999998</v>
      </c>
    </row>
    <row r="371" spans="1:6" x14ac:dyDescent="0.2">
      <c r="A371" s="7" t="s">
        <v>131</v>
      </c>
      <c r="C371" t="s">
        <v>161</v>
      </c>
      <c r="D371" s="6">
        <v>308.14999999999998</v>
      </c>
      <c r="F371" s="9">
        <f t="shared" si="5"/>
        <v>308.14999999999998</v>
      </c>
    </row>
    <row r="372" spans="1:6" x14ac:dyDescent="0.2">
      <c r="A372" s="7" t="s">
        <v>132</v>
      </c>
      <c r="B372" t="s">
        <v>245</v>
      </c>
      <c r="C372" t="s">
        <v>158</v>
      </c>
      <c r="D372" s="6">
        <f>10^(-14)*EXP((55900/($D$261*100))*((1/$D$262)-(1/$D$263)))</f>
        <v>1E-14</v>
      </c>
      <c r="F372" s="9">
        <f t="shared" si="5"/>
        <v>1E-14</v>
      </c>
    </row>
    <row r="373" spans="1:6" x14ac:dyDescent="0.2">
      <c r="A373" s="7" t="s">
        <v>133</v>
      </c>
      <c r="B373" t="s">
        <v>246</v>
      </c>
      <c r="C373" t="s">
        <v>158</v>
      </c>
      <c r="D373" s="6">
        <f>10^(-4.86)</f>
        <v>1.3803842646028827E-5</v>
      </c>
      <c r="F373" s="9">
        <f t="shared" si="5"/>
        <v>1.3803842646028827E-5</v>
      </c>
    </row>
    <row r="374" spans="1:6" x14ac:dyDescent="0.2">
      <c r="A374" s="7" t="s">
        <v>134</v>
      </c>
      <c r="B374" t="s">
        <v>247</v>
      </c>
      <c r="C374" t="s">
        <v>158</v>
      </c>
      <c r="D374" s="6">
        <f>10^(-4.82)</f>
        <v>1.5135612484362051E-5</v>
      </c>
      <c r="F374" s="9">
        <f t="shared" si="5"/>
        <v>1.5135612484362051E-5</v>
      </c>
    </row>
    <row r="375" spans="1:6" x14ac:dyDescent="0.2">
      <c r="A375" s="7" t="s">
        <v>135</v>
      </c>
      <c r="B375" t="s">
        <v>248</v>
      </c>
      <c r="C375" t="s">
        <v>158</v>
      </c>
      <c r="D375" s="6">
        <f>10^(-4.88)</f>
        <v>1.3182567385564052E-5</v>
      </c>
      <c r="F375" s="9">
        <f t="shared" si="5"/>
        <v>1.3182567385564052E-5</v>
      </c>
    </row>
    <row r="376" spans="1:6" x14ac:dyDescent="0.2">
      <c r="A376" s="7" t="s">
        <v>136</v>
      </c>
      <c r="B376" t="s">
        <v>249</v>
      </c>
      <c r="C376" t="s">
        <v>158</v>
      </c>
      <c r="D376" s="6">
        <f>10^(-4.76)</f>
        <v>1.7378008287493744E-5</v>
      </c>
      <c r="F376" s="9">
        <f t="shared" si="5"/>
        <v>1.7378008287493744E-5</v>
      </c>
    </row>
    <row r="377" spans="1:6" x14ac:dyDescent="0.2">
      <c r="A377" s="7" t="s">
        <v>137</v>
      </c>
      <c r="B377" t="s">
        <v>250</v>
      </c>
      <c r="C377" t="s">
        <v>158</v>
      </c>
      <c r="D377" s="6">
        <f>10^(-6.35)*EXP((7646/($D$261*100))*((1/$D$262)-(1/$D$263)))</f>
        <v>4.4668359215096327E-7</v>
      </c>
      <c r="F377" s="9">
        <f t="shared" si="5"/>
        <v>4.4668359215096327E-7</v>
      </c>
    </row>
    <row r="378" spans="1:6" x14ac:dyDescent="0.2">
      <c r="A378" s="7" t="s">
        <v>138</v>
      </c>
      <c r="B378" t="s">
        <v>251</v>
      </c>
      <c r="C378" t="s">
        <v>158</v>
      </c>
      <c r="D378" s="6">
        <f>10^(-9.25)*EXP((51965/($D$261*100))*((1/$D$262)-(1/$D$263)))</f>
        <v>5.6234132519034889E-10</v>
      </c>
      <c r="F378" s="9">
        <f t="shared" si="5"/>
        <v>5.6234132519034889E-10</v>
      </c>
    </row>
    <row r="379" spans="1:6" x14ac:dyDescent="0.2">
      <c r="A379" s="7" t="s">
        <v>139</v>
      </c>
      <c r="B379" t="s">
        <v>252</v>
      </c>
      <c r="C379" t="s">
        <v>162</v>
      </c>
      <c r="D379" s="6">
        <f t="shared" ref="D379:D384" si="6">10^10</f>
        <v>10000000000</v>
      </c>
      <c r="F379" s="9">
        <f t="shared" si="5"/>
        <v>10000000000</v>
      </c>
    </row>
    <row r="380" spans="1:6" x14ac:dyDescent="0.2">
      <c r="A380" s="7" t="s">
        <v>140</v>
      </c>
      <c r="B380" t="s">
        <v>253</v>
      </c>
      <c r="C380" t="s">
        <v>162</v>
      </c>
      <c r="D380" s="6">
        <f t="shared" si="6"/>
        <v>10000000000</v>
      </c>
      <c r="F380" s="9">
        <f t="shared" si="5"/>
        <v>10000000000</v>
      </c>
    </row>
    <row r="381" spans="1:6" x14ac:dyDescent="0.2">
      <c r="A381" s="7" t="s">
        <v>141</v>
      </c>
      <c r="B381" t="s">
        <v>254</v>
      </c>
      <c r="C381" t="s">
        <v>162</v>
      </c>
      <c r="D381" s="6">
        <f t="shared" si="6"/>
        <v>10000000000</v>
      </c>
      <c r="F381" s="9">
        <f t="shared" si="5"/>
        <v>10000000000</v>
      </c>
    </row>
    <row r="382" spans="1:6" x14ac:dyDescent="0.2">
      <c r="A382" s="7" t="s">
        <v>142</v>
      </c>
      <c r="B382" t="s">
        <v>255</v>
      </c>
      <c r="C382" t="s">
        <v>162</v>
      </c>
      <c r="D382" s="6">
        <f t="shared" si="6"/>
        <v>10000000000</v>
      </c>
      <c r="F382" s="9">
        <f t="shared" si="5"/>
        <v>10000000000</v>
      </c>
    </row>
    <row r="383" spans="1:6" x14ac:dyDescent="0.2">
      <c r="A383" s="7" t="s">
        <v>143</v>
      </c>
      <c r="B383" t="s">
        <v>256</v>
      </c>
      <c r="C383" t="s">
        <v>162</v>
      </c>
      <c r="D383" s="6">
        <f t="shared" si="6"/>
        <v>10000000000</v>
      </c>
      <c r="F383" s="9">
        <f t="shared" si="5"/>
        <v>10000000000</v>
      </c>
    </row>
    <row r="384" spans="1:6" x14ac:dyDescent="0.2">
      <c r="A384" s="7" t="s">
        <v>144</v>
      </c>
      <c r="B384" t="s">
        <v>257</v>
      </c>
      <c r="C384" t="s">
        <v>162</v>
      </c>
      <c r="D384" s="6">
        <f t="shared" si="6"/>
        <v>10000000000</v>
      </c>
      <c r="F384" s="9">
        <f t="shared" si="5"/>
        <v>10000000000</v>
      </c>
    </row>
    <row r="385" spans="1:6" x14ac:dyDescent="0.2">
      <c r="A385" s="7" t="s">
        <v>145</v>
      </c>
      <c r="B385" t="s">
        <v>258</v>
      </c>
      <c r="C385" t="s">
        <v>17</v>
      </c>
      <c r="D385" s="6">
        <v>1.0129999999999999</v>
      </c>
      <c r="F385" s="9">
        <f t="shared" si="5"/>
        <v>1.0129999999999999</v>
      </c>
    </row>
    <row r="386" spans="1:6" x14ac:dyDescent="0.2">
      <c r="A386" s="7" t="s">
        <v>146</v>
      </c>
      <c r="B386" t="s">
        <v>259</v>
      </c>
      <c r="C386" t="s">
        <v>17</v>
      </c>
      <c r="D386" s="6">
        <f>(0.0313)*EXP((5290)*((1/$D$262)-(1/$D$263)))</f>
        <v>3.1300000000000001E-2</v>
      </c>
      <c r="F386" s="9">
        <f t="shared" si="5"/>
        <v>3.1300000000000001E-2</v>
      </c>
    </row>
    <row r="387" spans="1:6" x14ac:dyDescent="0.2">
      <c r="A387" s="7" t="s">
        <v>147</v>
      </c>
      <c r="B387" t="s">
        <v>260</v>
      </c>
      <c r="C387" t="s">
        <v>163</v>
      </c>
      <c r="D387" s="6">
        <f>5*10^4</f>
        <v>50000</v>
      </c>
      <c r="F387" s="9">
        <f t="shared" si="5"/>
        <v>50000</v>
      </c>
    </row>
    <row r="388" spans="1:6" x14ac:dyDescent="0.2">
      <c r="A388" s="7" t="s">
        <v>148</v>
      </c>
      <c r="B388" t="s">
        <v>261</v>
      </c>
      <c r="C388" t="s">
        <v>157</v>
      </c>
      <c r="D388" s="6">
        <v>200</v>
      </c>
      <c r="F388" s="9">
        <f t="shared" si="5"/>
        <v>200</v>
      </c>
    </row>
    <row r="389" spans="1:6" x14ac:dyDescent="0.2">
      <c r="A389" s="7" t="s">
        <v>149</v>
      </c>
      <c r="B389" t="s">
        <v>262</v>
      </c>
      <c r="C389" t="s">
        <v>164</v>
      </c>
      <c r="D389" s="6">
        <f>0.035*EXP((-19410/($D$261*100))*((1/$D$262)-(1/$D$263)))</f>
        <v>3.5000000000000003E-2</v>
      </c>
      <c r="F389" s="9">
        <f t="shared" si="5"/>
        <v>3.5000000000000003E-2</v>
      </c>
    </row>
    <row r="390" spans="1:6" x14ac:dyDescent="0.2">
      <c r="A390" s="7" t="s">
        <v>150</v>
      </c>
      <c r="B390" t="s">
        <v>263</v>
      </c>
      <c r="C390" t="s">
        <v>164</v>
      </c>
      <c r="D390" s="6">
        <f>0.0014*EXP((-14240/($D$261*100))*((1/$D$262)-(1/$D$263)))</f>
        <v>1.4E-3</v>
      </c>
      <c r="F390" s="9">
        <f t="shared" si="5"/>
        <v>1.4E-3</v>
      </c>
    </row>
    <row r="391" spans="1:6" x14ac:dyDescent="0.2">
      <c r="A391" s="7" t="s">
        <v>151</v>
      </c>
      <c r="B391" t="s">
        <v>264</v>
      </c>
      <c r="C391" t="s">
        <v>164</v>
      </c>
      <c r="D391" s="6">
        <f>(7.8*10^(-4))*EXP((-4180/($D$261*100))*((1/$D$262)-(1/$D$263)))</f>
        <v>7.7999999999999999E-4</v>
      </c>
      <c r="F391" s="9">
        <f t="shared" si="5"/>
        <v>7.7999999999999999E-4</v>
      </c>
    </row>
    <row r="392" spans="1:6" x14ac:dyDescent="0.2">
      <c r="A392" s="7" t="s">
        <v>152</v>
      </c>
      <c r="B392" t="s">
        <v>265</v>
      </c>
      <c r="C392" t="s">
        <v>1</v>
      </c>
      <c r="D392" s="6">
        <v>3400</v>
      </c>
      <c r="F392" s="9">
        <f t="shared" si="5"/>
        <v>3400</v>
      </c>
    </row>
    <row r="393" spans="1:6" x14ac:dyDescent="0.2">
      <c r="A393" s="6" t="s">
        <v>153</v>
      </c>
      <c r="B393" t="s">
        <v>266</v>
      </c>
      <c r="C393" t="s">
        <v>1</v>
      </c>
      <c r="D393" s="6">
        <v>300</v>
      </c>
      <c r="F393" s="9">
        <f>IF(ISBLANK(E393),D393,E393)</f>
        <v>300</v>
      </c>
    </row>
    <row r="394" spans="1:6" x14ac:dyDescent="0.2">
      <c r="A394" s="6"/>
      <c r="F394" s="9">
        <f t="shared" ref="F394:F412" si="7">IF(ISBLANK(E394),D394,E394)</f>
        <v>0</v>
      </c>
    </row>
    <row r="395" spans="1:6" x14ac:dyDescent="0.2">
      <c r="A395" s="6"/>
      <c r="F395" s="9">
        <f t="shared" si="7"/>
        <v>0</v>
      </c>
    </row>
    <row r="396" spans="1:6" x14ac:dyDescent="0.2">
      <c r="A396" s="283" t="s">
        <v>1608</v>
      </c>
      <c r="B396" s="284"/>
      <c r="C396" s="284"/>
      <c r="D396" s="284"/>
      <c r="E396" s="284"/>
      <c r="F396" s="9">
        <f t="shared" si="7"/>
        <v>0</v>
      </c>
    </row>
    <row r="397" spans="1:6" x14ac:dyDescent="0.2">
      <c r="A397" s="6" t="s">
        <v>1623</v>
      </c>
      <c r="B397" t="s">
        <v>1624</v>
      </c>
      <c r="C397" t="s">
        <v>902</v>
      </c>
      <c r="D397">
        <v>55</v>
      </c>
      <c r="F397" s="9">
        <f t="shared" si="7"/>
        <v>55</v>
      </c>
    </row>
    <row r="398" spans="1:6" x14ac:dyDescent="0.2">
      <c r="A398" s="6" t="s">
        <v>1625</v>
      </c>
      <c r="B398" t="s">
        <v>2620</v>
      </c>
      <c r="C398" t="s">
        <v>902</v>
      </c>
      <c r="D398">
        <v>25</v>
      </c>
      <c r="F398" s="9">
        <f t="shared" si="7"/>
        <v>25</v>
      </c>
    </row>
    <row r="399" spans="1:6" x14ac:dyDescent="0.2">
      <c r="A399" s="6" t="s">
        <v>1628</v>
      </c>
      <c r="B399" t="s">
        <v>1629</v>
      </c>
      <c r="D399">
        <v>10.5</v>
      </c>
      <c r="F399" s="9">
        <f t="shared" si="7"/>
        <v>10.5</v>
      </c>
    </row>
    <row r="400" spans="1:6" x14ac:dyDescent="0.2">
      <c r="A400" s="6" t="s">
        <v>1640</v>
      </c>
      <c r="B400" t="s">
        <v>2619</v>
      </c>
      <c r="D400">
        <v>2</v>
      </c>
      <c r="F400" s="9">
        <f t="shared" si="7"/>
        <v>2</v>
      </c>
    </row>
    <row r="401" spans="1:6" x14ac:dyDescent="0.2">
      <c r="A401" s="6" t="s">
        <v>1630</v>
      </c>
      <c r="B401" t="s">
        <v>1631</v>
      </c>
      <c r="C401" t="s">
        <v>733</v>
      </c>
      <c r="D401">
        <v>20</v>
      </c>
      <c r="F401" s="9">
        <f t="shared" si="7"/>
        <v>20</v>
      </c>
    </row>
    <row r="402" spans="1:6" x14ac:dyDescent="0.2">
      <c r="A402" s="6" t="s">
        <v>1632</v>
      </c>
      <c r="B402" t="s">
        <v>1633</v>
      </c>
      <c r="C402" t="s">
        <v>733</v>
      </c>
      <c r="D402">
        <v>0.98</v>
      </c>
      <c r="F402" s="9">
        <f t="shared" si="7"/>
        <v>0.98</v>
      </c>
    </row>
    <row r="403" spans="1:6" x14ac:dyDescent="0.2">
      <c r="A403" s="6" t="s">
        <v>1634</v>
      </c>
      <c r="B403" t="s">
        <v>1635</v>
      </c>
      <c r="C403" t="s">
        <v>824</v>
      </c>
      <c r="D403">
        <v>24</v>
      </c>
      <c r="F403" s="9">
        <f t="shared" si="7"/>
        <v>24</v>
      </c>
    </row>
    <row r="404" spans="1:6" x14ac:dyDescent="0.2">
      <c r="A404" s="6" t="s">
        <v>1636</v>
      </c>
      <c r="B404" t="s">
        <v>1637</v>
      </c>
      <c r="C404" t="s">
        <v>10</v>
      </c>
      <c r="D404">
        <v>20</v>
      </c>
      <c r="F404" s="9">
        <f t="shared" si="7"/>
        <v>20</v>
      </c>
    </row>
    <row r="405" spans="1:6" x14ac:dyDescent="0.2">
      <c r="A405" s="6" t="s">
        <v>1638</v>
      </c>
      <c r="B405" t="s">
        <v>1639</v>
      </c>
      <c r="C405" t="s">
        <v>824</v>
      </c>
      <c r="D405">
        <v>0.125</v>
      </c>
      <c r="F405" s="9">
        <f t="shared" si="7"/>
        <v>0.125</v>
      </c>
    </row>
    <row r="406" spans="1:6" x14ac:dyDescent="0.2">
      <c r="A406" s="6" t="s">
        <v>1669</v>
      </c>
      <c r="B406" t="s">
        <v>1670</v>
      </c>
      <c r="C406" t="s">
        <v>1081</v>
      </c>
      <c r="D406">
        <v>0.97</v>
      </c>
      <c r="F406" s="9">
        <f t="shared" si="7"/>
        <v>0.97</v>
      </c>
    </row>
    <row r="407" spans="1:6" x14ac:dyDescent="0.2">
      <c r="A407" s="6" t="s">
        <v>1671</v>
      </c>
      <c r="B407" t="s">
        <v>1672</v>
      </c>
      <c r="C407" t="s">
        <v>1081</v>
      </c>
      <c r="D407">
        <v>0.76</v>
      </c>
      <c r="F407" s="9">
        <f t="shared" si="7"/>
        <v>0.76</v>
      </c>
    </row>
    <row r="408" spans="1:6" x14ac:dyDescent="0.2">
      <c r="A408" s="6" t="s">
        <v>1673</v>
      </c>
      <c r="B408" t="s">
        <v>1674</v>
      </c>
      <c r="C408" t="s">
        <v>1081</v>
      </c>
      <c r="D408">
        <v>0.02</v>
      </c>
      <c r="F408" s="9">
        <f t="shared" si="7"/>
        <v>0.02</v>
      </c>
    </row>
    <row r="409" spans="1:6" x14ac:dyDescent="0.2">
      <c r="A409" s="6" t="s">
        <v>2747</v>
      </c>
      <c r="C409" t="s">
        <v>902</v>
      </c>
      <c r="D409">
        <v>100</v>
      </c>
      <c r="F409" s="9">
        <f t="shared" si="7"/>
        <v>100</v>
      </c>
    </row>
    <row r="410" spans="1:6" x14ac:dyDescent="0.2">
      <c r="A410" s="6"/>
      <c r="F410" s="9">
        <f t="shared" si="7"/>
        <v>0</v>
      </c>
    </row>
    <row r="411" spans="1:6" x14ac:dyDescent="0.2">
      <c r="A411" s="6"/>
      <c r="F411" s="9">
        <f t="shared" si="7"/>
        <v>0</v>
      </c>
    </row>
    <row r="412" spans="1:6" x14ac:dyDescent="0.2">
      <c r="A412" s="222" t="s">
        <v>286</v>
      </c>
      <c r="B412" s="12"/>
      <c r="C412" s="12"/>
      <c r="D412" s="12"/>
      <c r="E412" s="12"/>
      <c r="F412" s="9">
        <f t="shared" si="7"/>
        <v>0</v>
      </c>
    </row>
    <row r="413" spans="1:6" x14ac:dyDescent="0.2">
      <c r="A413" s="6" t="s">
        <v>911</v>
      </c>
      <c r="B413" t="s">
        <v>288</v>
      </c>
      <c r="C413" t="s">
        <v>23</v>
      </c>
      <c r="D413">
        <v>6</v>
      </c>
      <c r="F413" s="9">
        <f t="shared" si="5"/>
        <v>6</v>
      </c>
    </row>
    <row r="414" spans="1:6" x14ac:dyDescent="0.2">
      <c r="A414" s="6" t="s">
        <v>1029</v>
      </c>
      <c r="B414" t="s">
        <v>312</v>
      </c>
      <c r="C414" t="s">
        <v>161</v>
      </c>
      <c r="D414">
        <v>298.14999999999998</v>
      </c>
      <c r="F414" s="9">
        <f t="shared" si="5"/>
        <v>298.14999999999998</v>
      </c>
    </row>
    <row r="415" spans="1:6" x14ac:dyDescent="0.2">
      <c r="A415" s="6" t="s">
        <v>1030</v>
      </c>
      <c r="B415" t="s">
        <v>814</v>
      </c>
      <c r="C415" t="s">
        <v>391</v>
      </c>
      <c r="D415">
        <v>18</v>
      </c>
      <c r="F415" s="9">
        <f t="shared" si="5"/>
        <v>18</v>
      </c>
    </row>
    <row r="416" spans="1:6" x14ac:dyDescent="0.2">
      <c r="A416" s="6" t="s">
        <v>291</v>
      </c>
      <c r="B416" t="s">
        <v>292</v>
      </c>
      <c r="D416">
        <v>1</v>
      </c>
      <c r="F416" s="9">
        <f t="shared" si="5"/>
        <v>1</v>
      </c>
    </row>
    <row r="417" spans="1:6" x14ac:dyDescent="0.2">
      <c r="A417" s="6" t="s">
        <v>293</v>
      </c>
      <c r="B417" t="s">
        <v>770</v>
      </c>
      <c r="C417" t="s">
        <v>764</v>
      </c>
      <c r="D417">
        <v>2</v>
      </c>
      <c r="F417" s="9">
        <f t="shared" si="5"/>
        <v>2</v>
      </c>
    </row>
    <row r="418" spans="1:6" x14ac:dyDescent="0.2">
      <c r="A418" s="6" t="s">
        <v>295</v>
      </c>
      <c r="B418" t="s">
        <v>766</v>
      </c>
      <c r="C418" t="s">
        <v>769</v>
      </c>
      <c r="D418">
        <v>0.6</v>
      </c>
      <c r="F418" s="9">
        <f t="shared" si="5"/>
        <v>0.6</v>
      </c>
    </row>
    <row r="419" spans="1:6" x14ac:dyDescent="0.2">
      <c r="A419" s="6" t="s">
        <v>297</v>
      </c>
      <c r="B419" t="s">
        <v>767</v>
      </c>
      <c r="C419" t="s">
        <v>769</v>
      </c>
      <c r="D419">
        <v>0.3</v>
      </c>
      <c r="F419" s="9">
        <f t="shared" si="5"/>
        <v>0.3</v>
      </c>
    </row>
    <row r="420" spans="1:6" x14ac:dyDescent="0.2">
      <c r="A420" s="6" t="s">
        <v>1082</v>
      </c>
      <c r="B420" t="s">
        <v>1083</v>
      </c>
      <c r="C420" t="s">
        <v>769</v>
      </c>
      <c r="D420">
        <v>0.3</v>
      </c>
      <c r="F420" s="9">
        <f t="shared" si="5"/>
        <v>0.3</v>
      </c>
    </row>
    <row r="421" spans="1:6" x14ac:dyDescent="0.2">
      <c r="A421" s="6" t="s">
        <v>296</v>
      </c>
      <c r="B421" t="s">
        <v>765</v>
      </c>
      <c r="C421" t="s">
        <v>764</v>
      </c>
      <c r="D421">
        <v>2</v>
      </c>
      <c r="F421" s="9">
        <f t="shared" si="5"/>
        <v>2</v>
      </c>
    </row>
    <row r="422" spans="1:6" x14ac:dyDescent="0.2">
      <c r="A422" s="6" t="s">
        <v>299</v>
      </c>
      <c r="B422" t="s">
        <v>768</v>
      </c>
      <c r="C422" t="s">
        <v>764</v>
      </c>
      <c r="D422">
        <v>1</v>
      </c>
      <c r="F422" s="9">
        <f t="shared" si="5"/>
        <v>1</v>
      </c>
    </row>
    <row r="423" spans="1:6" x14ac:dyDescent="0.2">
      <c r="A423" s="6" t="s">
        <v>300</v>
      </c>
      <c r="B423" t="s">
        <v>301</v>
      </c>
      <c r="C423" t="s">
        <v>302</v>
      </c>
      <c r="D423">
        <v>10</v>
      </c>
      <c r="F423" s="9">
        <f t="shared" si="5"/>
        <v>10</v>
      </c>
    </row>
    <row r="424" spans="1:6" x14ac:dyDescent="0.2">
      <c r="A424" s="6" t="s">
        <v>303</v>
      </c>
      <c r="B424" t="s">
        <v>304</v>
      </c>
      <c r="C424" t="s">
        <v>305</v>
      </c>
      <c r="D424">
        <v>5</v>
      </c>
      <c r="F424" s="9">
        <f t="shared" si="5"/>
        <v>5</v>
      </c>
    </row>
    <row r="425" spans="1:6" x14ac:dyDescent="0.2">
      <c r="A425" s="6" t="s">
        <v>306</v>
      </c>
      <c r="B425" t="s">
        <v>307</v>
      </c>
      <c r="C425" t="s">
        <v>305</v>
      </c>
      <c r="D425">
        <v>5</v>
      </c>
      <c r="F425" s="9">
        <f t="shared" si="5"/>
        <v>5</v>
      </c>
    </row>
    <row r="426" spans="1:6" x14ac:dyDescent="0.2">
      <c r="A426" s="6" t="s">
        <v>308</v>
      </c>
      <c r="B426" t="s">
        <v>309</v>
      </c>
      <c r="C426" t="s">
        <v>7</v>
      </c>
      <c r="D426">
        <v>1</v>
      </c>
      <c r="F426" s="9">
        <f t="shared" ref="F426:F492" si="8">IF(ISBLANK(E426),D426,E426)</f>
        <v>1</v>
      </c>
    </row>
    <row r="427" spans="1:6" x14ac:dyDescent="0.2">
      <c r="A427" s="6" t="s">
        <v>310</v>
      </c>
      <c r="B427" t="s">
        <v>311</v>
      </c>
      <c r="C427" t="s">
        <v>10</v>
      </c>
      <c r="D427">
        <v>0.01</v>
      </c>
      <c r="F427" s="9">
        <f t="shared" si="8"/>
        <v>0.01</v>
      </c>
    </row>
    <row r="428" spans="1:6" x14ac:dyDescent="0.2">
      <c r="A428" s="6" t="s">
        <v>315</v>
      </c>
      <c r="B428" t="s">
        <v>316</v>
      </c>
      <c r="C428" t="s">
        <v>335</v>
      </c>
      <c r="D428">
        <v>1</v>
      </c>
      <c r="F428" s="9">
        <f t="shared" si="8"/>
        <v>1</v>
      </c>
    </row>
    <row r="429" spans="1:6" x14ac:dyDescent="0.2">
      <c r="A429" s="6" t="s">
        <v>313</v>
      </c>
      <c r="B429" t="s">
        <v>314</v>
      </c>
      <c r="C429" t="s">
        <v>10</v>
      </c>
      <c r="D429">
        <v>4.5</v>
      </c>
      <c r="F429" s="9">
        <f t="shared" si="8"/>
        <v>4.5</v>
      </c>
    </row>
    <row r="430" spans="1:6" x14ac:dyDescent="0.2">
      <c r="A430" s="6" t="s">
        <v>758</v>
      </c>
      <c r="B430" t="s">
        <v>759</v>
      </c>
      <c r="C430" t="s">
        <v>760</v>
      </c>
      <c r="D430">
        <v>500</v>
      </c>
      <c r="F430" s="9">
        <f t="shared" si="8"/>
        <v>500</v>
      </c>
    </row>
    <row r="431" spans="1:6" x14ac:dyDescent="0.2">
      <c r="A431" s="6" t="s">
        <v>761</v>
      </c>
      <c r="B431" t="s">
        <v>762</v>
      </c>
      <c r="C431" t="s">
        <v>787</v>
      </c>
      <c r="D431">
        <v>100</v>
      </c>
      <c r="F431" s="9">
        <f t="shared" si="8"/>
        <v>100</v>
      </c>
    </row>
    <row r="432" spans="1:6" x14ac:dyDescent="0.2">
      <c r="A432" s="6" t="s">
        <v>771</v>
      </c>
      <c r="B432" t="s">
        <v>772</v>
      </c>
      <c r="C432" t="s">
        <v>10</v>
      </c>
      <c r="D432">
        <v>1E-3</v>
      </c>
      <c r="F432" s="9">
        <f t="shared" si="8"/>
        <v>1E-3</v>
      </c>
    </row>
    <row r="433" spans="1:6" x14ac:dyDescent="0.2">
      <c r="A433" s="6" t="s">
        <v>776</v>
      </c>
      <c r="B433" t="s">
        <v>775</v>
      </c>
      <c r="C433" t="s">
        <v>788</v>
      </c>
      <c r="D433">
        <v>3</v>
      </c>
      <c r="F433" s="9">
        <f t="shared" si="8"/>
        <v>3</v>
      </c>
    </row>
    <row r="434" spans="1:6" x14ac:dyDescent="0.2">
      <c r="A434" s="6" t="s">
        <v>778</v>
      </c>
      <c r="B434" t="s">
        <v>780</v>
      </c>
      <c r="C434" t="s">
        <v>788</v>
      </c>
      <c r="D434">
        <v>1</v>
      </c>
      <c r="F434" s="9">
        <f t="shared" si="8"/>
        <v>1</v>
      </c>
    </row>
    <row r="435" spans="1:6" x14ac:dyDescent="0.2">
      <c r="A435" s="6" t="s">
        <v>777</v>
      </c>
      <c r="B435" t="s">
        <v>781</v>
      </c>
      <c r="C435" t="s">
        <v>788</v>
      </c>
      <c r="D435">
        <v>1</v>
      </c>
      <c r="F435" s="9">
        <f t="shared" si="8"/>
        <v>1</v>
      </c>
    </row>
    <row r="436" spans="1:6" x14ac:dyDescent="0.2">
      <c r="A436" s="6" t="s">
        <v>779</v>
      </c>
      <c r="B436" t="s">
        <v>782</v>
      </c>
      <c r="C436" t="s">
        <v>788</v>
      </c>
      <c r="D436">
        <v>1</v>
      </c>
      <c r="F436" s="9">
        <f t="shared" si="8"/>
        <v>1</v>
      </c>
    </row>
    <row r="437" spans="1:6" x14ac:dyDescent="0.2">
      <c r="A437" s="6" t="s">
        <v>793</v>
      </c>
      <c r="B437" t="s">
        <v>794</v>
      </c>
      <c r="C437" t="s">
        <v>7</v>
      </c>
      <c r="D437">
        <v>1.44</v>
      </c>
      <c r="F437" s="9">
        <f t="shared" si="8"/>
        <v>1.44</v>
      </c>
    </row>
    <row r="438" spans="1:6" x14ac:dyDescent="0.2">
      <c r="A438" s="6" t="s">
        <v>795</v>
      </c>
      <c r="B438" t="s">
        <v>796</v>
      </c>
      <c r="C438" t="s">
        <v>10</v>
      </c>
      <c r="D438">
        <v>0.25</v>
      </c>
      <c r="F438" s="9">
        <f t="shared" si="8"/>
        <v>0.25</v>
      </c>
    </row>
    <row r="439" spans="1:6" x14ac:dyDescent="0.2">
      <c r="A439" s="6" t="s">
        <v>825</v>
      </c>
      <c r="B439" t="s">
        <v>819</v>
      </c>
      <c r="C439" t="s">
        <v>820</v>
      </c>
      <c r="D439">
        <v>4</v>
      </c>
      <c r="F439" s="9">
        <f t="shared" si="8"/>
        <v>4</v>
      </c>
    </row>
    <row r="440" spans="1:6" x14ac:dyDescent="0.2">
      <c r="A440" s="6" t="s">
        <v>827</v>
      </c>
      <c r="B440" t="s">
        <v>1108</v>
      </c>
      <c r="C440" t="s">
        <v>1</v>
      </c>
      <c r="D440">
        <v>1</v>
      </c>
      <c r="F440" s="9">
        <f t="shared" si="8"/>
        <v>1</v>
      </c>
    </row>
    <row r="441" spans="1:6" x14ac:dyDescent="0.2">
      <c r="A441" s="6" t="s">
        <v>830</v>
      </c>
      <c r="B441" t="s">
        <v>831</v>
      </c>
      <c r="C441" t="s">
        <v>824</v>
      </c>
      <c r="D441">
        <v>1.2</v>
      </c>
      <c r="F441" s="9">
        <f t="shared" si="8"/>
        <v>1.2</v>
      </c>
    </row>
    <row r="442" spans="1:6" x14ac:dyDescent="0.2">
      <c r="A442" s="6" t="s">
        <v>1107</v>
      </c>
      <c r="B442" t="s">
        <v>1109</v>
      </c>
      <c r="C442" t="s">
        <v>275</v>
      </c>
      <c r="D442">
        <v>80</v>
      </c>
      <c r="F442" s="9">
        <f t="shared" si="8"/>
        <v>80</v>
      </c>
    </row>
    <row r="443" spans="1:6" x14ac:dyDescent="0.2">
      <c r="A443" s="6"/>
      <c r="F443" s="9">
        <f t="shared" si="8"/>
        <v>0</v>
      </c>
    </row>
    <row r="444" spans="1:6" x14ac:dyDescent="0.2">
      <c r="A444" s="6"/>
      <c r="F444" s="9">
        <f t="shared" si="8"/>
        <v>0</v>
      </c>
    </row>
    <row r="445" spans="1:6" x14ac:dyDescent="0.2">
      <c r="A445" s="236" t="s">
        <v>1352</v>
      </c>
      <c r="B445" s="237"/>
      <c r="C445" s="237"/>
      <c r="D445" s="237"/>
      <c r="E445" s="237"/>
      <c r="F445" s="9">
        <f t="shared" si="8"/>
        <v>0</v>
      </c>
    </row>
    <row r="446" spans="1:6" x14ac:dyDescent="0.2">
      <c r="A446" s="6" t="s">
        <v>914</v>
      </c>
      <c r="B446" s="6" t="s">
        <v>942</v>
      </c>
      <c r="C446" s="6" t="s">
        <v>915</v>
      </c>
      <c r="D446">
        <v>0.1</v>
      </c>
      <c r="F446" s="9">
        <f t="shared" si="8"/>
        <v>0.1</v>
      </c>
    </row>
    <row r="447" spans="1:6" x14ac:dyDescent="0.2">
      <c r="A447" s="6" t="s">
        <v>917</v>
      </c>
      <c r="B447" s="6" t="s">
        <v>918</v>
      </c>
      <c r="C447" s="6" t="s">
        <v>23</v>
      </c>
      <c r="D447" s="6">
        <v>1</v>
      </c>
      <c r="F447" s="9">
        <f t="shared" si="8"/>
        <v>1</v>
      </c>
    </row>
    <row r="448" spans="1:6" x14ac:dyDescent="0.2">
      <c r="A448" s="6" t="s">
        <v>919</v>
      </c>
      <c r="B448" s="6" t="s">
        <v>920</v>
      </c>
      <c r="C448" s="6" t="s">
        <v>281</v>
      </c>
      <c r="D448" s="6">
        <v>100</v>
      </c>
      <c r="F448" s="9">
        <f t="shared" si="8"/>
        <v>100</v>
      </c>
    </row>
    <row r="449" spans="1:6" x14ac:dyDescent="0.2">
      <c r="A449" s="6" t="s">
        <v>921</v>
      </c>
      <c r="B449" s="6" t="s">
        <v>922</v>
      </c>
      <c r="C449" s="6" t="s">
        <v>1</v>
      </c>
      <c r="D449" s="6">
        <v>10</v>
      </c>
      <c r="F449" s="9">
        <f t="shared" si="8"/>
        <v>10</v>
      </c>
    </row>
    <row r="450" spans="1:6" x14ac:dyDescent="0.2">
      <c r="A450" s="6" t="s">
        <v>923</v>
      </c>
      <c r="B450" s="6" t="s">
        <v>924</v>
      </c>
      <c r="C450" s="6" t="s">
        <v>824</v>
      </c>
      <c r="D450" s="6">
        <v>1.2</v>
      </c>
      <c r="F450" s="9">
        <f t="shared" si="8"/>
        <v>1.2</v>
      </c>
    </row>
    <row r="451" spans="1:6" x14ac:dyDescent="0.2">
      <c r="A451" s="6"/>
      <c r="F451" s="9">
        <f t="shared" si="8"/>
        <v>0</v>
      </c>
    </row>
    <row r="452" spans="1:6" x14ac:dyDescent="0.2">
      <c r="A452" s="6"/>
      <c r="F452" s="9">
        <f t="shared" si="8"/>
        <v>0</v>
      </c>
    </row>
    <row r="453" spans="1:6" x14ac:dyDescent="0.2">
      <c r="A453" s="6"/>
      <c r="F453" s="9">
        <f t="shared" si="8"/>
        <v>0</v>
      </c>
    </row>
    <row r="454" spans="1:6" x14ac:dyDescent="0.2">
      <c r="A454" s="6"/>
      <c r="F454" s="9">
        <f t="shared" si="8"/>
        <v>0</v>
      </c>
    </row>
    <row r="455" spans="1:6" x14ac:dyDescent="0.2">
      <c r="A455" s="232" t="s">
        <v>916</v>
      </c>
      <c r="B455" s="233"/>
      <c r="C455" s="233"/>
      <c r="D455" s="233"/>
      <c r="E455" s="233"/>
      <c r="F455" s="9">
        <f t="shared" si="8"/>
        <v>0</v>
      </c>
    </row>
    <row r="456" spans="1:6" x14ac:dyDescent="0.2">
      <c r="A456" s="6" t="s">
        <v>925</v>
      </c>
      <c r="B456" t="s">
        <v>929</v>
      </c>
      <c r="C456" t="s">
        <v>902</v>
      </c>
      <c r="D456">
        <v>98.8</v>
      </c>
      <c r="F456" s="9">
        <f t="shared" si="8"/>
        <v>98.8</v>
      </c>
    </row>
    <row r="457" spans="1:6" x14ac:dyDescent="0.2">
      <c r="A457" s="6" t="s">
        <v>926</v>
      </c>
      <c r="B457" t="s">
        <v>930</v>
      </c>
      <c r="C457" t="s">
        <v>902</v>
      </c>
      <c r="D457">
        <v>30</v>
      </c>
      <c r="F457" s="9">
        <f t="shared" si="8"/>
        <v>30</v>
      </c>
    </row>
    <row r="458" spans="1:6" x14ac:dyDescent="0.2">
      <c r="A458" s="6" t="s">
        <v>927</v>
      </c>
      <c r="B458" t="s">
        <v>931</v>
      </c>
      <c r="C458" t="s">
        <v>763</v>
      </c>
      <c r="D458">
        <v>5</v>
      </c>
      <c r="F458" s="9">
        <f t="shared" si="8"/>
        <v>5</v>
      </c>
    </row>
    <row r="459" spans="1:6" x14ac:dyDescent="0.2">
      <c r="A459" s="6" t="s">
        <v>928</v>
      </c>
      <c r="B459" t="s">
        <v>932</v>
      </c>
      <c r="C459" t="s">
        <v>23</v>
      </c>
      <c r="D459">
        <v>1</v>
      </c>
      <c r="F459" s="9">
        <f t="shared" si="8"/>
        <v>1</v>
      </c>
    </row>
    <row r="460" spans="1:6" x14ac:dyDescent="0.2">
      <c r="A460" s="6" t="s">
        <v>1032</v>
      </c>
      <c r="B460" t="s">
        <v>1031</v>
      </c>
      <c r="C460" t="s">
        <v>267</v>
      </c>
      <c r="D460">
        <v>20000</v>
      </c>
      <c r="F460" s="9">
        <f t="shared" si="8"/>
        <v>20000</v>
      </c>
    </row>
    <row r="461" spans="1:6" x14ac:dyDescent="0.2">
      <c r="A461" s="6" t="s">
        <v>1033</v>
      </c>
      <c r="B461" t="s">
        <v>1034</v>
      </c>
      <c r="C461" t="s">
        <v>999</v>
      </c>
      <c r="D461">
        <v>12</v>
      </c>
      <c r="F461" s="9">
        <f t="shared" si="8"/>
        <v>12</v>
      </c>
    </row>
    <row r="462" spans="1:6" x14ac:dyDescent="0.2">
      <c r="A462" s="6" t="s">
        <v>1035</v>
      </c>
      <c r="B462" t="s">
        <v>1036</v>
      </c>
      <c r="C462" t="s">
        <v>999</v>
      </c>
      <c r="D462">
        <v>13</v>
      </c>
      <c r="F462" s="9">
        <f t="shared" si="8"/>
        <v>13</v>
      </c>
    </row>
    <row r="463" spans="1:6" x14ac:dyDescent="0.2">
      <c r="F463" s="9">
        <f t="shared" si="8"/>
        <v>0</v>
      </c>
    </row>
    <row r="464" spans="1:6" x14ac:dyDescent="0.2">
      <c r="F464" s="9">
        <f t="shared" si="8"/>
        <v>0</v>
      </c>
    </row>
    <row r="465" spans="1:6" x14ac:dyDescent="0.2">
      <c r="A465" s="99" t="s">
        <v>317</v>
      </c>
      <c r="B465" s="13"/>
      <c r="C465" s="13"/>
      <c r="D465" s="13"/>
      <c r="E465" s="13"/>
      <c r="F465" s="9">
        <f t="shared" si="8"/>
        <v>0</v>
      </c>
    </row>
    <row r="466" spans="1:6" x14ac:dyDescent="0.2">
      <c r="A466" s="6" t="s">
        <v>1110</v>
      </c>
      <c r="B466" t="s">
        <v>318</v>
      </c>
      <c r="C466" t="s">
        <v>23</v>
      </c>
      <c r="D466">
        <v>480</v>
      </c>
      <c r="F466" s="9">
        <f t="shared" si="8"/>
        <v>480</v>
      </c>
    </row>
    <row r="467" spans="1:6" x14ac:dyDescent="0.2">
      <c r="A467" s="6" t="s">
        <v>1111</v>
      </c>
      <c r="B467" t="s">
        <v>319</v>
      </c>
      <c r="C467" t="s">
        <v>281</v>
      </c>
      <c r="D467">
        <v>100</v>
      </c>
      <c r="F467" s="9">
        <f t="shared" si="8"/>
        <v>100</v>
      </c>
    </row>
    <row r="468" spans="1:6" x14ac:dyDescent="0.2">
      <c r="A468" s="6" t="s">
        <v>1112</v>
      </c>
      <c r="B468" t="s">
        <v>844</v>
      </c>
      <c r="C468" t="s">
        <v>1</v>
      </c>
      <c r="D468">
        <v>30</v>
      </c>
      <c r="F468" s="9">
        <f t="shared" si="8"/>
        <v>30</v>
      </c>
    </row>
    <row r="469" spans="1:6" x14ac:dyDescent="0.2">
      <c r="A469" s="6" t="s">
        <v>845</v>
      </c>
      <c r="B469" t="s">
        <v>846</v>
      </c>
      <c r="C469" t="s">
        <v>824</v>
      </c>
      <c r="D469">
        <v>1.2</v>
      </c>
      <c r="F469" s="9">
        <f t="shared" si="8"/>
        <v>1.2</v>
      </c>
    </row>
    <row r="470" spans="1:6" x14ac:dyDescent="0.2">
      <c r="A470" s="6" t="s">
        <v>1113</v>
      </c>
      <c r="B470" t="s">
        <v>1114</v>
      </c>
      <c r="C470" t="s">
        <v>1081</v>
      </c>
      <c r="D470">
        <v>0.8</v>
      </c>
      <c r="F470" s="9">
        <f t="shared" si="8"/>
        <v>0.8</v>
      </c>
    </row>
    <row r="471" spans="1:6" x14ac:dyDescent="0.2">
      <c r="A471" s="6" t="s">
        <v>848</v>
      </c>
      <c r="B471" t="s">
        <v>849</v>
      </c>
      <c r="C471" t="s">
        <v>1</v>
      </c>
      <c r="D471">
        <v>10</v>
      </c>
      <c r="F471" s="9">
        <f t="shared" si="8"/>
        <v>10</v>
      </c>
    </row>
    <row r="472" spans="1:6" x14ac:dyDescent="0.2">
      <c r="A472" s="6"/>
      <c r="F472" s="9">
        <f t="shared" si="8"/>
        <v>0</v>
      </c>
    </row>
    <row r="473" spans="1:6" x14ac:dyDescent="0.2">
      <c r="A473" s="6"/>
      <c r="F473" s="9">
        <f t="shared" si="8"/>
        <v>0</v>
      </c>
    </row>
    <row r="474" spans="1:6" x14ac:dyDescent="0.2">
      <c r="A474" s="221" t="s">
        <v>320</v>
      </c>
      <c r="B474" s="14"/>
      <c r="C474" s="14"/>
      <c r="D474" s="14"/>
      <c r="F474" s="9">
        <f t="shared" si="8"/>
        <v>0</v>
      </c>
    </row>
    <row r="475" spans="1:6" x14ac:dyDescent="0.2">
      <c r="A475" s="7" t="s">
        <v>51</v>
      </c>
      <c r="B475" t="s">
        <v>165</v>
      </c>
      <c r="D475" s="6">
        <v>0.1</v>
      </c>
      <c r="F475" s="9">
        <f t="shared" si="8"/>
        <v>0.1</v>
      </c>
    </row>
    <row r="476" spans="1:6" x14ac:dyDescent="0.2">
      <c r="A476" s="7" t="s">
        <v>52</v>
      </c>
      <c r="B476" t="s">
        <v>166</v>
      </c>
      <c r="D476" s="6">
        <v>0.2</v>
      </c>
      <c r="F476" s="9">
        <f t="shared" si="8"/>
        <v>0.2</v>
      </c>
    </row>
    <row r="477" spans="1:6" x14ac:dyDescent="0.2">
      <c r="A477" s="7" t="s">
        <v>53</v>
      </c>
      <c r="B477" t="s">
        <v>167</v>
      </c>
      <c r="D477" s="6">
        <v>0.2</v>
      </c>
      <c r="F477" s="9">
        <f t="shared" si="8"/>
        <v>0.2</v>
      </c>
    </row>
    <row r="478" spans="1:6" x14ac:dyDescent="0.2">
      <c r="A478" s="7" t="s">
        <v>54</v>
      </c>
      <c r="B478" t="s">
        <v>168</v>
      </c>
      <c r="D478" s="6">
        <v>0.2</v>
      </c>
      <c r="F478" s="9">
        <f t="shared" si="8"/>
        <v>0.2</v>
      </c>
    </row>
    <row r="479" spans="1:6" x14ac:dyDescent="0.2">
      <c r="A479" s="7" t="s">
        <v>55</v>
      </c>
      <c r="B479" t="s">
        <v>169</v>
      </c>
      <c r="D479" s="6">
        <v>0.3</v>
      </c>
      <c r="F479" s="9">
        <f t="shared" si="8"/>
        <v>0.3</v>
      </c>
    </row>
    <row r="480" spans="1:6" x14ac:dyDescent="0.2">
      <c r="A480" s="7" t="s">
        <v>56</v>
      </c>
      <c r="B480" t="s">
        <v>170</v>
      </c>
      <c r="C480" t="s">
        <v>154</v>
      </c>
      <c r="D480" s="6">
        <v>2.6857142857142856E-3</v>
      </c>
      <c r="F480" s="9">
        <f t="shared" si="8"/>
        <v>2.6857142857142856E-3</v>
      </c>
    </row>
    <row r="481" spans="1:6" x14ac:dyDescent="0.2">
      <c r="A481" s="7" t="s">
        <v>57</v>
      </c>
      <c r="B481" t="s">
        <v>171</v>
      </c>
      <c r="C481" t="s">
        <v>154</v>
      </c>
      <c r="D481" s="6">
        <v>4.2857142857142859E-3</v>
      </c>
      <c r="F481" s="9">
        <f t="shared" si="8"/>
        <v>4.2857142857142859E-3</v>
      </c>
    </row>
    <row r="482" spans="1:6" x14ac:dyDescent="0.2">
      <c r="A482" s="7" t="s">
        <v>58</v>
      </c>
      <c r="B482" t="s">
        <v>172</v>
      </c>
      <c r="C482" t="s">
        <v>154</v>
      </c>
      <c r="D482" s="6">
        <v>7.0000000000000001E-3</v>
      </c>
      <c r="F482" s="9">
        <f t="shared" si="8"/>
        <v>7.0000000000000001E-3</v>
      </c>
    </row>
    <row r="483" spans="1:6" x14ac:dyDescent="0.2">
      <c r="A483" s="7" t="s">
        <v>59</v>
      </c>
      <c r="B483" t="s">
        <v>173</v>
      </c>
      <c r="C483" t="s">
        <v>155</v>
      </c>
      <c r="D483" s="6">
        <v>2.7859999999999999E-2</v>
      </c>
      <c r="F483" s="9">
        <f t="shared" si="8"/>
        <v>2.7859999999999999E-2</v>
      </c>
    </row>
    <row r="484" spans="1:6" x14ac:dyDescent="0.2">
      <c r="A484" s="7" t="s">
        <v>60</v>
      </c>
      <c r="B484" t="s">
        <v>174</v>
      </c>
      <c r="C484" t="s">
        <v>155</v>
      </c>
      <c r="D484" s="6">
        <v>0.03</v>
      </c>
      <c r="F484" s="9">
        <f t="shared" si="8"/>
        <v>0.03</v>
      </c>
    </row>
    <row r="485" spans="1:6" x14ac:dyDescent="0.2">
      <c r="A485" s="7" t="s">
        <v>61</v>
      </c>
      <c r="B485" t="s">
        <v>175</v>
      </c>
      <c r="C485" t="s">
        <v>155</v>
      </c>
      <c r="D485" s="6">
        <v>3.1300000000000001E-2</v>
      </c>
      <c r="F485" s="9">
        <f t="shared" si="8"/>
        <v>3.1300000000000001E-2</v>
      </c>
    </row>
    <row r="486" spans="1:6" x14ac:dyDescent="0.2">
      <c r="A486" s="7" t="s">
        <v>62</v>
      </c>
      <c r="B486" t="s">
        <v>176</v>
      </c>
      <c r="C486" t="s">
        <v>155</v>
      </c>
      <c r="D486" s="6">
        <v>0.03</v>
      </c>
      <c r="F486" s="9">
        <f t="shared" si="8"/>
        <v>0.03</v>
      </c>
    </row>
    <row r="487" spans="1:6" x14ac:dyDescent="0.2">
      <c r="A487" s="7" t="s">
        <v>63</v>
      </c>
      <c r="B487" t="s">
        <v>177</v>
      </c>
      <c r="C487" t="s">
        <v>155</v>
      </c>
      <c r="D487" s="6">
        <v>2.1999999999999999E-2</v>
      </c>
      <c r="F487" s="9">
        <f t="shared" si="8"/>
        <v>2.1999999999999999E-2</v>
      </c>
    </row>
    <row r="488" spans="1:6" x14ac:dyDescent="0.2">
      <c r="A488" s="7" t="s">
        <v>64</v>
      </c>
      <c r="B488" t="s">
        <v>178</v>
      </c>
      <c r="C488" t="s">
        <v>155</v>
      </c>
      <c r="D488" s="6">
        <v>0.03</v>
      </c>
      <c r="F488" s="9">
        <f t="shared" si="8"/>
        <v>0.03</v>
      </c>
    </row>
    <row r="489" spans="1:6" ht="15.75" customHeight="1" x14ac:dyDescent="0.2">
      <c r="A489" s="7" t="s">
        <v>65</v>
      </c>
      <c r="B489" t="s">
        <v>179</v>
      </c>
      <c r="C489" t="s">
        <v>155</v>
      </c>
      <c r="D489" s="6">
        <v>3.1300000000000001E-2</v>
      </c>
      <c r="F489" s="9">
        <f t="shared" si="8"/>
        <v>3.1300000000000001E-2</v>
      </c>
    </row>
    <row r="490" spans="1:6" x14ac:dyDescent="0.2">
      <c r="A490" s="7" t="s">
        <v>66</v>
      </c>
      <c r="B490" t="s">
        <v>180</v>
      </c>
      <c r="C490" t="s">
        <v>155</v>
      </c>
      <c r="D490" s="6">
        <v>0.03</v>
      </c>
      <c r="F490" s="9">
        <f t="shared" si="8"/>
        <v>0.03</v>
      </c>
    </row>
    <row r="491" spans="1:6" x14ac:dyDescent="0.2">
      <c r="A491" s="7" t="s">
        <v>67</v>
      </c>
      <c r="B491" t="s">
        <v>181</v>
      </c>
      <c r="D491" s="6">
        <v>0.95</v>
      </c>
      <c r="F491" s="9">
        <f t="shared" si="8"/>
        <v>0.95</v>
      </c>
    </row>
    <row r="492" spans="1:6" x14ac:dyDescent="0.2">
      <c r="A492" s="7" t="s">
        <v>68</v>
      </c>
      <c r="B492" t="s">
        <v>182</v>
      </c>
      <c r="C492" t="s">
        <v>155</v>
      </c>
      <c r="D492" s="6">
        <v>2.1700000000000001E-2</v>
      </c>
      <c r="F492" s="9">
        <f t="shared" si="8"/>
        <v>2.1700000000000001E-2</v>
      </c>
    </row>
    <row r="493" spans="1:6" x14ac:dyDescent="0.2">
      <c r="A493" s="7" t="s">
        <v>69</v>
      </c>
      <c r="B493" t="s">
        <v>183</v>
      </c>
      <c r="D493" s="253">
        <v>0.19</v>
      </c>
      <c r="F493" s="9">
        <f t="shared" ref="F493:F556" si="9">IF(ISBLANK(E493),D493,E493)</f>
        <v>0.19</v>
      </c>
    </row>
    <row r="494" spans="1:6" x14ac:dyDescent="0.2">
      <c r="A494" s="7" t="s">
        <v>70</v>
      </c>
      <c r="B494" t="s">
        <v>184</v>
      </c>
      <c r="D494" s="6">
        <v>0.13</v>
      </c>
      <c r="F494" s="9">
        <f t="shared" si="9"/>
        <v>0.13</v>
      </c>
    </row>
    <row r="495" spans="1:6" x14ac:dyDescent="0.2">
      <c r="A495" s="7" t="s">
        <v>71</v>
      </c>
      <c r="B495" t="s">
        <v>185</v>
      </c>
      <c r="D495" s="6">
        <v>0.27</v>
      </c>
      <c r="F495" s="9">
        <f t="shared" si="9"/>
        <v>0.27</v>
      </c>
    </row>
    <row r="496" spans="1:6" x14ac:dyDescent="0.2">
      <c r="A496" s="7" t="s">
        <v>72</v>
      </c>
      <c r="B496" t="s">
        <v>186</v>
      </c>
      <c r="D496" s="6">
        <v>0.41</v>
      </c>
      <c r="F496" s="9">
        <f t="shared" si="9"/>
        <v>0.41</v>
      </c>
    </row>
    <row r="497" spans="1:6" x14ac:dyDescent="0.2">
      <c r="A497" s="7" t="s">
        <v>73</v>
      </c>
      <c r="B497" t="s">
        <v>187</v>
      </c>
      <c r="C497" t="s">
        <v>154</v>
      </c>
      <c r="D497" s="6">
        <v>5.7142857142857099E-3</v>
      </c>
      <c r="F497" s="9">
        <f t="shared" si="9"/>
        <v>5.7142857142857099E-3</v>
      </c>
    </row>
    <row r="498" spans="1:6" x14ac:dyDescent="0.2">
      <c r="A498" s="7" t="s">
        <v>74</v>
      </c>
      <c r="B498" t="s">
        <v>188</v>
      </c>
      <c r="C498" t="s">
        <v>155</v>
      </c>
      <c r="D498" s="6">
        <v>2.5000000000000001E-2</v>
      </c>
      <c r="F498" s="9">
        <f t="shared" si="9"/>
        <v>2.5000000000000001E-2</v>
      </c>
    </row>
    <row r="499" spans="1:6" x14ac:dyDescent="0.2">
      <c r="A499" s="7" t="s">
        <v>75</v>
      </c>
      <c r="B499" t="s">
        <v>189</v>
      </c>
      <c r="C499" t="s">
        <v>155</v>
      </c>
      <c r="D499" s="6">
        <v>2.6800000000000001E-2</v>
      </c>
      <c r="F499" s="9">
        <f t="shared" si="9"/>
        <v>2.6800000000000001E-2</v>
      </c>
    </row>
    <row r="500" spans="1:6" x14ac:dyDescent="0.2">
      <c r="A500" s="7" t="s">
        <v>76</v>
      </c>
      <c r="B500" t="s">
        <v>190</v>
      </c>
      <c r="C500" t="s">
        <v>155</v>
      </c>
      <c r="D500" s="6">
        <v>3.1300000000000001E-2</v>
      </c>
      <c r="F500" s="9">
        <f t="shared" si="9"/>
        <v>3.1300000000000001E-2</v>
      </c>
    </row>
    <row r="501" spans="1:6" x14ac:dyDescent="0.2">
      <c r="A501" s="7" t="s">
        <v>77</v>
      </c>
      <c r="B501" t="s">
        <v>191</v>
      </c>
      <c r="C501" t="s">
        <v>155</v>
      </c>
      <c r="D501" s="6">
        <v>3.1300000000000001E-2</v>
      </c>
      <c r="F501" s="9">
        <f t="shared" si="9"/>
        <v>3.1300000000000001E-2</v>
      </c>
    </row>
    <row r="502" spans="1:6" x14ac:dyDescent="0.2">
      <c r="A502" s="7" t="s">
        <v>78</v>
      </c>
      <c r="B502" t="s">
        <v>192</v>
      </c>
      <c r="D502" s="6">
        <v>0.1</v>
      </c>
      <c r="F502" s="9">
        <f t="shared" si="9"/>
        <v>0.1</v>
      </c>
    </row>
    <row r="503" spans="1:6" x14ac:dyDescent="0.2">
      <c r="A503" s="7" t="s">
        <v>79</v>
      </c>
      <c r="B503" t="s">
        <v>193</v>
      </c>
      <c r="D503" s="6">
        <v>0.06</v>
      </c>
      <c r="F503" s="9">
        <f t="shared" si="9"/>
        <v>0.06</v>
      </c>
    </row>
    <row r="504" spans="1:6" x14ac:dyDescent="0.2">
      <c r="A504" s="7" t="s">
        <v>80</v>
      </c>
      <c r="B504" t="s">
        <v>194</v>
      </c>
      <c r="D504" s="6">
        <v>0.23</v>
      </c>
      <c r="F504" s="9">
        <f t="shared" si="9"/>
        <v>0.23</v>
      </c>
    </row>
    <row r="505" spans="1:6" x14ac:dyDescent="0.2">
      <c r="A505" s="7" t="s">
        <v>81</v>
      </c>
      <c r="B505" t="s">
        <v>195</v>
      </c>
      <c r="D505" s="6">
        <v>0.26</v>
      </c>
      <c r="F505" s="9">
        <f t="shared" si="9"/>
        <v>0.26</v>
      </c>
    </row>
    <row r="506" spans="1:6" x14ac:dyDescent="0.2">
      <c r="A506" s="7" t="s">
        <v>82</v>
      </c>
      <c r="B506" t="s">
        <v>196</v>
      </c>
      <c r="D506" s="6">
        <v>0.05</v>
      </c>
      <c r="F506" s="9">
        <f t="shared" si="9"/>
        <v>0.05</v>
      </c>
    </row>
    <row r="507" spans="1:6" x14ac:dyDescent="0.2">
      <c r="A507" s="7" t="s">
        <v>83</v>
      </c>
      <c r="B507" t="s">
        <v>197</v>
      </c>
      <c r="D507" s="6">
        <v>0.4</v>
      </c>
      <c r="F507" s="9">
        <f t="shared" si="9"/>
        <v>0.4</v>
      </c>
    </row>
    <row r="508" spans="1:6" x14ac:dyDescent="0.2">
      <c r="A508" s="7" t="s">
        <v>84</v>
      </c>
      <c r="B508" t="s">
        <v>198</v>
      </c>
      <c r="C508" t="s">
        <v>155</v>
      </c>
      <c r="D508" s="6">
        <v>2.4E-2</v>
      </c>
      <c r="F508" s="9">
        <f t="shared" si="9"/>
        <v>2.4E-2</v>
      </c>
    </row>
    <row r="509" spans="1:6" x14ac:dyDescent="0.2">
      <c r="A509" s="7" t="s">
        <v>85</v>
      </c>
      <c r="B509" t="s">
        <v>199</v>
      </c>
      <c r="C509" t="s">
        <v>156</v>
      </c>
      <c r="D509" s="6">
        <v>0.08</v>
      </c>
      <c r="F509" s="9">
        <f t="shared" si="9"/>
        <v>0.08</v>
      </c>
    </row>
    <row r="510" spans="1:6" x14ac:dyDescent="0.2">
      <c r="A510" s="7" t="s">
        <v>86</v>
      </c>
      <c r="B510" t="s">
        <v>200</v>
      </c>
      <c r="C510" t="s">
        <v>156</v>
      </c>
      <c r="D510" s="6">
        <v>0.06</v>
      </c>
      <c r="F510" s="9">
        <f t="shared" si="9"/>
        <v>0.06</v>
      </c>
    </row>
    <row r="511" spans="1:6" x14ac:dyDescent="0.2">
      <c r="A511" s="7" t="s">
        <v>87</v>
      </c>
      <c r="B511" t="s">
        <v>201</v>
      </c>
      <c r="C511" t="s">
        <v>156</v>
      </c>
      <c r="D511" s="6">
        <v>0.06</v>
      </c>
      <c r="F511" s="9">
        <f t="shared" si="9"/>
        <v>0.06</v>
      </c>
    </row>
    <row r="512" spans="1:6" x14ac:dyDescent="0.2">
      <c r="A512" s="7" t="s">
        <v>88</v>
      </c>
      <c r="B512" t="s">
        <v>202</v>
      </c>
      <c r="C512" t="s">
        <v>156</v>
      </c>
      <c r="D512" s="6">
        <v>0.04</v>
      </c>
      <c r="F512" s="9">
        <f t="shared" si="9"/>
        <v>0.04</v>
      </c>
    </row>
    <row r="513" spans="1:6" x14ac:dyDescent="0.2">
      <c r="A513" s="7" t="s">
        <v>89</v>
      </c>
      <c r="B513" t="s">
        <v>203</v>
      </c>
      <c r="C513" t="s">
        <v>155</v>
      </c>
      <c r="D513" s="6">
        <v>1.5599999999999999E-2</v>
      </c>
      <c r="F513" s="9">
        <f t="shared" si="9"/>
        <v>1.5599999999999999E-2</v>
      </c>
    </row>
    <row r="514" spans="1:6" x14ac:dyDescent="0.2">
      <c r="A514" s="7" t="s">
        <v>90</v>
      </c>
      <c r="B514" t="s">
        <v>204</v>
      </c>
      <c r="C514" t="s">
        <v>156</v>
      </c>
      <c r="D514" s="6">
        <v>0.05</v>
      </c>
      <c r="F514" s="9">
        <f t="shared" si="9"/>
        <v>0.05</v>
      </c>
    </row>
    <row r="515" spans="1:6" x14ac:dyDescent="0.2">
      <c r="A515" s="7" t="s">
        <v>91</v>
      </c>
      <c r="B515" t="s">
        <v>205</v>
      </c>
      <c r="C515" t="s">
        <v>156</v>
      </c>
      <c r="D515" s="6">
        <v>0.06</v>
      </c>
      <c r="F515" s="9">
        <f t="shared" si="9"/>
        <v>0.06</v>
      </c>
    </row>
    <row r="516" spans="1:6" x14ac:dyDescent="0.2">
      <c r="A516" s="7" t="s">
        <v>92</v>
      </c>
      <c r="B516" t="s">
        <v>206</v>
      </c>
      <c r="C516" t="s">
        <v>157</v>
      </c>
      <c r="D516" s="6">
        <v>0.5</v>
      </c>
      <c r="F516" s="9">
        <f t="shared" si="9"/>
        <v>0.5</v>
      </c>
    </row>
    <row r="517" spans="1:6" x14ac:dyDescent="0.2">
      <c r="A517" s="7" t="s">
        <v>93</v>
      </c>
      <c r="B517" t="s">
        <v>207</v>
      </c>
      <c r="C517" t="s">
        <v>157</v>
      </c>
      <c r="D517" s="6">
        <v>10</v>
      </c>
      <c r="F517" s="9">
        <f t="shared" si="9"/>
        <v>10</v>
      </c>
    </row>
    <row r="518" spans="1:6" x14ac:dyDescent="0.2">
      <c r="A518" s="7" t="s">
        <v>94</v>
      </c>
      <c r="B518" t="s">
        <v>208</v>
      </c>
      <c r="C518" t="s">
        <v>157</v>
      </c>
      <c r="D518" s="6">
        <v>10</v>
      </c>
      <c r="F518" s="9">
        <f t="shared" si="9"/>
        <v>10</v>
      </c>
    </row>
    <row r="519" spans="1:6" x14ac:dyDescent="0.2">
      <c r="A519" s="7" t="s">
        <v>95</v>
      </c>
      <c r="B519" t="s">
        <v>209</v>
      </c>
      <c r="C519" t="s">
        <v>157</v>
      </c>
      <c r="D519" s="6">
        <v>10</v>
      </c>
      <c r="F519" s="9">
        <f t="shared" si="9"/>
        <v>10</v>
      </c>
    </row>
    <row r="520" spans="1:6" x14ac:dyDescent="0.2">
      <c r="A520" s="7" t="s">
        <v>96</v>
      </c>
      <c r="B520" t="s">
        <v>210</v>
      </c>
      <c r="C520" t="s">
        <v>158</v>
      </c>
      <c r="D520" s="6">
        <v>1E-4</v>
      </c>
      <c r="F520" s="9">
        <f t="shared" si="9"/>
        <v>1E-4</v>
      </c>
    </row>
    <row r="521" spans="1:6" x14ac:dyDescent="0.2">
      <c r="A521" s="7" t="s">
        <v>97</v>
      </c>
      <c r="B521" t="s">
        <v>211</v>
      </c>
      <c r="C521" t="s">
        <v>157</v>
      </c>
      <c r="D521" s="6">
        <v>30</v>
      </c>
      <c r="F521" s="9">
        <f t="shared" si="9"/>
        <v>30</v>
      </c>
    </row>
    <row r="522" spans="1:6" x14ac:dyDescent="0.2">
      <c r="A522" s="7" t="s">
        <v>98</v>
      </c>
      <c r="B522" t="s">
        <v>212</v>
      </c>
      <c r="C522" t="s">
        <v>159</v>
      </c>
      <c r="D522" s="6">
        <v>0.5</v>
      </c>
      <c r="F522" s="9">
        <f t="shared" si="9"/>
        <v>0.5</v>
      </c>
    </row>
    <row r="523" spans="1:6" x14ac:dyDescent="0.2">
      <c r="A523" s="7" t="s">
        <v>99</v>
      </c>
      <c r="B523" t="s">
        <v>213</v>
      </c>
      <c r="D523" s="6">
        <v>5.5</v>
      </c>
      <c r="F523" s="9">
        <f t="shared" si="9"/>
        <v>5.5</v>
      </c>
    </row>
    <row r="524" spans="1:6" x14ac:dyDescent="0.2">
      <c r="A524" s="7" t="s">
        <v>100</v>
      </c>
      <c r="B524" t="s">
        <v>214</v>
      </c>
      <c r="D524" s="6">
        <v>4</v>
      </c>
      <c r="F524" s="9">
        <f t="shared" si="9"/>
        <v>4</v>
      </c>
    </row>
    <row r="525" spans="1:6" x14ac:dyDescent="0.2">
      <c r="A525" s="7" t="s">
        <v>101</v>
      </c>
      <c r="B525" t="s">
        <v>215</v>
      </c>
      <c r="C525" t="s">
        <v>157</v>
      </c>
      <c r="D525" s="6">
        <v>50</v>
      </c>
      <c r="F525" s="9">
        <f t="shared" si="9"/>
        <v>50</v>
      </c>
    </row>
    <row r="526" spans="1:6" x14ac:dyDescent="0.2">
      <c r="A526" s="7" t="s">
        <v>102</v>
      </c>
      <c r="B526" t="s">
        <v>216</v>
      </c>
      <c r="C526" t="s">
        <v>159</v>
      </c>
      <c r="D526" s="6">
        <v>0.3</v>
      </c>
      <c r="F526" s="9">
        <f t="shared" si="9"/>
        <v>0.3</v>
      </c>
    </row>
    <row r="527" spans="1:6" x14ac:dyDescent="0.2">
      <c r="A527" s="7" t="s">
        <v>103</v>
      </c>
      <c r="B527" t="s">
        <v>217</v>
      </c>
      <c r="C527" t="s">
        <v>157</v>
      </c>
      <c r="D527" s="6">
        <v>6</v>
      </c>
      <c r="F527" s="9">
        <f t="shared" si="9"/>
        <v>6</v>
      </c>
    </row>
    <row r="528" spans="1:6" x14ac:dyDescent="0.2">
      <c r="A528" s="7" t="s">
        <v>104</v>
      </c>
      <c r="B528" t="s">
        <v>218</v>
      </c>
      <c r="C528" t="s">
        <v>159</v>
      </c>
      <c r="D528" s="6">
        <v>0.4</v>
      </c>
      <c r="F528" s="9">
        <f t="shared" si="9"/>
        <v>0.4</v>
      </c>
    </row>
    <row r="529" spans="1:6" x14ac:dyDescent="0.2">
      <c r="A529" s="7" t="s">
        <v>105</v>
      </c>
      <c r="B529" t="s">
        <v>219</v>
      </c>
      <c r="C529" t="s">
        <v>159</v>
      </c>
      <c r="D529" s="6">
        <v>5.0000000000000004E-6</v>
      </c>
      <c r="F529" s="9">
        <f t="shared" si="9"/>
        <v>5.0000000000000004E-6</v>
      </c>
    </row>
    <row r="530" spans="1:6" x14ac:dyDescent="0.2">
      <c r="A530" s="7" t="s">
        <v>106</v>
      </c>
      <c r="B530" t="s">
        <v>220</v>
      </c>
      <c r="C530" t="s">
        <v>157</v>
      </c>
      <c r="D530" s="6">
        <v>20</v>
      </c>
      <c r="F530" s="9">
        <f t="shared" si="9"/>
        <v>20</v>
      </c>
    </row>
    <row r="531" spans="1:6" x14ac:dyDescent="0.2">
      <c r="A531" s="7" t="s">
        <v>107</v>
      </c>
      <c r="B531" t="s">
        <v>221</v>
      </c>
      <c r="C531" t="s">
        <v>159</v>
      </c>
      <c r="D531" s="6">
        <v>0.2</v>
      </c>
      <c r="F531" s="9">
        <f t="shared" si="9"/>
        <v>0.2</v>
      </c>
    </row>
    <row r="532" spans="1:6" x14ac:dyDescent="0.2">
      <c r="A532" s="7" t="s">
        <v>108</v>
      </c>
      <c r="B532" t="s">
        <v>222</v>
      </c>
      <c r="C532" t="s">
        <v>159</v>
      </c>
      <c r="D532" s="6">
        <v>1.0000000000000001E-5</v>
      </c>
      <c r="F532" s="9">
        <f t="shared" si="9"/>
        <v>1.0000000000000001E-5</v>
      </c>
    </row>
    <row r="533" spans="1:6" x14ac:dyDescent="0.2">
      <c r="A533" s="7" t="s">
        <v>109</v>
      </c>
      <c r="B533" t="s">
        <v>223</v>
      </c>
      <c r="C533" t="s">
        <v>157</v>
      </c>
      <c r="D533" s="6">
        <v>13</v>
      </c>
      <c r="F533" s="9">
        <f t="shared" si="9"/>
        <v>13</v>
      </c>
    </row>
    <row r="534" spans="1:6" x14ac:dyDescent="0.2">
      <c r="A534" s="7" t="s">
        <v>110</v>
      </c>
      <c r="B534" t="s">
        <v>224</v>
      </c>
      <c r="C534" t="s">
        <v>159</v>
      </c>
      <c r="D534" s="6">
        <v>0.1</v>
      </c>
      <c r="F534" s="9">
        <f t="shared" si="9"/>
        <v>0.1</v>
      </c>
    </row>
    <row r="535" spans="1:6" x14ac:dyDescent="0.2">
      <c r="A535" s="7" t="s">
        <v>111</v>
      </c>
      <c r="B535" t="s">
        <v>225</v>
      </c>
      <c r="C535" t="s">
        <v>159</v>
      </c>
      <c r="D535" s="6">
        <v>3.4999999999999999E-6</v>
      </c>
      <c r="F535" s="9">
        <f t="shared" si="9"/>
        <v>3.4999999999999999E-6</v>
      </c>
    </row>
    <row r="536" spans="1:6" x14ac:dyDescent="0.2">
      <c r="A536" s="7" t="s">
        <v>112</v>
      </c>
      <c r="B536" t="s">
        <v>226</v>
      </c>
      <c r="C536" t="s">
        <v>157</v>
      </c>
      <c r="D536" s="6">
        <v>8</v>
      </c>
      <c r="F536" s="9">
        <f t="shared" si="9"/>
        <v>8</v>
      </c>
    </row>
    <row r="537" spans="1:6" x14ac:dyDescent="0.2">
      <c r="A537" s="7" t="s">
        <v>113</v>
      </c>
      <c r="B537" t="s">
        <v>227</v>
      </c>
      <c r="C537" t="s">
        <v>159</v>
      </c>
      <c r="D537" s="6">
        <v>0.15</v>
      </c>
      <c r="F537" s="9">
        <f t="shared" si="9"/>
        <v>0.15</v>
      </c>
    </row>
    <row r="538" spans="1:6" x14ac:dyDescent="0.2">
      <c r="A538" s="7" t="s">
        <v>114</v>
      </c>
      <c r="B538" t="s">
        <v>228</v>
      </c>
      <c r="C538" t="s">
        <v>158</v>
      </c>
      <c r="D538" s="6">
        <v>1.8E-3</v>
      </c>
      <c r="F538" s="9">
        <f t="shared" si="9"/>
        <v>1.8E-3</v>
      </c>
    </row>
    <row r="539" spans="1:6" x14ac:dyDescent="0.2">
      <c r="A539" s="7" t="s">
        <v>115</v>
      </c>
      <c r="B539" t="s">
        <v>229</v>
      </c>
      <c r="D539" s="6">
        <v>7</v>
      </c>
      <c r="F539" s="9">
        <f t="shared" si="9"/>
        <v>7</v>
      </c>
    </row>
    <row r="540" spans="1:6" x14ac:dyDescent="0.2">
      <c r="A540" s="7" t="s">
        <v>116</v>
      </c>
      <c r="B540" t="s">
        <v>230</v>
      </c>
      <c r="D540" s="6">
        <v>6</v>
      </c>
      <c r="F540" s="9">
        <f t="shared" si="9"/>
        <v>6</v>
      </c>
    </row>
    <row r="541" spans="1:6" x14ac:dyDescent="0.2">
      <c r="A541" s="7" t="s">
        <v>117</v>
      </c>
      <c r="B541" t="s">
        <v>231</v>
      </c>
      <c r="C541" t="s">
        <v>157</v>
      </c>
      <c r="D541" s="6">
        <v>35</v>
      </c>
      <c r="F541" s="9">
        <f t="shared" si="9"/>
        <v>35</v>
      </c>
    </row>
    <row r="542" spans="1:6" x14ac:dyDescent="0.2">
      <c r="A542" s="7" t="s">
        <v>118</v>
      </c>
      <c r="B542" t="s">
        <v>232</v>
      </c>
      <c r="C542" t="s">
        <v>159</v>
      </c>
      <c r="D542" s="6">
        <v>6.9999999999999999E-6</v>
      </c>
      <c r="F542" s="9">
        <f t="shared" si="9"/>
        <v>6.9999999999999999E-6</v>
      </c>
    </row>
    <row r="543" spans="1:6" x14ac:dyDescent="0.2">
      <c r="A543" s="7" t="s">
        <v>119</v>
      </c>
      <c r="B543" t="s">
        <v>233</v>
      </c>
      <c r="D543" s="6">
        <v>6</v>
      </c>
      <c r="F543" s="9">
        <f t="shared" si="9"/>
        <v>6</v>
      </c>
    </row>
    <row r="544" spans="1:6" x14ac:dyDescent="0.2">
      <c r="A544" s="7" t="s">
        <v>120</v>
      </c>
      <c r="B544" t="s">
        <v>234</v>
      </c>
      <c r="D544" s="6">
        <v>5</v>
      </c>
      <c r="F544" s="9">
        <f t="shared" si="9"/>
        <v>5</v>
      </c>
    </row>
    <row r="545" spans="1:6" x14ac:dyDescent="0.2">
      <c r="A545" s="7" t="s">
        <v>121</v>
      </c>
      <c r="B545" t="s">
        <v>235</v>
      </c>
      <c r="C545" t="s">
        <v>157</v>
      </c>
      <c r="D545" s="6">
        <v>0.02</v>
      </c>
      <c r="F545" s="9">
        <f t="shared" si="9"/>
        <v>0.02</v>
      </c>
    </row>
    <row r="546" spans="1:6" x14ac:dyDescent="0.2">
      <c r="A546" s="7" t="s">
        <v>122</v>
      </c>
      <c r="B546" t="s">
        <v>236</v>
      </c>
      <c r="C546" t="s">
        <v>157</v>
      </c>
      <c r="D546" s="6">
        <v>0.02</v>
      </c>
      <c r="F546" s="9">
        <f t="shared" si="9"/>
        <v>0.02</v>
      </c>
    </row>
    <row r="547" spans="1:6" x14ac:dyDescent="0.2">
      <c r="A547" s="7" t="s">
        <v>123</v>
      </c>
      <c r="B547" t="s">
        <v>237</v>
      </c>
      <c r="C547" t="s">
        <v>157</v>
      </c>
      <c r="D547" s="6">
        <v>0.02</v>
      </c>
      <c r="F547" s="9">
        <f t="shared" si="9"/>
        <v>0.02</v>
      </c>
    </row>
    <row r="548" spans="1:6" x14ac:dyDescent="0.2">
      <c r="A548" s="7" t="s">
        <v>124</v>
      </c>
      <c r="B548" t="s">
        <v>238</v>
      </c>
      <c r="C548" t="s">
        <v>157</v>
      </c>
      <c r="D548" s="6">
        <v>0.02</v>
      </c>
      <c r="F548" s="9">
        <f t="shared" si="9"/>
        <v>0.02</v>
      </c>
    </row>
    <row r="549" spans="1:6" x14ac:dyDescent="0.2">
      <c r="A549" s="7" t="s">
        <v>125</v>
      </c>
      <c r="B549" t="s">
        <v>239</v>
      </c>
      <c r="C549" t="s">
        <v>157</v>
      </c>
      <c r="D549" s="6">
        <v>0.02</v>
      </c>
      <c r="F549" s="9">
        <f t="shared" si="9"/>
        <v>0.02</v>
      </c>
    </row>
    <row r="550" spans="1:6" x14ac:dyDescent="0.2">
      <c r="A550" s="7" t="s">
        <v>126</v>
      </c>
      <c r="B550" t="s">
        <v>240</v>
      </c>
      <c r="C550" t="s">
        <v>157</v>
      </c>
      <c r="D550" s="6">
        <v>0.02</v>
      </c>
      <c r="F550" s="9">
        <f t="shared" si="9"/>
        <v>0.02</v>
      </c>
    </row>
    <row r="551" spans="1:6" x14ac:dyDescent="0.2">
      <c r="A551" s="7" t="s">
        <v>127</v>
      </c>
      <c r="B551" t="s">
        <v>241</v>
      </c>
      <c r="C551" t="s">
        <v>157</v>
      </c>
      <c r="D551" s="6">
        <v>0.02</v>
      </c>
      <c r="F551" s="9">
        <f t="shared" si="9"/>
        <v>0.02</v>
      </c>
    </row>
    <row r="552" spans="1:6" x14ac:dyDescent="0.2">
      <c r="A552" s="7" t="s">
        <v>128</v>
      </c>
      <c r="B552" t="s">
        <v>242</v>
      </c>
      <c r="C552" t="s">
        <v>160</v>
      </c>
      <c r="D552" s="6">
        <v>8.3144999999999997E-2</v>
      </c>
      <c r="F552" s="9">
        <f t="shared" si="9"/>
        <v>8.3144999999999997E-2</v>
      </c>
    </row>
    <row r="553" spans="1:6" x14ac:dyDescent="0.2">
      <c r="A553" s="7" t="s">
        <v>129</v>
      </c>
      <c r="B553" t="s">
        <v>243</v>
      </c>
      <c r="C553" t="s">
        <v>161</v>
      </c>
      <c r="D553" s="6">
        <v>298.14999999999998</v>
      </c>
      <c r="F553" s="9">
        <f t="shared" si="9"/>
        <v>298.14999999999998</v>
      </c>
    </row>
    <row r="554" spans="1:6" x14ac:dyDescent="0.2">
      <c r="A554" s="7" t="s">
        <v>130</v>
      </c>
      <c r="B554" t="s">
        <v>244</v>
      </c>
      <c r="C554" t="s">
        <v>161</v>
      </c>
      <c r="D554" s="6">
        <v>308.14999999999998</v>
      </c>
      <c r="F554" s="9">
        <f t="shared" si="9"/>
        <v>308.14999999999998</v>
      </c>
    </row>
    <row r="555" spans="1:6" x14ac:dyDescent="0.2">
      <c r="A555" s="7" t="s">
        <v>131</v>
      </c>
      <c r="C555" t="s">
        <v>161</v>
      </c>
      <c r="D555" s="6">
        <v>308.14999999999998</v>
      </c>
      <c r="F555" s="9">
        <f t="shared" si="9"/>
        <v>308.14999999999998</v>
      </c>
    </row>
    <row r="556" spans="1:6" x14ac:dyDescent="0.2">
      <c r="A556" s="7" t="s">
        <v>132</v>
      </c>
      <c r="B556" t="s">
        <v>245</v>
      </c>
      <c r="C556" t="s">
        <v>158</v>
      </c>
      <c r="D556" s="6">
        <f>10^(-14)*EXP((55900/($D$261*100))*((1/$D$262)-(1/$D$263)))</f>
        <v>1E-14</v>
      </c>
      <c r="F556" s="9">
        <f t="shared" si="9"/>
        <v>1E-14</v>
      </c>
    </row>
    <row r="557" spans="1:6" x14ac:dyDescent="0.2">
      <c r="A557" s="7" t="s">
        <v>133</v>
      </c>
      <c r="B557" t="s">
        <v>246</v>
      </c>
      <c r="C557" t="s">
        <v>158</v>
      </c>
      <c r="D557" s="6">
        <f>10^(-4.86)</f>
        <v>1.3803842646028827E-5</v>
      </c>
      <c r="F557" s="9">
        <f t="shared" ref="F557:F625" si="10">IF(ISBLANK(E557),D557,E557)</f>
        <v>1.3803842646028827E-5</v>
      </c>
    </row>
    <row r="558" spans="1:6" x14ac:dyDescent="0.2">
      <c r="A558" s="7" t="s">
        <v>134</v>
      </c>
      <c r="B558" t="s">
        <v>247</v>
      </c>
      <c r="C558" t="s">
        <v>158</v>
      </c>
      <c r="D558" s="6">
        <f>10^(-4.82)</f>
        <v>1.5135612484362051E-5</v>
      </c>
      <c r="F558" s="9">
        <f t="shared" si="10"/>
        <v>1.5135612484362051E-5</v>
      </c>
    </row>
    <row r="559" spans="1:6" x14ac:dyDescent="0.2">
      <c r="A559" s="7" t="s">
        <v>135</v>
      </c>
      <c r="B559" t="s">
        <v>248</v>
      </c>
      <c r="C559" t="s">
        <v>158</v>
      </c>
      <c r="D559" s="6">
        <f>10^(-4.88)</f>
        <v>1.3182567385564052E-5</v>
      </c>
      <c r="F559" s="9">
        <f t="shared" si="10"/>
        <v>1.3182567385564052E-5</v>
      </c>
    </row>
    <row r="560" spans="1:6" x14ac:dyDescent="0.2">
      <c r="A560" s="7" t="s">
        <v>136</v>
      </c>
      <c r="B560" t="s">
        <v>249</v>
      </c>
      <c r="C560" t="s">
        <v>158</v>
      </c>
      <c r="D560" s="6">
        <f>10^(-4.76)</f>
        <v>1.7378008287493744E-5</v>
      </c>
      <c r="F560" s="9">
        <f t="shared" si="10"/>
        <v>1.7378008287493744E-5</v>
      </c>
    </row>
    <row r="561" spans="1:6" x14ac:dyDescent="0.2">
      <c r="A561" s="7" t="s">
        <v>137</v>
      </c>
      <c r="B561" t="s">
        <v>250</v>
      </c>
      <c r="C561" t="s">
        <v>158</v>
      </c>
      <c r="D561" s="6">
        <f>10^(-6.35)*EXP((7646/($D$261*100))*((1/$D$262)-(1/$D$263)))</f>
        <v>4.4668359215096327E-7</v>
      </c>
      <c r="F561" s="9">
        <f t="shared" si="10"/>
        <v>4.4668359215096327E-7</v>
      </c>
    </row>
    <row r="562" spans="1:6" x14ac:dyDescent="0.2">
      <c r="A562" s="7" t="s">
        <v>138</v>
      </c>
      <c r="B562" t="s">
        <v>251</v>
      </c>
      <c r="C562" t="s">
        <v>158</v>
      </c>
      <c r="D562" s="6">
        <f>10^(-9.25)*EXP((51965/($D$261*100))*((1/$D$262)-(1/$D$263)))</f>
        <v>5.6234132519034889E-10</v>
      </c>
      <c r="F562" s="9">
        <f t="shared" si="10"/>
        <v>5.6234132519034889E-10</v>
      </c>
    </row>
    <row r="563" spans="1:6" x14ac:dyDescent="0.2">
      <c r="A563" s="7" t="s">
        <v>139</v>
      </c>
      <c r="B563" t="s">
        <v>252</v>
      </c>
      <c r="C563" t="s">
        <v>162</v>
      </c>
      <c r="D563" s="6">
        <f t="shared" ref="D563:D568" si="11">10^10</f>
        <v>10000000000</v>
      </c>
      <c r="F563" s="9">
        <f t="shared" si="10"/>
        <v>10000000000</v>
      </c>
    </row>
    <row r="564" spans="1:6" x14ac:dyDescent="0.2">
      <c r="A564" s="7" t="s">
        <v>140</v>
      </c>
      <c r="B564" t="s">
        <v>253</v>
      </c>
      <c r="C564" t="s">
        <v>162</v>
      </c>
      <c r="D564" s="6">
        <f t="shared" si="11"/>
        <v>10000000000</v>
      </c>
      <c r="F564" s="9">
        <f t="shared" si="10"/>
        <v>10000000000</v>
      </c>
    </row>
    <row r="565" spans="1:6" x14ac:dyDescent="0.2">
      <c r="A565" s="7" t="s">
        <v>141</v>
      </c>
      <c r="B565" t="s">
        <v>254</v>
      </c>
      <c r="C565" t="s">
        <v>162</v>
      </c>
      <c r="D565" s="6">
        <f t="shared" si="11"/>
        <v>10000000000</v>
      </c>
      <c r="F565" s="9">
        <f t="shared" si="10"/>
        <v>10000000000</v>
      </c>
    </row>
    <row r="566" spans="1:6" x14ac:dyDescent="0.2">
      <c r="A566" s="7" t="s">
        <v>142</v>
      </c>
      <c r="B566" t="s">
        <v>255</v>
      </c>
      <c r="C566" t="s">
        <v>162</v>
      </c>
      <c r="D566" s="6">
        <f t="shared" si="11"/>
        <v>10000000000</v>
      </c>
      <c r="F566" s="9">
        <f t="shared" si="10"/>
        <v>10000000000</v>
      </c>
    </row>
    <row r="567" spans="1:6" x14ac:dyDescent="0.2">
      <c r="A567" s="7" t="s">
        <v>143</v>
      </c>
      <c r="B567" t="s">
        <v>256</v>
      </c>
      <c r="C567" t="s">
        <v>162</v>
      </c>
      <c r="D567" s="6">
        <f t="shared" si="11"/>
        <v>10000000000</v>
      </c>
      <c r="F567" s="9">
        <f t="shared" si="10"/>
        <v>10000000000</v>
      </c>
    </row>
    <row r="568" spans="1:6" x14ac:dyDescent="0.2">
      <c r="A568" s="7" t="s">
        <v>144</v>
      </c>
      <c r="B568" t="s">
        <v>257</v>
      </c>
      <c r="C568" t="s">
        <v>162</v>
      </c>
      <c r="D568" s="6">
        <f t="shared" si="11"/>
        <v>10000000000</v>
      </c>
      <c r="F568" s="9">
        <f t="shared" si="10"/>
        <v>10000000000</v>
      </c>
    </row>
    <row r="569" spans="1:6" x14ac:dyDescent="0.2">
      <c r="A569" s="7" t="s">
        <v>145</v>
      </c>
      <c r="B569" t="s">
        <v>258</v>
      </c>
      <c r="C569" t="s">
        <v>17</v>
      </c>
      <c r="D569" s="6">
        <v>1.0129999999999999</v>
      </c>
      <c r="F569" s="9">
        <f t="shared" si="10"/>
        <v>1.0129999999999999</v>
      </c>
    </row>
    <row r="570" spans="1:6" x14ac:dyDescent="0.2">
      <c r="A570" s="7" t="s">
        <v>146</v>
      </c>
      <c r="B570" t="s">
        <v>259</v>
      </c>
      <c r="C570" t="s">
        <v>17</v>
      </c>
      <c r="D570" s="6">
        <f>(0.0313)*EXP((5290)*((1/$D$262)-(1/$D$263)))</f>
        <v>3.1300000000000001E-2</v>
      </c>
      <c r="F570" s="9">
        <f t="shared" si="10"/>
        <v>3.1300000000000001E-2</v>
      </c>
    </row>
    <row r="571" spans="1:6" x14ac:dyDescent="0.2">
      <c r="A571" s="7" t="s">
        <v>147</v>
      </c>
      <c r="B571" t="s">
        <v>260</v>
      </c>
      <c r="C571" t="s">
        <v>163</v>
      </c>
      <c r="D571" s="6">
        <f>5*10^4</f>
        <v>50000</v>
      </c>
      <c r="F571" s="9">
        <f t="shared" si="10"/>
        <v>50000</v>
      </c>
    </row>
    <row r="572" spans="1:6" x14ac:dyDescent="0.2">
      <c r="A572" s="7" t="s">
        <v>148</v>
      </c>
      <c r="B572" t="s">
        <v>261</v>
      </c>
      <c r="C572" t="s">
        <v>157</v>
      </c>
      <c r="D572" s="6">
        <v>200</v>
      </c>
      <c r="F572" s="9">
        <f t="shared" si="10"/>
        <v>200</v>
      </c>
    </row>
    <row r="573" spans="1:6" x14ac:dyDescent="0.2">
      <c r="A573" s="7" t="s">
        <v>149</v>
      </c>
      <c r="B573" t="s">
        <v>262</v>
      </c>
      <c r="C573" t="s">
        <v>164</v>
      </c>
      <c r="D573" s="6">
        <f>0.035*EXP((-19410/($D$261*100))*((1/$D$262)-(1/$D$263)))</f>
        <v>3.5000000000000003E-2</v>
      </c>
      <c r="F573" s="9">
        <f t="shared" si="10"/>
        <v>3.5000000000000003E-2</v>
      </c>
    </row>
    <row r="574" spans="1:6" x14ac:dyDescent="0.2">
      <c r="A574" s="7" t="s">
        <v>150</v>
      </c>
      <c r="B574" t="s">
        <v>263</v>
      </c>
      <c r="C574" t="s">
        <v>164</v>
      </c>
      <c r="D574" s="6">
        <f>0.0014*EXP((-14240/($D$261*100))*((1/$D$262)-(1/$D$263)))</f>
        <v>1.4E-3</v>
      </c>
      <c r="F574" s="9">
        <f t="shared" si="10"/>
        <v>1.4E-3</v>
      </c>
    </row>
    <row r="575" spans="1:6" x14ac:dyDescent="0.2">
      <c r="A575" s="7" t="s">
        <v>151</v>
      </c>
      <c r="B575" t="s">
        <v>264</v>
      </c>
      <c r="C575" t="s">
        <v>164</v>
      </c>
      <c r="D575" s="6">
        <f>(7.8*10^(-4))*EXP((-4180/($D$261*100))*((1/$D$262)-(1/$D$263)))</f>
        <v>7.7999999999999999E-4</v>
      </c>
      <c r="F575" s="9">
        <f t="shared" si="10"/>
        <v>7.7999999999999999E-4</v>
      </c>
    </row>
    <row r="576" spans="1:6" x14ac:dyDescent="0.2">
      <c r="A576" s="7" t="s">
        <v>152</v>
      </c>
      <c r="B576" t="s">
        <v>265</v>
      </c>
      <c r="C576" t="s">
        <v>1</v>
      </c>
      <c r="D576" s="6">
        <v>3400</v>
      </c>
      <c r="F576" s="9">
        <f t="shared" si="10"/>
        <v>3400</v>
      </c>
    </row>
    <row r="577" spans="1:6" x14ac:dyDescent="0.2">
      <c r="A577" s="6" t="s">
        <v>153</v>
      </c>
      <c r="B577" t="s">
        <v>266</v>
      </c>
      <c r="C577" t="s">
        <v>1</v>
      </c>
      <c r="D577" s="6">
        <v>300</v>
      </c>
      <c r="F577" s="9">
        <f t="shared" si="10"/>
        <v>300</v>
      </c>
    </row>
    <row r="578" spans="1:6" x14ac:dyDescent="0.2">
      <c r="F578" s="9">
        <f t="shared" si="10"/>
        <v>0</v>
      </c>
    </row>
    <row r="579" spans="1:6" x14ac:dyDescent="0.2">
      <c r="F579" s="9">
        <f t="shared" si="10"/>
        <v>0</v>
      </c>
    </row>
    <row r="580" spans="1:6" x14ac:dyDescent="0.2">
      <c r="A580" s="227" t="s">
        <v>321</v>
      </c>
      <c r="B580" s="15"/>
      <c r="C580" s="15"/>
      <c r="D580" s="15"/>
      <c r="E580" s="15"/>
      <c r="F580" s="9">
        <f t="shared" si="10"/>
        <v>0</v>
      </c>
    </row>
    <row r="581" spans="1:6" x14ac:dyDescent="0.2">
      <c r="A581" s="6" t="s">
        <v>322</v>
      </c>
      <c r="B581" t="s">
        <v>323</v>
      </c>
      <c r="C581" t="s">
        <v>23</v>
      </c>
      <c r="D581">
        <v>158</v>
      </c>
      <c r="F581" s="9">
        <f t="shared" si="10"/>
        <v>158</v>
      </c>
    </row>
    <row r="582" spans="1:6" x14ac:dyDescent="0.2">
      <c r="A582" s="6" t="s">
        <v>324</v>
      </c>
      <c r="B582" t="s">
        <v>325</v>
      </c>
      <c r="C582" t="s">
        <v>281</v>
      </c>
      <c r="D582">
        <v>250</v>
      </c>
      <c r="F582" s="9">
        <f t="shared" si="10"/>
        <v>250</v>
      </c>
    </row>
    <row r="583" spans="1:6" x14ac:dyDescent="0.2">
      <c r="A583" s="6" t="s">
        <v>850</v>
      </c>
      <c r="B583" t="s">
        <v>853</v>
      </c>
      <c r="C583" t="s">
        <v>1</v>
      </c>
      <c r="D583">
        <v>30</v>
      </c>
      <c r="F583" s="9">
        <f t="shared" si="10"/>
        <v>30</v>
      </c>
    </row>
    <row r="584" spans="1:6" x14ac:dyDescent="0.2">
      <c r="A584" s="6" t="s">
        <v>851</v>
      </c>
      <c r="B584" t="s">
        <v>854</v>
      </c>
      <c r="C584" t="s">
        <v>824</v>
      </c>
      <c r="D584">
        <v>1.2</v>
      </c>
      <c r="F584" s="9">
        <f t="shared" si="10"/>
        <v>1.2</v>
      </c>
    </row>
    <row r="585" spans="1:6" x14ac:dyDescent="0.2">
      <c r="A585" s="6" t="s">
        <v>1115</v>
      </c>
      <c r="B585" t="s">
        <v>1116</v>
      </c>
      <c r="C585" t="s">
        <v>275</v>
      </c>
      <c r="D585">
        <v>80</v>
      </c>
      <c r="F585" s="9">
        <f t="shared" si="10"/>
        <v>80</v>
      </c>
    </row>
    <row r="586" spans="1:6" x14ac:dyDescent="0.2">
      <c r="A586" s="6" t="s">
        <v>852</v>
      </c>
      <c r="B586" t="s">
        <v>855</v>
      </c>
      <c r="C586" t="s">
        <v>1</v>
      </c>
      <c r="D586">
        <v>10</v>
      </c>
      <c r="F586" s="9">
        <f t="shared" si="10"/>
        <v>10</v>
      </c>
    </row>
    <row r="587" spans="1:6" x14ac:dyDescent="0.2">
      <c r="A587" s="6" t="s">
        <v>1930</v>
      </c>
      <c r="B587" t="s">
        <v>1931</v>
      </c>
      <c r="C587" t="s">
        <v>374</v>
      </c>
      <c r="D587">
        <v>7</v>
      </c>
      <c r="F587" s="9">
        <f t="shared" si="10"/>
        <v>7</v>
      </c>
    </row>
    <row r="588" spans="1:6" x14ac:dyDescent="0.2">
      <c r="A588" s="6" t="s">
        <v>1934</v>
      </c>
      <c r="B588" t="s">
        <v>1935</v>
      </c>
      <c r="C588" t="s">
        <v>1936</v>
      </c>
      <c r="D588">
        <v>2</v>
      </c>
      <c r="F588" s="9">
        <f t="shared" si="10"/>
        <v>2</v>
      </c>
    </row>
    <row r="589" spans="1:6" x14ac:dyDescent="0.2">
      <c r="A589" s="6" t="s">
        <v>1937</v>
      </c>
      <c r="B589" t="s">
        <v>1938</v>
      </c>
      <c r="C589" t="s">
        <v>1945</v>
      </c>
      <c r="D589">
        <v>4.0000000000000001E-3</v>
      </c>
      <c r="F589" s="9">
        <f t="shared" si="10"/>
        <v>4.0000000000000001E-3</v>
      </c>
    </row>
    <row r="590" spans="1:6" x14ac:dyDescent="0.2">
      <c r="A590" s="6" t="s">
        <v>1946</v>
      </c>
      <c r="F590" s="9"/>
    </row>
    <row r="591" spans="1:6" x14ac:dyDescent="0.2">
      <c r="A591" s="6"/>
      <c r="F591" s="9">
        <f t="shared" si="10"/>
        <v>0</v>
      </c>
    </row>
    <row r="592" spans="1:6" x14ac:dyDescent="0.2">
      <c r="F592" s="9">
        <f t="shared" si="10"/>
        <v>0</v>
      </c>
    </row>
    <row r="593" spans="1:6" x14ac:dyDescent="0.2">
      <c r="A593" s="228" t="s">
        <v>326</v>
      </c>
      <c r="B593" s="16"/>
      <c r="C593" s="16"/>
      <c r="D593" s="16"/>
      <c r="F593" s="9">
        <f t="shared" si="10"/>
        <v>0</v>
      </c>
    </row>
    <row r="594" spans="1:6" x14ac:dyDescent="0.2">
      <c r="A594" s="7" t="s">
        <v>51</v>
      </c>
      <c r="B594" t="s">
        <v>165</v>
      </c>
      <c r="D594" s="6">
        <v>0.1</v>
      </c>
      <c r="F594" s="9">
        <f t="shared" si="10"/>
        <v>0.1</v>
      </c>
    </row>
    <row r="595" spans="1:6" x14ac:dyDescent="0.2">
      <c r="A595" s="7" t="s">
        <v>52</v>
      </c>
      <c r="B595" t="s">
        <v>166</v>
      </c>
      <c r="D595" s="6">
        <v>0.2</v>
      </c>
      <c r="F595" s="9">
        <f t="shared" si="10"/>
        <v>0.2</v>
      </c>
    </row>
    <row r="596" spans="1:6" x14ac:dyDescent="0.2">
      <c r="A596" s="7" t="s">
        <v>53</v>
      </c>
      <c r="B596" t="s">
        <v>167</v>
      </c>
      <c r="D596" s="6">
        <v>0.2</v>
      </c>
      <c r="F596" s="9">
        <f t="shared" si="10"/>
        <v>0.2</v>
      </c>
    </row>
    <row r="597" spans="1:6" x14ac:dyDescent="0.2">
      <c r="A597" s="7" t="s">
        <v>54</v>
      </c>
      <c r="B597" t="s">
        <v>168</v>
      </c>
      <c r="D597" s="6">
        <v>0.2</v>
      </c>
      <c r="F597" s="9">
        <f t="shared" si="10"/>
        <v>0.2</v>
      </c>
    </row>
    <row r="598" spans="1:6" x14ac:dyDescent="0.2">
      <c r="A598" s="7" t="s">
        <v>55</v>
      </c>
      <c r="B598" t="s">
        <v>169</v>
      </c>
      <c r="D598" s="6">
        <v>0.3</v>
      </c>
      <c r="F598" s="9">
        <f t="shared" si="10"/>
        <v>0.3</v>
      </c>
    </row>
    <row r="599" spans="1:6" x14ac:dyDescent="0.2">
      <c r="A599" s="7" t="s">
        <v>56</v>
      </c>
      <c r="B599" t="s">
        <v>170</v>
      </c>
      <c r="C599" t="s">
        <v>154</v>
      </c>
      <c r="D599" s="6">
        <v>2.6857142857142856E-3</v>
      </c>
      <c r="F599" s="9">
        <f t="shared" si="10"/>
        <v>2.6857142857142856E-3</v>
      </c>
    </row>
    <row r="600" spans="1:6" x14ac:dyDescent="0.2">
      <c r="A600" s="7" t="s">
        <v>57</v>
      </c>
      <c r="B600" t="s">
        <v>171</v>
      </c>
      <c r="C600" t="s">
        <v>154</v>
      </c>
      <c r="D600" s="6">
        <v>4.2857142857142859E-3</v>
      </c>
      <c r="F600" s="9">
        <f t="shared" si="10"/>
        <v>4.2857142857142859E-3</v>
      </c>
    </row>
    <row r="601" spans="1:6" x14ac:dyDescent="0.2">
      <c r="A601" s="7" t="s">
        <v>58</v>
      </c>
      <c r="B601" t="s">
        <v>172</v>
      </c>
      <c r="C601" t="s">
        <v>154</v>
      </c>
      <c r="D601" s="6">
        <v>7.0000000000000001E-3</v>
      </c>
      <c r="F601" s="9">
        <f t="shared" si="10"/>
        <v>7.0000000000000001E-3</v>
      </c>
    </row>
    <row r="602" spans="1:6" x14ac:dyDescent="0.2">
      <c r="A602" s="7" t="s">
        <v>59</v>
      </c>
      <c r="B602" t="s">
        <v>173</v>
      </c>
      <c r="C602" t="s">
        <v>155</v>
      </c>
      <c r="D602" s="6">
        <v>2.7859999999999999E-2</v>
      </c>
      <c r="F602" s="9">
        <f t="shared" si="10"/>
        <v>2.7859999999999999E-2</v>
      </c>
    </row>
    <row r="603" spans="1:6" x14ac:dyDescent="0.2">
      <c r="A603" s="7" t="s">
        <v>60</v>
      </c>
      <c r="B603" t="s">
        <v>174</v>
      </c>
      <c r="C603" t="s">
        <v>155</v>
      </c>
      <c r="D603" s="6">
        <v>0.03</v>
      </c>
      <c r="F603" s="9">
        <f t="shared" si="10"/>
        <v>0.03</v>
      </c>
    </row>
    <row r="604" spans="1:6" x14ac:dyDescent="0.2">
      <c r="A604" s="7" t="s">
        <v>61</v>
      </c>
      <c r="B604" t="s">
        <v>175</v>
      </c>
      <c r="C604" t="s">
        <v>155</v>
      </c>
      <c r="D604" s="6">
        <v>3.1300000000000001E-2</v>
      </c>
      <c r="F604" s="9">
        <f t="shared" si="10"/>
        <v>3.1300000000000001E-2</v>
      </c>
    </row>
    <row r="605" spans="1:6" ht="17.25" customHeight="1" x14ac:dyDescent="0.2">
      <c r="A605" s="7" t="s">
        <v>62</v>
      </c>
      <c r="B605" t="s">
        <v>176</v>
      </c>
      <c r="C605" t="s">
        <v>155</v>
      </c>
      <c r="D605" s="6">
        <v>0.03</v>
      </c>
      <c r="F605" s="9">
        <f t="shared" si="10"/>
        <v>0.03</v>
      </c>
    </row>
    <row r="606" spans="1:6" x14ac:dyDescent="0.2">
      <c r="A606" s="7" t="s">
        <v>63</v>
      </c>
      <c r="B606" t="s">
        <v>177</v>
      </c>
      <c r="C606" t="s">
        <v>155</v>
      </c>
      <c r="D606" s="6">
        <v>2.1999999999999999E-2</v>
      </c>
      <c r="F606" s="9">
        <f t="shared" si="10"/>
        <v>2.1999999999999999E-2</v>
      </c>
    </row>
    <row r="607" spans="1:6" x14ac:dyDescent="0.2">
      <c r="A607" s="7" t="s">
        <v>64</v>
      </c>
      <c r="B607" t="s">
        <v>178</v>
      </c>
      <c r="C607" t="s">
        <v>155</v>
      </c>
      <c r="D607" s="6">
        <v>0.03</v>
      </c>
      <c r="F607" s="9">
        <f t="shared" si="10"/>
        <v>0.03</v>
      </c>
    </row>
    <row r="608" spans="1:6" x14ac:dyDescent="0.2">
      <c r="A608" s="7" t="s">
        <v>65</v>
      </c>
      <c r="B608" t="s">
        <v>179</v>
      </c>
      <c r="C608" t="s">
        <v>155</v>
      </c>
      <c r="D608" s="6">
        <v>3.1300000000000001E-2</v>
      </c>
      <c r="F608" s="9">
        <f t="shared" si="10"/>
        <v>3.1300000000000001E-2</v>
      </c>
    </row>
    <row r="609" spans="1:6" x14ac:dyDescent="0.2">
      <c r="A609" s="7" t="s">
        <v>66</v>
      </c>
      <c r="B609" t="s">
        <v>180</v>
      </c>
      <c r="C609" t="s">
        <v>155</v>
      </c>
      <c r="D609" s="6">
        <v>0.03</v>
      </c>
      <c r="F609" s="9">
        <f t="shared" si="10"/>
        <v>0.03</v>
      </c>
    </row>
    <row r="610" spans="1:6" x14ac:dyDescent="0.2">
      <c r="A610" s="7" t="s">
        <v>67</v>
      </c>
      <c r="B610" t="s">
        <v>181</v>
      </c>
      <c r="D610" s="6">
        <v>0.95</v>
      </c>
      <c r="F610" s="9">
        <f t="shared" si="10"/>
        <v>0.95</v>
      </c>
    </row>
    <row r="611" spans="1:6" x14ac:dyDescent="0.2">
      <c r="A611" s="7" t="s">
        <v>68</v>
      </c>
      <c r="B611" t="s">
        <v>182</v>
      </c>
      <c r="C611" t="s">
        <v>155</v>
      </c>
      <c r="D611" s="6">
        <v>2.1700000000000001E-2</v>
      </c>
      <c r="F611" s="9">
        <f t="shared" si="10"/>
        <v>2.1700000000000001E-2</v>
      </c>
    </row>
    <row r="612" spans="1:6" x14ac:dyDescent="0.2">
      <c r="A612" s="7" t="s">
        <v>69</v>
      </c>
      <c r="B612" t="s">
        <v>183</v>
      </c>
      <c r="D612" s="253">
        <v>0.19</v>
      </c>
      <c r="F612" s="9">
        <f t="shared" si="10"/>
        <v>0.19</v>
      </c>
    </row>
    <row r="613" spans="1:6" x14ac:dyDescent="0.2">
      <c r="A613" s="7" t="s">
        <v>70</v>
      </c>
      <c r="B613" t="s">
        <v>184</v>
      </c>
      <c r="D613" s="6">
        <v>0.13</v>
      </c>
      <c r="F613" s="9">
        <f t="shared" si="10"/>
        <v>0.13</v>
      </c>
    </row>
    <row r="614" spans="1:6" x14ac:dyDescent="0.2">
      <c r="A614" s="7" t="s">
        <v>71</v>
      </c>
      <c r="B614" t="s">
        <v>185</v>
      </c>
      <c r="D614" s="6">
        <v>0.27</v>
      </c>
      <c r="F614" s="9">
        <f t="shared" si="10"/>
        <v>0.27</v>
      </c>
    </row>
    <row r="615" spans="1:6" x14ac:dyDescent="0.2">
      <c r="A615" s="7" t="s">
        <v>72</v>
      </c>
      <c r="B615" t="s">
        <v>186</v>
      </c>
      <c r="D615" s="6">
        <v>0.41</v>
      </c>
      <c r="F615" s="9">
        <f t="shared" si="10"/>
        <v>0.41</v>
      </c>
    </row>
    <row r="616" spans="1:6" x14ac:dyDescent="0.2">
      <c r="A616" s="7" t="s">
        <v>73</v>
      </c>
      <c r="B616" t="s">
        <v>187</v>
      </c>
      <c r="C616" t="s">
        <v>154</v>
      </c>
      <c r="D616" s="6">
        <v>5.7142857142857099E-3</v>
      </c>
      <c r="F616" s="9">
        <f t="shared" si="10"/>
        <v>5.7142857142857099E-3</v>
      </c>
    </row>
    <row r="617" spans="1:6" x14ac:dyDescent="0.2">
      <c r="A617" s="7" t="s">
        <v>74</v>
      </c>
      <c r="B617" t="s">
        <v>188</v>
      </c>
      <c r="C617" t="s">
        <v>155</v>
      </c>
      <c r="D617" s="6">
        <v>2.5000000000000001E-2</v>
      </c>
      <c r="F617" s="9">
        <f t="shared" si="10"/>
        <v>2.5000000000000001E-2</v>
      </c>
    </row>
    <row r="618" spans="1:6" x14ac:dyDescent="0.2">
      <c r="A618" s="7" t="s">
        <v>75</v>
      </c>
      <c r="B618" t="s">
        <v>189</v>
      </c>
      <c r="C618" t="s">
        <v>155</v>
      </c>
      <c r="D618" s="6">
        <v>2.6800000000000001E-2</v>
      </c>
      <c r="F618" s="9">
        <f t="shared" si="10"/>
        <v>2.6800000000000001E-2</v>
      </c>
    </row>
    <row r="619" spans="1:6" x14ac:dyDescent="0.2">
      <c r="A619" s="7" t="s">
        <v>76</v>
      </c>
      <c r="B619" t="s">
        <v>190</v>
      </c>
      <c r="C619" t="s">
        <v>155</v>
      </c>
      <c r="D619" s="6">
        <v>3.1300000000000001E-2</v>
      </c>
      <c r="F619" s="9">
        <f t="shared" si="10"/>
        <v>3.1300000000000001E-2</v>
      </c>
    </row>
    <row r="620" spans="1:6" x14ac:dyDescent="0.2">
      <c r="A620" s="7" t="s">
        <v>77</v>
      </c>
      <c r="B620" t="s">
        <v>191</v>
      </c>
      <c r="C620" t="s">
        <v>155</v>
      </c>
      <c r="D620" s="6">
        <v>3.1300000000000001E-2</v>
      </c>
      <c r="F620" s="9">
        <f t="shared" si="10"/>
        <v>3.1300000000000001E-2</v>
      </c>
    </row>
    <row r="621" spans="1:6" x14ac:dyDescent="0.2">
      <c r="A621" s="7" t="s">
        <v>78</v>
      </c>
      <c r="B621" t="s">
        <v>192</v>
      </c>
      <c r="D621" s="6">
        <v>0.1</v>
      </c>
      <c r="F621" s="9">
        <f t="shared" si="10"/>
        <v>0.1</v>
      </c>
    </row>
    <row r="622" spans="1:6" x14ac:dyDescent="0.2">
      <c r="A622" s="7" t="s">
        <v>79</v>
      </c>
      <c r="B622" t="s">
        <v>193</v>
      </c>
      <c r="D622" s="6">
        <v>0.06</v>
      </c>
      <c r="F622" s="9">
        <f t="shared" si="10"/>
        <v>0.06</v>
      </c>
    </row>
    <row r="623" spans="1:6" x14ac:dyDescent="0.2">
      <c r="A623" s="7" t="s">
        <v>80</v>
      </c>
      <c r="B623" t="s">
        <v>194</v>
      </c>
      <c r="D623" s="6">
        <v>0.23</v>
      </c>
      <c r="F623" s="9">
        <f t="shared" si="10"/>
        <v>0.23</v>
      </c>
    </row>
    <row r="624" spans="1:6" x14ac:dyDescent="0.2">
      <c r="A624" s="7" t="s">
        <v>81</v>
      </c>
      <c r="B624" t="s">
        <v>195</v>
      </c>
      <c r="D624" s="6">
        <v>0.26</v>
      </c>
      <c r="F624" s="9">
        <f t="shared" si="10"/>
        <v>0.26</v>
      </c>
    </row>
    <row r="625" spans="1:6" x14ac:dyDescent="0.2">
      <c r="A625" s="7" t="s">
        <v>82</v>
      </c>
      <c r="B625" t="s">
        <v>196</v>
      </c>
      <c r="D625" s="6">
        <v>0.05</v>
      </c>
      <c r="F625" s="9">
        <f t="shared" si="10"/>
        <v>0.05</v>
      </c>
    </row>
    <row r="626" spans="1:6" x14ac:dyDescent="0.2">
      <c r="A626" s="7" t="s">
        <v>83</v>
      </c>
      <c r="B626" t="s">
        <v>197</v>
      </c>
      <c r="D626" s="6">
        <v>0.4</v>
      </c>
      <c r="F626" s="9">
        <f t="shared" ref="F626:F689" si="12">IF(ISBLANK(E626),D626,E626)</f>
        <v>0.4</v>
      </c>
    </row>
    <row r="627" spans="1:6" x14ac:dyDescent="0.2">
      <c r="A627" s="7" t="s">
        <v>84</v>
      </c>
      <c r="B627" t="s">
        <v>198</v>
      </c>
      <c r="C627" t="s">
        <v>155</v>
      </c>
      <c r="D627" s="6">
        <v>2.4E-2</v>
      </c>
      <c r="F627" s="9">
        <f t="shared" si="12"/>
        <v>2.4E-2</v>
      </c>
    </row>
    <row r="628" spans="1:6" x14ac:dyDescent="0.2">
      <c r="A628" s="7" t="s">
        <v>85</v>
      </c>
      <c r="B628" t="s">
        <v>199</v>
      </c>
      <c r="C628" t="s">
        <v>156</v>
      </c>
      <c r="D628" s="6">
        <v>0.08</v>
      </c>
      <c r="F628" s="9">
        <f t="shared" si="12"/>
        <v>0.08</v>
      </c>
    </row>
    <row r="629" spans="1:6" x14ac:dyDescent="0.2">
      <c r="A629" s="7" t="s">
        <v>86</v>
      </c>
      <c r="B629" t="s">
        <v>200</v>
      </c>
      <c r="C629" t="s">
        <v>156</v>
      </c>
      <c r="D629" s="6">
        <v>0.06</v>
      </c>
      <c r="F629" s="9">
        <f t="shared" si="12"/>
        <v>0.06</v>
      </c>
    </row>
    <row r="630" spans="1:6" x14ac:dyDescent="0.2">
      <c r="A630" s="7" t="s">
        <v>87</v>
      </c>
      <c r="B630" t="s">
        <v>201</v>
      </c>
      <c r="C630" t="s">
        <v>156</v>
      </c>
      <c r="D630" s="6">
        <v>0.06</v>
      </c>
      <c r="F630" s="9">
        <f t="shared" si="12"/>
        <v>0.06</v>
      </c>
    </row>
    <row r="631" spans="1:6" x14ac:dyDescent="0.2">
      <c r="A631" s="7" t="s">
        <v>88</v>
      </c>
      <c r="B631" t="s">
        <v>202</v>
      </c>
      <c r="C631" t="s">
        <v>156</v>
      </c>
      <c r="D631" s="6">
        <v>0.04</v>
      </c>
      <c r="F631" s="9">
        <f t="shared" si="12"/>
        <v>0.04</v>
      </c>
    </row>
    <row r="632" spans="1:6" x14ac:dyDescent="0.2">
      <c r="A632" s="7" t="s">
        <v>89</v>
      </c>
      <c r="B632" t="s">
        <v>203</v>
      </c>
      <c r="C632" t="s">
        <v>155</v>
      </c>
      <c r="D632" s="6">
        <v>1.5599999999999999E-2</v>
      </c>
      <c r="F632" s="9">
        <f t="shared" si="12"/>
        <v>1.5599999999999999E-2</v>
      </c>
    </row>
    <row r="633" spans="1:6" x14ac:dyDescent="0.2">
      <c r="A633" s="7" t="s">
        <v>90</v>
      </c>
      <c r="B633" t="s">
        <v>204</v>
      </c>
      <c r="C633" t="s">
        <v>156</v>
      </c>
      <c r="D633" s="6">
        <v>0.05</v>
      </c>
      <c r="F633" s="9">
        <f t="shared" si="12"/>
        <v>0.05</v>
      </c>
    </row>
    <row r="634" spans="1:6" x14ac:dyDescent="0.2">
      <c r="A634" s="7" t="s">
        <v>91</v>
      </c>
      <c r="B634" t="s">
        <v>205</v>
      </c>
      <c r="C634" t="s">
        <v>156</v>
      </c>
      <c r="D634" s="6">
        <v>0.06</v>
      </c>
      <c r="F634" s="9">
        <f t="shared" si="12"/>
        <v>0.06</v>
      </c>
    </row>
    <row r="635" spans="1:6" x14ac:dyDescent="0.2">
      <c r="A635" s="7" t="s">
        <v>92</v>
      </c>
      <c r="B635" t="s">
        <v>206</v>
      </c>
      <c r="C635" t="s">
        <v>157</v>
      </c>
      <c r="D635" s="6">
        <v>0.5</v>
      </c>
      <c r="F635" s="9">
        <f t="shared" si="12"/>
        <v>0.5</v>
      </c>
    </row>
    <row r="636" spans="1:6" x14ac:dyDescent="0.2">
      <c r="A636" s="7" t="s">
        <v>93</v>
      </c>
      <c r="B636" t="s">
        <v>207</v>
      </c>
      <c r="C636" t="s">
        <v>157</v>
      </c>
      <c r="D636" s="6">
        <v>10</v>
      </c>
      <c r="F636" s="9">
        <f t="shared" si="12"/>
        <v>10</v>
      </c>
    </row>
    <row r="637" spans="1:6" x14ac:dyDescent="0.2">
      <c r="A637" s="7" t="s">
        <v>94</v>
      </c>
      <c r="B637" t="s">
        <v>208</v>
      </c>
      <c r="C637" t="s">
        <v>157</v>
      </c>
      <c r="D637" s="6">
        <v>10</v>
      </c>
      <c r="F637" s="9">
        <f t="shared" si="12"/>
        <v>10</v>
      </c>
    </row>
    <row r="638" spans="1:6" x14ac:dyDescent="0.2">
      <c r="A638" s="7" t="s">
        <v>95</v>
      </c>
      <c r="B638" t="s">
        <v>209</v>
      </c>
      <c r="C638" t="s">
        <v>157</v>
      </c>
      <c r="D638" s="6">
        <v>10</v>
      </c>
      <c r="F638" s="9">
        <f t="shared" si="12"/>
        <v>10</v>
      </c>
    </row>
    <row r="639" spans="1:6" x14ac:dyDescent="0.2">
      <c r="A639" s="7" t="s">
        <v>96</v>
      </c>
      <c r="B639" t="s">
        <v>210</v>
      </c>
      <c r="C639" t="s">
        <v>158</v>
      </c>
      <c r="D639" s="6">
        <v>1E-4</v>
      </c>
      <c r="F639" s="9">
        <f t="shared" si="12"/>
        <v>1E-4</v>
      </c>
    </row>
    <row r="640" spans="1:6" x14ac:dyDescent="0.2">
      <c r="A640" s="7" t="s">
        <v>97</v>
      </c>
      <c r="B640" t="s">
        <v>211</v>
      </c>
      <c r="C640" t="s">
        <v>157</v>
      </c>
      <c r="D640" s="6">
        <v>30</v>
      </c>
      <c r="F640" s="9">
        <f t="shared" si="12"/>
        <v>30</v>
      </c>
    </row>
    <row r="641" spans="1:6" x14ac:dyDescent="0.2">
      <c r="A641" s="7" t="s">
        <v>98</v>
      </c>
      <c r="B641" t="s">
        <v>212</v>
      </c>
      <c r="C641" t="s">
        <v>159</v>
      </c>
      <c r="D641" s="6">
        <v>0.5</v>
      </c>
      <c r="F641" s="9">
        <f t="shared" si="12"/>
        <v>0.5</v>
      </c>
    </row>
    <row r="642" spans="1:6" x14ac:dyDescent="0.2">
      <c r="A642" s="7" t="s">
        <v>99</v>
      </c>
      <c r="B642" t="s">
        <v>213</v>
      </c>
      <c r="D642" s="6">
        <v>5.5</v>
      </c>
      <c r="F642" s="9">
        <f t="shared" si="12"/>
        <v>5.5</v>
      </c>
    </row>
    <row r="643" spans="1:6" x14ac:dyDescent="0.2">
      <c r="A643" s="7" t="s">
        <v>100</v>
      </c>
      <c r="B643" t="s">
        <v>214</v>
      </c>
      <c r="D643" s="6">
        <v>4</v>
      </c>
      <c r="F643" s="9">
        <f t="shared" si="12"/>
        <v>4</v>
      </c>
    </row>
    <row r="644" spans="1:6" x14ac:dyDescent="0.2">
      <c r="A644" s="7" t="s">
        <v>101</v>
      </c>
      <c r="B644" t="s">
        <v>215</v>
      </c>
      <c r="C644" t="s">
        <v>157</v>
      </c>
      <c r="D644" s="6">
        <v>50</v>
      </c>
      <c r="F644" s="9">
        <f t="shared" si="12"/>
        <v>50</v>
      </c>
    </row>
    <row r="645" spans="1:6" x14ac:dyDescent="0.2">
      <c r="A645" s="7" t="s">
        <v>102</v>
      </c>
      <c r="B645" t="s">
        <v>216</v>
      </c>
      <c r="C645" t="s">
        <v>159</v>
      </c>
      <c r="D645" s="6">
        <v>0.3</v>
      </c>
      <c r="F645" s="9">
        <f t="shared" si="12"/>
        <v>0.3</v>
      </c>
    </row>
    <row r="646" spans="1:6" x14ac:dyDescent="0.2">
      <c r="A646" s="7" t="s">
        <v>103</v>
      </c>
      <c r="B646" t="s">
        <v>217</v>
      </c>
      <c r="C646" t="s">
        <v>157</v>
      </c>
      <c r="D646" s="6">
        <v>6</v>
      </c>
      <c r="F646" s="9">
        <f t="shared" si="12"/>
        <v>6</v>
      </c>
    </row>
    <row r="647" spans="1:6" x14ac:dyDescent="0.2">
      <c r="A647" s="7" t="s">
        <v>104</v>
      </c>
      <c r="B647" t="s">
        <v>218</v>
      </c>
      <c r="C647" t="s">
        <v>159</v>
      </c>
      <c r="D647" s="6">
        <v>0.4</v>
      </c>
      <c r="F647" s="9">
        <f t="shared" si="12"/>
        <v>0.4</v>
      </c>
    </row>
    <row r="648" spans="1:6" x14ac:dyDescent="0.2">
      <c r="A648" s="7" t="s">
        <v>105</v>
      </c>
      <c r="B648" t="s">
        <v>219</v>
      </c>
      <c r="C648" t="s">
        <v>159</v>
      </c>
      <c r="D648" s="6">
        <v>5.0000000000000004E-6</v>
      </c>
      <c r="F648" s="9">
        <f t="shared" si="12"/>
        <v>5.0000000000000004E-6</v>
      </c>
    </row>
    <row r="649" spans="1:6" x14ac:dyDescent="0.2">
      <c r="A649" s="7" t="s">
        <v>106</v>
      </c>
      <c r="B649" t="s">
        <v>220</v>
      </c>
      <c r="C649" t="s">
        <v>157</v>
      </c>
      <c r="D649" s="6">
        <v>20</v>
      </c>
      <c r="F649" s="9">
        <f t="shared" si="12"/>
        <v>20</v>
      </c>
    </row>
    <row r="650" spans="1:6" x14ac:dyDescent="0.2">
      <c r="A650" s="7" t="s">
        <v>107</v>
      </c>
      <c r="B650" t="s">
        <v>221</v>
      </c>
      <c r="C650" t="s">
        <v>159</v>
      </c>
      <c r="D650" s="6">
        <v>0.2</v>
      </c>
      <c r="F650" s="9">
        <f t="shared" si="12"/>
        <v>0.2</v>
      </c>
    </row>
    <row r="651" spans="1:6" x14ac:dyDescent="0.2">
      <c r="A651" s="7" t="s">
        <v>108</v>
      </c>
      <c r="B651" t="s">
        <v>222</v>
      </c>
      <c r="C651" t="s">
        <v>159</v>
      </c>
      <c r="D651" s="6">
        <v>1.0000000000000001E-5</v>
      </c>
      <c r="F651" s="9">
        <f t="shared" si="12"/>
        <v>1.0000000000000001E-5</v>
      </c>
    </row>
    <row r="652" spans="1:6" x14ac:dyDescent="0.2">
      <c r="A652" s="7" t="s">
        <v>109</v>
      </c>
      <c r="B652" t="s">
        <v>223</v>
      </c>
      <c r="C652" t="s">
        <v>157</v>
      </c>
      <c r="D652" s="6">
        <v>13</v>
      </c>
      <c r="F652" s="9">
        <f t="shared" si="12"/>
        <v>13</v>
      </c>
    </row>
    <row r="653" spans="1:6" x14ac:dyDescent="0.2">
      <c r="A653" s="7" t="s">
        <v>110</v>
      </c>
      <c r="B653" t="s">
        <v>224</v>
      </c>
      <c r="C653" t="s">
        <v>159</v>
      </c>
      <c r="D653" s="6">
        <v>0.1</v>
      </c>
      <c r="F653" s="9">
        <f t="shared" si="12"/>
        <v>0.1</v>
      </c>
    </row>
    <row r="654" spans="1:6" x14ac:dyDescent="0.2">
      <c r="A654" s="7" t="s">
        <v>111</v>
      </c>
      <c r="B654" t="s">
        <v>225</v>
      </c>
      <c r="C654" t="s">
        <v>159</v>
      </c>
      <c r="D654" s="6">
        <v>3.4999999999999999E-6</v>
      </c>
      <c r="F654" s="9">
        <f t="shared" si="12"/>
        <v>3.4999999999999999E-6</v>
      </c>
    </row>
    <row r="655" spans="1:6" x14ac:dyDescent="0.2">
      <c r="A655" s="7" t="s">
        <v>112</v>
      </c>
      <c r="B655" t="s">
        <v>226</v>
      </c>
      <c r="C655" t="s">
        <v>157</v>
      </c>
      <c r="D655" s="6">
        <v>8</v>
      </c>
      <c r="F655" s="9">
        <f t="shared" si="12"/>
        <v>8</v>
      </c>
    </row>
    <row r="656" spans="1:6" x14ac:dyDescent="0.2">
      <c r="A656" s="7" t="s">
        <v>113</v>
      </c>
      <c r="B656" t="s">
        <v>227</v>
      </c>
      <c r="C656" t="s">
        <v>159</v>
      </c>
      <c r="D656" s="6">
        <v>0.15</v>
      </c>
      <c r="F656" s="9">
        <f t="shared" si="12"/>
        <v>0.15</v>
      </c>
    </row>
    <row r="657" spans="1:6" x14ac:dyDescent="0.2">
      <c r="A657" s="7" t="s">
        <v>114</v>
      </c>
      <c r="B657" t="s">
        <v>228</v>
      </c>
      <c r="C657" t="s">
        <v>158</v>
      </c>
      <c r="D657" s="6">
        <v>1.8E-3</v>
      </c>
      <c r="F657" s="9">
        <f t="shared" si="12"/>
        <v>1.8E-3</v>
      </c>
    </row>
    <row r="658" spans="1:6" x14ac:dyDescent="0.2">
      <c r="A658" s="7" t="s">
        <v>115</v>
      </c>
      <c r="B658" t="s">
        <v>229</v>
      </c>
      <c r="D658" s="6">
        <v>7</v>
      </c>
      <c r="F658" s="9">
        <f t="shared" si="12"/>
        <v>7</v>
      </c>
    </row>
    <row r="659" spans="1:6" x14ac:dyDescent="0.2">
      <c r="A659" s="7" t="s">
        <v>116</v>
      </c>
      <c r="B659" t="s">
        <v>230</v>
      </c>
      <c r="D659" s="6">
        <v>6</v>
      </c>
      <c r="F659" s="9">
        <f t="shared" si="12"/>
        <v>6</v>
      </c>
    </row>
    <row r="660" spans="1:6" x14ac:dyDescent="0.2">
      <c r="A660" s="7" t="s">
        <v>117</v>
      </c>
      <c r="B660" t="s">
        <v>231</v>
      </c>
      <c r="C660" t="s">
        <v>157</v>
      </c>
      <c r="D660" s="6">
        <v>35</v>
      </c>
      <c r="F660" s="9">
        <f t="shared" si="12"/>
        <v>35</v>
      </c>
    </row>
    <row r="661" spans="1:6" x14ac:dyDescent="0.2">
      <c r="A661" s="7" t="s">
        <v>118</v>
      </c>
      <c r="B661" t="s">
        <v>232</v>
      </c>
      <c r="C661" t="s">
        <v>159</v>
      </c>
      <c r="D661" s="6">
        <v>6.9999999999999999E-6</v>
      </c>
      <c r="F661" s="9">
        <f t="shared" si="12"/>
        <v>6.9999999999999999E-6</v>
      </c>
    </row>
    <row r="662" spans="1:6" x14ac:dyDescent="0.2">
      <c r="A662" s="7" t="s">
        <v>119</v>
      </c>
      <c r="B662" t="s">
        <v>233</v>
      </c>
      <c r="D662" s="6">
        <v>6</v>
      </c>
      <c r="F662" s="9">
        <f t="shared" si="12"/>
        <v>6</v>
      </c>
    </row>
    <row r="663" spans="1:6" x14ac:dyDescent="0.2">
      <c r="A663" s="7" t="s">
        <v>120</v>
      </c>
      <c r="B663" t="s">
        <v>234</v>
      </c>
      <c r="D663" s="6">
        <v>5</v>
      </c>
      <c r="F663" s="9">
        <f t="shared" si="12"/>
        <v>5</v>
      </c>
    </row>
    <row r="664" spans="1:6" x14ac:dyDescent="0.2">
      <c r="A664" s="7" t="s">
        <v>121</v>
      </c>
      <c r="B664" t="s">
        <v>235</v>
      </c>
      <c r="C664" t="s">
        <v>157</v>
      </c>
      <c r="D664" s="6">
        <v>0.02</v>
      </c>
      <c r="F664" s="9">
        <f t="shared" si="12"/>
        <v>0.02</v>
      </c>
    </row>
    <row r="665" spans="1:6" x14ac:dyDescent="0.2">
      <c r="A665" s="7" t="s">
        <v>122</v>
      </c>
      <c r="B665" t="s">
        <v>236</v>
      </c>
      <c r="C665" t="s">
        <v>157</v>
      </c>
      <c r="D665" s="6">
        <v>0.02</v>
      </c>
      <c r="F665" s="9">
        <f t="shared" si="12"/>
        <v>0.02</v>
      </c>
    </row>
    <row r="666" spans="1:6" x14ac:dyDescent="0.2">
      <c r="A666" s="7" t="s">
        <v>123</v>
      </c>
      <c r="B666" t="s">
        <v>237</v>
      </c>
      <c r="C666" t="s">
        <v>157</v>
      </c>
      <c r="D666" s="6">
        <v>0.02</v>
      </c>
      <c r="F666" s="9">
        <f t="shared" si="12"/>
        <v>0.02</v>
      </c>
    </row>
    <row r="667" spans="1:6" x14ac:dyDescent="0.2">
      <c r="A667" s="7" t="s">
        <v>124</v>
      </c>
      <c r="B667" t="s">
        <v>238</v>
      </c>
      <c r="C667" t="s">
        <v>157</v>
      </c>
      <c r="D667" s="6">
        <v>0.02</v>
      </c>
      <c r="F667" s="9">
        <f t="shared" si="12"/>
        <v>0.02</v>
      </c>
    </row>
    <row r="668" spans="1:6" x14ac:dyDescent="0.2">
      <c r="A668" s="7" t="s">
        <v>125</v>
      </c>
      <c r="B668" t="s">
        <v>239</v>
      </c>
      <c r="C668" t="s">
        <v>157</v>
      </c>
      <c r="D668" s="6">
        <v>0.02</v>
      </c>
      <c r="F668" s="9">
        <f t="shared" si="12"/>
        <v>0.02</v>
      </c>
    </row>
    <row r="669" spans="1:6" x14ac:dyDescent="0.2">
      <c r="A669" s="7" t="s">
        <v>126</v>
      </c>
      <c r="B669" t="s">
        <v>240</v>
      </c>
      <c r="C669" t="s">
        <v>157</v>
      </c>
      <c r="D669" s="6">
        <v>0.02</v>
      </c>
      <c r="F669" s="9">
        <f t="shared" si="12"/>
        <v>0.02</v>
      </c>
    </row>
    <row r="670" spans="1:6" x14ac:dyDescent="0.2">
      <c r="A670" s="7" t="s">
        <v>127</v>
      </c>
      <c r="B670" t="s">
        <v>241</v>
      </c>
      <c r="C670" t="s">
        <v>157</v>
      </c>
      <c r="D670" s="6">
        <v>0.02</v>
      </c>
      <c r="F670" s="9">
        <f t="shared" si="12"/>
        <v>0.02</v>
      </c>
    </row>
    <row r="671" spans="1:6" x14ac:dyDescent="0.2">
      <c r="A671" s="7" t="s">
        <v>128</v>
      </c>
      <c r="B671" t="s">
        <v>242</v>
      </c>
      <c r="C671" t="s">
        <v>160</v>
      </c>
      <c r="D671" s="6">
        <v>8.3144999999999997E-2</v>
      </c>
      <c r="F671" s="9">
        <f t="shared" si="12"/>
        <v>8.3144999999999997E-2</v>
      </c>
    </row>
    <row r="672" spans="1:6" x14ac:dyDescent="0.2">
      <c r="A672" s="7" t="s">
        <v>129</v>
      </c>
      <c r="B672" t="s">
        <v>243</v>
      </c>
      <c r="C672" t="s">
        <v>161</v>
      </c>
      <c r="D672" s="6">
        <v>298.14999999999998</v>
      </c>
      <c r="F672" s="9">
        <f t="shared" si="12"/>
        <v>298.14999999999998</v>
      </c>
    </row>
    <row r="673" spans="1:6" x14ac:dyDescent="0.2">
      <c r="A673" s="7" t="s">
        <v>130</v>
      </c>
      <c r="B673" t="s">
        <v>244</v>
      </c>
      <c r="C673" t="s">
        <v>161</v>
      </c>
      <c r="D673" s="6">
        <v>308.14999999999998</v>
      </c>
      <c r="F673" s="9">
        <f t="shared" si="12"/>
        <v>308.14999999999998</v>
      </c>
    </row>
    <row r="674" spans="1:6" x14ac:dyDescent="0.2">
      <c r="A674" s="7" t="s">
        <v>131</v>
      </c>
      <c r="C674" t="s">
        <v>161</v>
      </c>
      <c r="D674" s="6">
        <v>308.14999999999998</v>
      </c>
      <c r="F674" s="9">
        <f t="shared" si="12"/>
        <v>308.14999999999998</v>
      </c>
    </row>
    <row r="675" spans="1:6" x14ac:dyDescent="0.2">
      <c r="A675" s="7" t="s">
        <v>132</v>
      </c>
      <c r="B675" t="s">
        <v>245</v>
      </c>
      <c r="C675" t="s">
        <v>158</v>
      </c>
      <c r="D675" s="6">
        <f>10^(-14)*EXP((55900/($D$261*100))*((1/$D$262)-(1/$D$263)))</f>
        <v>1E-14</v>
      </c>
      <c r="F675" s="9">
        <f t="shared" si="12"/>
        <v>1E-14</v>
      </c>
    </row>
    <row r="676" spans="1:6" x14ac:dyDescent="0.2">
      <c r="A676" s="7" t="s">
        <v>133</v>
      </c>
      <c r="B676" t="s">
        <v>246</v>
      </c>
      <c r="C676" t="s">
        <v>158</v>
      </c>
      <c r="D676" s="6">
        <f>10^(-4.86)</f>
        <v>1.3803842646028827E-5</v>
      </c>
      <c r="F676" s="9">
        <f t="shared" si="12"/>
        <v>1.3803842646028827E-5</v>
      </c>
    </row>
    <row r="677" spans="1:6" x14ac:dyDescent="0.2">
      <c r="A677" s="7" t="s">
        <v>134</v>
      </c>
      <c r="B677" t="s">
        <v>247</v>
      </c>
      <c r="C677" t="s">
        <v>158</v>
      </c>
      <c r="D677" s="6">
        <f>10^(-4.82)</f>
        <v>1.5135612484362051E-5</v>
      </c>
      <c r="F677" s="9">
        <f t="shared" si="12"/>
        <v>1.5135612484362051E-5</v>
      </c>
    </row>
    <row r="678" spans="1:6" x14ac:dyDescent="0.2">
      <c r="A678" s="7" t="s">
        <v>135</v>
      </c>
      <c r="B678" t="s">
        <v>248</v>
      </c>
      <c r="C678" t="s">
        <v>158</v>
      </c>
      <c r="D678" s="6">
        <f>10^(-4.88)</f>
        <v>1.3182567385564052E-5</v>
      </c>
      <c r="F678" s="9">
        <f t="shared" si="12"/>
        <v>1.3182567385564052E-5</v>
      </c>
    </row>
    <row r="679" spans="1:6" x14ac:dyDescent="0.2">
      <c r="A679" s="7" t="s">
        <v>136</v>
      </c>
      <c r="B679" t="s">
        <v>249</v>
      </c>
      <c r="C679" t="s">
        <v>158</v>
      </c>
      <c r="D679" s="6">
        <f>10^(-4.76)</f>
        <v>1.7378008287493744E-5</v>
      </c>
      <c r="F679" s="9">
        <f t="shared" si="12"/>
        <v>1.7378008287493744E-5</v>
      </c>
    </row>
    <row r="680" spans="1:6" x14ac:dyDescent="0.2">
      <c r="A680" s="7" t="s">
        <v>137</v>
      </c>
      <c r="B680" t="s">
        <v>250</v>
      </c>
      <c r="C680" t="s">
        <v>158</v>
      </c>
      <c r="D680" s="6">
        <f>10^(-6.35)*EXP((7646/($D$261*100))*((1/$D$262)-(1/$D$263)))</f>
        <v>4.4668359215096327E-7</v>
      </c>
      <c r="F680" s="9">
        <f t="shared" si="12"/>
        <v>4.4668359215096327E-7</v>
      </c>
    </row>
    <row r="681" spans="1:6" x14ac:dyDescent="0.2">
      <c r="A681" s="7" t="s">
        <v>138</v>
      </c>
      <c r="B681" t="s">
        <v>251</v>
      </c>
      <c r="C681" t="s">
        <v>158</v>
      </c>
      <c r="D681" s="6">
        <f>10^(-9.25)*EXP((51965/($D$261*100))*((1/$D$262)-(1/$D$263)))</f>
        <v>5.6234132519034889E-10</v>
      </c>
      <c r="F681" s="9">
        <f t="shared" si="12"/>
        <v>5.6234132519034889E-10</v>
      </c>
    </row>
    <row r="682" spans="1:6" x14ac:dyDescent="0.2">
      <c r="A682" s="7" t="s">
        <v>139</v>
      </c>
      <c r="B682" t="s">
        <v>252</v>
      </c>
      <c r="C682" t="s">
        <v>162</v>
      </c>
      <c r="D682" s="6">
        <f t="shared" ref="D682:D687" si="13">10^10</f>
        <v>10000000000</v>
      </c>
      <c r="F682" s="9">
        <f t="shared" si="12"/>
        <v>10000000000</v>
      </c>
    </row>
    <row r="683" spans="1:6" x14ac:dyDescent="0.2">
      <c r="A683" s="7" t="s">
        <v>140</v>
      </c>
      <c r="B683" t="s">
        <v>253</v>
      </c>
      <c r="C683" t="s">
        <v>162</v>
      </c>
      <c r="D683" s="6">
        <f t="shared" si="13"/>
        <v>10000000000</v>
      </c>
      <c r="F683" s="9">
        <f t="shared" si="12"/>
        <v>10000000000</v>
      </c>
    </row>
    <row r="684" spans="1:6" x14ac:dyDescent="0.2">
      <c r="A684" s="7" t="s">
        <v>141</v>
      </c>
      <c r="B684" t="s">
        <v>254</v>
      </c>
      <c r="C684" t="s">
        <v>162</v>
      </c>
      <c r="D684" s="6">
        <f t="shared" si="13"/>
        <v>10000000000</v>
      </c>
      <c r="F684" s="9">
        <f t="shared" si="12"/>
        <v>10000000000</v>
      </c>
    </row>
    <row r="685" spans="1:6" x14ac:dyDescent="0.2">
      <c r="A685" s="7" t="s">
        <v>142</v>
      </c>
      <c r="B685" t="s">
        <v>255</v>
      </c>
      <c r="C685" t="s">
        <v>162</v>
      </c>
      <c r="D685" s="6">
        <f t="shared" si="13"/>
        <v>10000000000</v>
      </c>
      <c r="F685" s="9">
        <f t="shared" si="12"/>
        <v>10000000000</v>
      </c>
    </row>
    <row r="686" spans="1:6" x14ac:dyDescent="0.2">
      <c r="A686" s="7" t="s">
        <v>143</v>
      </c>
      <c r="B686" t="s">
        <v>256</v>
      </c>
      <c r="C686" t="s">
        <v>162</v>
      </c>
      <c r="D686" s="6">
        <f t="shared" si="13"/>
        <v>10000000000</v>
      </c>
      <c r="F686" s="9">
        <f t="shared" si="12"/>
        <v>10000000000</v>
      </c>
    </row>
    <row r="687" spans="1:6" x14ac:dyDescent="0.2">
      <c r="A687" s="7" t="s">
        <v>144</v>
      </c>
      <c r="B687" t="s">
        <v>257</v>
      </c>
      <c r="C687" t="s">
        <v>162</v>
      </c>
      <c r="D687" s="6">
        <f t="shared" si="13"/>
        <v>10000000000</v>
      </c>
      <c r="F687" s="9">
        <f t="shared" si="12"/>
        <v>10000000000</v>
      </c>
    </row>
    <row r="688" spans="1:6" x14ac:dyDescent="0.2">
      <c r="A688" s="7" t="s">
        <v>145</v>
      </c>
      <c r="B688" t="s">
        <v>258</v>
      </c>
      <c r="C688" t="s">
        <v>17</v>
      </c>
      <c r="D688" s="6">
        <v>1.0129999999999999</v>
      </c>
      <c r="F688" s="9">
        <f t="shared" si="12"/>
        <v>1.0129999999999999</v>
      </c>
    </row>
    <row r="689" spans="1:6" x14ac:dyDescent="0.2">
      <c r="A689" s="7" t="s">
        <v>146</v>
      </c>
      <c r="B689" t="s">
        <v>259</v>
      </c>
      <c r="C689" t="s">
        <v>17</v>
      </c>
      <c r="D689" s="6">
        <f>(0.0313)*EXP((5290)*((1/$D$262)-(1/$D$263)))</f>
        <v>3.1300000000000001E-2</v>
      </c>
      <c r="F689" s="9">
        <f t="shared" si="12"/>
        <v>3.1300000000000001E-2</v>
      </c>
    </row>
    <row r="690" spans="1:6" x14ac:dyDescent="0.2">
      <c r="A690" s="7" t="s">
        <v>147</v>
      </c>
      <c r="B690" t="s">
        <v>260</v>
      </c>
      <c r="C690" t="s">
        <v>163</v>
      </c>
      <c r="D690" s="6">
        <f>5*10^4</f>
        <v>50000</v>
      </c>
      <c r="F690" s="9">
        <f t="shared" ref="F690:F776" si="14">IF(ISBLANK(E690),D690,E690)</f>
        <v>50000</v>
      </c>
    </row>
    <row r="691" spans="1:6" x14ac:dyDescent="0.2">
      <c r="A691" s="7" t="s">
        <v>148</v>
      </c>
      <c r="B691" t="s">
        <v>261</v>
      </c>
      <c r="C691" t="s">
        <v>157</v>
      </c>
      <c r="D691" s="6">
        <v>200</v>
      </c>
      <c r="F691" s="9">
        <f t="shared" si="14"/>
        <v>200</v>
      </c>
    </row>
    <row r="692" spans="1:6" x14ac:dyDescent="0.2">
      <c r="A692" s="7" t="s">
        <v>149</v>
      </c>
      <c r="B692" t="s">
        <v>262</v>
      </c>
      <c r="C692" t="s">
        <v>164</v>
      </c>
      <c r="D692" s="6">
        <f>0.035*EXP((-19410/($D$261*100))*((1/$D$262)-(1/$D$263)))</f>
        <v>3.5000000000000003E-2</v>
      </c>
      <c r="F692" s="9">
        <f t="shared" si="14"/>
        <v>3.5000000000000003E-2</v>
      </c>
    </row>
    <row r="693" spans="1:6" x14ac:dyDescent="0.2">
      <c r="A693" s="7" t="s">
        <v>150</v>
      </c>
      <c r="B693" t="s">
        <v>263</v>
      </c>
      <c r="C693" t="s">
        <v>164</v>
      </c>
      <c r="D693" s="6">
        <f>0.0014*EXP((-14240/($D$261*100))*((1/$D$262)-(1/$D$263)))</f>
        <v>1.4E-3</v>
      </c>
      <c r="F693" s="9">
        <f t="shared" si="14"/>
        <v>1.4E-3</v>
      </c>
    </row>
    <row r="694" spans="1:6" x14ac:dyDescent="0.2">
      <c r="A694" s="7" t="s">
        <v>151</v>
      </c>
      <c r="B694" t="s">
        <v>264</v>
      </c>
      <c r="C694" t="s">
        <v>164</v>
      </c>
      <c r="D694" s="6">
        <f>(7.8*10^(-4))*EXP((-4180/($D$261*100))*((1/$D$262)-(1/$D$263)))</f>
        <v>7.7999999999999999E-4</v>
      </c>
      <c r="F694" s="9">
        <f t="shared" si="14"/>
        <v>7.7999999999999999E-4</v>
      </c>
    </row>
    <row r="695" spans="1:6" x14ac:dyDescent="0.2">
      <c r="A695" s="7" t="s">
        <v>152</v>
      </c>
      <c r="B695" t="s">
        <v>265</v>
      </c>
      <c r="C695" t="s">
        <v>1</v>
      </c>
      <c r="D695" s="6">
        <v>3400</v>
      </c>
      <c r="F695" s="9">
        <f t="shared" si="14"/>
        <v>3400</v>
      </c>
    </row>
    <row r="696" spans="1:6" x14ac:dyDescent="0.2">
      <c r="A696" s="6" t="s">
        <v>153</v>
      </c>
      <c r="B696" t="s">
        <v>266</v>
      </c>
      <c r="C696" t="s">
        <v>1</v>
      </c>
      <c r="D696" s="6">
        <v>300</v>
      </c>
      <c r="F696" s="9">
        <f t="shared" si="14"/>
        <v>300</v>
      </c>
    </row>
    <row r="697" spans="1:6" x14ac:dyDescent="0.2">
      <c r="F697" s="9">
        <f t="shared" si="14"/>
        <v>0</v>
      </c>
    </row>
    <row r="698" spans="1:6" x14ac:dyDescent="0.2">
      <c r="F698" s="9">
        <f t="shared" si="14"/>
        <v>0</v>
      </c>
    </row>
    <row r="699" spans="1:6" x14ac:dyDescent="0.2">
      <c r="A699" s="300" t="s">
        <v>1981</v>
      </c>
      <c r="B699" s="299"/>
      <c r="C699" s="299"/>
      <c r="D699" s="299"/>
      <c r="E699" s="299"/>
      <c r="F699" s="9">
        <f t="shared" si="14"/>
        <v>0</v>
      </c>
    </row>
    <row r="700" spans="1:6" x14ac:dyDescent="0.2">
      <c r="A700" s="6" t="s">
        <v>1972</v>
      </c>
      <c r="B700" t="s">
        <v>1973</v>
      </c>
      <c r="C700" s="103" t="s">
        <v>1978</v>
      </c>
      <c r="D700">
        <v>4.9653000000000003E-2</v>
      </c>
      <c r="F700" s="9">
        <f t="shared" si="14"/>
        <v>4.9653000000000003E-2</v>
      </c>
    </row>
    <row r="701" spans="1:6" x14ac:dyDescent="0.2">
      <c r="A701" s="6" t="s">
        <v>1974</v>
      </c>
      <c r="B701" t="s">
        <v>1975</v>
      </c>
      <c r="C701" s="103" t="s">
        <v>1978</v>
      </c>
      <c r="D701">
        <v>0.95034700000000005</v>
      </c>
      <c r="F701" s="9">
        <f t="shared" si="14"/>
        <v>0.95034700000000005</v>
      </c>
    </row>
    <row r="702" spans="1:6" x14ac:dyDescent="0.2">
      <c r="A702" s="6" t="s">
        <v>1976</v>
      </c>
      <c r="B702" t="s">
        <v>1977</v>
      </c>
      <c r="C702" s="103" t="s">
        <v>824</v>
      </c>
      <c r="D702">
        <v>68.571430000000007</v>
      </c>
      <c r="F702" s="9">
        <f t="shared" si="14"/>
        <v>68.571430000000007</v>
      </c>
    </row>
    <row r="703" spans="1:6" x14ac:dyDescent="0.2">
      <c r="A703" s="6" t="s">
        <v>1979</v>
      </c>
      <c r="B703" t="s">
        <v>1980</v>
      </c>
      <c r="C703" s="103" t="s">
        <v>902</v>
      </c>
      <c r="D703">
        <v>35</v>
      </c>
      <c r="F703" s="9">
        <f t="shared" si="14"/>
        <v>35</v>
      </c>
    </row>
    <row r="704" spans="1:6" x14ac:dyDescent="0.2">
      <c r="A704" s="6" t="s">
        <v>1982</v>
      </c>
      <c r="B704" t="s">
        <v>1983</v>
      </c>
      <c r="C704" s="103" t="s">
        <v>1708</v>
      </c>
      <c r="D704">
        <v>10.34</v>
      </c>
      <c r="F704" s="9">
        <f t="shared" si="14"/>
        <v>10.34</v>
      </c>
    </row>
    <row r="705" spans="1:6" x14ac:dyDescent="0.2">
      <c r="A705" s="6" t="s">
        <v>1989</v>
      </c>
      <c r="B705" t="s">
        <v>1984</v>
      </c>
      <c r="C705" s="103" t="s">
        <v>1971</v>
      </c>
      <c r="D705">
        <v>1</v>
      </c>
      <c r="F705" s="9">
        <f t="shared" si="14"/>
        <v>1</v>
      </c>
    </row>
    <row r="706" spans="1:6" x14ac:dyDescent="0.2">
      <c r="A706" s="6" t="s">
        <v>1990</v>
      </c>
      <c r="B706" t="s">
        <v>1985</v>
      </c>
      <c r="C706" s="103" t="s">
        <v>1971</v>
      </c>
      <c r="D706">
        <v>2.5</v>
      </c>
      <c r="F706" s="9">
        <f t="shared" si="14"/>
        <v>2.5</v>
      </c>
    </row>
    <row r="707" spans="1:6" x14ac:dyDescent="0.2">
      <c r="A707" s="6" t="s">
        <v>1986</v>
      </c>
      <c r="B707" t="s">
        <v>1987</v>
      </c>
      <c r="C707" s="103" t="s">
        <v>24</v>
      </c>
      <c r="D707">
        <v>200</v>
      </c>
      <c r="F707" s="9">
        <f t="shared" si="14"/>
        <v>200</v>
      </c>
    </row>
    <row r="708" spans="1:6" x14ac:dyDescent="0.2">
      <c r="A708" s="6" t="s">
        <v>1991</v>
      </c>
      <c r="B708" t="s">
        <v>1988</v>
      </c>
      <c r="C708" s="103" t="s">
        <v>1992</v>
      </c>
      <c r="D708">
        <v>2.5</v>
      </c>
      <c r="F708" s="9">
        <f t="shared" si="14"/>
        <v>2.5</v>
      </c>
    </row>
    <row r="709" spans="1:6" x14ac:dyDescent="0.2">
      <c r="A709" s="6"/>
      <c r="C709" s="103"/>
      <c r="F709" s="9">
        <f t="shared" si="14"/>
        <v>0</v>
      </c>
    </row>
    <row r="710" spans="1:6" x14ac:dyDescent="0.2">
      <c r="A710" s="6"/>
      <c r="C710" s="103"/>
      <c r="F710" s="9">
        <f t="shared" si="14"/>
        <v>0</v>
      </c>
    </row>
    <row r="711" spans="1:6" x14ac:dyDescent="0.2">
      <c r="A711" s="6"/>
      <c r="C711" s="103"/>
      <c r="F711" s="9">
        <f t="shared" si="14"/>
        <v>0</v>
      </c>
    </row>
    <row r="712" spans="1:6" x14ac:dyDescent="0.2">
      <c r="A712" s="6"/>
      <c r="C712" s="103"/>
      <c r="F712" s="9">
        <f t="shared" si="14"/>
        <v>0</v>
      </c>
    </row>
    <row r="713" spans="1:6" x14ac:dyDescent="0.2">
      <c r="A713" s="206" t="s">
        <v>327</v>
      </c>
      <c r="B713" s="17"/>
      <c r="C713" s="17"/>
      <c r="D713" s="17"/>
      <c r="E713" s="17"/>
      <c r="F713" s="9">
        <f t="shared" si="14"/>
        <v>0</v>
      </c>
    </row>
    <row r="714" spans="1:6" x14ac:dyDescent="0.2">
      <c r="A714" s="6" t="s">
        <v>328</v>
      </c>
      <c r="B714" t="s">
        <v>329</v>
      </c>
      <c r="C714" t="s">
        <v>335</v>
      </c>
      <c r="D714">
        <v>1</v>
      </c>
      <c r="F714" s="9">
        <f t="shared" si="14"/>
        <v>1</v>
      </c>
    </row>
    <row r="715" spans="1:6" x14ac:dyDescent="0.2">
      <c r="F715" s="9">
        <f t="shared" si="14"/>
        <v>0</v>
      </c>
    </row>
    <row r="716" spans="1:6" x14ac:dyDescent="0.2">
      <c r="A716" s="238" t="s">
        <v>1883</v>
      </c>
      <c r="B716" s="239"/>
      <c r="C716" s="239"/>
      <c r="D716" s="239"/>
      <c r="E716" s="239"/>
      <c r="F716" s="9">
        <f t="shared" si="14"/>
        <v>0</v>
      </c>
    </row>
    <row r="717" spans="1:6" x14ac:dyDescent="0.2">
      <c r="A717" s="229" t="s">
        <v>933</v>
      </c>
      <c r="B717" s="19"/>
      <c r="C717" s="19"/>
      <c r="D717" s="19"/>
      <c r="F717" s="9">
        <f t="shared" si="14"/>
        <v>0</v>
      </c>
    </row>
    <row r="718" spans="1:6" x14ac:dyDescent="0.2">
      <c r="A718" s="6" t="s">
        <v>955</v>
      </c>
      <c r="B718" t="s">
        <v>896</v>
      </c>
      <c r="C718" t="s">
        <v>23</v>
      </c>
      <c r="D718">
        <v>4</v>
      </c>
      <c r="F718" s="9">
        <f t="shared" si="14"/>
        <v>4</v>
      </c>
    </row>
    <row r="719" spans="1:6" x14ac:dyDescent="0.2">
      <c r="A719" s="6" t="s">
        <v>956</v>
      </c>
      <c r="B719" t="s">
        <v>897</v>
      </c>
      <c r="C719" t="s">
        <v>281</v>
      </c>
      <c r="D719" s="6">
        <v>70</v>
      </c>
      <c r="F719" s="9">
        <f t="shared" si="14"/>
        <v>70</v>
      </c>
    </row>
    <row r="720" spans="1:6" x14ac:dyDescent="0.2">
      <c r="A720" s="6" t="s">
        <v>957</v>
      </c>
      <c r="B720" t="s">
        <v>898</v>
      </c>
      <c r="C720" t="s">
        <v>1</v>
      </c>
      <c r="D720">
        <v>30</v>
      </c>
      <c r="F720" s="9">
        <f t="shared" si="14"/>
        <v>30</v>
      </c>
    </row>
    <row r="721" spans="1:8" x14ac:dyDescent="0.2">
      <c r="A721" s="6" t="s">
        <v>895</v>
      </c>
      <c r="B721" t="s">
        <v>899</v>
      </c>
      <c r="C721" t="s">
        <v>824</v>
      </c>
      <c r="D721">
        <v>1.2</v>
      </c>
      <c r="F721" s="9">
        <f t="shared" si="14"/>
        <v>1.2</v>
      </c>
    </row>
    <row r="722" spans="1:8" x14ac:dyDescent="0.2">
      <c r="A722" s="6" t="s">
        <v>1117</v>
      </c>
      <c r="B722" t="s">
        <v>1118</v>
      </c>
      <c r="C722" t="s">
        <v>275</v>
      </c>
      <c r="D722">
        <v>80</v>
      </c>
      <c r="F722" s="9">
        <f t="shared" si="14"/>
        <v>80</v>
      </c>
    </row>
    <row r="723" spans="1:8" x14ac:dyDescent="0.2">
      <c r="A723" s="6" t="s">
        <v>944</v>
      </c>
      <c r="B723" t="s">
        <v>951</v>
      </c>
      <c r="C723" t="s">
        <v>161</v>
      </c>
      <c r="D723" s="6">
        <v>423.15</v>
      </c>
      <c r="F723" s="9">
        <f t="shared" si="14"/>
        <v>423.15</v>
      </c>
    </row>
    <row r="724" spans="1:8" x14ac:dyDescent="0.2">
      <c r="A724" s="6" t="s">
        <v>945</v>
      </c>
      <c r="B724" t="s">
        <v>952</v>
      </c>
      <c r="C724" t="s">
        <v>953</v>
      </c>
      <c r="D724">
        <v>1</v>
      </c>
      <c r="F724" s="9">
        <f t="shared" si="14"/>
        <v>1</v>
      </c>
    </row>
    <row r="725" spans="1:8" x14ac:dyDescent="0.2">
      <c r="A725" s="6" t="s">
        <v>946</v>
      </c>
      <c r="B725" t="s">
        <v>969</v>
      </c>
      <c r="C725" t="s">
        <v>968</v>
      </c>
      <c r="D725">
        <v>0.1</v>
      </c>
      <c r="F725" s="9">
        <f>IF(ISBLANK(E725),D725,E725)</f>
        <v>0.1</v>
      </c>
      <c r="H725" s="6"/>
    </row>
    <row r="726" spans="1:8" x14ac:dyDescent="0.2">
      <c r="A726" s="6" t="s">
        <v>1156</v>
      </c>
      <c r="B726" t="s">
        <v>1157</v>
      </c>
      <c r="C726" t="s">
        <v>335</v>
      </c>
      <c r="D726">
        <v>1</v>
      </c>
      <c r="F726" s="9">
        <f>IF(ISBLANK(E726),D726,E726)</f>
        <v>1</v>
      </c>
    </row>
    <row r="727" spans="1:8" x14ac:dyDescent="0.2">
      <c r="A727" s="6"/>
      <c r="F727" s="9"/>
    </row>
    <row r="728" spans="1:8" x14ac:dyDescent="0.2">
      <c r="A728" s="6"/>
      <c r="F728" s="9">
        <f t="shared" si="14"/>
        <v>0</v>
      </c>
    </row>
    <row r="729" spans="1:8" x14ac:dyDescent="0.2">
      <c r="A729" s="6"/>
      <c r="F729" s="9">
        <f t="shared" si="14"/>
        <v>0</v>
      </c>
    </row>
    <row r="730" spans="1:8" x14ac:dyDescent="0.2">
      <c r="A730" s="234" t="s">
        <v>934</v>
      </c>
      <c r="B730" s="235"/>
      <c r="C730" s="235"/>
      <c r="D730" s="235"/>
      <c r="F730" s="9">
        <f t="shared" si="14"/>
        <v>0</v>
      </c>
    </row>
    <row r="731" spans="1:8" x14ac:dyDescent="0.2">
      <c r="A731" s="6" t="s">
        <v>935</v>
      </c>
      <c r="B731" t="s">
        <v>939</v>
      </c>
      <c r="C731" t="s">
        <v>161</v>
      </c>
      <c r="D731" s="6">
        <v>393.15</v>
      </c>
      <c r="F731" s="9">
        <f t="shared" si="14"/>
        <v>393.15</v>
      </c>
    </row>
    <row r="732" spans="1:8" x14ac:dyDescent="0.2">
      <c r="A732" s="6" t="s">
        <v>936</v>
      </c>
      <c r="B732" t="s">
        <v>940</v>
      </c>
      <c r="C732" t="s">
        <v>161</v>
      </c>
      <c r="D732" s="6">
        <v>308.14999999999998</v>
      </c>
      <c r="F732" s="9">
        <f t="shared" si="14"/>
        <v>308.14999999999998</v>
      </c>
    </row>
    <row r="733" spans="1:8" x14ac:dyDescent="0.2">
      <c r="A733" s="6" t="s">
        <v>937</v>
      </c>
      <c r="B733" t="s">
        <v>941</v>
      </c>
      <c r="C733" t="s">
        <v>763</v>
      </c>
      <c r="D733" s="6">
        <v>5</v>
      </c>
      <c r="F733" s="9">
        <f t="shared" si="14"/>
        <v>5</v>
      </c>
    </row>
    <row r="734" spans="1:8" x14ac:dyDescent="0.2">
      <c r="A734" s="6" t="s">
        <v>938</v>
      </c>
      <c r="B734" t="s">
        <v>932</v>
      </c>
      <c r="C734" t="s">
        <v>23</v>
      </c>
      <c r="D734" s="6">
        <v>1</v>
      </c>
      <c r="F734" s="9">
        <f t="shared" si="14"/>
        <v>1</v>
      </c>
    </row>
    <row r="735" spans="1:8" x14ac:dyDescent="0.2">
      <c r="A735" s="6" t="s">
        <v>1032</v>
      </c>
      <c r="B735" t="s">
        <v>1031</v>
      </c>
      <c r="C735" t="s">
        <v>267</v>
      </c>
      <c r="D735">
        <v>20000</v>
      </c>
      <c r="F735" s="9">
        <f t="shared" si="14"/>
        <v>20000</v>
      </c>
    </row>
    <row r="736" spans="1:8" x14ac:dyDescent="0.2">
      <c r="A736" s="6" t="s">
        <v>1033</v>
      </c>
      <c r="B736" t="s">
        <v>1034</v>
      </c>
      <c r="C736" t="s">
        <v>999</v>
      </c>
      <c r="D736">
        <v>12</v>
      </c>
      <c r="F736" s="9">
        <f t="shared" si="14"/>
        <v>12</v>
      </c>
    </row>
    <row r="737" spans="1:9" x14ac:dyDescent="0.2">
      <c r="A737" s="6" t="s">
        <v>1035</v>
      </c>
      <c r="B737" t="s">
        <v>1036</v>
      </c>
      <c r="C737" t="s">
        <v>999</v>
      </c>
      <c r="D737">
        <v>13</v>
      </c>
      <c r="F737" s="9">
        <f t="shared" si="14"/>
        <v>13</v>
      </c>
    </row>
    <row r="738" spans="1:9" x14ac:dyDescent="0.2">
      <c r="A738" s="6"/>
      <c r="F738" s="9">
        <f t="shared" si="14"/>
        <v>0</v>
      </c>
    </row>
    <row r="739" spans="1:9" x14ac:dyDescent="0.2">
      <c r="A739" s="6"/>
      <c r="F739" s="9">
        <f t="shared" si="14"/>
        <v>0</v>
      </c>
    </row>
    <row r="740" spans="1:9" x14ac:dyDescent="0.2">
      <c r="F740" s="9">
        <f t="shared" si="14"/>
        <v>0</v>
      </c>
    </row>
    <row r="741" spans="1:9" x14ac:dyDescent="0.2">
      <c r="A741" s="229" t="s">
        <v>943</v>
      </c>
      <c r="B741" s="19"/>
      <c r="C741" s="19"/>
      <c r="D741" s="19"/>
      <c r="F741" s="9">
        <f t="shared" si="14"/>
        <v>0</v>
      </c>
    </row>
    <row r="742" spans="1:9" x14ac:dyDescent="0.2">
      <c r="A742" s="6" t="s">
        <v>1122</v>
      </c>
      <c r="B742" t="s">
        <v>1124</v>
      </c>
      <c r="C742" t="s">
        <v>1125</v>
      </c>
      <c r="D742">
        <v>1</v>
      </c>
      <c r="F742" s="9">
        <f t="shared" si="14"/>
        <v>1</v>
      </c>
    </row>
    <row r="743" spans="1:9" x14ac:dyDescent="0.2">
      <c r="A743" s="6" t="s">
        <v>947</v>
      </c>
      <c r="B743" t="s">
        <v>1135</v>
      </c>
      <c r="C743" t="s">
        <v>1</v>
      </c>
      <c r="D743">
        <v>30</v>
      </c>
      <c r="F743" s="9">
        <f t="shared" si="14"/>
        <v>30</v>
      </c>
    </row>
    <row r="744" spans="1:9" x14ac:dyDescent="0.2">
      <c r="A744" s="6" t="s">
        <v>948</v>
      </c>
      <c r="B744" t="s">
        <v>958</v>
      </c>
      <c r="C744" t="s">
        <v>824</v>
      </c>
      <c r="D744">
        <v>5</v>
      </c>
      <c r="F744" s="9">
        <f t="shared" si="14"/>
        <v>5</v>
      </c>
    </row>
    <row r="745" spans="1:9" x14ac:dyDescent="0.2">
      <c r="A745" s="6" t="s">
        <v>1119</v>
      </c>
      <c r="B745" t="s">
        <v>1123</v>
      </c>
      <c r="C745" t="s">
        <v>275</v>
      </c>
      <c r="D745">
        <v>80</v>
      </c>
      <c r="F745" s="9">
        <f t="shared" si="14"/>
        <v>80</v>
      </c>
    </row>
    <row r="746" spans="1:9" x14ac:dyDescent="0.2">
      <c r="A746" s="6" t="s">
        <v>949</v>
      </c>
      <c r="B746" t="s">
        <v>959</v>
      </c>
      <c r="C746" t="s">
        <v>161</v>
      </c>
      <c r="D746">
        <v>423.15</v>
      </c>
      <c r="F746" s="9">
        <f t="shared" si="14"/>
        <v>423.15</v>
      </c>
      <c r="H746" s="30">
        <f>F746-273.15</f>
        <v>150</v>
      </c>
      <c r="I746" s="32" t="s">
        <v>902</v>
      </c>
    </row>
    <row r="747" spans="1:9" x14ac:dyDescent="0.2">
      <c r="A747" s="6" t="s">
        <v>950</v>
      </c>
      <c r="B747" t="s">
        <v>960</v>
      </c>
      <c r="C747" t="s">
        <v>953</v>
      </c>
      <c r="D747">
        <v>15</v>
      </c>
      <c r="F747" s="9">
        <f t="shared" si="14"/>
        <v>15</v>
      </c>
    </row>
    <row r="748" spans="1:9" x14ac:dyDescent="0.2">
      <c r="A748" s="6" t="s">
        <v>1141</v>
      </c>
      <c r="B748" t="s">
        <v>961</v>
      </c>
      <c r="C748" t="s">
        <v>968</v>
      </c>
      <c r="D748" s="6">
        <v>0.1</v>
      </c>
      <c r="F748" s="9">
        <f t="shared" si="14"/>
        <v>0.1</v>
      </c>
    </row>
    <row r="749" spans="1:9" x14ac:dyDescent="0.2">
      <c r="A749" s="6" t="s">
        <v>1126</v>
      </c>
      <c r="B749" t="s">
        <v>1127</v>
      </c>
      <c r="C749" t="s">
        <v>1128</v>
      </c>
      <c r="D749">
        <v>2</v>
      </c>
      <c r="F749" s="9">
        <f t="shared" si="14"/>
        <v>2</v>
      </c>
    </row>
    <row r="750" spans="1:9" x14ac:dyDescent="0.2">
      <c r="A750" s="6" t="s">
        <v>1140</v>
      </c>
      <c r="B750" t="s">
        <v>1144</v>
      </c>
      <c r="C750" t="s">
        <v>335</v>
      </c>
      <c r="D750">
        <v>1</v>
      </c>
      <c r="F750" s="9">
        <f t="shared" si="14"/>
        <v>1</v>
      </c>
    </row>
    <row r="751" spans="1:9" x14ac:dyDescent="0.2">
      <c r="A751" s="6"/>
      <c r="F751" s="9">
        <f t="shared" si="14"/>
        <v>0</v>
      </c>
    </row>
    <row r="752" spans="1:9" x14ac:dyDescent="0.2">
      <c r="F752" s="9">
        <f t="shared" si="14"/>
        <v>0</v>
      </c>
    </row>
    <row r="753" spans="1:9" x14ac:dyDescent="0.2">
      <c r="A753" s="229" t="s">
        <v>954</v>
      </c>
      <c r="B753" s="19"/>
      <c r="C753" s="19"/>
      <c r="D753" s="19"/>
      <c r="F753" s="9">
        <f t="shared" si="14"/>
        <v>0</v>
      </c>
    </row>
    <row r="754" spans="1:9" x14ac:dyDescent="0.2">
      <c r="A754" s="6" t="s">
        <v>1133</v>
      </c>
      <c r="B754" t="s">
        <v>1134</v>
      </c>
      <c r="C754" t="s">
        <v>1125</v>
      </c>
      <c r="D754">
        <v>5</v>
      </c>
      <c r="F754" s="9">
        <f t="shared" si="14"/>
        <v>5</v>
      </c>
    </row>
    <row r="755" spans="1:9" x14ac:dyDescent="0.2">
      <c r="A755" s="6" t="s">
        <v>963</v>
      </c>
      <c r="B755" t="s">
        <v>1155</v>
      </c>
      <c r="C755" t="s">
        <v>1</v>
      </c>
      <c r="D755">
        <v>30</v>
      </c>
      <c r="F755" s="9">
        <f t="shared" si="14"/>
        <v>30</v>
      </c>
    </row>
    <row r="756" spans="1:9" x14ac:dyDescent="0.2">
      <c r="A756" s="6" t="s">
        <v>964</v>
      </c>
      <c r="B756" t="s">
        <v>1136</v>
      </c>
      <c r="C756" t="s">
        <v>824</v>
      </c>
      <c r="D756">
        <v>5</v>
      </c>
      <c r="F756" s="9">
        <f t="shared" si="14"/>
        <v>5</v>
      </c>
    </row>
    <row r="757" spans="1:9" x14ac:dyDescent="0.2">
      <c r="A757" s="6" t="s">
        <v>1120</v>
      </c>
      <c r="B757" t="s">
        <v>1121</v>
      </c>
      <c r="C757" t="s">
        <v>275</v>
      </c>
      <c r="D757">
        <v>80</v>
      </c>
      <c r="F757" s="9">
        <f t="shared" si="14"/>
        <v>80</v>
      </c>
    </row>
    <row r="758" spans="1:9" x14ac:dyDescent="0.2">
      <c r="A758" s="6" t="s">
        <v>965</v>
      </c>
      <c r="B758" t="s">
        <v>1137</v>
      </c>
      <c r="C758" t="s">
        <v>161</v>
      </c>
      <c r="D758">
        <v>644.15</v>
      </c>
      <c r="F758" s="9">
        <f t="shared" si="14"/>
        <v>644.15</v>
      </c>
      <c r="H758" s="30">
        <f>F758-273.15</f>
        <v>371</v>
      </c>
      <c r="I758" s="32" t="s">
        <v>902</v>
      </c>
    </row>
    <row r="759" spans="1:9" x14ac:dyDescent="0.2">
      <c r="A759" s="6" t="s">
        <v>1238</v>
      </c>
      <c r="B759" t="s">
        <v>1239</v>
      </c>
      <c r="C759" t="s">
        <v>161</v>
      </c>
      <c r="D759">
        <v>400</v>
      </c>
      <c r="F759" s="9">
        <f t="shared" si="14"/>
        <v>400</v>
      </c>
    </row>
    <row r="760" spans="1:9" x14ac:dyDescent="0.2">
      <c r="A760" s="6" t="s">
        <v>966</v>
      </c>
      <c r="B760" t="s">
        <v>1138</v>
      </c>
      <c r="C760" t="s">
        <v>1148</v>
      </c>
      <c r="D760">
        <v>200</v>
      </c>
      <c r="F760" s="9">
        <f t="shared" si="14"/>
        <v>200</v>
      </c>
    </row>
    <row r="761" spans="1:9" x14ac:dyDescent="0.2">
      <c r="A761" s="6" t="s">
        <v>967</v>
      </c>
      <c r="B761" t="s">
        <v>1139</v>
      </c>
      <c r="C761" t="s">
        <v>968</v>
      </c>
      <c r="D761">
        <v>0.05</v>
      </c>
      <c r="F761" s="9">
        <f t="shared" si="14"/>
        <v>0.05</v>
      </c>
    </row>
    <row r="762" spans="1:9" x14ac:dyDescent="0.2">
      <c r="A762" s="6" t="s">
        <v>1142</v>
      </c>
      <c r="B762" t="s">
        <v>1127</v>
      </c>
      <c r="C762" t="s">
        <v>1128</v>
      </c>
      <c r="D762">
        <v>2</v>
      </c>
      <c r="F762" s="9">
        <f t="shared" si="14"/>
        <v>2</v>
      </c>
    </row>
    <row r="763" spans="1:9" x14ac:dyDescent="0.2">
      <c r="A763" s="6" t="s">
        <v>1143</v>
      </c>
      <c r="B763" t="s">
        <v>1154</v>
      </c>
      <c r="C763" t="s">
        <v>335</v>
      </c>
      <c r="D763">
        <v>1</v>
      </c>
      <c r="F763" s="9">
        <f t="shared" si="14"/>
        <v>1</v>
      </c>
    </row>
    <row r="764" spans="1:9" x14ac:dyDescent="0.2">
      <c r="A764" s="6" t="s">
        <v>1132</v>
      </c>
      <c r="B764" t="s">
        <v>1145</v>
      </c>
      <c r="C764" t="s">
        <v>1146</v>
      </c>
      <c r="D764">
        <v>7.2</v>
      </c>
      <c r="F764" s="9">
        <f t="shared" si="14"/>
        <v>7.2</v>
      </c>
    </row>
    <row r="765" spans="1:9" x14ac:dyDescent="0.2">
      <c r="A765" s="6"/>
      <c r="F765" s="9">
        <f t="shared" si="14"/>
        <v>0</v>
      </c>
    </row>
    <row r="766" spans="1:9" x14ac:dyDescent="0.2">
      <c r="A766" s="6"/>
      <c r="F766" s="9">
        <f t="shared" si="14"/>
        <v>0</v>
      </c>
    </row>
    <row r="767" spans="1:9" x14ac:dyDescent="0.2">
      <c r="A767" s="234" t="s">
        <v>962</v>
      </c>
      <c r="B767" s="235"/>
      <c r="C767" s="235"/>
      <c r="D767" s="235"/>
      <c r="F767" s="9">
        <f t="shared" si="14"/>
        <v>0</v>
      </c>
    </row>
    <row r="768" spans="1:9" x14ac:dyDescent="0.2">
      <c r="A768" s="6" t="s">
        <v>973</v>
      </c>
      <c r="B768" t="s">
        <v>939</v>
      </c>
      <c r="C768" t="s">
        <v>161</v>
      </c>
      <c r="D768" s="6">
        <v>363.15</v>
      </c>
      <c r="F768" s="9">
        <f t="shared" si="14"/>
        <v>363.15</v>
      </c>
    </row>
    <row r="769" spans="1:6" x14ac:dyDescent="0.2">
      <c r="A769" s="6" t="s">
        <v>970</v>
      </c>
      <c r="B769" t="s">
        <v>940</v>
      </c>
      <c r="C769" t="s">
        <v>161</v>
      </c>
      <c r="D769" s="6">
        <v>308.14999999999998</v>
      </c>
      <c r="F769" s="9">
        <f t="shared" si="14"/>
        <v>308.14999999999998</v>
      </c>
    </row>
    <row r="770" spans="1:6" x14ac:dyDescent="0.2">
      <c r="A770" s="6" t="s">
        <v>971</v>
      </c>
      <c r="B770" t="s">
        <v>941</v>
      </c>
      <c r="C770" t="s">
        <v>763</v>
      </c>
      <c r="D770" s="6">
        <v>5</v>
      </c>
      <c r="F770" s="9">
        <f t="shared" si="14"/>
        <v>5</v>
      </c>
    </row>
    <row r="771" spans="1:6" x14ac:dyDescent="0.2">
      <c r="A771" s="6" t="s">
        <v>972</v>
      </c>
      <c r="B771" t="s">
        <v>932</v>
      </c>
      <c r="C771" t="s">
        <v>23</v>
      </c>
      <c r="D771" s="6">
        <v>1</v>
      </c>
      <c r="F771" s="9">
        <f t="shared" si="14"/>
        <v>1</v>
      </c>
    </row>
    <row r="772" spans="1:6" x14ac:dyDescent="0.2">
      <c r="A772" s="6" t="s">
        <v>1032</v>
      </c>
      <c r="B772" t="s">
        <v>1031</v>
      </c>
      <c r="C772" t="s">
        <v>267</v>
      </c>
      <c r="D772">
        <v>20000</v>
      </c>
      <c r="F772" s="9">
        <f t="shared" si="14"/>
        <v>20000</v>
      </c>
    </row>
    <row r="773" spans="1:6" x14ac:dyDescent="0.2">
      <c r="A773" s="6" t="s">
        <v>1033</v>
      </c>
      <c r="B773" t="s">
        <v>1034</v>
      </c>
      <c r="C773" t="s">
        <v>999</v>
      </c>
      <c r="D773">
        <v>12</v>
      </c>
      <c r="F773" s="9">
        <f t="shared" si="14"/>
        <v>12</v>
      </c>
    </row>
    <row r="774" spans="1:6" x14ac:dyDescent="0.2">
      <c r="A774" s="6" t="s">
        <v>1035</v>
      </c>
      <c r="B774" t="s">
        <v>1036</v>
      </c>
      <c r="C774" t="s">
        <v>999</v>
      </c>
      <c r="D774">
        <v>13</v>
      </c>
      <c r="F774" s="9">
        <f t="shared" si="14"/>
        <v>13</v>
      </c>
    </row>
    <row r="775" spans="1:6" x14ac:dyDescent="0.2">
      <c r="A775" s="6"/>
      <c r="F775" s="9">
        <f t="shared" si="14"/>
        <v>0</v>
      </c>
    </row>
    <row r="776" spans="1:6" x14ac:dyDescent="0.2">
      <c r="F776" s="9">
        <f t="shared" si="14"/>
        <v>0</v>
      </c>
    </row>
    <row r="777" spans="1:6" x14ac:dyDescent="0.2">
      <c r="A777" s="240" t="s">
        <v>1882</v>
      </c>
      <c r="B777" s="241"/>
      <c r="C777" s="241"/>
      <c r="D777" s="241"/>
      <c r="E777" s="241"/>
      <c r="F777" s="9">
        <f>IF(ISBLANK(E777),D777,E777)</f>
        <v>0</v>
      </c>
    </row>
    <row r="778" spans="1:6" x14ac:dyDescent="0.2">
      <c r="A778" s="273" t="s">
        <v>1352</v>
      </c>
      <c r="B778" s="274"/>
      <c r="C778" s="274"/>
      <c r="D778" s="274"/>
      <c r="F778" s="9">
        <f t="shared" ref="F778:F839" si="15">IF(ISBLANK(E778),D778,E778)</f>
        <v>0</v>
      </c>
    </row>
    <row r="779" spans="1:6" x14ac:dyDescent="0.2">
      <c r="A779" s="6" t="s">
        <v>914</v>
      </c>
      <c r="B779" t="s">
        <v>942</v>
      </c>
      <c r="C779" t="s">
        <v>915</v>
      </c>
      <c r="D779">
        <v>0.1</v>
      </c>
      <c r="F779" s="9">
        <f t="shared" si="15"/>
        <v>0.1</v>
      </c>
    </row>
    <row r="780" spans="1:6" x14ac:dyDescent="0.2">
      <c r="A780" s="6" t="s">
        <v>917</v>
      </c>
      <c r="B780" t="s">
        <v>918</v>
      </c>
      <c r="C780" t="s">
        <v>23</v>
      </c>
      <c r="D780">
        <v>1</v>
      </c>
      <c r="F780" s="9">
        <f t="shared" si="15"/>
        <v>1</v>
      </c>
    </row>
    <row r="781" spans="1:6" x14ac:dyDescent="0.2">
      <c r="A781" s="6" t="s">
        <v>919</v>
      </c>
      <c r="B781" t="s">
        <v>920</v>
      </c>
      <c r="C781" t="s">
        <v>281</v>
      </c>
      <c r="D781">
        <v>100</v>
      </c>
      <c r="F781" s="9">
        <f t="shared" si="15"/>
        <v>100</v>
      </c>
    </row>
    <row r="782" spans="1:6" x14ac:dyDescent="0.2">
      <c r="A782" s="6" t="s">
        <v>921</v>
      </c>
      <c r="B782" t="s">
        <v>922</v>
      </c>
      <c r="C782" t="s">
        <v>1</v>
      </c>
      <c r="D782">
        <v>10</v>
      </c>
      <c r="F782" s="9">
        <f t="shared" si="15"/>
        <v>10</v>
      </c>
    </row>
    <row r="783" spans="1:6" x14ac:dyDescent="0.2">
      <c r="A783" s="6" t="s">
        <v>923</v>
      </c>
      <c r="B783" t="s">
        <v>924</v>
      </c>
      <c r="C783" t="s">
        <v>824</v>
      </c>
      <c r="D783">
        <v>1.2</v>
      </c>
      <c r="F783" s="9">
        <f t="shared" si="15"/>
        <v>1.2</v>
      </c>
    </row>
    <row r="784" spans="1:6" x14ac:dyDescent="0.2">
      <c r="A784" s="6"/>
      <c r="F784" s="9">
        <f t="shared" si="15"/>
        <v>0</v>
      </c>
    </row>
    <row r="785" spans="1:6" x14ac:dyDescent="0.2">
      <c r="A785" s="6"/>
      <c r="F785" s="9">
        <f t="shared" si="15"/>
        <v>0</v>
      </c>
    </row>
    <row r="786" spans="1:6" x14ac:dyDescent="0.2">
      <c r="A786" s="234" t="s">
        <v>934</v>
      </c>
      <c r="B786" s="235"/>
      <c r="C786" s="235"/>
      <c r="D786" s="235"/>
      <c r="F786" s="9">
        <f t="shared" si="15"/>
        <v>0</v>
      </c>
    </row>
    <row r="787" spans="1:6" x14ac:dyDescent="0.2">
      <c r="A787" s="6" t="s">
        <v>935</v>
      </c>
      <c r="B787" t="s">
        <v>939</v>
      </c>
      <c r="C787" t="s">
        <v>161</v>
      </c>
      <c r="D787" s="6"/>
      <c r="F787" s="9">
        <f t="shared" si="15"/>
        <v>0</v>
      </c>
    </row>
    <row r="788" spans="1:6" x14ac:dyDescent="0.2">
      <c r="A788" s="6" t="s">
        <v>936</v>
      </c>
      <c r="B788" t="s">
        <v>940</v>
      </c>
      <c r="C788" t="s">
        <v>161</v>
      </c>
      <c r="D788" s="6"/>
      <c r="F788" s="9">
        <f t="shared" si="15"/>
        <v>0</v>
      </c>
    </row>
    <row r="789" spans="1:6" x14ac:dyDescent="0.2">
      <c r="A789" s="6" t="s">
        <v>937</v>
      </c>
      <c r="B789" t="s">
        <v>941</v>
      </c>
      <c r="C789" t="s">
        <v>763</v>
      </c>
      <c r="D789" s="6"/>
      <c r="F789" s="9">
        <f t="shared" si="15"/>
        <v>0</v>
      </c>
    </row>
    <row r="790" spans="1:6" x14ac:dyDescent="0.2">
      <c r="A790" s="6" t="s">
        <v>938</v>
      </c>
      <c r="B790" t="s">
        <v>932</v>
      </c>
      <c r="C790" t="s">
        <v>23</v>
      </c>
      <c r="D790" s="6"/>
      <c r="F790" s="9">
        <f t="shared" si="15"/>
        <v>0</v>
      </c>
    </row>
    <row r="791" spans="1:6" x14ac:dyDescent="0.2">
      <c r="A791" s="6" t="s">
        <v>1032</v>
      </c>
      <c r="B791" t="s">
        <v>1031</v>
      </c>
      <c r="C791" t="s">
        <v>267</v>
      </c>
      <c r="D791">
        <v>20000</v>
      </c>
      <c r="F791" s="9">
        <f t="shared" si="15"/>
        <v>20000</v>
      </c>
    </row>
    <row r="792" spans="1:6" x14ac:dyDescent="0.2">
      <c r="A792" s="6" t="s">
        <v>1033</v>
      </c>
      <c r="B792" t="s">
        <v>1034</v>
      </c>
      <c r="C792" t="s">
        <v>999</v>
      </c>
      <c r="D792">
        <v>12</v>
      </c>
      <c r="F792" s="9">
        <f t="shared" si="15"/>
        <v>12</v>
      </c>
    </row>
    <row r="793" spans="1:6" x14ac:dyDescent="0.2">
      <c r="A793" s="6" t="s">
        <v>1035</v>
      </c>
      <c r="B793" t="s">
        <v>1036</v>
      </c>
      <c r="C793" t="s">
        <v>999</v>
      </c>
      <c r="D793">
        <v>13</v>
      </c>
      <c r="F793" s="9">
        <f t="shared" si="15"/>
        <v>13</v>
      </c>
    </row>
    <row r="794" spans="1:6" x14ac:dyDescent="0.2">
      <c r="F794" s="9">
        <f t="shared" si="15"/>
        <v>0</v>
      </c>
    </row>
    <row r="795" spans="1:6" x14ac:dyDescent="0.2">
      <c r="A795" s="6"/>
      <c r="F795" s="9">
        <f t="shared" si="15"/>
        <v>0</v>
      </c>
    </row>
    <row r="796" spans="1:6" x14ac:dyDescent="0.2">
      <c r="A796" s="229" t="s">
        <v>1483</v>
      </c>
      <c r="B796" s="19"/>
      <c r="C796" s="19"/>
      <c r="D796" s="19"/>
      <c r="F796" s="9">
        <f t="shared" si="15"/>
        <v>0</v>
      </c>
    </row>
    <row r="797" spans="1:6" x14ac:dyDescent="0.2">
      <c r="A797" s="6" t="s">
        <v>1484</v>
      </c>
      <c r="B797" t="s">
        <v>1134</v>
      </c>
      <c r="C797" t="s">
        <v>1125</v>
      </c>
      <c r="D797">
        <v>7.7</v>
      </c>
      <c r="F797" s="9">
        <f t="shared" si="15"/>
        <v>7.7</v>
      </c>
    </row>
    <row r="798" spans="1:6" x14ac:dyDescent="0.2">
      <c r="A798" s="6" t="s">
        <v>1485</v>
      </c>
      <c r="B798" t="s">
        <v>1486</v>
      </c>
      <c r="C798" t="s">
        <v>1</v>
      </c>
      <c r="D798">
        <v>30</v>
      </c>
      <c r="F798" s="9">
        <f t="shared" si="15"/>
        <v>30</v>
      </c>
    </row>
    <row r="799" spans="1:6" x14ac:dyDescent="0.2">
      <c r="A799" s="6" t="s">
        <v>1487</v>
      </c>
      <c r="B799" t="s">
        <v>1488</v>
      </c>
      <c r="C799" t="s">
        <v>824</v>
      </c>
      <c r="D799">
        <v>1.2</v>
      </c>
      <c r="F799" s="9">
        <f t="shared" si="15"/>
        <v>1.2</v>
      </c>
    </row>
    <row r="800" spans="1:6" x14ac:dyDescent="0.2">
      <c r="A800" s="6" t="s">
        <v>1489</v>
      </c>
      <c r="B800" t="s">
        <v>1490</v>
      </c>
      <c r="C800" t="s">
        <v>275</v>
      </c>
      <c r="D800">
        <v>80</v>
      </c>
      <c r="F800" s="9">
        <f t="shared" si="15"/>
        <v>80</v>
      </c>
    </row>
    <row r="801" spans="1:6" x14ac:dyDescent="0.2">
      <c r="A801" s="6" t="s">
        <v>1491</v>
      </c>
      <c r="B801" t="s">
        <v>1492</v>
      </c>
      <c r="C801" t="s">
        <v>902</v>
      </c>
      <c r="D801">
        <v>290</v>
      </c>
      <c r="F801" s="9">
        <f t="shared" si="15"/>
        <v>290</v>
      </c>
    </row>
    <row r="802" spans="1:6" x14ac:dyDescent="0.2">
      <c r="A802" s="6" t="s">
        <v>1493</v>
      </c>
      <c r="B802" t="s">
        <v>1494</v>
      </c>
      <c r="C802" t="s">
        <v>953</v>
      </c>
      <c r="D802">
        <v>1</v>
      </c>
      <c r="F802" s="9">
        <f t="shared" si="15"/>
        <v>1</v>
      </c>
    </row>
    <row r="803" spans="1:6" x14ac:dyDescent="0.2">
      <c r="A803" s="6" t="s">
        <v>1495</v>
      </c>
      <c r="B803" t="s">
        <v>1496</v>
      </c>
      <c r="C803" t="s">
        <v>1497</v>
      </c>
      <c r="D803">
        <v>0.08</v>
      </c>
      <c r="F803" s="9">
        <f t="shared" si="15"/>
        <v>0.08</v>
      </c>
    </row>
    <row r="804" spans="1:6" x14ac:dyDescent="0.2">
      <c r="A804" s="6" t="s">
        <v>1498</v>
      </c>
      <c r="B804" t="s">
        <v>1499</v>
      </c>
      <c r="C804" t="s">
        <v>1128</v>
      </c>
      <c r="D804">
        <v>3</v>
      </c>
      <c r="F804" s="9">
        <f t="shared" si="15"/>
        <v>3</v>
      </c>
    </row>
    <row r="805" spans="1:6" x14ac:dyDescent="0.2">
      <c r="A805" s="6" t="s">
        <v>1500</v>
      </c>
      <c r="B805" t="s">
        <v>1501</v>
      </c>
      <c r="C805" t="s">
        <v>275</v>
      </c>
      <c r="D805">
        <v>70</v>
      </c>
      <c r="F805" s="9">
        <f t="shared" si="15"/>
        <v>70</v>
      </c>
    </row>
    <row r="806" spans="1:6" x14ac:dyDescent="0.2">
      <c r="A806" s="6"/>
      <c r="F806" s="9">
        <f t="shared" si="15"/>
        <v>0</v>
      </c>
    </row>
    <row r="807" spans="1:6" x14ac:dyDescent="0.2">
      <c r="A807" s="6"/>
      <c r="F807" s="9">
        <f t="shared" si="15"/>
        <v>0</v>
      </c>
    </row>
    <row r="808" spans="1:6" x14ac:dyDescent="0.2">
      <c r="A808" s="234" t="s">
        <v>1502</v>
      </c>
      <c r="B808" s="235"/>
      <c r="C808" s="235"/>
      <c r="D808" s="235"/>
      <c r="F808" s="9">
        <f t="shared" si="15"/>
        <v>0</v>
      </c>
    </row>
    <row r="809" spans="1:6" x14ac:dyDescent="0.2">
      <c r="A809" s="6" t="s">
        <v>935</v>
      </c>
      <c r="B809" t="s">
        <v>939</v>
      </c>
      <c r="C809" t="s">
        <v>161</v>
      </c>
      <c r="D809" s="6"/>
      <c r="F809" s="9">
        <f t="shared" si="15"/>
        <v>0</v>
      </c>
    </row>
    <row r="810" spans="1:6" x14ac:dyDescent="0.2">
      <c r="A810" s="6" t="s">
        <v>936</v>
      </c>
      <c r="B810" t="s">
        <v>940</v>
      </c>
      <c r="C810" t="s">
        <v>161</v>
      </c>
      <c r="D810" s="6"/>
      <c r="F810" s="9">
        <f t="shared" si="15"/>
        <v>0</v>
      </c>
    </row>
    <row r="811" spans="1:6" x14ac:dyDescent="0.2">
      <c r="A811" s="6" t="s">
        <v>937</v>
      </c>
      <c r="B811" t="s">
        <v>941</v>
      </c>
      <c r="C811" t="s">
        <v>763</v>
      </c>
      <c r="D811" s="6"/>
      <c r="F811" s="9">
        <f t="shared" si="15"/>
        <v>0</v>
      </c>
    </row>
    <row r="812" spans="1:6" x14ac:dyDescent="0.2">
      <c r="A812" s="6" t="s">
        <v>938</v>
      </c>
      <c r="B812" t="s">
        <v>932</v>
      </c>
      <c r="C812" t="s">
        <v>23</v>
      </c>
      <c r="D812" s="6"/>
      <c r="F812" s="9">
        <f t="shared" si="15"/>
        <v>0</v>
      </c>
    </row>
    <row r="813" spans="1:6" x14ac:dyDescent="0.2">
      <c r="A813" s="6" t="s">
        <v>1032</v>
      </c>
      <c r="B813" t="s">
        <v>1031</v>
      </c>
      <c r="C813" t="s">
        <v>267</v>
      </c>
      <c r="D813">
        <v>20000</v>
      </c>
      <c r="F813" s="9">
        <f t="shared" si="15"/>
        <v>20000</v>
      </c>
    </row>
    <row r="814" spans="1:6" x14ac:dyDescent="0.2">
      <c r="A814" s="6" t="s">
        <v>1033</v>
      </c>
      <c r="B814" t="s">
        <v>1034</v>
      </c>
      <c r="C814" t="s">
        <v>999</v>
      </c>
      <c r="D814">
        <v>12</v>
      </c>
      <c r="F814" s="9">
        <f t="shared" si="15"/>
        <v>12</v>
      </c>
    </row>
    <row r="815" spans="1:6" x14ac:dyDescent="0.2">
      <c r="A815" s="6" t="s">
        <v>1035</v>
      </c>
      <c r="B815" t="s">
        <v>1036</v>
      </c>
      <c r="C815" t="s">
        <v>999</v>
      </c>
      <c r="D815">
        <v>13</v>
      </c>
      <c r="F815" s="9">
        <f t="shared" si="15"/>
        <v>13</v>
      </c>
    </row>
    <row r="816" spans="1:6" x14ac:dyDescent="0.2">
      <c r="A816" s="6"/>
      <c r="F816" s="9">
        <f t="shared" si="15"/>
        <v>0</v>
      </c>
    </row>
    <row r="817" spans="1:6" x14ac:dyDescent="0.2">
      <c r="A817" s="6"/>
      <c r="F817" s="9">
        <f t="shared" si="15"/>
        <v>0</v>
      </c>
    </row>
    <row r="818" spans="1:6" x14ac:dyDescent="0.2">
      <c r="A818" s="229" t="s">
        <v>1503</v>
      </c>
      <c r="B818" s="19"/>
      <c r="C818" s="19"/>
      <c r="D818" s="19"/>
      <c r="F818" s="9">
        <f t="shared" si="15"/>
        <v>0</v>
      </c>
    </row>
    <row r="819" spans="1:6" x14ac:dyDescent="0.2">
      <c r="A819" s="6" t="s">
        <v>1133</v>
      </c>
      <c r="B819" t="s">
        <v>1504</v>
      </c>
      <c r="C819" t="s">
        <v>1125</v>
      </c>
      <c r="D819">
        <v>3</v>
      </c>
      <c r="F819" s="9">
        <f t="shared" si="15"/>
        <v>3</v>
      </c>
    </row>
    <row r="820" spans="1:6" x14ac:dyDescent="0.2">
      <c r="A820" s="6" t="s">
        <v>963</v>
      </c>
      <c r="B820" t="s">
        <v>1505</v>
      </c>
      <c r="C820" t="s">
        <v>1</v>
      </c>
      <c r="D820">
        <v>30</v>
      </c>
      <c r="F820" s="9">
        <f t="shared" si="15"/>
        <v>30</v>
      </c>
    </row>
    <row r="821" spans="1:6" x14ac:dyDescent="0.2">
      <c r="A821" s="6" t="s">
        <v>964</v>
      </c>
      <c r="B821" t="s">
        <v>1136</v>
      </c>
      <c r="C821" t="s">
        <v>824</v>
      </c>
      <c r="D821">
        <v>1.2</v>
      </c>
      <c r="F821" s="9">
        <f t="shared" si="15"/>
        <v>1.2</v>
      </c>
    </row>
    <row r="822" spans="1:6" x14ac:dyDescent="0.2">
      <c r="A822" s="6" t="s">
        <v>1120</v>
      </c>
      <c r="B822" t="s">
        <v>1506</v>
      </c>
      <c r="C822" t="s">
        <v>275</v>
      </c>
      <c r="D822">
        <v>80</v>
      </c>
      <c r="F822" s="9">
        <f t="shared" si="15"/>
        <v>80</v>
      </c>
    </row>
    <row r="823" spans="1:6" x14ac:dyDescent="0.2">
      <c r="A823" s="6" t="s">
        <v>965</v>
      </c>
      <c r="B823" t="s">
        <v>1507</v>
      </c>
      <c r="C823" t="s">
        <v>902</v>
      </c>
      <c r="D823">
        <v>320</v>
      </c>
      <c r="F823" s="9">
        <f t="shared" si="15"/>
        <v>320</v>
      </c>
    </row>
    <row r="824" spans="1:6" x14ac:dyDescent="0.2">
      <c r="A824" s="6" t="s">
        <v>966</v>
      </c>
      <c r="B824" t="s">
        <v>1508</v>
      </c>
      <c r="C824" t="s">
        <v>1148</v>
      </c>
      <c r="D824">
        <v>500</v>
      </c>
      <c r="F824" s="9">
        <f t="shared" si="15"/>
        <v>500</v>
      </c>
    </row>
    <row r="825" spans="1:6" x14ac:dyDescent="0.2">
      <c r="A825" s="6" t="s">
        <v>967</v>
      </c>
      <c r="B825" t="s">
        <v>1509</v>
      </c>
      <c r="C825" t="s">
        <v>275</v>
      </c>
      <c r="D825">
        <v>3</v>
      </c>
      <c r="F825" s="9">
        <f t="shared" si="15"/>
        <v>3</v>
      </c>
    </row>
    <row r="826" spans="1:6" x14ac:dyDescent="0.2">
      <c r="A826" s="6" t="s">
        <v>1142</v>
      </c>
      <c r="B826" t="s">
        <v>1127</v>
      </c>
      <c r="C826" t="s">
        <v>1128</v>
      </c>
      <c r="D826">
        <v>3</v>
      </c>
      <c r="F826" s="9">
        <f t="shared" si="15"/>
        <v>3</v>
      </c>
    </row>
    <row r="827" spans="1:6" x14ac:dyDescent="0.2">
      <c r="A827" s="6" t="s">
        <v>1132</v>
      </c>
      <c r="B827" t="s">
        <v>1145</v>
      </c>
      <c r="C827" t="s">
        <v>1146</v>
      </c>
      <c r="D827">
        <v>7.2</v>
      </c>
      <c r="F827" s="9">
        <f t="shared" si="15"/>
        <v>7.2</v>
      </c>
    </row>
    <row r="828" spans="1:6" x14ac:dyDescent="0.2">
      <c r="A828" s="6" t="s">
        <v>1510</v>
      </c>
      <c r="B828" t="s">
        <v>1511</v>
      </c>
      <c r="C828" t="s">
        <v>275</v>
      </c>
      <c r="D828">
        <v>99</v>
      </c>
      <c r="F828" s="9">
        <f t="shared" si="15"/>
        <v>99</v>
      </c>
    </row>
    <row r="829" spans="1:6" x14ac:dyDescent="0.2">
      <c r="A829" s="6"/>
      <c r="F829" s="9">
        <f t="shared" si="15"/>
        <v>0</v>
      </c>
    </row>
    <row r="830" spans="1:6" x14ac:dyDescent="0.2">
      <c r="A830" s="6"/>
      <c r="F830" s="9">
        <f t="shared" si="15"/>
        <v>0</v>
      </c>
    </row>
    <row r="831" spans="1:6" x14ac:dyDescent="0.2">
      <c r="A831" s="234" t="s">
        <v>962</v>
      </c>
      <c r="B831" s="235"/>
      <c r="C831" s="235"/>
      <c r="D831" s="235"/>
      <c r="F831" s="9">
        <f t="shared" si="15"/>
        <v>0</v>
      </c>
    </row>
    <row r="832" spans="1:6" x14ac:dyDescent="0.2">
      <c r="A832" s="6" t="s">
        <v>973</v>
      </c>
      <c r="B832" t="s">
        <v>939</v>
      </c>
      <c r="C832" t="s">
        <v>161</v>
      </c>
      <c r="D832" s="6"/>
      <c r="F832" s="9">
        <f t="shared" si="15"/>
        <v>0</v>
      </c>
    </row>
    <row r="833" spans="1:6" x14ac:dyDescent="0.2">
      <c r="A833" s="6" t="s">
        <v>970</v>
      </c>
      <c r="B833" t="s">
        <v>940</v>
      </c>
      <c r="C833" t="s">
        <v>161</v>
      </c>
      <c r="D833" s="6"/>
      <c r="F833" s="9">
        <f t="shared" si="15"/>
        <v>0</v>
      </c>
    </row>
    <row r="834" spans="1:6" x14ac:dyDescent="0.2">
      <c r="A834" s="6" t="s">
        <v>971</v>
      </c>
      <c r="B834" t="s">
        <v>941</v>
      </c>
      <c r="C834" t="s">
        <v>763</v>
      </c>
      <c r="D834" s="6"/>
      <c r="F834" s="9">
        <f t="shared" si="15"/>
        <v>0</v>
      </c>
    </row>
    <row r="835" spans="1:6" x14ac:dyDescent="0.2">
      <c r="A835" s="6" t="s">
        <v>972</v>
      </c>
      <c r="B835" t="s">
        <v>932</v>
      </c>
      <c r="C835" t="s">
        <v>23</v>
      </c>
      <c r="D835" s="6"/>
      <c r="F835" s="9">
        <f t="shared" si="15"/>
        <v>0</v>
      </c>
    </row>
    <row r="836" spans="1:6" x14ac:dyDescent="0.2">
      <c r="A836" s="6" t="s">
        <v>1032</v>
      </c>
      <c r="B836" t="s">
        <v>1031</v>
      </c>
      <c r="C836" t="s">
        <v>267</v>
      </c>
      <c r="D836">
        <v>20000</v>
      </c>
      <c r="F836" s="9">
        <f t="shared" si="15"/>
        <v>20000</v>
      </c>
    </row>
    <row r="837" spans="1:6" x14ac:dyDescent="0.2">
      <c r="A837" s="6" t="s">
        <v>1033</v>
      </c>
      <c r="B837" t="s">
        <v>1034</v>
      </c>
      <c r="C837" t="s">
        <v>999</v>
      </c>
      <c r="D837">
        <v>12</v>
      </c>
      <c r="F837" s="9">
        <f t="shared" si="15"/>
        <v>12</v>
      </c>
    </row>
    <row r="838" spans="1:6" x14ac:dyDescent="0.2">
      <c r="A838" s="6" t="s">
        <v>1035</v>
      </c>
      <c r="B838" t="s">
        <v>1036</v>
      </c>
      <c r="C838" t="s">
        <v>999</v>
      </c>
      <c r="D838">
        <v>13</v>
      </c>
      <c r="F838" s="9">
        <f t="shared" si="15"/>
        <v>13</v>
      </c>
    </row>
    <row r="839" spans="1:6" x14ac:dyDescent="0.2">
      <c r="F839" s="9">
        <f t="shared" si="15"/>
        <v>0</v>
      </c>
    </row>
    <row r="840" spans="1:6" x14ac:dyDescent="0.2">
      <c r="F840" s="9">
        <f>IF(ISBLANK(E840),D840,E840)</f>
        <v>0</v>
      </c>
    </row>
    <row r="841" spans="1:6" x14ac:dyDescent="0.2">
      <c r="F841" s="9">
        <f>IF(ISBLANK(E841),D841,E841)</f>
        <v>0</v>
      </c>
    </row>
    <row r="842" spans="1:6" x14ac:dyDescent="0.2">
      <c r="A842" s="231" t="s">
        <v>1200</v>
      </c>
      <c r="B842" s="18"/>
      <c r="C842" s="18"/>
      <c r="D842" s="18"/>
      <c r="E842" s="18"/>
      <c r="F842" s="9">
        <f>IF(ISBLANK(E842),D842,E842)</f>
        <v>0</v>
      </c>
    </row>
    <row r="843" spans="1:6" x14ac:dyDescent="0.2">
      <c r="A843" s="246" t="s">
        <v>1214</v>
      </c>
      <c r="B843" s="247"/>
      <c r="C843" s="247"/>
      <c r="D843" s="247"/>
      <c r="F843" s="9">
        <f t="shared" ref="F843:F897" si="16">IF(ISBLANK(E843),D843,E843)</f>
        <v>0</v>
      </c>
    </row>
    <row r="844" spans="1:6" x14ac:dyDescent="0.2">
      <c r="A844" s="6" t="s">
        <v>354</v>
      </c>
      <c r="B844" t="s">
        <v>1188</v>
      </c>
      <c r="C844" t="s">
        <v>340</v>
      </c>
      <c r="D844">
        <v>8875</v>
      </c>
      <c r="F844" s="9">
        <f t="shared" si="16"/>
        <v>8875</v>
      </c>
    </row>
    <row r="845" spans="1:6" x14ac:dyDescent="0.2">
      <c r="A845" s="6" t="s">
        <v>1170</v>
      </c>
      <c r="B845" t="s">
        <v>1181</v>
      </c>
      <c r="C845" t="s">
        <v>1207</v>
      </c>
      <c r="D845">
        <v>0.1</v>
      </c>
      <c r="F845" s="9">
        <f t="shared" si="16"/>
        <v>0.1</v>
      </c>
    </row>
    <row r="846" spans="1:6" x14ac:dyDescent="0.2">
      <c r="A846" s="6" t="s">
        <v>1165</v>
      </c>
      <c r="B846" t="s">
        <v>1182</v>
      </c>
      <c r="C846" t="s">
        <v>338</v>
      </c>
      <c r="D846">
        <v>2.3260000000000001</v>
      </c>
      <c r="F846" s="9">
        <f t="shared" si="16"/>
        <v>2.3260000000000001</v>
      </c>
    </row>
    <row r="847" spans="1:6" x14ac:dyDescent="0.2">
      <c r="A847" s="6" t="s">
        <v>1166</v>
      </c>
      <c r="B847" t="s">
        <v>1183</v>
      </c>
      <c r="C847" t="s">
        <v>340</v>
      </c>
      <c r="D847">
        <v>188.34</v>
      </c>
      <c r="F847" s="9">
        <f t="shared" si="16"/>
        <v>188.34</v>
      </c>
    </row>
    <row r="848" spans="1:6" x14ac:dyDescent="0.2">
      <c r="A848" s="6" t="s">
        <v>1167</v>
      </c>
      <c r="B848" t="s">
        <v>1184</v>
      </c>
      <c r="C848" t="s">
        <v>338</v>
      </c>
      <c r="D848">
        <v>8.35</v>
      </c>
      <c r="F848" s="9">
        <f t="shared" si="16"/>
        <v>8.35</v>
      </c>
    </row>
    <row r="849" spans="1:6" x14ac:dyDescent="0.2">
      <c r="A849" s="6" t="s">
        <v>1168</v>
      </c>
      <c r="B849" t="s">
        <v>1185</v>
      </c>
      <c r="C849" t="s">
        <v>616</v>
      </c>
      <c r="D849">
        <v>600</v>
      </c>
      <c r="F849" s="9">
        <f t="shared" si="16"/>
        <v>600</v>
      </c>
    </row>
    <row r="850" spans="1:6" x14ac:dyDescent="0.2">
      <c r="A850" s="6" t="s">
        <v>728</v>
      </c>
      <c r="B850" t="s">
        <v>998</v>
      </c>
      <c r="C850" t="s">
        <v>729</v>
      </c>
      <c r="D850">
        <v>2580.65</v>
      </c>
      <c r="F850" s="9">
        <f t="shared" si="16"/>
        <v>2580.65</v>
      </c>
    </row>
    <row r="851" spans="1:6" x14ac:dyDescent="0.2">
      <c r="A851" s="6" t="s">
        <v>736</v>
      </c>
      <c r="B851" t="s">
        <v>1195</v>
      </c>
      <c r="C851" t="s">
        <v>737</v>
      </c>
      <c r="D851">
        <v>1.8136399999999999</v>
      </c>
      <c r="F851" s="9">
        <f t="shared" si="16"/>
        <v>1.8136399999999999</v>
      </c>
    </row>
    <row r="852" spans="1:6" x14ac:dyDescent="0.2">
      <c r="A852" s="6" t="s">
        <v>1169</v>
      </c>
      <c r="B852" t="s">
        <v>355</v>
      </c>
      <c r="C852" t="s">
        <v>1180</v>
      </c>
      <c r="D852">
        <v>250000</v>
      </c>
      <c r="F852" s="9">
        <f t="shared" si="16"/>
        <v>250000</v>
      </c>
    </row>
    <row r="853" spans="1:6" x14ac:dyDescent="0.2">
      <c r="A853" s="6" t="s">
        <v>619</v>
      </c>
      <c r="B853" t="s">
        <v>1186</v>
      </c>
      <c r="C853" t="s">
        <v>358</v>
      </c>
      <c r="D853">
        <v>3000</v>
      </c>
      <c r="F853" s="9">
        <f t="shared" si="16"/>
        <v>3000</v>
      </c>
    </row>
    <row r="854" spans="1:6" x14ac:dyDescent="0.2">
      <c r="A854" s="6" t="s">
        <v>797</v>
      </c>
      <c r="B854" t="s">
        <v>1177</v>
      </c>
      <c r="C854" t="s">
        <v>341</v>
      </c>
      <c r="D854">
        <v>16</v>
      </c>
      <c r="F854" s="9">
        <f t="shared" si="16"/>
        <v>16</v>
      </c>
    </row>
    <row r="855" spans="1:6" x14ac:dyDescent="0.2">
      <c r="A855" s="6" t="s">
        <v>798</v>
      </c>
      <c r="B855" t="s">
        <v>1178</v>
      </c>
      <c r="C855" t="s">
        <v>341</v>
      </c>
      <c r="D855">
        <v>17.5</v>
      </c>
      <c r="F855" s="9">
        <f t="shared" si="16"/>
        <v>17.5</v>
      </c>
    </row>
    <row r="856" spans="1:6" x14ac:dyDescent="0.2">
      <c r="A856" s="6" t="s">
        <v>803</v>
      </c>
      <c r="B856" t="s">
        <v>1179</v>
      </c>
      <c r="C856" t="s">
        <v>341</v>
      </c>
      <c r="D856">
        <v>52.5</v>
      </c>
      <c r="F856" s="9">
        <f t="shared" si="16"/>
        <v>52.5</v>
      </c>
    </row>
    <row r="857" spans="1:6" x14ac:dyDescent="0.2">
      <c r="A857" s="6" t="s">
        <v>1171</v>
      </c>
      <c r="B857" t="s">
        <v>342</v>
      </c>
      <c r="C857" t="s">
        <v>339</v>
      </c>
      <c r="D857">
        <v>4430</v>
      </c>
      <c r="F857" s="9">
        <f t="shared" si="16"/>
        <v>4430</v>
      </c>
    </row>
    <row r="858" spans="1:6" x14ac:dyDescent="0.2">
      <c r="A858" s="6" t="s">
        <v>1172</v>
      </c>
      <c r="B858" t="s">
        <v>343</v>
      </c>
      <c r="C858" t="s">
        <v>339</v>
      </c>
      <c r="D858">
        <v>230</v>
      </c>
      <c r="F858" s="9">
        <f t="shared" si="16"/>
        <v>230</v>
      </c>
    </row>
    <row r="859" spans="1:6" x14ac:dyDescent="0.2">
      <c r="A859" s="6" t="s">
        <v>740</v>
      </c>
      <c r="B859" t="s">
        <v>1187</v>
      </c>
      <c r="C859" t="s">
        <v>341</v>
      </c>
      <c r="D859" s="191">
        <v>220000</v>
      </c>
      <c r="F859" s="9">
        <f t="shared" si="16"/>
        <v>220000</v>
      </c>
    </row>
    <row r="860" spans="1:6" x14ac:dyDescent="0.2">
      <c r="A860" s="6" t="s">
        <v>1173</v>
      </c>
      <c r="B860" t="s">
        <v>1176</v>
      </c>
      <c r="C860" t="s">
        <v>815</v>
      </c>
      <c r="D860">
        <v>8.9</v>
      </c>
      <c r="F860" s="9">
        <f t="shared" si="16"/>
        <v>8.9</v>
      </c>
    </row>
    <row r="861" spans="1:6" x14ac:dyDescent="0.2">
      <c r="A861" s="6" t="s">
        <v>904</v>
      </c>
      <c r="B861" t="s">
        <v>1175</v>
      </c>
      <c r="C861" t="s">
        <v>905</v>
      </c>
      <c r="D861">
        <v>30</v>
      </c>
      <c r="F861" s="9">
        <f t="shared" si="16"/>
        <v>30</v>
      </c>
    </row>
    <row r="862" spans="1:6" x14ac:dyDescent="0.2">
      <c r="A862" s="6" t="s">
        <v>1222</v>
      </c>
      <c r="B862" t="s">
        <v>1202</v>
      </c>
      <c r="C862" t="s">
        <v>1174</v>
      </c>
      <c r="D862">
        <f>61.334</f>
        <v>61.334000000000003</v>
      </c>
      <c r="F862" s="9">
        <f t="shared" si="16"/>
        <v>61.334000000000003</v>
      </c>
    </row>
    <row r="863" spans="1:6" x14ac:dyDescent="0.2">
      <c r="A863" s="6" t="s">
        <v>1196</v>
      </c>
      <c r="B863" t="s">
        <v>1198</v>
      </c>
      <c r="C863" t="s">
        <v>991</v>
      </c>
      <c r="D863">
        <v>9787.2340000000004</v>
      </c>
      <c r="F863" s="9">
        <f t="shared" si="16"/>
        <v>9787.2340000000004</v>
      </c>
    </row>
    <row r="864" spans="1:6" x14ac:dyDescent="0.2">
      <c r="A864" s="6" t="s">
        <v>1227</v>
      </c>
      <c r="B864" t="s">
        <v>1228</v>
      </c>
      <c r="C864" t="s">
        <v>1229</v>
      </c>
      <c r="D864">
        <v>51693.317999999999</v>
      </c>
      <c r="F864" s="9">
        <f t="shared" si="16"/>
        <v>51693.317999999999</v>
      </c>
    </row>
    <row r="865" spans="1:6" x14ac:dyDescent="0.2">
      <c r="A865" s="6" t="s">
        <v>1197</v>
      </c>
      <c r="B865" t="s">
        <v>1199</v>
      </c>
      <c r="C865" t="s">
        <v>993</v>
      </c>
      <c r="D865">
        <v>6.3E-2</v>
      </c>
      <c r="F865" s="9">
        <f t="shared" si="16"/>
        <v>6.3E-2</v>
      </c>
    </row>
    <row r="866" spans="1:6" x14ac:dyDescent="0.2">
      <c r="A866" s="6" t="s">
        <v>1203</v>
      </c>
      <c r="B866" t="s">
        <v>1204</v>
      </c>
      <c r="C866" t="s">
        <v>977</v>
      </c>
      <c r="D866">
        <v>23.1</v>
      </c>
      <c r="F866" s="9">
        <f t="shared" si="16"/>
        <v>23.1</v>
      </c>
    </row>
    <row r="867" spans="1:6" x14ac:dyDescent="0.2">
      <c r="A867" s="6" t="s">
        <v>1224</v>
      </c>
      <c r="B867" t="s">
        <v>1225</v>
      </c>
      <c r="C867" t="s">
        <v>1207</v>
      </c>
      <c r="D867">
        <v>5.33E-2</v>
      </c>
      <c r="F867" s="9">
        <f t="shared" si="16"/>
        <v>5.33E-2</v>
      </c>
    </row>
    <row r="868" spans="1:6" x14ac:dyDescent="0.2">
      <c r="A868" s="6" t="s">
        <v>1205</v>
      </c>
      <c r="B868" t="s">
        <v>1206</v>
      </c>
      <c r="C868" t="s">
        <v>815</v>
      </c>
      <c r="D868">
        <v>79.87</v>
      </c>
      <c r="F868" s="9">
        <f t="shared" si="16"/>
        <v>79.87</v>
      </c>
    </row>
    <row r="869" spans="1:6" x14ac:dyDescent="0.2">
      <c r="A869" s="6" t="s">
        <v>1209</v>
      </c>
      <c r="B869" t="s">
        <v>1211</v>
      </c>
      <c r="C869" t="s">
        <v>1207</v>
      </c>
      <c r="D869">
        <v>3476.7</v>
      </c>
      <c r="F869" s="9">
        <f t="shared" si="16"/>
        <v>3476.7</v>
      </c>
    </row>
    <row r="870" spans="1:6" x14ac:dyDescent="0.2">
      <c r="A870" s="6" t="s">
        <v>1208</v>
      </c>
      <c r="B870" t="s">
        <v>1212</v>
      </c>
      <c r="C870" t="s">
        <v>1207</v>
      </c>
      <c r="D870">
        <v>17.77</v>
      </c>
      <c r="F870" s="9">
        <f t="shared" si="16"/>
        <v>17.77</v>
      </c>
    </row>
    <row r="871" spans="1:6" x14ac:dyDescent="0.2">
      <c r="A871" s="6" t="s">
        <v>1210</v>
      </c>
      <c r="B871" t="s">
        <v>1213</v>
      </c>
      <c r="C871" t="s">
        <v>1207</v>
      </c>
      <c r="D871">
        <v>0.442</v>
      </c>
      <c r="F871" s="9">
        <f t="shared" si="16"/>
        <v>0.442</v>
      </c>
    </row>
    <row r="872" spans="1:6" x14ac:dyDescent="0.2">
      <c r="A872" s="6" t="s">
        <v>976</v>
      </c>
      <c r="B872" t="s">
        <v>994</v>
      </c>
      <c r="C872" t="s">
        <v>977</v>
      </c>
      <c r="D872">
        <v>13</v>
      </c>
      <c r="F872" s="9">
        <f t="shared" si="16"/>
        <v>13</v>
      </c>
    </row>
    <row r="873" spans="1:6" x14ac:dyDescent="0.2">
      <c r="A873" s="6" t="s">
        <v>978</v>
      </c>
      <c r="B873" t="s">
        <v>995</v>
      </c>
      <c r="C873" t="s">
        <v>991</v>
      </c>
      <c r="D873">
        <v>3500</v>
      </c>
      <c r="F873" s="9">
        <f t="shared" si="16"/>
        <v>3500</v>
      </c>
    </row>
    <row r="874" spans="1:6" x14ac:dyDescent="0.2">
      <c r="A874" s="6" t="s">
        <v>979</v>
      </c>
      <c r="B874" t="s">
        <v>996</v>
      </c>
      <c r="C874" t="s">
        <v>991</v>
      </c>
      <c r="D874">
        <v>4100</v>
      </c>
      <c r="F874" s="9">
        <f t="shared" si="16"/>
        <v>4100</v>
      </c>
    </row>
    <row r="875" spans="1:6" x14ac:dyDescent="0.2">
      <c r="A875" s="6" t="s">
        <v>992</v>
      </c>
      <c r="B875" t="s">
        <v>997</v>
      </c>
      <c r="C875" t="s">
        <v>993</v>
      </c>
      <c r="D875">
        <v>0.5</v>
      </c>
      <c r="F875" s="9">
        <f t="shared" si="16"/>
        <v>0.5</v>
      </c>
    </row>
    <row r="876" spans="1:6" x14ac:dyDescent="0.2">
      <c r="A876" s="6" t="s">
        <v>1216</v>
      </c>
      <c r="B876" t="s">
        <v>1218</v>
      </c>
      <c r="C876" t="s">
        <v>1217</v>
      </c>
      <c r="D876">
        <v>1480</v>
      </c>
      <c r="F876" s="9">
        <f t="shared" si="16"/>
        <v>1480</v>
      </c>
    </row>
    <row r="877" spans="1:6" x14ac:dyDescent="0.2">
      <c r="A877" s="6" t="s">
        <v>1219</v>
      </c>
      <c r="B877" t="s">
        <v>1220</v>
      </c>
      <c r="C877" t="s">
        <v>1217</v>
      </c>
      <c r="F877" s="9">
        <f t="shared" si="16"/>
        <v>0</v>
      </c>
    </row>
    <row r="878" spans="1:6" x14ac:dyDescent="0.2">
      <c r="F878" s="9">
        <f t="shared" si="16"/>
        <v>0</v>
      </c>
    </row>
    <row r="879" spans="1:6" x14ac:dyDescent="0.2">
      <c r="A879" s="6"/>
      <c r="F879" s="9">
        <f t="shared" si="16"/>
        <v>0</v>
      </c>
    </row>
    <row r="880" spans="1:6" x14ac:dyDescent="0.2">
      <c r="A880" s="246" t="s">
        <v>1215</v>
      </c>
      <c r="B880" s="247"/>
      <c r="C880" s="247"/>
      <c r="D880" s="247"/>
      <c r="F880" s="9">
        <f t="shared" si="16"/>
        <v>0</v>
      </c>
    </row>
    <row r="881" spans="1:6" x14ac:dyDescent="0.2">
      <c r="A881" s="6" t="s">
        <v>982</v>
      </c>
      <c r="B881" t="s">
        <v>981</v>
      </c>
      <c r="C881" t="s">
        <v>344</v>
      </c>
      <c r="D881">
        <v>32</v>
      </c>
      <c r="F881" s="9">
        <f t="shared" si="16"/>
        <v>32</v>
      </c>
    </row>
    <row r="882" spans="1:6" x14ac:dyDescent="0.2">
      <c r="A882" s="6" t="s">
        <v>983</v>
      </c>
      <c r="B882" t="s">
        <v>986</v>
      </c>
      <c r="C882" t="s">
        <v>989</v>
      </c>
      <c r="D882">
        <v>100000</v>
      </c>
      <c r="F882" s="9">
        <f t="shared" si="16"/>
        <v>100000</v>
      </c>
    </row>
    <row r="883" spans="1:6" x14ac:dyDescent="0.2">
      <c r="A883" s="6" t="s">
        <v>984</v>
      </c>
      <c r="B883" t="s">
        <v>987</v>
      </c>
      <c r="C883" t="s">
        <v>989</v>
      </c>
      <c r="D883">
        <v>150000</v>
      </c>
      <c r="F883" s="9">
        <f t="shared" si="16"/>
        <v>150000</v>
      </c>
    </row>
    <row r="884" spans="1:6" x14ac:dyDescent="0.2">
      <c r="A884" s="6" t="s">
        <v>985</v>
      </c>
      <c r="B884" t="s">
        <v>988</v>
      </c>
      <c r="C884" t="s">
        <v>989</v>
      </c>
      <c r="D884">
        <v>200000</v>
      </c>
      <c r="F884" s="9">
        <f t="shared" si="16"/>
        <v>200000</v>
      </c>
    </row>
    <row r="885" spans="1:6" x14ac:dyDescent="0.2">
      <c r="A885" s="6" t="s">
        <v>345</v>
      </c>
      <c r="B885" t="s">
        <v>346</v>
      </c>
      <c r="C885" t="s">
        <v>347</v>
      </c>
      <c r="D885">
        <v>0.112</v>
      </c>
      <c r="F885" s="9">
        <f t="shared" si="16"/>
        <v>0.112</v>
      </c>
    </row>
    <row r="886" spans="1:6" x14ac:dyDescent="0.2">
      <c r="A886" s="6" t="s">
        <v>348</v>
      </c>
      <c r="B886" t="s">
        <v>349</v>
      </c>
      <c r="C886" t="s">
        <v>350</v>
      </c>
      <c r="D886">
        <v>3.9239999999999999</v>
      </c>
      <c r="F886" s="9">
        <f t="shared" si="16"/>
        <v>3.9239999999999999</v>
      </c>
    </row>
    <row r="887" spans="1:6" x14ac:dyDescent="0.2">
      <c r="A887" s="6" t="s">
        <v>356</v>
      </c>
      <c r="B887" t="s">
        <v>1189</v>
      </c>
      <c r="C887" t="s">
        <v>350</v>
      </c>
      <c r="D887">
        <v>2.968</v>
      </c>
      <c r="F887" s="9">
        <f t="shared" si="16"/>
        <v>2.968</v>
      </c>
    </row>
    <row r="888" spans="1:6" x14ac:dyDescent="0.2">
      <c r="A888" s="6" t="s">
        <v>357</v>
      </c>
      <c r="B888" t="s">
        <v>1190</v>
      </c>
      <c r="C888" t="s">
        <v>358</v>
      </c>
      <c r="D888">
        <v>14</v>
      </c>
      <c r="F888" s="9">
        <f t="shared" si="16"/>
        <v>14</v>
      </c>
    </row>
    <row r="889" spans="1:6" x14ac:dyDescent="0.2">
      <c r="A889" s="6" t="s">
        <v>359</v>
      </c>
      <c r="B889" t="s">
        <v>1191</v>
      </c>
      <c r="C889" t="s">
        <v>360</v>
      </c>
      <c r="D889">
        <v>0.25</v>
      </c>
      <c r="F889" s="9">
        <f t="shared" si="16"/>
        <v>0.25</v>
      </c>
    </row>
    <row r="890" spans="1:6" x14ac:dyDescent="0.2">
      <c r="A890" s="6" t="s">
        <v>975</v>
      </c>
      <c r="B890" t="s">
        <v>1192</v>
      </c>
      <c r="C890" t="s">
        <v>360</v>
      </c>
      <c r="D890">
        <v>0.01</v>
      </c>
      <c r="F890" s="9">
        <f t="shared" si="16"/>
        <v>0.01</v>
      </c>
    </row>
    <row r="891" spans="1:6" x14ac:dyDescent="0.2">
      <c r="A891" s="6" t="s">
        <v>974</v>
      </c>
      <c r="B891" t="s">
        <v>1193</v>
      </c>
      <c r="C891" t="s">
        <v>360</v>
      </c>
      <c r="D891">
        <v>0.9</v>
      </c>
      <c r="F891" s="9">
        <f t="shared" si="16"/>
        <v>0.9</v>
      </c>
    </row>
    <row r="892" spans="1:6" x14ac:dyDescent="0.2">
      <c r="A892" s="6" t="s">
        <v>361</v>
      </c>
      <c r="B892" t="s">
        <v>1194</v>
      </c>
      <c r="C892" t="s">
        <v>350</v>
      </c>
      <c r="D892">
        <v>0.79</v>
      </c>
      <c r="F892" s="9">
        <f t="shared" si="16"/>
        <v>0.79</v>
      </c>
    </row>
    <row r="893" spans="1:6" x14ac:dyDescent="0.2">
      <c r="A893" s="6" t="s">
        <v>368</v>
      </c>
      <c r="B893" t="s">
        <v>369</v>
      </c>
      <c r="C893" t="s">
        <v>350</v>
      </c>
      <c r="D893">
        <v>1.4999999999999999E-4</v>
      </c>
      <c r="F893" s="9">
        <f t="shared" si="16"/>
        <v>1.4999999999999999E-4</v>
      </c>
    </row>
    <row r="894" spans="1:6" x14ac:dyDescent="0.2">
      <c r="A894" s="6" t="s">
        <v>370</v>
      </c>
      <c r="B894" t="s">
        <v>371</v>
      </c>
      <c r="C894" t="s">
        <v>350</v>
      </c>
      <c r="D894">
        <v>1E-3</v>
      </c>
      <c r="F894" s="9">
        <f t="shared" si="16"/>
        <v>1E-3</v>
      </c>
    </row>
    <row r="895" spans="1:6" x14ac:dyDescent="0.2">
      <c r="A895" s="6" t="s">
        <v>1129</v>
      </c>
      <c r="B895" t="s">
        <v>1130</v>
      </c>
      <c r="C895" t="s">
        <v>1131</v>
      </c>
      <c r="D895">
        <v>71</v>
      </c>
      <c r="F895" s="9">
        <f t="shared" si="16"/>
        <v>71</v>
      </c>
    </row>
    <row r="896" spans="1:6" x14ac:dyDescent="0.2">
      <c r="A896" s="6" t="s">
        <v>366</v>
      </c>
      <c r="B896" t="s">
        <v>365</v>
      </c>
      <c r="C896" t="s">
        <v>362</v>
      </c>
      <c r="D896">
        <v>50000</v>
      </c>
      <c r="F896" s="9">
        <f t="shared" si="16"/>
        <v>50000</v>
      </c>
    </row>
    <row r="897" spans="1:6" x14ac:dyDescent="0.2">
      <c r="A897" s="6" t="s">
        <v>363</v>
      </c>
      <c r="B897" t="s">
        <v>364</v>
      </c>
      <c r="C897" t="s">
        <v>367</v>
      </c>
      <c r="D897">
        <v>0.45</v>
      </c>
      <c r="F897" s="9">
        <f t="shared" si="16"/>
        <v>0.45</v>
      </c>
    </row>
  </sheetData>
  <mergeCells count="5">
    <mergeCell ref="H12:O12"/>
    <mergeCell ref="H13:I13"/>
    <mergeCell ref="J13:K13"/>
    <mergeCell ref="L13:M13"/>
    <mergeCell ref="N13:O13"/>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7BF9C-1EF6-4D2B-B041-6B0E53E7F7EA}">
  <sheetPr codeName="Sheet2"/>
  <dimension ref="A1:L575"/>
  <sheetViews>
    <sheetView workbookViewId="0">
      <selection activeCell="A3" sqref="A3"/>
    </sheetView>
  </sheetViews>
  <sheetFormatPr baseColWidth="10" defaultColWidth="8.83203125" defaultRowHeight="15" x14ac:dyDescent="0.2"/>
  <cols>
    <col min="1" max="1" width="38.5" customWidth="1"/>
    <col min="2" max="2" width="15.1640625" customWidth="1"/>
    <col min="3" max="3" width="14.5" customWidth="1"/>
    <col min="4" max="4" width="14.83203125" customWidth="1"/>
    <col min="5" max="5" width="25.83203125" customWidth="1"/>
    <col min="6" max="6" width="15.5" customWidth="1"/>
    <col min="7" max="7" width="14.5" customWidth="1"/>
    <col min="8" max="8" width="13.6640625" customWidth="1"/>
    <col min="9" max="10" width="13" customWidth="1"/>
    <col min="11" max="11" width="13.33203125" customWidth="1"/>
    <col min="12" max="12" width="13.5" customWidth="1"/>
  </cols>
  <sheetData>
    <row r="1" spans="1:12" x14ac:dyDescent="0.2">
      <c r="A1" s="22" t="s">
        <v>0</v>
      </c>
      <c r="B1" s="22"/>
      <c r="C1" s="22"/>
      <c r="D1" s="22"/>
    </row>
    <row r="2" spans="1:12" x14ac:dyDescent="0.2">
      <c r="A2" s="1072" t="s">
        <v>381</v>
      </c>
      <c r="B2" s="1073"/>
      <c r="C2" s="1073"/>
      <c r="D2" s="1074"/>
      <c r="G2" s="14" t="s">
        <v>469</v>
      </c>
      <c r="H2" s="14"/>
      <c r="I2" s="14"/>
      <c r="J2" s="14"/>
      <c r="K2" s="14"/>
      <c r="L2" s="14"/>
    </row>
    <row r="3" spans="1:12" x14ac:dyDescent="0.2">
      <c r="A3">
        <v>1</v>
      </c>
      <c r="B3" t="s">
        <v>26</v>
      </c>
      <c r="C3">
        <v>3.7850000000000001</v>
      </c>
      <c r="D3" t="s">
        <v>2</v>
      </c>
      <c r="G3" t="s">
        <v>462</v>
      </c>
      <c r="H3" t="s">
        <v>463</v>
      </c>
      <c r="I3" t="s">
        <v>465</v>
      </c>
      <c r="J3" t="s">
        <v>467</v>
      </c>
      <c r="K3" t="s">
        <v>1</v>
      </c>
      <c r="L3" t="s">
        <v>471</v>
      </c>
    </row>
    <row r="4" spans="1:12" x14ac:dyDescent="0.2">
      <c r="A4">
        <v>1</v>
      </c>
      <c r="B4" t="s">
        <v>26</v>
      </c>
      <c r="C4">
        <v>3.9</v>
      </c>
      <c r="D4" t="s">
        <v>604</v>
      </c>
      <c r="G4" t="s">
        <v>1</v>
      </c>
      <c r="H4" t="s">
        <v>464</v>
      </c>
      <c r="I4" t="s">
        <v>466</v>
      </c>
      <c r="J4" t="s">
        <v>465</v>
      </c>
      <c r="K4" t="s">
        <v>470</v>
      </c>
      <c r="L4" t="s">
        <v>472</v>
      </c>
    </row>
    <row r="5" spans="1:12" x14ac:dyDescent="0.2">
      <c r="A5">
        <v>1</v>
      </c>
      <c r="B5" t="s">
        <v>26</v>
      </c>
      <c r="C5">
        <v>3.7850000000000001</v>
      </c>
      <c r="D5" t="s">
        <v>30</v>
      </c>
    </row>
    <row r="6" spans="1:12" x14ac:dyDescent="0.2">
      <c r="A6">
        <v>1</v>
      </c>
      <c r="B6" t="s">
        <v>13</v>
      </c>
      <c r="C6">
        <v>0.76454999999999995</v>
      </c>
      <c r="D6" t="s">
        <v>1</v>
      </c>
      <c r="G6" s="14" t="s">
        <v>478</v>
      </c>
      <c r="H6" s="14"/>
      <c r="I6" s="14"/>
      <c r="J6" s="14"/>
    </row>
    <row r="7" spans="1:12" x14ac:dyDescent="0.2">
      <c r="A7">
        <v>1</v>
      </c>
      <c r="B7" t="s">
        <v>618</v>
      </c>
      <c r="C7">
        <v>2.8167999999999999E-2</v>
      </c>
      <c r="D7" t="s">
        <v>1</v>
      </c>
      <c r="G7" t="s">
        <v>465</v>
      </c>
      <c r="H7" t="s">
        <v>467</v>
      </c>
      <c r="I7" t="s">
        <v>468</v>
      </c>
      <c r="J7" t="s">
        <v>15</v>
      </c>
    </row>
    <row r="8" spans="1:12" x14ac:dyDescent="0.2">
      <c r="A8">
        <v>1</v>
      </c>
      <c r="B8" t="s">
        <v>813</v>
      </c>
      <c r="C8">
        <v>2.9573499999999999E-2</v>
      </c>
      <c r="D8" t="s">
        <v>2</v>
      </c>
      <c r="G8" t="s">
        <v>2</v>
      </c>
      <c r="H8" t="s">
        <v>465</v>
      </c>
      <c r="I8" t="s">
        <v>1</v>
      </c>
      <c r="J8" t="s">
        <v>463</v>
      </c>
    </row>
    <row r="9" spans="1:12" x14ac:dyDescent="0.2">
      <c r="A9">
        <v>1</v>
      </c>
      <c r="B9" t="s">
        <v>1</v>
      </c>
      <c r="C9">
        <v>6.29</v>
      </c>
      <c r="D9" t="s">
        <v>1949</v>
      </c>
    </row>
    <row r="10" spans="1:12" x14ac:dyDescent="0.2">
      <c r="A10">
        <v>1</v>
      </c>
      <c r="B10" t="s">
        <v>26</v>
      </c>
      <c r="C10">
        <v>3.03</v>
      </c>
      <c r="D10" t="s">
        <v>3218</v>
      </c>
      <c r="G10" s="14" t="s">
        <v>507</v>
      </c>
      <c r="H10" s="14"/>
      <c r="I10" s="14"/>
    </row>
    <row r="11" spans="1:12" x14ac:dyDescent="0.2">
      <c r="G11" t="s">
        <v>467</v>
      </c>
      <c r="H11" t="s">
        <v>471</v>
      </c>
      <c r="I11" t="s">
        <v>23</v>
      </c>
    </row>
    <row r="12" spans="1:12" x14ac:dyDescent="0.2">
      <c r="A12" s="1072" t="s">
        <v>1373</v>
      </c>
      <c r="B12" s="1073"/>
      <c r="C12" s="1073"/>
      <c r="D12" s="1074"/>
      <c r="G12" t="s">
        <v>471</v>
      </c>
      <c r="H12" t="s">
        <v>23</v>
      </c>
      <c r="I12" t="s">
        <v>481</v>
      </c>
    </row>
    <row r="13" spans="1:12" x14ac:dyDescent="0.2">
      <c r="A13">
        <v>1</v>
      </c>
      <c r="B13" t="s">
        <v>912</v>
      </c>
      <c r="C13">
        <v>1</v>
      </c>
      <c r="D13" t="s">
        <v>15</v>
      </c>
    </row>
    <row r="14" spans="1:12" x14ac:dyDescent="0.2">
      <c r="A14">
        <v>1</v>
      </c>
      <c r="B14" t="s">
        <v>380</v>
      </c>
      <c r="C14">
        <v>1000</v>
      </c>
      <c r="D14" t="s">
        <v>2</v>
      </c>
    </row>
    <row r="15" spans="1:12" x14ac:dyDescent="0.2">
      <c r="A15">
        <v>1</v>
      </c>
      <c r="B15" t="s">
        <v>380</v>
      </c>
      <c r="C15">
        <v>1000</v>
      </c>
      <c r="D15" t="s">
        <v>15</v>
      </c>
    </row>
    <row r="16" spans="1:12" x14ac:dyDescent="0.2">
      <c r="A16">
        <v>1</v>
      </c>
      <c r="B16" t="s">
        <v>471</v>
      </c>
      <c r="C16">
        <v>1.5</v>
      </c>
      <c r="D16" t="s">
        <v>15</v>
      </c>
    </row>
    <row r="17" spans="1:4" x14ac:dyDescent="0.2">
      <c r="A17">
        <v>1</v>
      </c>
      <c r="B17" t="s">
        <v>379</v>
      </c>
      <c r="C17">
        <v>1050</v>
      </c>
      <c r="D17" t="s">
        <v>2</v>
      </c>
    </row>
    <row r="18" spans="1:4" x14ac:dyDescent="0.2">
      <c r="A18">
        <v>1</v>
      </c>
      <c r="B18" t="s">
        <v>379</v>
      </c>
      <c r="C18">
        <v>1050</v>
      </c>
      <c r="D18" t="s">
        <v>15</v>
      </c>
    </row>
    <row r="19" spans="1:4" x14ac:dyDescent="0.2">
      <c r="A19">
        <v>1</v>
      </c>
      <c r="B19" t="s">
        <v>2021</v>
      </c>
      <c r="C19">
        <v>749.4</v>
      </c>
      <c r="D19" t="s">
        <v>467</v>
      </c>
    </row>
    <row r="20" spans="1:4" x14ac:dyDescent="0.2">
      <c r="A20">
        <v>1</v>
      </c>
      <c r="B20" t="s">
        <v>2020</v>
      </c>
      <c r="C20">
        <v>810</v>
      </c>
      <c r="D20" t="s">
        <v>467</v>
      </c>
    </row>
    <row r="21" spans="1:4" x14ac:dyDescent="0.2">
      <c r="A21">
        <v>1</v>
      </c>
      <c r="B21" t="s">
        <v>1042</v>
      </c>
      <c r="C21">
        <v>0.78900000000000003</v>
      </c>
      <c r="D21" t="s">
        <v>15</v>
      </c>
    </row>
    <row r="22" spans="1:4" x14ac:dyDescent="0.2">
      <c r="A22">
        <v>1</v>
      </c>
      <c r="B22" t="s">
        <v>1043</v>
      </c>
      <c r="C22">
        <v>789</v>
      </c>
      <c r="D22" t="s">
        <v>15</v>
      </c>
    </row>
    <row r="23" spans="1:4" x14ac:dyDescent="0.2">
      <c r="A23">
        <v>1</v>
      </c>
      <c r="B23" t="s">
        <v>2022</v>
      </c>
      <c r="C23">
        <v>1049</v>
      </c>
      <c r="D23" t="s">
        <v>467</v>
      </c>
    </row>
    <row r="24" spans="1:4" x14ac:dyDescent="0.2">
      <c r="A24">
        <v>1</v>
      </c>
      <c r="B24" t="s">
        <v>2023</v>
      </c>
      <c r="C24">
        <v>964</v>
      </c>
      <c r="D24" t="s">
        <v>467</v>
      </c>
    </row>
    <row r="25" spans="1:4" x14ac:dyDescent="0.2">
      <c r="A25">
        <v>1</v>
      </c>
      <c r="B25" t="s">
        <v>1243</v>
      </c>
      <c r="C25">
        <v>1.2</v>
      </c>
      <c r="D25" t="s">
        <v>467</v>
      </c>
    </row>
    <row r="26" spans="1:4" x14ac:dyDescent="0.2">
      <c r="A26">
        <f>A25/(C81*C14)</f>
        <v>1</v>
      </c>
      <c r="B26" t="s">
        <v>1242</v>
      </c>
      <c r="C26">
        <f>C25*C84</f>
        <v>1200</v>
      </c>
      <c r="D26" t="s">
        <v>15</v>
      </c>
    </row>
    <row r="27" spans="1:4" x14ac:dyDescent="0.2">
      <c r="A27">
        <v>1</v>
      </c>
      <c r="B27" t="s">
        <v>1248</v>
      </c>
      <c r="C27">
        <v>3.71</v>
      </c>
      <c r="D27" t="s">
        <v>467</v>
      </c>
    </row>
    <row r="28" spans="1:4" x14ac:dyDescent="0.2">
      <c r="A28">
        <f>A27/C82</f>
        <v>100</v>
      </c>
      <c r="B28" t="s">
        <v>1249</v>
      </c>
      <c r="C28">
        <f>C27*C84</f>
        <v>3710</v>
      </c>
      <c r="D28" t="s">
        <v>15</v>
      </c>
    </row>
    <row r="29" spans="1:4" x14ac:dyDescent="0.2">
      <c r="A29">
        <v>1</v>
      </c>
      <c r="B29" t="s">
        <v>1372</v>
      </c>
      <c r="C29">
        <v>0.65700000000000003</v>
      </c>
      <c r="D29" t="s">
        <v>15</v>
      </c>
    </row>
    <row r="30" spans="1:4" x14ac:dyDescent="0.2">
      <c r="A30">
        <v>1</v>
      </c>
      <c r="B30" t="s">
        <v>1374</v>
      </c>
      <c r="C30">
        <v>1.98</v>
      </c>
      <c r="D30" t="s">
        <v>15</v>
      </c>
    </row>
    <row r="31" spans="1:4" x14ac:dyDescent="0.2">
      <c r="A31">
        <v>1</v>
      </c>
      <c r="B31" t="s">
        <v>2716</v>
      </c>
      <c r="C31">
        <v>0.09</v>
      </c>
      <c r="D31" t="s">
        <v>15</v>
      </c>
    </row>
    <row r="32" spans="1:4" x14ac:dyDescent="0.2">
      <c r="A32">
        <v>1</v>
      </c>
      <c r="B32" t="s">
        <v>1845</v>
      </c>
      <c r="C32">
        <v>1.25</v>
      </c>
      <c r="D32" t="s">
        <v>15</v>
      </c>
    </row>
    <row r="33" spans="1:4" x14ac:dyDescent="0.2">
      <c r="A33">
        <v>1</v>
      </c>
      <c r="B33" t="s">
        <v>1846</v>
      </c>
      <c r="C33">
        <v>1.36</v>
      </c>
      <c r="D33" t="s">
        <v>15</v>
      </c>
    </row>
    <row r="34" spans="1:4" x14ac:dyDescent="0.2">
      <c r="A34">
        <v>1</v>
      </c>
      <c r="B34" t="s">
        <v>1648</v>
      </c>
      <c r="C34" s="100">
        <f>1.78*(C85/C84)</f>
        <v>1780</v>
      </c>
      <c r="D34" t="s">
        <v>15</v>
      </c>
    </row>
    <row r="35" spans="1:4" x14ac:dyDescent="0.2">
      <c r="A35">
        <v>1</v>
      </c>
      <c r="B35" t="s">
        <v>1959</v>
      </c>
      <c r="C35" s="100">
        <v>1560</v>
      </c>
      <c r="D35" t="s">
        <v>15</v>
      </c>
    </row>
    <row r="36" spans="1:4" x14ac:dyDescent="0.2">
      <c r="A36" t="s">
        <v>2652</v>
      </c>
      <c r="B36" t="s">
        <v>913</v>
      </c>
      <c r="C36" s="100">
        <v>400</v>
      </c>
      <c r="D36" t="s">
        <v>15</v>
      </c>
    </row>
    <row r="37" spans="1:4" x14ac:dyDescent="0.2">
      <c r="A37">
        <v>1</v>
      </c>
      <c r="B37" t="s">
        <v>3263</v>
      </c>
      <c r="C37">
        <f>1/22.414</f>
        <v>4.4614972784866598E-2</v>
      </c>
      <c r="D37" t="s">
        <v>465</v>
      </c>
    </row>
    <row r="39" spans="1:4" x14ac:dyDescent="0.2">
      <c r="A39" s="1072" t="s">
        <v>383</v>
      </c>
      <c r="B39" s="1073"/>
      <c r="C39" s="1073"/>
      <c r="D39" s="1074"/>
    </row>
    <row r="40" spans="1:4" x14ac:dyDescent="0.2">
      <c r="A40">
        <v>1</v>
      </c>
      <c r="B40" t="s">
        <v>6</v>
      </c>
      <c r="C40">
        <v>4047</v>
      </c>
      <c r="D40" t="s">
        <v>7</v>
      </c>
    </row>
    <row r="41" spans="1:4" x14ac:dyDescent="0.2">
      <c r="A41">
        <v>1</v>
      </c>
      <c r="B41" t="s">
        <v>8</v>
      </c>
      <c r="C41">
        <v>12</v>
      </c>
      <c r="D41" t="s">
        <v>9</v>
      </c>
    </row>
    <row r="42" spans="1:4" x14ac:dyDescent="0.2">
      <c r="A42">
        <v>1</v>
      </c>
      <c r="B42" t="s">
        <v>8</v>
      </c>
      <c r="C42">
        <v>0.30480000000000002</v>
      </c>
      <c r="D42" t="s">
        <v>10</v>
      </c>
    </row>
    <row r="44" spans="1:4" x14ac:dyDescent="0.2">
      <c r="A44" s="1072" t="s">
        <v>382</v>
      </c>
      <c r="B44" s="1073"/>
      <c r="C44" s="1073"/>
      <c r="D44" s="1074"/>
    </row>
    <row r="45" spans="1:4" x14ac:dyDescent="0.2">
      <c r="A45">
        <v>1</v>
      </c>
      <c r="B45" t="s">
        <v>14</v>
      </c>
      <c r="C45">
        <v>907.18499999999995</v>
      </c>
      <c r="D45" t="s">
        <v>15</v>
      </c>
    </row>
    <row r="46" spans="1:4" x14ac:dyDescent="0.2">
      <c r="A46">
        <v>1</v>
      </c>
      <c r="B46" t="s">
        <v>29</v>
      </c>
      <c r="C46">
        <v>0.4535923</v>
      </c>
      <c r="D46" t="s">
        <v>15</v>
      </c>
    </row>
    <row r="47" spans="1:4" x14ac:dyDescent="0.2">
      <c r="A47">
        <v>1</v>
      </c>
      <c r="B47" t="s">
        <v>467</v>
      </c>
      <c r="C47">
        <v>1000</v>
      </c>
      <c r="D47" t="s">
        <v>15</v>
      </c>
    </row>
    <row r="48" spans="1:4" x14ac:dyDescent="0.2">
      <c r="A48">
        <v>641</v>
      </c>
      <c r="B48" t="s">
        <v>620</v>
      </c>
      <c r="C48">
        <v>1</v>
      </c>
      <c r="D48" t="s">
        <v>1</v>
      </c>
    </row>
    <row r="51" spans="1:4" x14ac:dyDescent="0.2">
      <c r="A51" s="1072" t="s">
        <v>384</v>
      </c>
      <c r="B51" s="1073"/>
      <c r="C51" s="1073"/>
      <c r="D51" s="1074"/>
    </row>
    <row r="52" spans="1:4" x14ac:dyDescent="0.2">
      <c r="A52">
        <v>1</v>
      </c>
      <c r="B52" t="s">
        <v>18</v>
      </c>
      <c r="C52">
        <v>365</v>
      </c>
      <c r="D52" t="s">
        <v>19</v>
      </c>
    </row>
    <row r="53" spans="1:4" x14ac:dyDescent="0.2">
      <c r="A53">
        <v>1</v>
      </c>
      <c r="B53" t="s">
        <v>18</v>
      </c>
      <c r="C53">
        <v>12</v>
      </c>
      <c r="D53" t="s">
        <v>20</v>
      </c>
    </row>
    <row r="54" spans="1:4" x14ac:dyDescent="0.2">
      <c r="A54">
        <v>1</v>
      </c>
      <c r="B54" t="s">
        <v>21</v>
      </c>
      <c r="C54">
        <v>30</v>
      </c>
      <c r="D54" t="s">
        <v>19</v>
      </c>
    </row>
    <row r="55" spans="1:4" x14ac:dyDescent="0.2">
      <c r="A55">
        <v>1</v>
      </c>
      <c r="B55" t="s">
        <v>22</v>
      </c>
      <c r="C55">
        <v>24</v>
      </c>
      <c r="D55" t="s">
        <v>23</v>
      </c>
    </row>
    <row r="56" spans="1:4" x14ac:dyDescent="0.2">
      <c r="A56">
        <v>1</v>
      </c>
      <c r="B56" t="s">
        <v>23</v>
      </c>
      <c r="C56">
        <v>60</v>
      </c>
      <c r="D56" t="s">
        <v>24</v>
      </c>
    </row>
    <row r="57" spans="1:4" x14ac:dyDescent="0.2">
      <c r="A57">
        <v>1</v>
      </c>
      <c r="B57" t="s">
        <v>24</v>
      </c>
      <c r="C57">
        <v>60</v>
      </c>
      <c r="D57" t="s">
        <v>25</v>
      </c>
    </row>
    <row r="59" spans="1:4" x14ac:dyDescent="0.2">
      <c r="A59" s="1072" t="s">
        <v>385</v>
      </c>
      <c r="B59" s="1073"/>
      <c r="C59" s="1073"/>
      <c r="D59" s="1074"/>
    </row>
    <row r="60" spans="1:4" x14ac:dyDescent="0.2">
      <c r="A60">
        <v>1</v>
      </c>
      <c r="B60" t="s">
        <v>16</v>
      </c>
      <c r="C60">
        <v>6.8947599999999998E-2</v>
      </c>
      <c r="D60" t="s">
        <v>17</v>
      </c>
    </row>
    <row r="62" spans="1:4" x14ac:dyDescent="0.2">
      <c r="A62" s="1072" t="s">
        <v>386</v>
      </c>
      <c r="B62" s="1073"/>
      <c r="C62" s="1073"/>
      <c r="D62" s="1074"/>
    </row>
    <row r="63" spans="1:4" x14ac:dyDescent="0.2">
      <c r="A63">
        <v>1</v>
      </c>
      <c r="B63" t="s">
        <v>39</v>
      </c>
      <c r="C63">
        <v>1000</v>
      </c>
      <c r="D63" t="s">
        <v>40</v>
      </c>
    </row>
    <row r="64" spans="1:4" x14ac:dyDescent="0.2">
      <c r="A64">
        <v>1</v>
      </c>
      <c r="B64" t="s">
        <v>4</v>
      </c>
      <c r="C64">
        <v>1.0550600000000001</v>
      </c>
      <c r="D64" t="s">
        <v>5</v>
      </c>
    </row>
    <row r="65" spans="1:4" x14ac:dyDescent="0.2">
      <c r="A65">
        <v>1</v>
      </c>
      <c r="B65" t="s">
        <v>11</v>
      </c>
      <c r="C65">
        <v>745.7</v>
      </c>
      <c r="D65" t="s">
        <v>12</v>
      </c>
    </row>
    <row r="66" spans="1:4" x14ac:dyDescent="0.2">
      <c r="A66">
        <v>1</v>
      </c>
      <c r="B66" t="s">
        <v>5</v>
      </c>
      <c r="C66">
        <v>0.239006</v>
      </c>
      <c r="D66" t="s">
        <v>1236</v>
      </c>
    </row>
    <row r="67" spans="1:4" x14ac:dyDescent="0.2">
      <c r="A67" t="s">
        <v>1235</v>
      </c>
      <c r="B67" t="s">
        <v>1014</v>
      </c>
      <c r="C67">
        <v>4.1859999999999999</v>
      </c>
      <c r="D67" t="s">
        <v>1013</v>
      </c>
    </row>
    <row r="68" spans="1:4" x14ac:dyDescent="0.2">
      <c r="A68" t="s">
        <v>2299</v>
      </c>
      <c r="B68" t="s">
        <v>128</v>
      </c>
      <c r="C68">
        <v>8.2100000000000006E-2</v>
      </c>
      <c r="D68" t="s">
        <v>2298</v>
      </c>
    </row>
    <row r="69" spans="1:4" x14ac:dyDescent="0.2">
      <c r="B69" t="s">
        <v>128</v>
      </c>
      <c r="C69">
        <v>8.3140000000000002E-3</v>
      </c>
      <c r="D69" t="s">
        <v>2750</v>
      </c>
    </row>
    <row r="70" spans="1:4" x14ac:dyDescent="0.2">
      <c r="A70">
        <v>1</v>
      </c>
      <c r="B70" t="s">
        <v>378</v>
      </c>
      <c r="C70">
        <f>3600000</f>
        <v>3600000</v>
      </c>
      <c r="D70" t="s">
        <v>2810</v>
      </c>
    </row>
    <row r="71" spans="1:4" x14ac:dyDescent="0.2">
      <c r="A71" t="s">
        <v>2803</v>
      </c>
      <c r="B71" t="s">
        <v>2804</v>
      </c>
      <c r="C71">
        <v>9.81</v>
      </c>
    </row>
    <row r="74" spans="1:4" x14ac:dyDescent="0.2">
      <c r="A74" s="1072" t="s">
        <v>1037</v>
      </c>
      <c r="B74" s="1073"/>
      <c r="C74" s="1073"/>
      <c r="D74" s="1074"/>
    </row>
    <row r="75" spans="1:4" x14ac:dyDescent="0.2">
      <c r="A75" t="s">
        <v>1038</v>
      </c>
      <c r="B75">
        <v>273.14999999999998</v>
      </c>
    </row>
    <row r="78" spans="1:4" x14ac:dyDescent="0.2">
      <c r="A78" s="1072" t="s">
        <v>387</v>
      </c>
      <c r="B78" s="1073"/>
      <c r="C78" s="1073"/>
      <c r="D78" s="1074"/>
    </row>
    <row r="79" spans="1:4" x14ac:dyDescent="0.2">
      <c r="C79">
        <v>3.1415920000000002</v>
      </c>
      <c r="D79" t="s">
        <v>3</v>
      </c>
    </row>
    <row r="80" spans="1:4" x14ac:dyDescent="0.2">
      <c r="A80">
        <v>1</v>
      </c>
      <c r="B80" t="s">
        <v>31</v>
      </c>
      <c r="C80">
        <v>9.9999999999999995E-7</v>
      </c>
      <c r="D80" t="s">
        <v>32</v>
      </c>
    </row>
    <row r="81" spans="1:4" x14ac:dyDescent="0.2">
      <c r="A81">
        <v>1</v>
      </c>
      <c r="B81" t="s">
        <v>31</v>
      </c>
      <c r="C81">
        <v>1E-3</v>
      </c>
      <c r="D81" t="s">
        <v>33</v>
      </c>
    </row>
    <row r="82" spans="1:4" x14ac:dyDescent="0.2">
      <c r="A82">
        <v>1</v>
      </c>
      <c r="B82" t="s">
        <v>31</v>
      </c>
      <c r="C82">
        <v>0.01</v>
      </c>
      <c r="D82" t="s">
        <v>34</v>
      </c>
    </row>
    <row r="83" spans="1:4" x14ac:dyDescent="0.2">
      <c r="A83">
        <v>1</v>
      </c>
      <c r="B83" t="s">
        <v>31</v>
      </c>
      <c r="C83">
        <v>0.01</v>
      </c>
      <c r="D83" t="s">
        <v>35</v>
      </c>
    </row>
    <row r="84" spans="1:4" x14ac:dyDescent="0.2">
      <c r="A84">
        <v>1</v>
      </c>
      <c r="B84" t="s">
        <v>31</v>
      </c>
      <c r="C84">
        <v>1000</v>
      </c>
      <c r="D84" t="s">
        <v>36</v>
      </c>
    </row>
    <row r="85" spans="1:4" x14ac:dyDescent="0.2">
      <c r="A85">
        <v>1</v>
      </c>
      <c r="B85" t="s">
        <v>31</v>
      </c>
      <c r="C85" s="243">
        <v>1000000</v>
      </c>
      <c r="D85" t="s">
        <v>37</v>
      </c>
    </row>
    <row r="86" spans="1:4" x14ac:dyDescent="0.2">
      <c r="A86">
        <v>1</v>
      </c>
      <c r="B86" t="s">
        <v>31</v>
      </c>
      <c r="C86">
        <v>1000000000</v>
      </c>
      <c r="D86" t="s">
        <v>38</v>
      </c>
    </row>
    <row r="88" spans="1:4" x14ac:dyDescent="0.2">
      <c r="A88" s="1072" t="s">
        <v>388</v>
      </c>
      <c r="B88" s="1073"/>
      <c r="C88" s="1073"/>
      <c r="D88" s="1074"/>
    </row>
    <row r="89" spans="1:4" x14ac:dyDescent="0.2">
      <c r="A89">
        <v>1</v>
      </c>
      <c r="B89" t="s">
        <v>377</v>
      </c>
      <c r="C89" s="1">
        <f>Inputs!F885</f>
        <v>0.112</v>
      </c>
      <c r="D89" t="s">
        <v>378</v>
      </c>
    </row>
    <row r="90" spans="1:4" x14ac:dyDescent="0.2">
      <c r="A90">
        <v>1</v>
      </c>
      <c r="B90" t="s">
        <v>27</v>
      </c>
      <c r="C90">
        <v>1.2</v>
      </c>
      <c r="D90" t="s">
        <v>28</v>
      </c>
    </row>
    <row r="92" spans="1:4" x14ac:dyDescent="0.2">
      <c r="A92" s="1075" t="s">
        <v>392</v>
      </c>
      <c r="B92" s="1076"/>
      <c r="C92" s="1076"/>
      <c r="D92" s="1077"/>
    </row>
    <row r="93" spans="1:4" x14ac:dyDescent="0.2">
      <c r="A93" t="s">
        <v>1431</v>
      </c>
      <c r="B93" t="s">
        <v>417</v>
      </c>
      <c r="C93">
        <v>89.07</v>
      </c>
    </row>
    <row r="94" spans="1:4" x14ac:dyDescent="0.2">
      <c r="A94" t="s">
        <v>393</v>
      </c>
      <c r="B94" t="s">
        <v>417</v>
      </c>
      <c r="C94">
        <v>59.04</v>
      </c>
    </row>
    <row r="95" spans="1:4" x14ac:dyDescent="0.2">
      <c r="A95" t="s">
        <v>394</v>
      </c>
      <c r="B95" t="s">
        <v>417</v>
      </c>
      <c r="C95">
        <v>73.069999999999993</v>
      </c>
    </row>
    <row r="96" spans="1:4" x14ac:dyDescent="0.2">
      <c r="A96" t="s">
        <v>396</v>
      </c>
      <c r="B96" t="s">
        <v>417</v>
      </c>
      <c r="C96">
        <v>87.1</v>
      </c>
    </row>
    <row r="97" spans="1:3" x14ac:dyDescent="0.2">
      <c r="A97" t="s">
        <v>395</v>
      </c>
      <c r="B97" t="s">
        <v>417</v>
      </c>
      <c r="C97">
        <v>87.1</v>
      </c>
    </row>
    <row r="98" spans="1:3" x14ac:dyDescent="0.2">
      <c r="A98" t="s">
        <v>397</v>
      </c>
      <c r="B98" t="s">
        <v>417</v>
      </c>
      <c r="C98">
        <v>101.12</v>
      </c>
    </row>
    <row r="99" spans="1:3" x14ac:dyDescent="0.2">
      <c r="A99" t="s">
        <v>398</v>
      </c>
      <c r="B99" t="s">
        <v>417</v>
      </c>
      <c r="C99">
        <v>101.12</v>
      </c>
    </row>
    <row r="100" spans="1:3" x14ac:dyDescent="0.2">
      <c r="A100" t="s">
        <v>399</v>
      </c>
      <c r="B100" t="s">
        <v>417</v>
      </c>
      <c r="C100">
        <v>115.15</v>
      </c>
    </row>
    <row r="101" spans="1:3" x14ac:dyDescent="0.2">
      <c r="A101" t="s">
        <v>407</v>
      </c>
      <c r="B101" t="s">
        <v>417</v>
      </c>
      <c r="C101">
        <v>129.16999999999999</v>
      </c>
    </row>
    <row r="102" spans="1:3" x14ac:dyDescent="0.2">
      <c r="A102" t="s">
        <v>1432</v>
      </c>
      <c r="B102" t="s">
        <v>417</v>
      </c>
      <c r="C102">
        <v>90.08</v>
      </c>
    </row>
    <row r="103" spans="1:3" x14ac:dyDescent="0.2">
      <c r="A103" t="s">
        <v>400</v>
      </c>
      <c r="B103" t="s">
        <v>417</v>
      </c>
      <c r="C103">
        <v>60.05</v>
      </c>
    </row>
    <row r="104" spans="1:3" x14ac:dyDescent="0.2">
      <c r="A104" t="s">
        <v>401</v>
      </c>
      <c r="B104" t="s">
        <v>417</v>
      </c>
      <c r="C104">
        <v>74.08</v>
      </c>
    </row>
    <row r="105" spans="1:3" x14ac:dyDescent="0.2">
      <c r="A105" t="s">
        <v>402</v>
      </c>
      <c r="B105" t="s">
        <v>417</v>
      </c>
      <c r="C105">
        <v>88.11</v>
      </c>
    </row>
    <row r="106" spans="1:3" x14ac:dyDescent="0.2">
      <c r="A106" t="s">
        <v>403</v>
      </c>
      <c r="B106" t="s">
        <v>417</v>
      </c>
      <c r="C106">
        <v>88.11</v>
      </c>
    </row>
    <row r="107" spans="1:3" x14ac:dyDescent="0.2">
      <c r="A107" t="s">
        <v>404</v>
      </c>
      <c r="B107" t="s">
        <v>417</v>
      </c>
      <c r="C107">
        <v>102.13</v>
      </c>
    </row>
    <row r="108" spans="1:3" x14ac:dyDescent="0.2">
      <c r="A108" t="s">
        <v>405</v>
      </c>
      <c r="B108" t="s">
        <v>417</v>
      </c>
      <c r="C108">
        <v>102.13</v>
      </c>
    </row>
    <row r="109" spans="1:3" x14ac:dyDescent="0.2">
      <c r="A109" t="s">
        <v>406</v>
      </c>
      <c r="B109" t="s">
        <v>417</v>
      </c>
      <c r="C109">
        <v>116.16</v>
      </c>
    </row>
    <row r="110" spans="1:3" x14ac:dyDescent="0.2">
      <c r="A110" t="s">
        <v>408</v>
      </c>
      <c r="B110" t="s">
        <v>417</v>
      </c>
      <c r="C110">
        <v>130.18</v>
      </c>
    </row>
    <row r="112" spans="1:3" x14ac:dyDescent="0.2">
      <c r="A112" t="s">
        <v>409</v>
      </c>
      <c r="B112" t="s">
        <v>417</v>
      </c>
      <c r="C112">
        <v>46.07</v>
      </c>
    </row>
    <row r="113" spans="1:3" x14ac:dyDescent="0.2">
      <c r="A113" t="s">
        <v>410</v>
      </c>
      <c r="B113" t="s">
        <v>417</v>
      </c>
      <c r="C113">
        <v>60.09</v>
      </c>
    </row>
    <row r="114" spans="1:3" x14ac:dyDescent="0.2">
      <c r="A114" t="s">
        <v>412</v>
      </c>
      <c r="B114" t="s">
        <v>417</v>
      </c>
      <c r="C114">
        <v>74.12</v>
      </c>
    </row>
    <row r="115" spans="1:3" x14ac:dyDescent="0.2">
      <c r="A115" t="s">
        <v>411</v>
      </c>
      <c r="B115" t="s">
        <v>417</v>
      </c>
      <c r="C115">
        <v>74.12</v>
      </c>
    </row>
    <row r="116" spans="1:3" x14ac:dyDescent="0.2">
      <c r="A116" t="s">
        <v>413</v>
      </c>
      <c r="B116" t="s">
        <v>417</v>
      </c>
      <c r="C116">
        <v>88.15</v>
      </c>
    </row>
    <row r="117" spans="1:3" x14ac:dyDescent="0.2">
      <c r="A117" t="s">
        <v>414</v>
      </c>
      <c r="B117" t="s">
        <v>417</v>
      </c>
      <c r="C117">
        <v>88.15</v>
      </c>
    </row>
    <row r="118" spans="1:3" x14ac:dyDescent="0.2">
      <c r="A118" t="s">
        <v>415</v>
      </c>
      <c r="B118" t="s">
        <v>417</v>
      </c>
      <c r="C118">
        <v>102.77</v>
      </c>
    </row>
    <row r="119" spans="1:3" x14ac:dyDescent="0.2">
      <c r="A119" t="s">
        <v>416</v>
      </c>
      <c r="B119" t="s">
        <v>417</v>
      </c>
      <c r="C119">
        <v>116.2</v>
      </c>
    </row>
    <row r="121" spans="1:3" x14ac:dyDescent="0.2">
      <c r="A121" t="s">
        <v>422</v>
      </c>
      <c r="B121" t="s">
        <v>417</v>
      </c>
      <c r="C121">
        <v>17.030999999999999</v>
      </c>
    </row>
    <row r="122" spans="1:3" x14ac:dyDescent="0.2">
      <c r="A122" t="s">
        <v>423</v>
      </c>
      <c r="B122" t="s">
        <v>417</v>
      </c>
      <c r="C122">
        <v>18.04</v>
      </c>
    </row>
    <row r="123" spans="1:3" x14ac:dyDescent="0.2">
      <c r="A123" t="s">
        <v>2307</v>
      </c>
      <c r="B123" t="s">
        <v>417</v>
      </c>
      <c r="C123">
        <f>C122+C140</f>
        <v>53.49</v>
      </c>
    </row>
    <row r="124" spans="1:3" x14ac:dyDescent="0.2">
      <c r="A124" t="s">
        <v>424</v>
      </c>
      <c r="B124" t="s">
        <v>417</v>
      </c>
      <c r="C124">
        <v>97.994</v>
      </c>
    </row>
    <row r="125" spans="1:3" x14ac:dyDescent="0.2">
      <c r="A125" t="s">
        <v>425</v>
      </c>
      <c r="B125" t="s">
        <v>417</v>
      </c>
      <c r="C125">
        <v>96.99</v>
      </c>
    </row>
    <row r="126" spans="1:3" x14ac:dyDescent="0.2">
      <c r="A126" t="s">
        <v>427</v>
      </c>
      <c r="B126" t="s">
        <v>417</v>
      </c>
      <c r="C126">
        <v>95.98</v>
      </c>
    </row>
    <row r="127" spans="1:3" x14ac:dyDescent="0.2">
      <c r="A127" t="s">
        <v>426</v>
      </c>
      <c r="B127" t="s">
        <v>417</v>
      </c>
      <c r="C127">
        <v>94.97</v>
      </c>
    </row>
    <row r="128" spans="1:3" x14ac:dyDescent="0.2">
      <c r="A128" t="s">
        <v>428</v>
      </c>
      <c r="B128" t="s">
        <v>417</v>
      </c>
      <c r="C128">
        <v>98.078999999999994</v>
      </c>
    </row>
    <row r="129" spans="1:3" x14ac:dyDescent="0.2">
      <c r="A129" t="s">
        <v>430</v>
      </c>
      <c r="B129" t="s">
        <v>417</v>
      </c>
      <c r="C129">
        <v>97.063999999999993</v>
      </c>
    </row>
    <row r="130" spans="1:3" x14ac:dyDescent="0.2">
      <c r="A130" t="s">
        <v>429</v>
      </c>
      <c r="B130" t="s">
        <v>417</v>
      </c>
      <c r="C130">
        <v>96.06</v>
      </c>
    </row>
    <row r="132" spans="1:3" x14ac:dyDescent="0.2">
      <c r="A132" t="s">
        <v>431</v>
      </c>
      <c r="B132" t="s">
        <v>417</v>
      </c>
      <c r="C132">
        <v>2.016</v>
      </c>
    </row>
    <row r="133" spans="1:3" x14ac:dyDescent="0.2">
      <c r="A133" t="s">
        <v>432</v>
      </c>
      <c r="B133" t="s">
        <v>417</v>
      </c>
      <c r="C133">
        <v>44.01</v>
      </c>
    </row>
    <row r="134" spans="1:3" x14ac:dyDescent="0.2">
      <c r="A134" t="s">
        <v>433</v>
      </c>
      <c r="B134" t="s">
        <v>417</v>
      </c>
      <c r="C134">
        <v>16.04</v>
      </c>
    </row>
    <row r="136" spans="1:3" x14ac:dyDescent="0.2">
      <c r="A136" t="s">
        <v>434</v>
      </c>
      <c r="B136" t="s">
        <v>417</v>
      </c>
      <c r="C136">
        <v>61.016800000000003</v>
      </c>
    </row>
    <row r="137" spans="1:3" x14ac:dyDescent="0.2">
      <c r="A137" t="s">
        <v>486</v>
      </c>
      <c r="B137" t="s">
        <v>417</v>
      </c>
      <c r="C137">
        <v>18.0153</v>
      </c>
    </row>
    <row r="138" spans="1:3" x14ac:dyDescent="0.2">
      <c r="A138" t="s">
        <v>1019</v>
      </c>
      <c r="B138" t="s">
        <v>417</v>
      </c>
      <c r="C138">
        <v>22.989768999999999</v>
      </c>
    </row>
    <row r="139" spans="1:3" x14ac:dyDescent="0.2">
      <c r="A139" t="s">
        <v>1020</v>
      </c>
      <c r="B139" t="s">
        <v>417</v>
      </c>
      <c r="C139">
        <v>39.997</v>
      </c>
    </row>
    <row r="140" spans="1:3" x14ac:dyDescent="0.2">
      <c r="A140" t="s">
        <v>1021</v>
      </c>
      <c r="B140" t="s">
        <v>417</v>
      </c>
      <c r="C140">
        <v>35.450000000000003</v>
      </c>
    </row>
    <row r="141" spans="1:3" x14ac:dyDescent="0.2">
      <c r="A141" t="s">
        <v>1022</v>
      </c>
      <c r="B141" t="s">
        <v>417</v>
      </c>
      <c r="C141">
        <v>36.457999999999998</v>
      </c>
    </row>
    <row r="142" spans="1:3" x14ac:dyDescent="0.2">
      <c r="A142" t="s">
        <v>1023</v>
      </c>
      <c r="B142" t="s">
        <v>417</v>
      </c>
      <c r="C142">
        <v>1.008</v>
      </c>
    </row>
    <row r="143" spans="1:3" x14ac:dyDescent="0.2">
      <c r="A143" t="s">
        <v>1024</v>
      </c>
      <c r="B143" t="s">
        <v>417</v>
      </c>
      <c r="C143">
        <v>17.007999999999999</v>
      </c>
    </row>
    <row r="145" spans="1:12" x14ac:dyDescent="0.2">
      <c r="A145" t="s">
        <v>1765</v>
      </c>
      <c r="B145" t="s">
        <v>417</v>
      </c>
      <c r="C145">
        <v>86</v>
      </c>
    </row>
    <row r="146" spans="1:12" x14ac:dyDescent="0.2">
      <c r="A146" t="s">
        <v>1790</v>
      </c>
      <c r="B146" t="s">
        <v>417</v>
      </c>
      <c r="C146">
        <v>72.150000000000006</v>
      </c>
    </row>
    <row r="147" spans="1:12" x14ac:dyDescent="0.2">
      <c r="A147" t="s">
        <v>1791</v>
      </c>
      <c r="B147" t="s">
        <v>417</v>
      </c>
      <c r="C147">
        <v>86.18</v>
      </c>
    </row>
    <row r="148" spans="1:12" x14ac:dyDescent="0.2">
      <c r="A148" t="s">
        <v>1792</v>
      </c>
      <c r="B148" t="s">
        <v>417</v>
      </c>
      <c r="C148">
        <v>100.2</v>
      </c>
    </row>
    <row r="149" spans="1:12" x14ac:dyDescent="0.2">
      <c r="A149" t="s">
        <v>1793</v>
      </c>
      <c r="B149" t="s">
        <v>417</v>
      </c>
      <c r="C149">
        <v>114.23</v>
      </c>
    </row>
    <row r="150" spans="1:12" x14ac:dyDescent="0.2">
      <c r="A150" t="s">
        <v>1794</v>
      </c>
      <c r="B150" t="s">
        <v>417</v>
      </c>
      <c r="C150">
        <v>128.26</v>
      </c>
    </row>
    <row r="151" spans="1:12" x14ac:dyDescent="0.2">
      <c r="A151" t="s">
        <v>1795</v>
      </c>
      <c r="B151" t="s">
        <v>417</v>
      </c>
      <c r="C151">
        <v>142.28</v>
      </c>
    </row>
    <row r="152" spans="1:12" x14ac:dyDescent="0.2">
      <c r="A152" t="s">
        <v>1796</v>
      </c>
      <c r="B152" t="s">
        <v>417</v>
      </c>
      <c r="C152">
        <v>156.31</v>
      </c>
      <c r="G152" s="2037" t="s">
        <v>3603</v>
      </c>
      <c r="H152" s="2037"/>
      <c r="I152" s="2037"/>
      <c r="J152" s="2037"/>
      <c r="K152" s="2037"/>
      <c r="L152" s="2037"/>
    </row>
    <row r="153" spans="1:12" x14ac:dyDescent="0.2">
      <c r="A153" t="s">
        <v>1797</v>
      </c>
      <c r="B153" t="s">
        <v>417</v>
      </c>
      <c r="C153">
        <v>170.34</v>
      </c>
    </row>
    <row r="154" spans="1:12" x14ac:dyDescent="0.2">
      <c r="A154" t="s">
        <v>1798</v>
      </c>
      <c r="B154" t="s">
        <v>417</v>
      </c>
      <c r="C154">
        <v>184.36</v>
      </c>
    </row>
    <row r="155" spans="1:12" x14ac:dyDescent="0.2">
      <c r="A155" t="s">
        <v>1799</v>
      </c>
      <c r="B155" t="s">
        <v>417</v>
      </c>
      <c r="C155">
        <v>198.39</v>
      </c>
    </row>
    <row r="157" spans="1:12" x14ac:dyDescent="0.2">
      <c r="A157" t="s">
        <v>2149</v>
      </c>
      <c r="B157" t="s">
        <v>417</v>
      </c>
      <c r="C157">
        <v>88.11</v>
      </c>
      <c r="G157" s="2036" t="s">
        <v>2174</v>
      </c>
      <c r="H157" s="2036" t="s">
        <v>2175</v>
      </c>
    </row>
    <row r="158" spans="1:12" x14ac:dyDescent="0.2">
      <c r="A158" t="s">
        <v>2150</v>
      </c>
      <c r="B158" t="s">
        <v>417</v>
      </c>
      <c r="C158">
        <v>102</v>
      </c>
      <c r="G158">
        <v>4</v>
      </c>
      <c r="H158">
        <v>88.11</v>
      </c>
    </row>
    <row r="159" spans="1:12" x14ac:dyDescent="0.2">
      <c r="A159" t="s">
        <v>2151</v>
      </c>
      <c r="B159" t="s">
        <v>417</v>
      </c>
      <c r="C159">
        <v>116</v>
      </c>
      <c r="G159">
        <v>5</v>
      </c>
      <c r="H159">
        <v>102</v>
      </c>
    </row>
    <row r="160" spans="1:12" x14ac:dyDescent="0.2">
      <c r="A160" t="s">
        <v>2152</v>
      </c>
      <c r="B160" t="s">
        <v>417</v>
      </c>
      <c r="C160">
        <v>116</v>
      </c>
      <c r="G160">
        <v>6</v>
      </c>
      <c r="H160">
        <v>116</v>
      </c>
    </row>
    <row r="161" spans="1:8" x14ac:dyDescent="0.2">
      <c r="A161" t="s">
        <v>2153</v>
      </c>
      <c r="B161" t="s">
        <v>417</v>
      </c>
      <c r="C161">
        <v>130</v>
      </c>
      <c r="G161">
        <v>7</v>
      </c>
      <c r="H161">
        <v>130</v>
      </c>
    </row>
    <row r="162" spans="1:8" x14ac:dyDescent="0.2">
      <c r="A162" t="s">
        <v>2156</v>
      </c>
      <c r="B162" t="s">
        <v>417</v>
      </c>
      <c r="C162">
        <f>C161</f>
        <v>130</v>
      </c>
      <c r="G162">
        <v>9</v>
      </c>
      <c r="H162">
        <v>158</v>
      </c>
    </row>
    <row r="163" spans="1:8" x14ac:dyDescent="0.2">
      <c r="A163" t="s">
        <v>2154</v>
      </c>
      <c r="B163" t="s">
        <v>417</v>
      </c>
      <c r="C163" s="104">
        <f>(G164*8)+H164</f>
        <v>143.99256756756756</v>
      </c>
      <c r="G163" t="s">
        <v>2176</v>
      </c>
      <c r="H163" t="s">
        <v>2177</v>
      </c>
    </row>
    <row r="164" spans="1:8" x14ac:dyDescent="0.2">
      <c r="A164" t="s">
        <v>2155</v>
      </c>
      <c r="B164" t="s">
        <v>417</v>
      </c>
      <c r="C164" s="104">
        <f>C163</f>
        <v>143.99256756756756</v>
      </c>
      <c r="G164">
        <f>SLOPE(H158:H162,G158:G162)</f>
        <v>13.98364864864865</v>
      </c>
      <c r="H164">
        <f>INTERCEPT(H158:H162,G158:G162)</f>
        <v>32.123378378378376</v>
      </c>
    </row>
    <row r="165" spans="1:8" x14ac:dyDescent="0.2">
      <c r="A165" t="s">
        <v>2157</v>
      </c>
      <c r="B165" t="s">
        <v>417</v>
      </c>
      <c r="C165">
        <v>158</v>
      </c>
    </row>
    <row r="166" spans="1:8" x14ac:dyDescent="0.2">
      <c r="A166" t="s">
        <v>2158</v>
      </c>
      <c r="B166" t="s">
        <v>417</v>
      </c>
      <c r="C166">
        <f>C165</f>
        <v>158</v>
      </c>
    </row>
    <row r="167" spans="1:8" x14ac:dyDescent="0.2">
      <c r="A167" t="s">
        <v>2159</v>
      </c>
      <c r="B167" t="s">
        <v>417</v>
      </c>
      <c r="C167">
        <f>(G164*10)+H164</f>
        <v>171.95986486486487</v>
      </c>
    </row>
    <row r="168" spans="1:8" x14ac:dyDescent="0.2">
      <c r="A168" t="s">
        <v>2160</v>
      </c>
      <c r="B168" t="s">
        <v>417</v>
      </c>
      <c r="C168">
        <f>C167</f>
        <v>171.95986486486487</v>
      </c>
    </row>
    <row r="169" spans="1:8" x14ac:dyDescent="0.2">
      <c r="A169" t="s">
        <v>2161</v>
      </c>
      <c r="B169" t="s">
        <v>417</v>
      </c>
      <c r="C169">
        <f>(G164*11)+H164</f>
        <v>185.94351351351355</v>
      </c>
    </row>
    <row r="170" spans="1:8" x14ac:dyDescent="0.2">
      <c r="A170" t="s">
        <v>2162</v>
      </c>
      <c r="B170" t="s">
        <v>417</v>
      </c>
      <c r="C170">
        <f>C169</f>
        <v>185.94351351351355</v>
      </c>
    </row>
    <row r="171" spans="1:8" x14ac:dyDescent="0.2">
      <c r="A171" t="s">
        <v>2163</v>
      </c>
      <c r="B171" t="s">
        <v>417</v>
      </c>
      <c r="C171">
        <f>(G164*12)+H164</f>
        <v>199.92716216216218</v>
      </c>
    </row>
    <row r="172" spans="1:8" x14ac:dyDescent="0.2">
      <c r="A172" t="s">
        <v>2164</v>
      </c>
      <c r="B172" t="s">
        <v>417</v>
      </c>
      <c r="C172">
        <f>C171</f>
        <v>199.92716216216218</v>
      </c>
    </row>
    <row r="173" spans="1:8" x14ac:dyDescent="0.2">
      <c r="A173" t="s">
        <v>2165</v>
      </c>
      <c r="B173" t="s">
        <v>417</v>
      </c>
      <c r="C173">
        <f>(G164*13)+H164</f>
        <v>213.9108108108108</v>
      </c>
    </row>
    <row r="175" spans="1:8" ht="16" x14ac:dyDescent="0.2">
      <c r="A175" s="39" t="s">
        <v>2073</v>
      </c>
      <c r="B175" t="s">
        <v>417</v>
      </c>
      <c r="C175" s="39">
        <v>88.12</v>
      </c>
    </row>
    <row r="176" spans="1:8" ht="16" x14ac:dyDescent="0.2">
      <c r="A176" s="39" t="s">
        <v>2196</v>
      </c>
      <c r="B176" t="s">
        <v>417</v>
      </c>
      <c r="C176" s="39">
        <v>102.13</v>
      </c>
    </row>
    <row r="177" spans="1:3" ht="16" x14ac:dyDescent="0.2">
      <c r="A177" s="39" t="s">
        <v>2197</v>
      </c>
      <c r="B177" t="s">
        <v>417</v>
      </c>
      <c r="C177" s="39">
        <v>116.14</v>
      </c>
    </row>
    <row r="178" spans="1:3" ht="16" x14ac:dyDescent="0.2">
      <c r="A178" s="39" t="s">
        <v>2198</v>
      </c>
      <c r="B178" t="s">
        <v>417</v>
      </c>
      <c r="C178" s="39">
        <v>116.14</v>
      </c>
    </row>
    <row r="179" spans="1:3" ht="16" x14ac:dyDescent="0.2">
      <c r="A179" s="39" t="s">
        <v>2199</v>
      </c>
      <c r="B179" t="s">
        <v>417</v>
      </c>
      <c r="C179" s="39">
        <v>130.15</v>
      </c>
    </row>
    <row r="180" spans="1:3" ht="16" x14ac:dyDescent="0.2">
      <c r="A180" s="39" t="s">
        <v>2200</v>
      </c>
      <c r="B180" t="s">
        <v>417</v>
      </c>
      <c r="C180" s="39">
        <v>130.15</v>
      </c>
    </row>
    <row r="181" spans="1:3" ht="16" x14ac:dyDescent="0.2">
      <c r="A181" s="39" t="s">
        <v>2201</v>
      </c>
      <c r="B181" t="s">
        <v>417</v>
      </c>
      <c r="C181" s="39">
        <v>144.16</v>
      </c>
    </row>
    <row r="182" spans="1:3" ht="16" x14ac:dyDescent="0.2">
      <c r="A182" s="39" t="s">
        <v>2202</v>
      </c>
      <c r="B182" t="s">
        <v>417</v>
      </c>
      <c r="C182" s="39">
        <v>158.16999999999999</v>
      </c>
    </row>
    <row r="183" spans="1:3" ht="16" x14ac:dyDescent="0.2">
      <c r="A183" s="39" t="s">
        <v>2203</v>
      </c>
      <c r="B183" t="s">
        <v>417</v>
      </c>
      <c r="C183" s="39">
        <v>102.15</v>
      </c>
    </row>
    <row r="184" spans="1:3" ht="16" x14ac:dyDescent="0.2">
      <c r="A184" s="39" t="s">
        <v>2204</v>
      </c>
      <c r="B184" t="s">
        <v>417</v>
      </c>
      <c r="C184" s="39">
        <v>116.16</v>
      </c>
    </row>
    <row r="185" spans="1:3" ht="16" x14ac:dyDescent="0.2">
      <c r="A185" s="39" t="s">
        <v>2205</v>
      </c>
      <c r="B185" t="s">
        <v>417</v>
      </c>
      <c r="C185" s="39">
        <v>130.16999999999999</v>
      </c>
    </row>
    <row r="186" spans="1:3" ht="16" x14ac:dyDescent="0.2">
      <c r="A186" s="39" t="s">
        <v>2206</v>
      </c>
      <c r="B186" t="s">
        <v>417</v>
      </c>
      <c r="C186" s="39">
        <v>130.16999999999999</v>
      </c>
    </row>
    <row r="187" spans="1:3" ht="16" x14ac:dyDescent="0.2">
      <c r="A187" s="39" t="s">
        <v>2207</v>
      </c>
      <c r="B187" t="s">
        <v>417</v>
      </c>
      <c r="C187" s="39">
        <v>144.18</v>
      </c>
    </row>
    <row r="188" spans="1:3" ht="16" x14ac:dyDescent="0.2">
      <c r="A188" s="39" t="s">
        <v>2208</v>
      </c>
      <c r="B188" t="s">
        <v>417</v>
      </c>
      <c r="C188" s="39">
        <v>144.18</v>
      </c>
    </row>
    <row r="189" spans="1:3" ht="16" x14ac:dyDescent="0.2">
      <c r="A189" s="39" t="s">
        <v>2209</v>
      </c>
      <c r="B189" t="s">
        <v>417</v>
      </c>
      <c r="C189" s="39">
        <v>158.19</v>
      </c>
    </row>
    <row r="190" spans="1:3" ht="16" x14ac:dyDescent="0.2">
      <c r="A190" s="39" t="s">
        <v>2210</v>
      </c>
      <c r="B190" t="s">
        <v>417</v>
      </c>
      <c r="C190" s="39">
        <v>172.2</v>
      </c>
    </row>
    <row r="191" spans="1:3" ht="16" x14ac:dyDescent="0.2">
      <c r="A191" s="39" t="s">
        <v>2211</v>
      </c>
      <c r="B191" t="s">
        <v>417</v>
      </c>
      <c r="C191" s="39">
        <v>116.16</v>
      </c>
    </row>
    <row r="192" spans="1:3" ht="16" x14ac:dyDescent="0.2">
      <c r="A192" s="39" t="s">
        <v>2212</v>
      </c>
      <c r="B192" t="s">
        <v>417</v>
      </c>
      <c r="C192" s="39">
        <v>130.16999999999999</v>
      </c>
    </row>
    <row r="193" spans="1:3" ht="16" x14ac:dyDescent="0.2">
      <c r="A193" s="39" t="s">
        <v>2213</v>
      </c>
      <c r="B193" t="s">
        <v>417</v>
      </c>
      <c r="C193" s="39">
        <v>144.18</v>
      </c>
    </row>
    <row r="194" spans="1:3" ht="16" x14ac:dyDescent="0.2">
      <c r="A194" s="39" t="s">
        <v>2214</v>
      </c>
      <c r="B194" t="s">
        <v>417</v>
      </c>
      <c r="C194" s="39">
        <v>144.18</v>
      </c>
    </row>
    <row r="195" spans="1:3" ht="16" x14ac:dyDescent="0.2">
      <c r="A195" s="39" t="s">
        <v>2215</v>
      </c>
      <c r="B195" t="s">
        <v>417</v>
      </c>
      <c r="C195" s="39">
        <v>158.19</v>
      </c>
    </row>
    <row r="196" spans="1:3" ht="16" x14ac:dyDescent="0.2">
      <c r="A196" s="39" t="s">
        <v>2216</v>
      </c>
      <c r="B196" t="s">
        <v>417</v>
      </c>
      <c r="C196" s="39">
        <v>158.19</v>
      </c>
    </row>
    <row r="197" spans="1:3" ht="16" x14ac:dyDescent="0.2">
      <c r="A197" s="39" t="s">
        <v>2217</v>
      </c>
      <c r="B197" t="s">
        <v>417</v>
      </c>
      <c r="C197" s="39">
        <v>172.2</v>
      </c>
    </row>
    <row r="198" spans="1:3" ht="16" x14ac:dyDescent="0.2">
      <c r="A198" s="39" t="s">
        <v>2218</v>
      </c>
      <c r="B198" t="s">
        <v>417</v>
      </c>
      <c r="C198" s="39">
        <v>186.21</v>
      </c>
    </row>
    <row r="199" spans="1:3" ht="16" x14ac:dyDescent="0.2">
      <c r="A199" s="39" t="s">
        <v>2219</v>
      </c>
      <c r="B199" t="s">
        <v>417</v>
      </c>
      <c r="C199" s="39">
        <v>116.16</v>
      </c>
    </row>
    <row r="200" spans="1:3" ht="16" x14ac:dyDescent="0.2">
      <c r="A200" s="39" t="s">
        <v>2220</v>
      </c>
      <c r="B200" t="s">
        <v>417</v>
      </c>
      <c r="C200" s="39">
        <v>130.16999999999999</v>
      </c>
    </row>
    <row r="201" spans="1:3" ht="16" x14ac:dyDescent="0.2">
      <c r="A201" s="39" t="s">
        <v>2221</v>
      </c>
      <c r="B201" t="s">
        <v>417</v>
      </c>
      <c r="C201" s="39">
        <v>144.18</v>
      </c>
    </row>
    <row r="202" spans="1:3" ht="16" x14ac:dyDescent="0.2">
      <c r="A202" s="39" t="s">
        <v>2222</v>
      </c>
      <c r="B202" t="s">
        <v>417</v>
      </c>
      <c r="C202" s="39">
        <v>144.18</v>
      </c>
    </row>
    <row r="203" spans="1:3" ht="16" x14ac:dyDescent="0.2">
      <c r="A203" s="39" t="s">
        <v>2223</v>
      </c>
      <c r="B203" t="s">
        <v>417</v>
      </c>
      <c r="C203" s="39">
        <v>158.19</v>
      </c>
    </row>
    <row r="204" spans="1:3" ht="16" x14ac:dyDescent="0.2">
      <c r="A204" s="39" t="s">
        <v>2224</v>
      </c>
      <c r="B204" t="s">
        <v>417</v>
      </c>
      <c r="C204" s="39">
        <v>158.19</v>
      </c>
    </row>
    <row r="205" spans="1:3" ht="16" x14ac:dyDescent="0.2">
      <c r="A205" s="39" t="s">
        <v>2225</v>
      </c>
      <c r="B205" t="s">
        <v>417</v>
      </c>
      <c r="C205" s="39">
        <v>172.2</v>
      </c>
    </row>
    <row r="206" spans="1:3" ht="16" x14ac:dyDescent="0.2">
      <c r="A206" s="39" t="s">
        <v>2226</v>
      </c>
      <c r="B206" t="s">
        <v>417</v>
      </c>
      <c r="C206" s="39">
        <v>186.21</v>
      </c>
    </row>
    <row r="207" spans="1:3" ht="16" x14ac:dyDescent="0.2">
      <c r="A207" s="39" t="s">
        <v>2227</v>
      </c>
      <c r="B207" t="s">
        <v>417</v>
      </c>
      <c r="C207" s="39">
        <v>130.18</v>
      </c>
    </row>
    <row r="208" spans="1:3" ht="16" x14ac:dyDescent="0.2">
      <c r="A208" s="39" t="s">
        <v>2228</v>
      </c>
      <c r="B208" t="s">
        <v>417</v>
      </c>
      <c r="C208" s="39">
        <v>144.19</v>
      </c>
    </row>
    <row r="209" spans="1:3" ht="16" x14ac:dyDescent="0.2">
      <c r="A209" s="39" t="s">
        <v>2229</v>
      </c>
      <c r="B209" t="s">
        <v>417</v>
      </c>
      <c r="C209" s="39">
        <v>158.19999999999999</v>
      </c>
    </row>
    <row r="210" spans="1:3" ht="16" x14ac:dyDescent="0.2">
      <c r="A210" s="39" t="s">
        <v>2230</v>
      </c>
      <c r="B210" t="s">
        <v>417</v>
      </c>
      <c r="C210" s="39">
        <v>158.19999999999999</v>
      </c>
    </row>
    <row r="211" spans="1:3" ht="16" x14ac:dyDescent="0.2">
      <c r="A211" s="39" t="s">
        <v>2231</v>
      </c>
      <c r="B211" t="s">
        <v>417</v>
      </c>
      <c r="C211" s="39">
        <v>172.21</v>
      </c>
    </row>
    <row r="212" spans="1:3" ht="16" x14ac:dyDescent="0.2">
      <c r="A212" s="39" t="s">
        <v>2232</v>
      </c>
      <c r="B212" t="s">
        <v>417</v>
      </c>
      <c r="C212" s="39">
        <v>172.21</v>
      </c>
    </row>
    <row r="213" spans="1:3" ht="16" x14ac:dyDescent="0.2">
      <c r="A213" s="39" t="s">
        <v>2233</v>
      </c>
      <c r="B213" t="s">
        <v>417</v>
      </c>
      <c r="C213" s="39">
        <v>186.22</v>
      </c>
    </row>
    <row r="214" spans="1:3" ht="16" x14ac:dyDescent="0.2">
      <c r="A214" s="39" t="s">
        <v>2234</v>
      </c>
      <c r="B214" t="s">
        <v>417</v>
      </c>
      <c r="C214" s="39">
        <v>200.23</v>
      </c>
    </row>
    <row r="215" spans="1:3" ht="16" x14ac:dyDescent="0.2">
      <c r="A215" s="39" t="s">
        <v>2235</v>
      </c>
      <c r="B215" t="s">
        <v>417</v>
      </c>
      <c r="C215" s="39">
        <v>130.18</v>
      </c>
    </row>
    <row r="216" spans="1:3" ht="16" x14ac:dyDescent="0.2">
      <c r="A216" s="39" t="s">
        <v>2236</v>
      </c>
      <c r="B216" t="s">
        <v>417</v>
      </c>
      <c r="C216" s="39">
        <v>144.19</v>
      </c>
    </row>
    <row r="217" spans="1:3" ht="16" x14ac:dyDescent="0.2">
      <c r="A217" s="39" t="s">
        <v>2237</v>
      </c>
      <c r="B217" t="s">
        <v>417</v>
      </c>
      <c r="C217" s="39">
        <v>158.19999999999999</v>
      </c>
    </row>
    <row r="218" spans="1:3" ht="16" x14ac:dyDescent="0.2">
      <c r="A218" s="39" t="s">
        <v>2238</v>
      </c>
      <c r="B218" t="s">
        <v>417</v>
      </c>
      <c r="C218" s="39">
        <v>158.19999999999999</v>
      </c>
    </row>
    <row r="219" spans="1:3" ht="16" x14ac:dyDescent="0.2">
      <c r="A219" s="39" t="s">
        <v>2239</v>
      </c>
      <c r="B219" t="s">
        <v>417</v>
      </c>
      <c r="C219" s="39">
        <v>172.21</v>
      </c>
    </row>
    <row r="220" spans="1:3" ht="16" x14ac:dyDescent="0.2">
      <c r="A220" s="39" t="s">
        <v>2240</v>
      </c>
      <c r="B220" t="s">
        <v>417</v>
      </c>
      <c r="C220" s="39">
        <v>172.21</v>
      </c>
    </row>
    <row r="221" spans="1:3" ht="16" x14ac:dyDescent="0.2">
      <c r="A221" s="39" t="s">
        <v>2241</v>
      </c>
      <c r="B221" t="s">
        <v>417</v>
      </c>
      <c r="C221" s="39">
        <v>186.22</v>
      </c>
    </row>
    <row r="222" spans="1:3" ht="16" x14ac:dyDescent="0.2">
      <c r="A222" s="39" t="s">
        <v>2242</v>
      </c>
      <c r="B222" t="s">
        <v>417</v>
      </c>
      <c r="C222" s="39">
        <v>200.23</v>
      </c>
    </row>
    <row r="223" spans="1:3" ht="16" x14ac:dyDescent="0.2">
      <c r="A223" s="39" t="s">
        <v>2243</v>
      </c>
      <c r="B223" t="s">
        <v>417</v>
      </c>
      <c r="C223" s="39">
        <v>144.19999999999999</v>
      </c>
    </row>
    <row r="224" spans="1:3" ht="16" x14ac:dyDescent="0.2">
      <c r="A224" s="39" t="s">
        <v>2244</v>
      </c>
      <c r="B224" t="s">
        <v>417</v>
      </c>
      <c r="C224" s="39">
        <v>158.21</v>
      </c>
    </row>
    <row r="225" spans="1:10" ht="16" x14ac:dyDescent="0.2">
      <c r="A225" s="39" t="s">
        <v>2245</v>
      </c>
      <c r="B225" t="s">
        <v>417</v>
      </c>
      <c r="C225" s="39">
        <v>172.22</v>
      </c>
    </row>
    <row r="226" spans="1:10" ht="16" x14ac:dyDescent="0.2">
      <c r="A226" s="39" t="s">
        <v>2246</v>
      </c>
      <c r="B226" t="s">
        <v>417</v>
      </c>
      <c r="C226" s="39">
        <v>172.22</v>
      </c>
    </row>
    <row r="227" spans="1:10" ht="16" x14ac:dyDescent="0.2">
      <c r="A227" s="39" t="s">
        <v>2247</v>
      </c>
      <c r="B227" t="s">
        <v>417</v>
      </c>
      <c r="C227" s="39">
        <v>186.23</v>
      </c>
    </row>
    <row r="228" spans="1:10" ht="16" x14ac:dyDescent="0.2">
      <c r="A228" s="39" t="s">
        <v>2248</v>
      </c>
      <c r="B228" t="s">
        <v>417</v>
      </c>
      <c r="C228" s="39">
        <v>186.23</v>
      </c>
    </row>
    <row r="229" spans="1:10" ht="16" x14ac:dyDescent="0.2">
      <c r="A229" s="39" t="s">
        <v>2249</v>
      </c>
      <c r="B229" t="s">
        <v>417</v>
      </c>
      <c r="C229" s="39">
        <v>200.24</v>
      </c>
    </row>
    <row r="230" spans="1:10" ht="16" x14ac:dyDescent="0.2">
      <c r="A230" s="39" t="s">
        <v>2250</v>
      </c>
      <c r="B230" t="s">
        <v>417</v>
      </c>
      <c r="C230" s="39">
        <v>214.25</v>
      </c>
      <c r="I230" s="39"/>
      <c r="J230" s="39"/>
    </row>
    <row r="231" spans="1:10" x14ac:dyDescent="0.2">
      <c r="I231" s="39"/>
      <c r="J231" s="39"/>
    </row>
    <row r="232" spans="1:10" x14ac:dyDescent="0.2">
      <c r="A232" t="s">
        <v>1019</v>
      </c>
      <c r="B232" t="s">
        <v>417</v>
      </c>
      <c r="C232">
        <v>22.989768999999999</v>
      </c>
      <c r="I232" s="39"/>
      <c r="J232" s="39"/>
    </row>
    <row r="233" spans="1:10" x14ac:dyDescent="0.2">
      <c r="A233" t="s">
        <v>1021</v>
      </c>
      <c r="B233" t="s">
        <v>417</v>
      </c>
      <c r="C233">
        <v>35.450000000000003</v>
      </c>
      <c r="I233" s="39"/>
      <c r="J233" s="39"/>
    </row>
    <row r="234" spans="1:10" x14ac:dyDescent="0.2">
      <c r="A234" t="s">
        <v>429</v>
      </c>
      <c r="B234" t="s">
        <v>417</v>
      </c>
      <c r="C234">
        <v>96.06</v>
      </c>
      <c r="I234" s="39"/>
      <c r="J234" s="39"/>
    </row>
    <row r="235" spans="1:10" x14ac:dyDescent="0.2">
      <c r="A235" t="s">
        <v>2615</v>
      </c>
      <c r="B235" t="s">
        <v>417</v>
      </c>
      <c r="C235">
        <v>24.305</v>
      </c>
      <c r="I235" s="39"/>
      <c r="J235" s="39"/>
    </row>
    <row r="236" spans="1:10" x14ac:dyDescent="0.2">
      <c r="A236" t="s">
        <v>2616</v>
      </c>
      <c r="B236" t="s">
        <v>417</v>
      </c>
      <c r="C236">
        <v>40.078000000000003</v>
      </c>
      <c r="I236" s="39"/>
      <c r="J236" s="39"/>
    </row>
    <row r="237" spans="1:10" x14ac:dyDescent="0.2">
      <c r="A237" t="s">
        <v>161</v>
      </c>
      <c r="B237" t="s">
        <v>417</v>
      </c>
      <c r="C237">
        <v>39.098300000000002</v>
      </c>
      <c r="I237" s="39"/>
      <c r="J237" s="39"/>
    </row>
    <row r="238" spans="1:10" x14ac:dyDescent="0.2">
      <c r="A238" t="s">
        <v>2630</v>
      </c>
      <c r="B238" t="s">
        <v>417</v>
      </c>
      <c r="C238">
        <v>120.38</v>
      </c>
      <c r="I238" s="39"/>
      <c r="J238" s="39"/>
    </row>
    <row r="239" spans="1:10" x14ac:dyDescent="0.2">
      <c r="A239" t="s">
        <v>2633</v>
      </c>
      <c r="B239" t="s">
        <v>417</v>
      </c>
      <c r="C239">
        <v>64</v>
      </c>
      <c r="I239" s="39"/>
      <c r="J239" s="39"/>
    </row>
    <row r="240" spans="1:10" x14ac:dyDescent="0.2">
      <c r="A240" t="s">
        <v>2632</v>
      </c>
      <c r="B240" t="s">
        <v>417</v>
      </c>
      <c r="C240">
        <v>74.55</v>
      </c>
      <c r="I240" s="39"/>
      <c r="J240" s="39"/>
    </row>
    <row r="241" spans="1:10" x14ac:dyDescent="0.2">
      <c r="A241" t="s">
        <v>2635</v>
      </c>
      <c r="B241" t="s">
        <v>417</v>
      </c>
      <c r="C241">
        <v>58.44</v>
      </c>
      <c r="I241" s="39"/>
      <c r="J241" s="39"/>
    </row>
    <row r="242" spans="1:10" x14ac:dyDescent="0.2">
      <c r="I242" s="39"/>
      <c r="J242" s="39"/>
    </row>
    <row r="243" spans="1:10" x14ac:dyDescent="0.2">
      <c r="A243" s="105" t="s">
        <v>2756</v>
      </c>
      <c r="B243" t="s">
        <v>417</v>
      </c>
      <c r="I243" s="39"/>
      <c r="J243" s="39"/>
    </row>
    <row r="244" spans="1:10" x14ac:dyDescent="0.2">
      <c r="A244" s="105" t="s">
        <v>2757</v>
      </c>
      <c r="B244" t="s">
        <v>417</v>
      </c>
      <c r="C244">
        <v>136.08000000000001</v>
      </c>
      <c r="I244" s="39"/>
      <c r="J244" s="39"/>
    </row>
    <row r="245" spans="1:10" x14ac:dyDescent="0.2">
      <c r="A245" s="105" t="s">
        <v>2758</v>
      </c>
      <c r="B245" t="s">
        <v>417</v>
      </c>
      <c r="C245">
        <v>96.06</v>
      </c>
      <c r="I245" s="39"/>
      <c r="J245" s="39"/>
    </row>
    <row r="246" spans="1:10" x14ac:dyDescent="0.2">
      <c r="A246" s="105" t="s">
        <v>2759</v>
      </c>
      <c r="B246" t="s">
        <v>417</v>
      </c>
      <c r="C246">
        <v>110.09</v>
      </c>
      <c r="I246" s="39"/>
      <c r="J246" s="39"/>
    </row>
    <row r="247" spans="1:10" x14ac:dyDescent="0.2">
      <c r="A247" s="105" t="s">
        <v>2760</v>
      </c>
      <c r="B247" t="s">
        <v>417</v>
      </c>
      <c r="C247">
        <v>110.09</v>
      </c>
      <c r="I247" s="39"/>
      <c r="J247" s="39"/>
    </row>
    <row r="248" spans="1:10" x14ac:dyDescent="0.2">
      <c r="A248" s="105" t="s">
        <v>2761</v>
      </c>
      <c r="B248" t="s">
        <v>417</v>
      </c>
      <c r="C248">
        <v>124.12</v>
      </c>
      <c r="I248" s="39"/>
      <c r="J248" s="39"/>
    </row>
    <row r="249" spans="1:10" x14ac:dyDescent="0.2">
      <c r="A249" s="105" t="s">
        <v>2762</v>
      </c>
      <c r="B249" t="s">
        <v>417</v>
      </c>
      <c r="C249">
        <v>124.12</v>
      </c>
      <c r="I249" s="39"/>
      <c r="J249" s="39"/>
    </row>
    <row r="250" spans="1:10" x14ac:dyDescent="0.2">
      <c r="A250" s="105" t="s">
        <v>2763</v>
      </c>
      <c r="B250" t="s">
        <v>417</v>
      </c>
      <c r="C250">
        <v>138.15</v>
      </c>
      <c r="I250" s="39"/>
      <c r="J250" s="39"/>
    </row>
    <row r="251" spans="1:10" x14ac:dyDescent="0.2">
      <c r="A251" s="105" t="s">
        <v>2764</v>
      </c>
      <c r="B251" t="s">
        <v>417</v>
      </c>
      <c r="C251">
        <v>152.18</v>
      </c>
      <c r="I251" s="39"/>
      <c r="J251" s="39"/>
    </row>
    <row r="252" spans="1:10" x14ac:dyDescent="0.2">
      <c r="A252" s="105" t="s">
        <v>2770</v>
      </c>
      <c r="B252" t="s">
        <v>417</v>
      </c>
      <c r="C252">
        <v>246.48</v>
      </c>
      <c r="I252" s="39"/>
      <c r="J252" s="39"/>
    </row>
    <row r="253" spans="1:10" x14ac:dyDescent="0.2">
      <c r="A253" s="105" t="s">
        <v>2765</v>
      </c>
      <c r="B253" t="s">
        <v>417</v>
      </c>
      <c r="C253">
        <v>172.17</v>
      </c>
      <c r="I253" s="39"/>
      <c r="J253" s="39"/>
    </row>
    <row r="254" spans="1:10" x14ac:dyDescent="0.2">
      <c r="A254" s="105" t="s">
        <v>2766</v>
      </c>
      <c r="B254" t="s">
        <v>417</v>
      </c>
      <c r="C254">
        <v>74.55</v>
      </c>
      <c r="I254" s="39"/>
      <c r="J254" s="39"/>
    </row>
    <row r="255" spans="1:10" x14ac:dyDescent="0.2">
      <c r="A255" s="105" t="s">
        <v>2767</v>
      </c>
      <c r="B255" t="s">
        <v>417</v>
      </c>
      <c r="C255">
        <v>322.2</v>
      </c>
      <c r="I255" s="39"/>
      <c r="J255" s="39"/>
    </row>
    <row r="256" spans="1:10" x14ac:dyDescent="0.2">
      <c r="I256" s="39"/>
      <c r="J256" s="39"/>
    </row>
    <row r="257" spans="1:10" x14ac:dyDescent="0.2">
      <c r="A257" s="105" t="s">
        <v>2452</v>
      </c>
      <c r="B257" t="s">
        <v>417</v>
      </c>
      <c r="C257">
        <v>180.15600000000001</v>
      </c>
      <c r="I257" s="39"/>
      <c r="J257" s="39"/>
    </row>
    <row r="258" spans="1:10" x14ac:dyDescent="0.2">
      <c r="A258" s="105" t="s">
        <v>3052</v>
      </c>
      <c r="B258" t="s">
        <v>417</v>
      </c>
      <c r="C258">
        <v>180.15600000000001</v>
      </c>
      <c r="I258" s="39"/>
      <c r="J258" s="39"/>
    </row>
    <row r="259" spans="1:10" x14ac:dyDescent="0.2">
      <c r="A259" s="105" t="s">
        <v>3055</v>
      </c>
      <c r="B259" t="s">
        <v>417</v>
      </c>
      <c r="C259">
        <v>342.3</v>
      </c>
      <c r="I259" s="39"/>
      <c r="J259" s="39"/>
    </row>
    <row r="260" spans="1:10" x14ac:dyDescent="0.2">
      <c r="A260" s="105"/>
      <c r="I260" s="39"/>
      <c r="J260" s="39"/>
    </row>
    <row r="261" spans="1:10" x14ac:dyDescent="0.2">
      <c r="A261" s="105" t="s">
        <v>1567</v>
      </c>
      <c r="B261" t="s">
        <v>417</v>
      </c>
      <c r="C261">
        <v>186.29</v>
      </c>
      <c r="I261" s="39"/>
      <c r="J261" s="39"/>
    </row>
    <row r="262" spans="1:10" x14ac:dyDescent="0.2">
      <c r="I262" s="39"/>
      <c r="J262" s="39"/>
    </row>
    <row r="263" spans="1:10" x14ac:dyDescent="0.2">
      <c r="I263" s="39"/>
      <c r="J263" s="39"/>
    </row>
    <row r="264" spans="1:10" x14ac:dyDescent="0.2">
      <c r="A264" s="25" t="s">
        <v>1770</v>
      </c>
      <c r="B264" t="s">
        <v>417</v>
      </c>
      <c r="C264">
        <v>58.12</v>
      </c>
      <c r="I264" s="39"/>
      <c r="J264" s="39"/>
    </row>
    <row r="265" spans="1:10" x14ac:dyDescent="0.2">
      <c r="A265" s="25" t="s">
        <v>1771</v>
      </c>
      <c r="B265" t="s">
        <v>417</v>
      </c>
      <c r="C265">
        <v>72.150000000000006</v>
      </c>
      <c r="I265" s="39"/>
      <c r="J265" s="39"/>
    </row>
    <row r="266" spans="1:10" x14ac:dyDescent="0.2">
      <c r="A266" s="25" t="s">
        <v>1772</v>
      </c>
      <c r="B266" t="s">
        <v>417</v>
      </c>
      <c r="C266">
        <v>86.18</v>
      </c>
      <c r="I266" s="39"/>
      <c r="J266" s="39"/>
    </row>
    <row r="267" spans="1:10" x14ac:dyDescent="0.2">
      <c r="A267" s="25" t="s">
        <v>1773</v>
      </c>
      <c r="B267" t="s">
        <v>417</v>
      </c>
      <c r="C267">
        <v>100.21</v>
      </c>
      <c r="I267" s="39"/>
      <c r="J267" s="39"/>
    </row>
    <row r="268" spans="1:10" x14ac:dyDescent="0.2">
      <c r="A268" s="25" t="s">
        <v>1774</v>
      </c>
      <c r="B268" t="s">
        <v>417</v>
      </c>
      <c r="C268">
        <v>114.23</v>
      </c>
      <c r="I268" s="39"/>
      <c r="J268" s="39"/>
    </row>
    <row r="269" spans="1:10" x14ac:dyDescent="0.2">
      <c r="A269" s="25" t="s">
        <v>1775</v>
      </c>
      <c r="B269" t="s">
        <v>417</v>
      </c>
      <c r="C269">
        <v>128.26</v>
      </c>
      <c r="I269" s="39"/>
      <c r="J269" s="39"/>
    </row>
    <row r="270" spans="1:10" x14ac:dyDescent="0.2">
      <c r="A270" s="25" t="s">
        <v>1776</v>
      </c>
      <c r="B270" t="s">
        <v>417</v>
      </c>
      <c r="C270">
        <v>142.29</v>
      </c>
      <c r="I270" s="39"/>
      <c r="J270" s="39"/>
    </row>
    <row r="271" spans="1:10" x14ac:dyDescent="0.2">
      <c r="A271" s="25" t="s">
        <v>1777</v>
      </c>
      <c r="B271" t="s">
        <v>417</v>
      </c>
      <c r="C271">
        <v>156.31</v>
      </c>
      <c r="I271" s="39"/>
      <c r="J271" s="39"/>
    </row>
    <row r="272" spans="1:10" x14ac:dyDescent="0.2">
      <c r="A272" s="25" t="s">
        <v>1778</v>
      </c>
      <c r="B272" t="s">
        <v>417</v>
      </c>
      <c r="C272">
        <v>170.34</v>
      </c>
      <c r="I272" s="39"/>
      <c r="J272" s="39"/>
    </row>
    <row r="273" spans="1:10" x14ac:dyDescent="0.2">
      <c r="A273" s="25" t="s">
        <v>1779</v>
      </c>
      <c r="B273" t="s">
        <v>417</v>
      </c>
      <c r="C273">
        <v>184.37</v>
      </c>
      <c r="I273" s="39"/>
      <c r="J273" s="39"/>
    </row>
    <row r="274" spans="1:10" x14ac:dyDescent="0.2">
      <c r="A274" s="25" t="s">
        <v>1780</v>
      </c>
      <c r="B274" t="s">
        <v>417</v>
      </c>
      <c r="C274">
        <v>198.39</v>
      </c>
      <c r="I274" s="39"/>
      <c r="J274" s="39"/>
    </row>
    <row r="275" spans="1:10" x14ac:dyDescent="0.2">
      <c r="A275" s="25" t="s">
        <v>1781</v>
      </c>
      <c r="B275" t="s">
        <v>417</v>
      </c>
      <c r="C275">
        <v>86.18</v>
      </c>
      <c r="I275" s="39"/>
      <c r="J275" s="39"/>
    </row>
    <row r="276" spans="1:10" x14ac:dyDescent="0.2">
      <c r="A276" s="25" t="s">
        <v>1782</v>
      </c>
      <c r="B276" t="s">
        <v>417</v>
      </c>
      <c r="C276">
        <v>100.21</v>
      </c>
      <c r="I276" s="39"/>
      <c r="J276" s="39"/>
    </row>
    <row r="277" spans="1:10" x14ac:dyDescent="0.2">
      <c r="A277" s="25" t="s">
        <v>1783</v>
      </c>
      <c r="B277" t="s">
        <v>417</v>
      </c>
      <c r="C277">
        <v>114.23</v>
      </c>
      <c r="I277" s="39"/>
      <c r="J277" s="39"/>
    </row>
    <row r="278" spans="1:10" x14ac:dyDescent="0.2">
      <c r="A278" s="25" t="s">
        <v>1784</v>
      </c>
      <c r="B278" t="s">
        <v>417</v>
      </c>
      <c r="C278">
        <v>128.26</v>
      </c>
      <c r="I278" s="39"/>
      <c r="J278" s="39"/>
    </row>
    <row r="279" spans="1:10" x14ac:dyDescent="0.2">
      <c r="A279" s="25" t="s">
        <v>1785</v>
      </c>
      <c r="B279" t="s">
        <v>417</v>
      </c>
      <c r="C279">
        <v>142.29</v>
      </c>
      <c r="I279" s="39"/>
      <c r="J279" s="39"/>
    </row>
    <row r="280" spans="1:10" x14ac:dyDescent="0.2">
      <c r="A280" s="25" t="s">
        <v>1786</v>
      </c>
      <c r="B280" t="s">
        <v>417</v>
      </c>
      <c r="C280">
        <v>156.31</v>
      </c>
      <c r="I280" s="39"/>
      <c r="J280" s="39"/>
    </row>
    <row r="281" spans="1:10" x14ac:dyDescent="0.2">
      <c r="A281" s="25" t="s">
        <v>1787</v>
      </c>
      <c r="B281" t="s">
        <v>417</v>
      </c>
      <c r="C281">
        <v>170.34</v>
      </c>
      <c r="I281" s="39"/>
      <c r="J281" s="39"/>
    </row>
    <row r="282" spans="1:10" x14ac:dyDescent="0.2">
      <c r="I282" s="39"/>
      <c r="J282" s="39"/>
    </row>
    <row r="283" spans="1:10" x14ac:dyDescent="0.2">
      <c r="I283" s="39"/>
      <c r="J283" s="39"/>
    </row>
    <row r="284" spans="1:10" x14ac:dyDescent="0.2">
      <c r="I284" s="39"/>
      <c r="J284" s="39"/>
    </row>
    <row r="285" spans="1:10" x14ac:dyDescent="0.2">
      <c r="I285" s="39"/>
      <c r="J285" s="39"/>
    </row>
    <row r="286" spans="1:10" x14ac:dyDescent="0.2">
      <c r="A286" s="1078" t="s">
        <v>2195</v>
      </c>
      <c r="B286" s="1076"/>
      <c r="C286" s="1076"/>
      <c r="D286" s="1077"/>
      <c r="I286" s="39"/>
      <c r="J286" s="39"/>
    </row>
    <row r="287" spans="1:10" ht="16" x14ac:dyDescent="0.2">
      <c r="A287" s="39" t="s">
        <v>2073</v>
      </c>
      <c r="B287" t="s">
        <v>902</v>
      </c>
      <c r="C287" s="39">
        <v>77</v>
      </c>
      <c r="I287" s="39"/>
      <c r="J287" s="39"/>
    </row>
    <row r="288" spans="1:10" ht="16" x14ac:dyDescent="0.2">
      <c r="A288" s="39" t="s">
        <v>2196</v>
      </c>
      <c r="B288" t="s">
        <v>902</v>
      </c>
      <c r="C288" s="39">
        <v>92</v>
      </c>
      <c r="I288" s="39"/>
      <c r="J288" s="39"/>
    </row>
    <row r="289" spans="1:10" ht="16" x14ac:dyDescent="0.2">
      <c r="A289" s="39" t="s">
        <v>2197</v>
      </c>
      <c r="B289" t="s">
        <v>902</v>
      </c>
      <c r="C289" s="39">
        <v>117</v>
      </c>
      <c r="I289" s="39"/>
      <c r="J289" s="39"/>
    </row>
    <row r="290" spans="1:10" ht="16" x14ac:dyDescent="0.2">
      <c r="A290" s="39" t="s">
        <v>2198</v>
      </c>
      <c r="B290" t="s">
        <v>902</v>
      </c>
      <c r="C290" s="39">
        <v>118</v>
      </c>
      <c r="I290" s="39"/>
      <c r="J290" s="39"/>
    </row>
    <row r="291" spans="1:10" ht="16" x14ac:dyDescent="0.2">
      <c r="A291" s="39" t="s">
        <v>2199</v>
      </c>
      <c r="B291" t="s">
        <v>902</v>
      </c>
      <c r="C291" s="39">
        <v>140</v>
      </c>
      <c r="I291" s="39"/>
      <c r="J291" s="39"/>
    </row>
    <row r="292" spans="1:10" ht="16" x14ac:dyDescent="0.2">
      <c r="A292" s="39" t="s">
        <v>2200</v>
      </c>
      <c r="B292" t="s">
        <v>902</v>
      </c>
      <c r="C292" s="39">
        <v>141</v>
      </c>
      <c r="I292" s="39"/>
      <c r="J292" s="39"/>
    </row>
    <row r="293" spans="1:10" ht="16" x14ac:dyDescent="0.2">
      <c r="A293" s="39" t="s">
        <v>2201</v>
      </c>
      <c r="B293" t="s">
        <v>902</v>
      </c>
      <c r="C293" s="39">
        <v>157</v>
      </c>
      <c r="I293" s="39"/>
      <c r="J293" s="39"/>
    </row>
    <row r="294" spans="1:10" ht="16" x14ac:dyDescent="0.2">
      <c r="A294" s="39" t="s">
        <v>2202</v>
      </c>
      <c r="B294" t="s">
        <v>902</v>
      </c>
      <c r="C294" s="39">
        <v>174</v>
      </c>
      <c r="I294" s="39"/>
      <c r="J294" s="39"/>
    </row>
    <row r="295" spans="1:10" ht="16" x14ac:dyDescent="0.2">
      <c r="A295" s="39" t="s">
        <v>2203</v>
      </c>
      <c r="B295" t="s">
        <v>902</v>
      </c>
      <c r="C295" s="39">
        <v>101</v>
      </c>
      <c r="I295" s="39"/>
      <c r="J295" s="39"/>
    </row>
    <row r="296" spans="1:10" ht="16" x14ac:dyDescent="0.2">
      <c r="A296" s="39" t="s">
        <v>2204</v>
      </c>
      <c r="B296" t="s">
        <v>902</v>
      </c>
      <c r="C296" s="39">
        <v>110</v>
      </c>
      <c r="I296" s="39"/>
      <c r="J296" s="39"/>
    </row>
    <row r="297" spans="1:10" ht="16" x14ac:dyDescent="0.2">
      <c r="A297" s="39" t="s">
        <v>2205</v>
      </c>
      <c r="B297" t="s">
        <v>902</v>
      </c>
      <c r="C297" s="39">
        <v>137</v>
      </c>
      <c r="I297" s="39"/>
      <c r="J297" s="39"/>
    </row>
    <row r="298" spans="1:10" ht="16" x14ac:dyDescent="0.2">
      <c r="A298" s="39" t="s">
        <v>2206</v>
      </c>
      <c r="B298" t="s">
        <v>902</v>
      </c>
      <c r="C298" s="39">
        <v>138</v>
      </c>
      <c r="I298" s="39"/>
      <c r="J298" s="39"/>
    </row>
    <row r="299" spans="1:10" ht="16" x14ac:dyDescent="0.2">
      <c r="A299" s="39" t="s">
        <v>2207</v>
      </c>
      <c r="B299" t="s">
        <v>902</v>
      </c>
      <c r="C299" s="39">
        <v>160</v>
      </c>
      <c r="I299" s="39"/>
      <c r="J299" s="39"/>
    </row>
    <row r="300" spans="1:10" ht="16" x14ac:dyDescent="0.2">
      <c r="A300" s="39" t="s">
        <v>2208</v>
      </c>
      <c r="B300" t="s">
        <v>902</v>
      </c>
      <c r="C300" s="39">
        <v>161</v>
      </c>
      <c r="I300" s="39"/>
      <c r="J300" s="39"/>
    </row>
    <row r="301" spans="1:10" ht="16" x14ac:dyDescent="0.2">
      <c r="A301" s="303" t="s">
        <v>2209</v>
      </c>
      <c r="B301" s="304" t="s">
        <v>902</v>
      </c>
      <c r="C301" s="303">
        <v>177</v>
      </c>
      <c r="I301" s="39"/>
      <c r="J301" s="39"/>
    </row>
    <row r="302" spans="1:10" ht="16" x14ac:dyDescent="0.2">
      <c r="A302" s="39" t="s">
        <v>2210</v>
      </c>
      <c r="B302" t="s">
        <v>902</v>
      </c>
      <c r="C302" s="39">
        <v>197</v>
      </c>
      <c r="I302" s="39"/>
      <c r="J302" s="39"/>
    </row>
    <row r="303" spans="1:10" ht="16" x14ac:dyDescent="0.2">
      <c r="A303" s="39" t="s">
        <v>2211</v>
      </c>
      <c r="B303" t="s">
        <v>902</v>
      </c>
      <c r="C303" s="39">
        <v>126</v>
      </c>
      <c r="I303" s="39"/>
      <c r="J303" s="39"/>
    </row>
    <row r="304" spans="1:10" ht="16" x14ac:dyDescent="0.2">
      <c r="A304" s="39" t="s">
        <v>2212</v>
      </c>
      <c r="B304" t="s">
        <v>902</v>
      </c>
      <c r="C304" s="39">
        <v>138</v>
      </c>
      <c r="I304" s="39"/>
      <c r="J304" s="39"/>
    </row>
    <row r="305" spans="1:10" ht="16" x14ac:dyDescent="0.2">
      <c r="A305" s="39" t="s">
        <v>2213</v>
      </c>
      <c r="B305" t="s">
        <v>902</v>
      </c>
      <c r="C305" s="39">
        <v>154</v>
      </c>
      <c r="I305" s="39"/>
      <c r="J305" s="39"/>
    </row>
    <row r="306" spans="1:10" ht="16" x14ac:dyDescent="0.2">
      <c r="A306" s="39" t="s">
        <v>2214</v>
      </c>
      <c r="B306" t="s">
        <v>902</v>
      </c>
      <c r="C306" s="39">
        <v>155</v>
      </c>
      <c r="I306" s="39"/>
      <c r="J306" s="39"/>
    </row>
    <row r="307" spans="1:10" ht="16" x14ac:dyDescent="0.2">
      <c r="A307" s="303" t="s">
        <v>2215</v>
      </c>
      <c r="B307" s="304" t="s">
        <v>902</v>
      </c>
      <c r="C307" s="303">
        <v>177</v>
      </c>
      <c r="I307" s="39"/>
      <c r="J307" s="39"/>
    </row>
    <row r="308" spans="1:10" ht="16" x14ac:dyDescent="0.2">
      <c r="A308" s="39" t="s">
        <v>2216</v>
      </c>
      <c r="B308" t="s">
        <v>902</v>
      </c>
      <c r="C308" s="39">
        <v>178</v>
      </c>
      <c r="I308" s="39"/>
      <c r="J308" s="39"/>
    </row>
    <row r="309" spans="1:10" ht="16" x14ac:dyDescent="0.2">
      <c r="A309" s="39" t="s">
        <v>2217</v>
      </c>
      <c r="B309" t="s">
        <v>902</v>
      </c>
      <c r="C309" s="39">
        <v>194</v>
      </c>
      <c r="I309" s="39"/>
      <c r="J309" s="39"/>
    </row>
    <row r="310" spans="1:10" ht="16" x14ac:dyDescent="0.2">
      <c r="A310" s="39" t="s">
        <v>2218</v>
      </c>
      <c r="B310" t="s">
        <v>902</v>
      </c>
      <c r="C310" s="39">
        <v>217</v>
      </c>
      <c r="I310" s="39"/>
      <c r="J310" s="39"/>
    </row>
    <row r="311" spans="1:10" ht="16" x14ac:dyDescent="0.2">
      <c r="A311" s="39" t="s">
        <v>2219</v>
      </c>
      <c r="B311" t="s">
        <v>902</v>
      </c>
      <c r="C311" s="39">
        <v>130</v>
      </c>
      <c r="I311" s="39"/>
      <c r="J311" s="39"/>
    </row>
    <row r="312" spans="1:10" ht="16" x14ac:dyDescent="0.2">
      <c r="A312" s="39" t="s">
        <v>2220</v>
      </c>
      <c r="B312" t="s">
        <v>902</v>
      </c>
      <c r="C312" s="39">
        <v>141</v>
      </c>
      <c r="I312" s="39"/>
      <c r="J312" s="39"/>
    </row>
    <row r="313" spans="1:10" ht="16" x14ac:dyDescent="0.2">
      <c r="A313" s="39" t="s">
        <v>2221</v>
      </c>
      <c r="B313" t="s">
        <v>902</v>
      </c>
      <c r="C313" s="39">
        <v>157</v>
      </c>
      <c r="I313" s="39"/>
      <c r="J313" s="39"/>
    </row>
    <row r="314" spans="1:10" ht="16" x14ac:dyDescent="0.2">
      <c r="A314" s="39" t="s">
        <v>2222</v>
      </c>
      <c r="B314" t="s">
        <v>902</v>
      </c>
      <c r="C314" s="39">
        <v>158</v>
      </c>
      <c r="I314" s="39"/>
      <c r="J314" s="39"/>
    </row>
    <row r="315" spans="1:10" ht="16" x14ac:dyDescent="0.2">
      <c r="A315" s="39" t="s">
        <v>2223</v>
      </c>
      <c r="B315" t="s">
        <v>902</v>
      </c>
      <c r="C315" s="39">
        <v>178</v>
      </c>
      <c r="I315" s="39"/>
      <c r="J315" s="39"/>
    </row>
    <row r="316" spans="1:10" ht="16" x14ac:dyDescent="0.2">
      <c r="A316" s="39" t="s">
        <v>2224</v>
      </c>
      <c r="B316" t="s">
        <v>902</v>
      </c>
      <c r="C316" s="39">
        <v>179</v>
      </c>
      <c r="I316" s="39"/>
      <c r="J316" s="39"/>
    </row>
    <row r="317" spans="1:10" ht="16" x14ac:dyDescent="0.2">
      <c r="A317" s="39" t="s">
        <v>2225</v>
      </c>
      <c r="B317" t="s">
        <v>902</v>
      </c>
      <c r="C317" s="39">
        <v>194</v>
      </c>
      <c r="I317" s="39"/>
      <c r="J317" s="39"/>
    </row>
    <row r="318" spans="1:10" ht="16" x14ac:dyDescent="0.2">
      <c r="A318" s="39" t="s">
        <v>2226</v>
      </c>
      <c r="B318" t="s">
        <v>902</v>
      </c>
      <c r="C318" s="39">
        <v>220</v>
      </c>
      <c r="I318" s="39"/>
      <c r="J318" s="39"/>
    </row>
    <row r="319" spans="1:10" ht="16" x14ac:dyDescent="0.2">
      <c r="A319" s="39" t="s">
        <v>2227</v>
      </c>
      <c r="B319" t="s">
        <v>902</v>
      </c>
      <c r="C319" s="39">
        <v>149</v>
      </c>
      <c r="I319" s="39"/>
      <c r="J319" s="39"/>
    </row>
    <row r="320" spans="1:10" ht="16" x14ac:dyDescent="0.2">
      <c r="A320" s="39" t="s">
        <v>2228</v>
      </c>
      <c r="B320" t="s">
        <v>902</v>
      </c>
      <c r="C320" s="39">
        <v>161</v>
      </c>
      <c r="I320" s="39"/>
      <c r="J320" s="39"/>
    </row>
    <row r="321" spans="1:10" ht="16" x14ac:dyDescent="0.2">
      <c r="A321" s="39" t="s">
        <v>2229</v>
      </c>
      <c r="B321" t="s">
        <v>902</v>
      </c>
      <c r="C321" s="39">
        <v>179</v>
      </c>
      <c r="I321" s="39"/>
      <c r="J321" s="39"/>
    </row>
    <row r="322" spans="1:10" ht="16" x14ac:dyDescent="0.2">
      <c r="A322" s="39" t="s">
        <v>2230</v>
      </c>
      <c r="B322" t="s">
        <v>902</v>
      </c>
      <c r="C322" s="39">
        <v>180</v>
      </c>
      <c r="I322" s="39"/>
      <c r="J322" s="39"/>
    </row>
    <row r="323" spans="1:10" ht="16" x14ac:dyDescent="0.2">
      <c r="A323" s="39" t="s">
        <v>2231</v>
      </c>
      <c r="B323" t="s">
        <v>902</v>
      </c>
      <c r="C323" s="39">
        <v>200</v>
      </c>
      <c r="I323" s="39"/>
      <c r="J323" s="39"/>
    </row>
    <row r="324" spans="1:10" ht="16" x14ac:dyDescent="0.2">
      <c r="A324" s="39" t="s">
        <v>2232</v>
      </c>
      <c r="B324" t="s">
        <v>902</v>
      </c>
      <c r="C324" s="39">
        <v>201</v>
      </c>
      <c r="I324" s="39"/>
      <c r="J324" s="39"/>
    </row>
    <row r="325" spans="1:10" ht="16" x14ac:dyDescent="0.2">
      <c r="A325" s="39" t="s">
        <v>2233</v>
      </c>
      <c r="B325" t="s">
        <v>902</v>
      </c>
      <c r="C325" s="39">
        <v>220</v>
      </c>
      <c r="I325" s="39"/>
      <c r="J325" s="39"/>
    </row>
    <row r="326" spans="1:10" ht="16" x14ac:dyDescent="0.2">
      <c r="A326" s="39" t="s">
        <v>2234</v>
      </c>
      <c r="B326" t="s">
        <v>902</v>
      </c>
      <c r="C326" s="39">
        <v>241</v>
      </c>
      <c r="I326" s="39"/>
      <c r="J326" s="39"/>
    </row>
    <row r="327" spans="1:10" ht="16" x14ac:dyDescent="0.2">
      <c r="A327" s="39" t="s">
        <v>2235</v>
      </c>
      <c r="B327" t="s">
        <v>902</v>
      </c>
      <c r="C327" s="39">
        <v>153</v>
      </c>
      <c r="I327" s="39"/>
      <c r="J327" s="39"/>
    </row>
    <row r="328" spans="1:10" ht="16" x14ac:dyDescent="0.2">
      <c r="A328" s="39" t="s">
        <v>2236</v>
      </c>
      <c r="B328" t="s">
        <v>902</v>
      </c>
      <c r="C328" s="39">
        <v>165</v>
      </c>
      <c r="I328" s="39"/>
      <c r="J328" s="39"/>
    </row>
    <row r="329" spans="1:10" ht="16" x14ac:dyDescent="0.2">
      <c r="A329" s="39" t="s">
        <v>2237</v>
      </c>
      <c r="B329" t="s">
        <v>902</v>
      </c>
      <c r="C329" s="39">
        <v>183</v>
      </c>
      <c r="I329" s="39"/>
      <c r="J329" s="39"/>
    </row>
    <row r="330" spans="1:10" ht="16" x14ac:dyDescent="0.2">
      <c r="A330" s="39" t="s">
        <v>2238</v>
      </c>
      <c r="B330" t="s">
        <v>902</v>
      </c>
      <c r="C330" s="39">
        <v>184</v>
      </c>
      <c r="I330" s="39"/>
      <c r="J330" s="39"/>
    </row>
    <row r="331" spans="1:10" ht="16" x14ac:dyDescent="0.2">
      <c r="A331" s="39" t="s">
        <v>2239</v>
      </c>
      <c r="B331" t="s">
        <v>902</v>
      </c>
      <c r="C331" s="39">
        <v>203</v>
      </c>
      <c r="I331" s="39"/>
      <c r="J331" s="39"/>
    </row>
    <row r="332" spans="1:10" ht="16" x14ac:dyDescent="0.2">
      <c r="A332" s="39" t="s">
        <v>2240</v>
      </c>
      <c r="B332" t="s">
        <v>902</v>
      </c>
      <c r="C332" s="39">
        <v>204</v>
      </c>
      <c r="I332" s="39"/>
      <c r="J332" s="39"/>
    </row>
    <row r="333" spans="1:10" ht="16" x14ac:dyDescent="0.2">
      <c r="A333" s="39" t="s">
        <v>2241</v>
      </c>
      <c r="B333" t="s">
        <v>902</v>
      </c>
      <c r="C333" s="39">
        <v>224</v>
      </c>
      <c r="I333" s="39"/>
      <c r="J333" s="39"/>
    </row>
    <row r="334" spans="1:10" ht="16" x14ac:dyDescent="0.2">
      <c r="A334" s="39" t="s">
        <v>2242</v>
      </c>
      <c r="B334" t="s">
        <v>902</v>
      </c>
      <c r="C334" s="39">
        <v>245</v>
      </c>
      <c r="I334" s="39"/>
      <c r="J334" s="39"/>
    </row>
    <row r="335" spans="1:10" ht="16" x14ac:dyDescent="0.2">
      <c r="A335" s="39" t="s">
        <v>2243</v>
      </c>
      <c r="B335" t="s">
        <v>902</v>
      </c>
      <c r="C335" s="39">
        <v>171</v>
      </c>
      <c r="I335" s="39"/>
      <c r="J335" s="39"/>
    </row>
    <row r="336" spans="1:10" ht="16" x14ac:dyDescent="0.2">
      <c r="A336" s="39" t="s">
        <v>2244</v>
      </c>
      <c r="B336" t="s">
        <v>902</v>
      </c>
      <c r="C336" s="39">
        <v>185</v>
      </c>
      <c r="I336" s="39"/>
      <c r="J336" s="39"/>
    </row>
    <row r="337" spans="1:10" ht="16" x14ac:dyDescent="0.2">
      <c r="A337" s="39" t="s">
        <v>2245</v>
      </c>
      <c r="B337" t="s">
        <v>902</v>
      </c>
      <c r="C337" s="39">
        <v>205</v>
      </c>
      <c r="I337" s="39"/>
      <c r="J337" s="39"/>
    </row>
    <row r="338" spans="1:10" ht="16" x14ac:dyDescent="0.2">
      <c r="A338" s="39" t="s">
        <v>2246</v>
      </c>
      <c r="B338" t="s">
        <v>902</v>
      </c>
      <c r="C338" s="39">
        <v>206</v>
      </c>
      <c r="I338" s="39"/>
      <c r="J338" s="39"/>
    </row>
    <row r="339" spans="1:10" ht="16" x14ac:dyDescent="0.2">
      <c r="A339" s="39" t="s">
        <v>2247</v>
      </c>
      <c r="B339" t="s">
        <v>902</v>
      </c>
      <c r="C339" s="39">
        <v>226</v>
      </c>
      <c r="I339" s="39"/>
      <c r="J339" s="39"/>
    </row>
    <row r="340" spans="1:10" ht="16" x14ac:dyDescent="0.2">
      <c r="A340" s="39" t="s">
        <v>2248</v>
      </c>
      <c r="B340" t="s">
        <v>902</v>
      </c>
      <c r="C340" s="39">
        <v>227</v>
      </c>
      <c r="I340" s="39"/>
      <c r="J340" s="39"/>
    </row>
    <row r="341" spans="1:10" ht="16" x14ac:dyDescent="0.2">
      <c r="A341" s="39" t="s">
        <v>2249</v>
      </c>
      <c r="B341" t="s">
        <v>902</v>
      </c>
      <c r="C341" s="39">
        <v>249</v>
      </c>
      <c r="I341" s="39"/>
      <c r="J341" s="39"/>
    </row>
    <row r="342" spans="1:10" ht="16" x14ac:dyDescent="0.2">
      <c r="A342" s="39" t="s">
        <v>2250</v>
      </c>
      <c r="B342" t="s">
        <v>902</v>
      </c>
      <c r="C342" s="39">
        <v>272</v>
      </c>
      <c r="I342" s="39"/>
      <c r="J342" s="39"/>
    </row>
    <row r="343" spans="1:10" x14ac:dyDescent="0.2">
      <c r="I343" s="39"/>
      <c r="J343" s="39"/>
    </row>
    <row r="344" spans="1:10" x14ac:dyDescent="0.2">
      <c r="I344" s="39"/>
      <c r="J344" s="39"/>
    </row>
    <row r="345" spans="1:10" x14ac:dyDescent="0.2">
      <c r="A345" s="1075" t="s">
        <v>436</v>
      </c>
      <c r="B345" s="1076"/>
      <c r="C345" s="1076"/>
      <c r="D345" s="1076"/>
      <c r="E345" s="1077"/>
      <c r="I345" s="39"/>
      <c r="J345" s="39"/>
    </row>
    <row r="346" spans="1:10" x14ac:dyDescent="0.2">
      <c r="A346" t="s">
        <v>1432</v>
      </c>
      <c r="B346" t="s">
        <v>467</v>
      </c>
      <c r="C346">
        <v>1000</v>
      </c>
      <c r="D346" t="s">
        <v>466</v>
      </c>
      <c r="E346">
        <v>902</v>
      </c>
      <c r="I346" s="39"/>
      <c r="J346" s="39"/>
    </row>
    <row r="347" spans="1:10" x14ac:dyDescent="0.2">
      <c r="A347" t="s">
        <v>400</v>
      </c>
      <c r="B347" t="s">
        <v>467</v>
      </c>
      <c r="C347">
        <v>1000</v>
      </c>
      <c r="D347" t="s">
        <v>466</v>
      </c>
      <c r="E347">
        <v>1070</v>
      </c>
      <c r="I347" s="39"/>
      <c r="J347" s="39"/>
    </row>
    <row r="348" spans="1:10" x14ac:dyDescent="0.2">
      <c r="A348" t="s">
        <v>401</v>
      </c>
      <c r="B348" t="s">
        <v>467</v>
      </c>
      <c r="C348">
        <v>1000</v>
      </c>
      <c r="D348" t="s">
        <v>466</v>
      </c>
      <c r="E348">
        <v>1510</v>
      </c>
      <c r="I348" s="39"/>
      <c r="J348" s="39"/>
    </row>
    <row r="349" spans="1:10" x14ac:dyDescent="0.2">
      <c r="A349" t="s">
        <v>402</v>
      </c>
      <c r="B349" t="s">
        <v>467</v>
      </c>
      <c r="C349">
        <v>1000</v>
      </c>
      <c r="D349" t="s">
        <v>466</v>
      </c>
      <c r="E349">
        <v>1820</v>
      </c>
      <c r="I349" s="39"/>
      <c r="J349" s="39"/>
    </row>
    <row r="350" spans="1:10" x14ac:dyDescent="0.2">
      <c r="A350" t="s">
        <v>403</v>
      </c>
      <c r="B350" t="s">
        <v>467</v>
      </c>
      <c r="C350">
        <v>1000</v>
      </c>
      <c r="D350" t="s">
        <v>466</v>
      </c>
      <c r="E350">
        <v>1820</v>
      </c>
      <c r="I350" s="39"/>
      <c r="J350" s="39"/>
    </row>
    <row r="351" spans="1:10" x14ac:dyDescent="0.2">
      <c r="A351" t="s">
        <v>404</v>
      </c>
      <c r="B351" t="s">
        <v>467</v>
      </c>
      <c r="C351">
        <v>1000</v>
      </c>
      <c r="D351" t="s">
        <v>466</v>
      </c>
      <c r="E351">
        <v>2040</v>
      </c>
      <c r="I351" s="39"/>
      <c r="J351" s="39"/>
    </row>
    <row r="352" spans="1:10" x14ac:dyDescent="0.2">
      <c r="A352" t="s">
        <v>405</v>
      </c>
      <c r="B352" t="s">
        <v>467</v>
      </c>
      <c r="C352">
        <v>1000</v>
      </c>
      <c r="D352" t="s">
        <v>466</v>
      </c>
      <c r="E352">
        <v>2040</v>
      </c>
    </row>
    <row r="353" spans="1:5" x14ac:dyDescent="0.2">
      <c r="A353" t="s">
        <v>420</v>
      </c>
      <c r="B353" t="s">
        <v>467</v>
      </c>
      <c r="C353">
        <v>1000</v>
      </c>
      <c r="D353" t="s">
        <v>466</v>
      </c>
      <c r="E353">
        <v>2210</v>
      </c>
    </row>
    <row r="354" spans="1:5" x14ac:dyDescent="0.2">
      <c r="A354" t="s">
        <v>421</v>
      </c>
      <c r="B354" t="s">
        <v>467</v>
      </c>
      <c r="C354">
        <v>1000</v>
      </c>
      <c r="D354" t="s">
        <v>466</v>
      </c>
      <c r="E354">
        <v>2340</v>
      </c>
    </row>
    <row r="356" spans="1:5" x14ac:dyDescent="0.2">
      <c r="A356" t="s">
        <v>418</v>
      </c>
      <c r="B356" t="s">
        <v>445</v>
      </c>
      <c r="C356">
        <v>16</v>
      </c>
    </row>
    <row r="357" spans="1:5" x14ac:dyDescent="0.2">
      <c r="A357" t="s">
        <v>1443</v>
      </c>
      <c r="B357" t="s">
        <v>445</v>
      </c>
      <c r="C357">
        <f t="shared" ref="C357:C365" si="0">E346/C346*C102</f>
        <v>81.252160000000003</v>
      </c>
    </row>
    <row r="358" spans="1:5" x14ac:dyDescent="0.2">
      <c r="A358" t="s">
        <v>419</v>
      </c>
      <c r="B358" t="s">
        <v>445</v>
      </c>
      <c r="C358">
        <f t="shared" si="0"/>
        <v>64.253500000000003</v>
      </c>
    </row>
    <row r="359" spans="1:5" x14ac:dyDescent="0.2">
      <c r="A359" t="s">
        <v>401</v>
      </c>
      <c r="B359" t="s">
        <v>445</v>
      </c>
      <c r="C359">
        <f t="shared" si="0"/>
        <v>111.8608</v>
      </c>
    </row>
    <row r="360" spans="1:5" x14ac:dyDescent="0.2">
      <c r="A360" t="s">
        <v>402</v>
      </c>
      <c r="B360" t="s">
        <v>445</v>
      </c>
      <c r="C360">
        <f t="shared" si="0"/>
        <v>160.36019999999999</v>
      </c>
    </row>
    <row r="361" spans="1:5" x14ac:dyDescent="0.2">
      <c r="A361" t="s">
        <v>403</v>
      </c>
      <c r="B361" t="s">
        <v>445</v>
      </c>
      <c r="C361">
        <f t="shared" si="0"/>
        <v>160.36019999999999</v>
      </c>
    </row>
    <row r="362" spans="1:5" x14ac:dyDescent="0.2">
      <c r="A362" t="s">
        <v>404</v>
      </c>
      <c r="B362" t="s">
        <v>445</v>
      </c>
      <c r="C362">
        <f t="shared" si="0"/>
        <v>208.34520000000001</v>
      </c>
    </row>
    <row r="363" spans="1:5" x14ac:dyDescent="0.2">
      <c r="A363" t="s">
        <v>405</v>
      </c>
      <c r="B363" t="s">
        <v>445</v>
      </c>
      <c r="C363">
        <f t="shared" si="0"/>
        <v>208.34520000000001</v>
      </c>
    </row>
    <row r="364" spans="1:5" x14ac:dyDescent="0.2">
      <c r="A364" t="s">
        <v>420</v>
      </c>
      <c r="B364" t="s">
        <v>445</v>
      </c>
      <c r="C364">
        <f t="shared" si="0"/>
        <v>256.71359999999999</v>
      </c>
    </row>
    <row r="365" spans="1:5" x14ac:dyDescent="0.2">
      <c r="A365" t="s">
        <v>421</v>
      </c>
      <c r="B365" t="s">
        <v>445</v>
      </c>
      <c r="C365">
        <f t="shared" si="0"/>
        <v>304.62119999999999</v>
      </c>
    </row>
    <row r="366" spans="1:5" x14ac:dyDescent="0.2">
      <c r="A366" t="s">
        <v>482</v>
      </c>
      <c r="B366" t="s">
        <v>445</v>
      </c>
      <c r="C366">
        <v>2</v>
      </c>
    </row>
    <row r="367" spans="1:5" x14ac:dyDescent="0.2">
      <c r="A367" t="s">
        <v>1375</v>
      </c>
      <c r="B367" t="s">
        <v>1376</v>
      </c>
      <c r="C367">
        <v>2.5</v>
      </c>
    </row>
    <row r="370" spans="1:4" x14ac:dyDescent="0.2">
      <c r="A370" s="1078" t="s">
        <v>1626</v>
      </c>
      <c r="B370" s="1076"/>
      <c r="C370" s="1076"/>
      <c r="D370" s="1077"/>
    </row>
    <row r="371" spans="1:4" ht="15" customHeight="1" x14ac:dyDescent="0.2">
      <c r="A371" t="s">
        <v>1396</v>
      </c>
      <c r="C371">
        <v>4.74</v>
      </c>
    </row>
    <row r="372" spans="1:4" ht="15.75" customHeight="1" x14ac:dyDescent="0.2">
      <c r="A372" t="s">
        <v>1397</v>
      </c>
      <c r="C372">
        <v>-6.3</v>
      </c>
    </row>
    <row r="373" spans="1:4" x14ac:dyDescent="0.2">
      <c r="A373" t="s">
        <v>1398</v>
      </c>
      <c r="C373">
        <v>-3</v>
      </c>
    </row>
    <row r="374" spans="1:4" x14ac:dyDescent="0.2">
      <c r="A374" t="s">
        <v>1399</v>
      </c>
      <c r="C374">
        <v>1.92</v>
      </c>
    </row>
    <row r="375" spans="1:4" x14ac:dyDescent="0.2">
      <c r="A375" t="s">
        <v>1401</v>
      </c>
      <c r="C375">
        <v>2.14</v>
      </c>
    </row>
    <row r="376" spans="1:4" x14ac:dyDescent="0.2">
      <c r="A376" t="s">
        <v>1402</v>
      </c>
      <c r="C376">
        <v>7.21</v>
      </c>
    </row>
    <row r="377" spans="1:4" x14ac:dyDescent="0.2">
      <c r="A377" t="s">
        <v>1403</v>
      </c>
      <c r="C377">
        <v>12.68</v>
      </c>
    </row>
    <row r="378" spans="1:4" x14ac:dyDescent="0.2">
      <c r="A378" t="s">
        <v>1400</v>
      </c>
      <c r="C378">
        <v>9.26</v>
      </c>
    </row>
    <row r="379" spans="1:4" x14ac:dyDescent="0.2">
      <c r="A379" t="s">
        <v>1444</v>
      </c>
      <c r="B379" t="s">
        <v>1437</v>
      </c>
      <c r="C379">
        <v>3.86</v>
      </c>
    </row>
    <row r="380" spans="1:4" x14ac:dyDescent="0.2">
      <c r="A380" s="1078" t="s">
        <v>1627</v>
      </c>
      <c r="B380" s="1076"/>
      <c r="C380" s="1076"/>
      <c r="D380" s="1077"/>
    </row>
    <row r="381" spans="1:4" x14ac:dyDescent="0.2">
      <c r="A381" t="s">
        <v>1400</v>
      </c>
      <c r="C381">
        <v>8.5399999999999991</v>
      </c>
    </row>
    <row r="382" spans="1:4" x14ac:dyDescent="0.2">
      <c r="A382" t="s">
        <v>1396</v>
      </c>
      <c r="C382">
        <v>4.66</v>
      </c>
    </row>
    <row r="383" spans="1:4" x14ac:dyDescent="0.2">
      <c r="A383" t="s">
        <v>1399</v>
      </c>
      <c r="C383">
        <v>1.8</v>
      </c>
    </row>
    <row r="384" spans="1:4" x14ac:dyDescent="0.2">
      <c r="A384" t="s">
        <v>1401</v>
      </c>
      <c r="C384">
        <v>2</v>
      </c>
    </row>
    <row r="385" spans="1:4" x14ac:dyDescent="0.2">
      <c r="A385" t="s">
        <v>1402</v>
      </c>
      <c r="C385">
        <v>6.7</v>
      </c>
    </row>
    <row r="386" spans="1:4" x14ac:dyDescent="0.2">
      <c r="A386" t="s">
        <v>1403</v>
      </c>
      <c r="C386">
        <v>11.8</v>
      </c>
    </row>
    <row r="389" spans="1:4" x14ac:dyDescent="0.2">
      <c r="A389" s="1078" t="s">
        <v>1158</v>
      </c>
      <c r="B389" s="1076"/>
      <c r="C389" s="1076"/>
      <c r="D389" s="1077"/>
    </row>
    <row r="390" spans="1:4" x14ac:dyDescent="0.2">
      <c r="A390">
        <v>400</v>
      </c>
      <c r="B390" t="s">
        <v>1149</v>
      </c>
      <c r="C390">
        <v>1.35</v>
      </c>
      <c r="D390" t="s">
        <v>1150</v>
      </c>
    </row>
    <row r="391" spans="1:4" x14ac:dyDescent="0.2">
      <c r="A391">
        <v>500</v>
      </c>
      <c r="B391" t="s">
        <v>1149</v>
      </c>
      <c r="C391">
        <v>1.45</v>
      </c>
      <c r="D391" t="s">
        <v>1150</v>
      </c>
    </row>
    <row r="392" spans="1:4" x14ac:dyDescent="0.2">
      <c r="A392">
        <v>600</v>
      </c>
      <c r="B392" t="s">
        <v>1149</v>
      </c>
      <c r="C392">
        <v>1.6</v>
      </c>
      <c r="D392" t="s">
        <v>1150</v>
      </c>
    </row>
    <row r="393" spans="1:4" x14ac:dyDescent="0.2">
      <c r="A393">
        <v>700</v>
      </c>
      <c r="B393" t="s">
        <v>1149</v>
      </c>
      <c r="C393">
        <v>1.8</v>
      </c>
      <c r="D393" t="s">
        <v>1150</v>
      </c>
    </row>
    <row r="394" spans="1:4" x14ac:dyDescent="0.2">
      <c r="A394">
        <v>800</v>
      </c>
      <c r="B394" t="s">
        <v>1149</v>
      </c>
      <c r="C394">
        <v>1.9</v>
      </c>
      <c r="D394" t="s">
        <v>1150</v>
      </c>
    </row>
    <row r="395" spans="1:4" x14ac:dyDescent="0.2">
      <c r="A395">
        <v>900</v>
      </c>
      <c r="B395" t="s">
        <v>1149</v>
      </c>
      <c r="C395">
        <v>2.2999999999999998</v>
      </c>
      <c r="D395" t="s">
        <v>1150</v>
      </c>
    </row>
    <row r="396" spans="1:4" x14ac:dyDescent="0.2">
      <c r="A396" s="133" t="s">
        <v>1151</v>
      </c>
      <c r="B396" t="s">
        <v>1149</v>
      </c>
      <c r="C396">
        <v>2.5</v>
      </c>
      <c r="D396" t="s">
        <v>1150</v>
      </c>
    </row>
    <row r="399" spans="1:4" x14ac:dyDescent="0.2">
      <c r="A399" s="1078" t="s">
        <v>2002</v>
      </c>
      <c r="B399" s="1076"/>
      <c r="C399" s="1076"/>
      <c r="D399" s="1077"/>
    </row>
    <row r="400" spans="1:4" x14ac:dyDescent="0.2">
      <c r="A400" t="s">
        <v>2000</v>
      </c>
      <c r="B400" s="103" t="s">
        <v>2001</v>
      </c>
      <c r="C400">
        <v>13.5</v>
      </c>
    </row>
    <row r="401" spans="1:3" x14ac:dyDescent="0.2">
      <c r="A401" t="s">
        <v>410</v>
      </c>
      <c r="B401" s="103" t="s">
        <v>2001</v>
      </c>
      <c r="C401">
        <v>4.8</v>
      </c>
    </row>
    <row r="402" spans="1:3" x14ac:dyDescent="0.2">
      <c r="A402" t="s">
        <v>412</v>
      </c>
      <c r="B402" s="103" t="s">
        <v>2001</v>
      </c>
      <c r="C402">
        <v>1.7</v>
      </c>
    </row>
    <row r="403" spans="1:3" x14ac:dyDescent="0.2">
      <c r="A403" t="s">
        <v>411</v>
      </c>
      <c r="B403" s="103" t="s">
        <v>2001</v>
      </c>
      <c r="C403">
        <v>2</v>
      </c>
    </row>
    <row r="404" spans="1:3" x14ac:dyDescent="0.2">
      <c r="A404" t="s">
        <v>413</v>
      </c>
      <c r="B404" s="103" t="s">
        <v>2001</v>
      </c>
      <c r="C404">
        <v>0.7</v>
      </c>
    </row>
    <row r="405" spans="1:3" x14ac:dyDescent="0.2">
      <c r="A405" t="s">
        <v>414</v>
      </c>
      <c r="B405" s="103" t="s">
        <v>2001</v>
      </c>
      <c r="C405">
        <v>0.76</v>
      </c>
    </row>
    <row r="406" spans="1:3" x14ac:dyDescent="0.2">
      <c r="A406" t="s">
        <v>415</v>
      </c>
      <c r="B406" s="103" t="s">
        <v>2001</v>
      </c>
      <c r="C406">
        <v>0.26</v>
      </c>
    </row>
    <row r="407" spans="1:3" x14ac:dyDescent="0.2">
      <c r="A407" t="s">
        <v>400</v>
      </c>
      <c r="B407" s="103" t="s">
        <v>2001</v>
      </c>
      <c r="C407">
        <v>12.3</v>
      </c>
    </row>
    <row r="408" spans="1:3" x14ac:dyDescent="0.2">
      <c r="A408" t="s">
        <v>401</v>
      </c>
      <c r="B408" s="103" t="s">
        <v>2001</v>
      </c>
      <c r="C408">
        <v>2</v>
      </c>
    </row>
    <row r="409" spans="1:3" x14ac:dyDescent="0.2">
      <c r="A409" t="s">
        <v>402</v>
      </c>
      <c r="B409" s="103" t="s">
        <v>2001</v>
      </c>
      <c r="C409">
        <v>0.85</v>
      </c>
    </row>
    <row r="410" spans="1:3" x14ac:dyDescent="0.2">
      <c r="A410" t="s">
        <v>403</v>
      </c>
      <c r="B410" s="103" t="s">
        <v>2001</v>
      </c>
      <c r="C410">
        <v>1.1000000000000001</v>
      </c>
    </row>
    <row r="411" spans="1:3" x14ac:dyDescent="0.2">
      <c r="A411" t="s">
        <v>404</v>
      </c>
      <c r="B411" s="103" t="s">
        <v>2001</v>
      </c>
      <c r="C411">
        <v>0.18</v>
      </c>
    </row>
    <row r="412" spans="1:3" x14ac:dyDescent="0.2">
      <c r="A412" t="s">
        <v>405</v>
      </c>
      <c r="B412" s="103" t="s">
        <v>2001</v>
      </c>
      <c r="C412">
        <v>0.24</v>
      </c>
    </row>
    <row r="413" spans="1:3" x14ac:dyDescent="0.2">
      <c r="A413" t="s">
        <v>420</v>
      </c>
      <c r="B413" s="103" t="s">
        <v>2001</v>
      </c>
      <c r="C413">
        <v>0.06</v>
      </c>
    </row>
    <row r="414" spans="1:3" x14ac:dyDescent="0.2">
      <c r="A414" t="s">
        <v>421</v>
      </c>
      <c r="B414" s="103" t="s">
        <v>2001</v>
      </c>
      <c r="C414">
        <v>0.03</v>
      </c>
    </row>
    <row r="415" spans="1:3" x14ac:dyDescent="0.2">
      <c r="A415" t="s">
        <v>393</v>
      </c>
      <c r="B415" s="103" t="s">
        <v>2001</v>
      </c>
      <c r="C415" t="s">
        <v>2038</v>
      </c>
    </row>
    <row r="416" spans="1:3" x14ac:dyDescent="0.2">
      <c r="A416" t="s">
        <v>394</v>
      </c>
      <c r="B416" s="103" t="s">
        <v>2001</v>
      </c>
      <c r="C416" t="s">
        <v>2038</v>
      </c>
    </row>
    <row r="417" spans="1:3" x14ac:dyDescent="0.2">
      <c r="A417" t="s">
        <v>396</v>
      </c>
      <c r="B417" s="103" t="s">
        <v>2001</v>
      </c>
      <c r="C417" t="s">
        <v>2038</v>
      </c>
    </row>
    <row r="418" spans="1:3" x14ac:dyDescent="0.2">
      <c r="A418" t="s">
        <v>395</v>
      </c>
      <c r="B418" s="103" t="s">
        <v>2001</v>
      </c>
      <c r="C418" t="s">
        <v>2038</v>
      </c>
    </row>
    <row r="419" spans="1:3" x14ac:dyDescent="0.2">
      <c r="A419" t="s">
        <v>397</v>
      </c>
      <c r="B419" s="103" t="s">
        <v>2001</v>
      </c>
      <c r="C419" t="s">
        <v>2038</v>
      </c>
    </row>
    <row r="420" spans="1:3" x14ac:dyDescent="0.2">
      <c r="A420" t="s">
        <v>398</v>
      </c>
      <c r="B420" s="103" t="s">
        <v>2001</v>
      </c>
      <c r="C420" t="s">
        <v>2038</v>
      </c>
    </row>
    <row r="421" spans="1:3" x14ac:dyDescent="0.2">
      <c r="A421" t="s">
        <v>578</v>
      </c>
      <c r="B421" s="103" t="s">
        <v>2001</v>
      </c>
      <c r="C421" t="s">
        <v>2038</v>
      </c>
    </row>
    <row r="422" spans="1:3" x14ac:dyDescent="0.2">
      <c r="A422" t="s">
        <v>407</v>
      </c>
      <c r="B422" s="103" t="s">
        <v>2001</v>
      </c>
      <c r="C422" t="s">
        <v>2038</v>
      </c>
    </row>
    <row r="423" spans="1:3" x14ac:dyDescent="0.2">
      <c r="A423" t="s">
        <v>1686</v>
      </c>
      <c r="B423" s="103" t="s">
        <v>2001</v>
      </c>
      <c r="C423" t="s">
        <v>2038</v>
      </c>
    </row>
    <row r="424" spans="1:3" x14ac:dyDescent="0.2">
      <c r="A424" t="s">
        <v>1687</v>
      </c>
      <c r="B424" s="103" t="s">
        <v>2001</v>
      </c>
      <c r="C424">
        <v>819</v>
      </c>
    </row>
    <row r="425" spans="1:3" x14ac:dyDescent="0.2">
      <c r="A425" t="s">
        <v>1164</v>
      </c>
      <c r="B425" s="103" t="s">
        <v>2001</v>
      </c>
      <c r="C425" t="s">
        <v>2038</v>
      </c>
    </row>
    <row r="426" spans="1:3" x14ac:dyDescent="0.2">
      <c r="A426" t="s">
        <v>1688</v>
      </c>
      <c r="B426" s="103" t="s">
        <v>2001</v>
      </c>
      <c r="C426" t="s">
        <v>2038</v>
      </c>
    </row>
    <row r="427" spans="1:3" x14ac:dyDescent="0.2">
      <c r="A427" t="s">
        <v>1689</v>
      </c>
      <c r="B427" s="103" t="s">
        <v>2001</v>
      </c>
      <c r="C427" t="s">
        <v>2038</v>
      </c>
    </row>
    <row r="428" spans="1:3" x14ac:dyDescent="0.2">
      <c r="A428" t="s">
        <v>1690</v>
      </c>
      <c r="B428" s="103" t="s">
        <v>2001</v>
      </c>
      <c r="C428" t="s">
        <v>2038</v>
      </c>
    </row>
    <row r="429" spans="1:3" x14ac:dyDescent="0.2">
      <c r="A429" t="s">
        <v>1691</v>
      </c>
      <c r="B429" s="103" t="s">
        <v>2001</v>
      </c>
      <c r="C429" t="s">
        <v>2038</v>
      </c>
    </row>
    <row r="430" spans="1:3" x14ac:dyDescent="0.2">
      <c r="A430" t="s">
        <v>1692</v>
      </c>
      <c r="B430" s="103" t="s">
        <v>2001</v>
      </c>
      <c r="C430" t="s">
        <v>2038</v>
      </c>
    </row>
    <row r="431" spans="1:3" x14ac:dyDescent="0.2">
      <c r="A431" t="s">
        <v>1693</v>
      </c>
      <c r="B431" s="103" t="s">
        <v>2001</v>
      </c>
      <c r="C431" t="s">
        <v>2038</v>
      </c>
    </row>
    <row r="432" spans="1:3" x14ac:dyDescent="0.2">
      <c r="A432" t="s">
        <v>1678</v>
      </c>
      <c r="B432" s="103" t="s">
        <v>2001</v>
      </c>
      <c r="C432" t="s">
        <v>2038</v>
      </c>
    </row>
    <row r="433" spans="1:4" x14ac:dyDescent="0.2">
      <c r="A433" t="s">
        <v>482</v>
      </c>
      <c r="B433" s="103" t="s">
        <v>2001</v>
      </c>
      <c r="C433">
        <v>865</v>
      </c>
    </row>
    <row r="434" spans="1:4" x14ac:dyDescent="0.2">
      <c r="B434" s="103"/>
    </row>
    <row r="436" spans="1:4" x14ac:dyDescent="0.2">
      <c r="A436" s="1078" t="s">
        <v>2003</v>
      </c>
      <c r="B436" s="1076"/>
      <c r="C436" s="1076"/>
      <c r="D436" s="1077"/>
    </row>
    <row r="437" spans="1:4" x14ac:dyDescent="0.2">
      <c r="A437" t="s">
        <v>2000</v>
      </c>
      <c r="B437" s="103" t="s">
        <v>2004</v>
      </c>
      <c r="C437">
        <v>1.69</v>
      </c>
    </row>
    <row r="438" spans="1:4" x14ac:dyDescent="0.2">
      <c r="A438" t="s">
        <v>410</v>
      </c>
      <c r="B438" s="103" t="s">
        <v>2004</v>
      </c>
      <c r="C438">
        <v>1.68</v>
      </c>
    </row>
    <row r="439" spans="1:4" x14ac:dyDescent="0.2">
      <c r="A439" t="s">
        <v>412</v>
      </c>
      <c r="B439" s="103" t="s">
        <v>2004</v>
      </c>
      <c r="C439">
        <v>1.66</v>
      </c>
    </row>
    <row r="440" spans="1:4" x14ac:dyDescent="0.2">
      <c r="A440" t="s">
        <v>411</v>
      </c>
      <c r="B440" s="103" t="s">
        <v>2004</v>
      </c>
      <c r="C440">
        <v>1.66</v>
      </c>
    </row>
    <row r="441" spans="1:4" x14ac:dyDescent="0.2">
      <c r="A441" t="s">
        <v>413</v>
      </c>
      <c r="B441" s="103" t="s">
        <v>2004</v>
      </c>
      <c r="C441">
        <v>1.64</v>
      </c>
    </row>
    <row r="442" spans="1:4" x14ac:dyDescent="0.2">
      <c r="A442" t="s">
        <v>414</v>
      </c>
      <c r="B442" s="103" t="s">
        <v>2004</v>
      </c>
      <c r="C442">
        <v>1.63</v>
      </c>
    </row>
    <row r="443" spans="1:4" x14ac:dyDescent="0.2">
      <c r="A443" t="s">
        <v>415</v>
      </c>
      <c r="B443" s="103" t="s">
        <v>2004</v>
      </c>
      <c r="C443">
        <v>1.6</v>
      </c>
    </row>
    <row r="444" spans="1:4" x14ac:dyDescent="0.2">
      <c r="A444" t="s">
        <v>400</v>
      </c>
      <c r="B444" s="103" t="s">
        <v>2004</v>
      </c>
      <c r="C444">
        <v>1.74</v>
      </c>
    </row>
    <row r="445" spans="1:4" x14ac:dyDescent="0.2">
      <c r="A445" t="s">
        <v>401</v>
      </c>
      <c r="B445" s="103" t="s">
        <v>2004</v>
      </c>
      <c r="C445">
        <v>1.68</v>
      </c>
    </row>
    <row r="446" spans="1:4" x14ac:dyDescent="0.2">
      <c r="A446" t="s">
        <v>402</v>
      </c>
      <c r="B446" s="103" t="s">
        <v>2004</v>
      </c>
      <c r="C446">
        <v>1.64</v>
      </c>
    </row>
    <row r="447" spans="1:4" x14ac:dyDescent="0.2">
      <c r="A447" t="s">
        <v>403</v>
      </c>
      <c r="B447" s="103" t="s">
        <v>2004</v>
      </c>
      <c r="C447">
        <v>1.64</v>
      </c>
    </row>
    <row r="448" spans="1:4" x14ac:dyDescent="0.2">
      <c r="A448" t="s">
        <v>404</v>
      </c>
      <c r="B448" s="103" t="s">
        <v>2004</v>
      </c>
      <c r="C448">
        <v>1.63</v>
      </c>
    </row>
    <row r="449" spans="1:3" x14ac:dyDescent="0.2">
      <c r="A449" t="s">
        <v>405</v>
      </c>
      <c r="B449" s="103" t="s">
        <v>2004</v>
      </c>
      <c r="C449">
        <v>1.63</v>
      </c>
    </row>
    <row r="450" spans="1:3" x14ac:dyDescent="0.2">
      <c r="A450" t="s">
        <v>420</v>
      </c>
      <c r="B450" s="103" t="s">
        <v>2004</v>
      </c>
      <c r="C450">
        <v>1.62</v>
      </c>
    </row>
    <row r="451" spans="1:3" x14ac:dyDescent="0.2">
      <c r="A451" t="s">
        <v>421</v>
      </c>
      <c r="B451" s="103" t="s">
        <v>2004</v>
      </c>
      <c r="C451">
        <v>1.6</v>
      </c>
    </row>
    <row r="452" spans="1:3" x14ac:dyDescent="0.2">
      <c r="A452" t="s">
        <v>393</v>
      </c>
      <c r="B452" s="103" t="s">
        <v>2004</v>
      </c>
      <c r="C452" t="s">
        <v>2038</v>
      </c>
    </row>
    <row r="453" spans="1:3" x14ac:dyDescent="0.2">
      <c r="A453" t="s">
        <v>394</v>
      </c>
      <c r="B453" s="103" t="s">
        <v>2004</v>
      </c>
      <c r="C453" t="s">
        <v>2038</v>
      </c>
    </row>
    <row r="454" spans="1:3" x14ac:dyDescent="0.2">
      <c r="A454" t="s">
        <v>396</v>
      </c>
      <c r="B454" s="103" t="s">
        <v>2004</v>
      </c>
      <c r="C454" t="s">
        <v>2038</v>
      </c>
    </row>
    <row r="455" spans="1:3" x14ac:dyDescent="0.2">
      <c r="A455" t="s">
        <v>395</v>
      </c>
      <c r="B455" s="103" t="s">
        <v>2004</v>
      </c>
      <c r="C455" t="s">
        <v>2038</v>
      </c>
    </row>
    <row r="456" spans="1:3" x14ac:dyDescent="0.2">
      <c r="A456" t="s">
        <v>397</v>
      </c>
      <c r="B456" s="103" t="s">
        <v>2004</v>
      </c>
      <c r="C456" t="s">
        <v>2038</v>
      </c>
    </row>
    <row r="457" spans="1:3" x14ac:dyDescent="0.2">
      <c r="A457" t="s">
        <v>398</v>
      </c>
      <c r="B457" s="103" t="s">
        <v>2004</v>
      </c>
      <c r="C457" t="s">
        <v>2038</v>
      </c>
    </row>
    <row r="458" spans="1:3" x14ac:dyDescent="0.2">
      <c r="A458" t="s">
        <v>578</v>
      </c>
      <c r="B458" s="103" t="s">
        <v>2004</v>
      </c>
      <c r="C458" t="s">
        <v>2038</v>
      </c>
    </row>
    <row r="459" spans="1:3" x14ac:dyDescent="0.2">
      <c r="A459" t="s">
        <v>407</v>
      </c>
      <c r="B459" s="103" t="s">
        <v>2004</v>
      </c>
      <c r="C459" t="s">
        <v>2038</v>
      </c>
    </row>
    <row r="460" spans="1:3" x14ac:dyDescent="0.2">
      <c r="A460" t="s">
        <v>1686</v>
      </c>
      <c r="B460" s="103" t="s">
        <v>2004</v>
      </c>
      <c r="C460" t="s">
        <v>2038</v>
      </c>
    </row>
    <row r="461" spans="1:3" x14ac:dyDescent="0.2">
      <c r="A461" t="s">
        <v>1687</v>
      </c>
      <c r="B461" s="103" t="s">
        <v>2004</v>
      </c>
      <c r="C461">
        <v>1.08</v>
      </c>
    </row>
    <row r="462" spans="1:3" x14ac:dyDescent="0.2">
      <c r="A462" t="s">
        <v>1164</v>
      </c>
      <c r="B462" s="103" t="s">
        <v>2004</v>
      </c>
      <c r="C462">
        <v>2.9</v>
      </c>
    </row>
    <row r="463" spans="1:3" x14ac:dyDescent="0.2">
      <c r="A463" t="s">
        <v>1688</v>
      </c>
      <c r="B463" s="103" t="s">
        <v>2004</v>
      </c>
      <c r="C463">
        <v>3.2</v>
      </c>
    </row>
    <row r="464" spans="1:3" x14ac:dyDescent="0.2">
      <c r="A464" t="s">
        <v>1689</v>
      </c>
      <c r="B464" s="103" t="s">
        <v>2004</v>
      </c>
      <c r="C464">
        <v>3.1</v>
      </c>
    </row>
    <row r="465" spans="1:4" x14ac:dyDescent="0.2">
      <c r="A465" t="s">
        <v>1690</v>
      </c>
      <c r="B465" s="103" t="s">
        <v>2004</v>
      </c>
      <c r="C465">
        <v>3.25</v>
      </c>
    </row>
    <row r="466" spans="1:4" x14ac:dyDescent="0.2">
      <c r="A466" t="s">
        <v>1691</v>
      </c>
      <c r="B466" s="103" t="s">
        <v>2004</v>
      </c>
      <c r="C466">
        <v>5.2</v>
      </c>
    </row>
    <row r="467" spans="1:4" x14ac:dyDescent="0.2">
      <c r="A467" t="s">
        <v>1692</v>
      </c>
      <c r="B467" s="103" t="s">
        <v>2004</v>
      </c>
      <c r="C467">
        <v>4.3</v>
      </c>
    </row>
    <row r="468" spans="1:4" x14ac:dyDescent="0.2">
      <c r="A468" t="s">
        <v>1693</v>
      </c>
      <c r="B468" s="103" t="s">
        <v>2004</v>
      </c>
      <c r="C468" t="s">
        <v>2038</v>
      </c>
    </row>
    <row r="469" spans="1:4" x14ac:dyDescent="0.2">
      <c r="A469" t="s">
        <v>1678</v>
      </c>
      <c r="B469" s="103" t="s">
        <v>2004</v>
      </c>
      <c r="C469" t="s">
        <v>2038</v>
      </c>
    </row>
    <row r="470" spans="1:4" x14ac:dyDescent="0.2">
      <c r="A470" t="s">
        <v>482</v>
      </c>
      <c r="B470" s="103" t="s">
        <v>2004</v>
      </c>
      <c r="C470">
        <v>1.47</v>
      </c>
    </row>
    <row r="473" spans="1:4" x14ac:dyDescent="0.2">
      <c r="A473" s="1078" t="s">
        <v>2743</v>
      </c>
      <c r="B473" s="1076"/>
      <c r="C473" s="1076"/>
      <c r="D473" s="1077"/>
    </row>
    <row r="474" spans="1:4" x14ac:dyDescent="0.2">
      <c r="A474" t="s">
        <v>2742</v>
      </c>
      <c r="B474" s="103" t="s">
        <v>2744</v>
      </c>
      <c r="C474">
        <f>-16.4</f>
        <v>-16.399999999999999</v>
      </c>
    </row>
    <row r="475" spans="1:4" x14ac:dyDescent="0.2">
      <c r="A475" s="105" t="s">
        <v>2732</v>
      </c>
      <c r="B475" s="103" t="s">
        <v>2744</v>
      </c>
      <c r="C475">
        <v>-17.3</v>
      </c>
    </row>
    <row r="476" spans="1:4" x14ac:dyDescent="0.2">
      <c r="A476" s="105" t="s">
        <v>2739</v>
      </c>
      <c r="B476" s="103" t="s">
        <v>2744</v>
      </c>
      <c r="C476">
        <v>-18</v>
      </c>
    </row>
    <row r="477" spans="1:4" x14ac:dyDescent="0.2">
      <c r="A477" s="105" t="s">
        <v>2733</v>
      </c>
      <c r="B477" s="103" t="s">
        <v>2744</v>
      </c>
      <c r="C477">
        <v>-21</v>
      </c>
    </row>
    <row r="478" spans="1:4" x14ac:dyDescent="0.2">
      <c r="A478" s="105" t="s">
        <v>2734</v>
      </c>
      <c r="B478" s="103" t="s">
        <v>2744</v>
      </c>
      <c r="C478">
        <v>-21</v>
      </c>
    </row>
    <row r="479" spans="1:4" x14ac:dyDescent="0.2">
      <c r="A479" s="105" t="s">
        <v>2735</v>
      </c>
      <c r="B479" s="103" t="s">
        <v>2744</v>
      </c>
      <c r="C479">
        <v>-22</v>
      </c>
    </row>
    <row r="480" spans="1:4" x14ac:dyDescent="0.2">
      <c r="A480" s="105" t="s">
        <v>2736</v>
      </c>
      <c r="B480" s="103" t="s">
        <v>2744</v>
      </c>
      <c r="C480">
        <v>-22</v>
      </c>
    </row>
    <row r="481" spans="1:5" x14ac:dyDescent="0.2">
      <c r="A481" s="105" t="s">
        <v>2737</v>
      </c>
      <c r="B481" s="103" t="s">
        <v>2744</v>
      </c>
      <c r="C481">
        <v>-24</v>
      </c>
    </row>
    <row r="482" spans="1:5" x14ac:dyDescent="0.2">
      <c r="A482" s="105" t="s">
        <v>2738</v>
      </c>
      <c r="B482" s="103" t="s">
        <v>2744</v>
      </c>
      <c r="C482">
        <v>-25</v>
      </c>
    </row>
    <row r="483" spans="1:5" x14ac:dyDescent="0.2">
      <c r="A483" s="105" t="s">
        <v>2630</v>
      </c>
      <c r="B483" s="103" t="s">
        <v>2744</v>
      </c>
      <c r="C483">
        <v>-91.2</v>
      </c>
    </row>
    <row r="484" spans="1:5" x14ac:dyDescent="0.2">
      <c r="A484" s="105" t="s">
        <v>2633</v>
      </c>
      <c r="B484" s="103" t="s">
        <v>2744</v>
      </c>
      <c r="C484">
        <v>-17.399999999999999</v>
      </c>
    </row>
    <row r="485" spans="1:5" x14ac:dyDescent="0.2">
      <c r="A485" s="105" t="s">
        <v>2632</v>
      </c>
      <c r="B485" s="103" t="s">
        <v>2744</v>
      </c>
      <c r="C485">
        <v>17.2</v>
      </c>
    </row>
    <row r="486" spans="1:5" x14ac:dyDescent="0.2">
      <c r="A486" s="105" t="s">
        <v>2752</v>
      </c>
      <c r="B486" s="103" t="s">
        <v>2744</v>
      </c>
      <c r="C486">
        <v>-77.5</v>
      </c>
    </row>
    <row r="489" spans="1:5" x14ac:dyDescent="0.2">
      <c r="A489" s="1078" t="s">
        <v>3050</v>
      </c>
      <c r="B489" s="1076"/>
      <c r="C489" s="1076"/>
      <c r="D489" s="1076"/>
      <c r="E489" s="1077"/>
    </row>
    <row r="490" spans="1:5" x14ac:dyDescent="0.2">
      <c r="A490" t="s">
        <v>3051</v>
      </c>
      <c r="B490" t="s">
        <v>417</v>
      </c>
      <c r="C490">
        <v>12.010999999999999</v>
      </c>
    </row>
    <row r="491" spans="1:5" x14ac:dyDescent="0.2">
      <c r="A491" t="s">
        <v>2452</v>
      </c>
      <c r="B491" t="s">
        <v>3049</v>
      </c>
      <c r="C491" t="s">
        <v>3053</v>
      </c>
      <c r="D491">
        <f>C490*6/C257</f>
        <v>0.40001998268167588</v>
      </c>
    </row>
    <row r="492" spans="1:5" x14ac:dyDescent="0.2">
      <c r="A492" t="s">
        <v>3052</v>
      </c>
      <c r="B492" t="s">
        <v>3049</v>
      </c>
      <c r="C492" t="s">
        <v>3053</v>
      </c>
      <c r="D492">
        <f>C490*6/C258</f>
        <v>0.40001998268167588</v>
      </c>
    </row>
    <row r="493" spans="1:5" x14ac:dyDescent="0.2">
      <c r="A493" t="s">
        <v>3055</v>
      </c>
      <c r="B493" t="s">
        <v>3056</v>
      </c>
      <c r="C493" t="s">
        <v>3053</v>
      </c>
      <c r="D493">
        <f>C490*12/C259</f>
        <v>0.42106923751095532</v>
      </c>
    </row>
    <row r="494" spans="1:5" x14ac:dyDescent="0.2">
      <c r="A494" t="s">
        <v>1432</v>
      </c>
      <c r="B494" t="s">
        <v>2618</v>
      </c>
      <c r="C494" t="s">
        <v>3053</v>
      </c>
      <c r="D494">
        <f>C490*3/C102</f>
        <v>0.40001110124333927</v>
      </c>
    </row>
    <row r="495" spans="1:5" x14ac:dyDescent="0.2">
      <c r="A495" t="s">
        <v>1007</v>
      </c>
      <c r="B495" t="s">
        <v>433</v>
      </c>
      <c r="C495" t="s">
        <v>3053</v>
      </c>
      <c r="D495">
        <f>C490/C134</f>
        <v>0.74881546134663346</v>
      </c>
    </row>
    <row r="496" spans="1:5" x14ac:dyDescent="0.2">
      <c r="A496" t="s">
        <v>1008</v>
      </c>
      <c r="B496" t="s">
        <v>432</v>
      </c>
      <c r="C496" t="s">
        <v>3053</v>
      </c>
      <c r="D496">
        <f>C490/C133</f>
        <v>0.27291524653487842</v>
      </c>
    </row>
    <row r="498" spans="1:5" x14ac:dyDescent="0.2">
      <c r="A498" t="s">
        <v>393</v>
      </c>
      <c r="B498" t="s">
        <v>485</v>
      </c>
      <c r="C498" t="s">
        <v>3053</v>
      </c>
      <c r="D498">
        <f>(E498*C$490)/Units!C94</f>
        <v>0.40687669376693764</v>
      </c>
      <c r="E498">
        <v>2</v>
      </c>
    </row>
    <row r="499" spans="1:5" x14ac:dyDescent="0.2">
      <c r="A499" t="s">
        <v>394</v>
      </c>
      <c r="B499" t="s">
        <v>496</v>
      </c>
      <c r="C499" t="s">
        <v>3053</v>
      </c>
      <c r="D499">
        <f>(E499*C$490)/Units!C95</f>
        <v>0.49312987546188591</v>
      </c>
      <c r="E499">
        <v>3</v>
      </c>
    </row>
    <row r="500" spans="1:5" x14ac:dyDescent="0.2">
      <c r="A500" t="s">
        <v>396</v>
      </c>
      <c r="B500" t="s">
        <v>3068</v>
      </c>
      <c r="C500" t="s">
        <v>3053</v>
      </c>
      <c r="D500">
        <f>(E500*C$490)/Units!C96</f>
        <v>0.55159586681974737</v>
      </c>
      <c r="E500">
        <v>4</v>
      </c>
    </row>
    <row r="501" spans="1:5" x14ac:dyDescent="0.2">
      <c r="A501" t="s">
        <v>395</v>
      </c>
      <c r="B501" t="s">
        <v>3068</v>
      </c>
      <c r="C501" t="s">
        <v>3053</v>
      </c>
      <c r="D501">
        <f>(E501*C$490)/Units!C97</f>
        <v>0.55159586681974737</v>
      </c>
      <c r="E501">
        <v>4</v>
      </c>
    </row>
    <row r="502" spans="1:5" x14ac:dyDescent="0.2">
      <c r="A502" t="s">
        <v>397</v>
      </c>
      <c r="B502" t="s">
        <v>3069</v>
      </c>
      <c r="C502" t="s">
        <v>3053</v>
      </c>
      <c r="D502">
        <f>(E502*C$490)/Units!C98</f>
        <v>0.59389833860759489</v>
      </c>
      <c r="E502">
        <v>5</v>
      </c>
    </row>
    <row r="503" spans="1:5" x14ac:dyDescent="0.2">
      <c r="A503" t="s">
        <v>398</v>
      </c>
      <c r="B503" t="s">
        <v>3069</v>
      </c>
      <c r="C503" t="s">
        <v>3053</v>
      </c>
      <c r="D503">
        <f>(E503*C$490)/Units!C99</f>
        <v>0.59389833860759489</v>
      </c>
      <c r="E503">
        <v>5</v>
      </c>
    </row>
    <row r="504" spans="1:5" x14ac:dyDescent="0.2">
      <c r="A504" t="s">
        <v>399</v>
      </c>
      <c r="B504" t="s">
        <v>3070</v>
      </c>
      <c r="C504" t="s">
        <v>3053</v>
      </c>
      <c r="D504">
        <f>(E504*C$490)/Units!C100</f>
        <v>0.62584455058619193</v>
      </c>
      <c r="E504">
        <v>6</v>
      </c>
    </row>
    <row r="505" spans="1:5" x14ac:dyDescent="0.2">
      <c r="A505" t="s">
        <v>407</v>
      </c>
      <c r="B505" t="s">
        <v>3071</v>
      </c>
      <c r="C505" t="s">
        <v>3053</v>
      </c>
      <c r="D505">
        <f>(E505*C$490)/Units!C101</f>
        <v>0.65090191220871729</v>
      </c>
      <c r="E505">
        <v>7</v>
      </c>
    </row>
    <row r="507" spans="1:5" x14ac:dyDescent="0.2">
      <c r="A507" t="s">
        <v>1567</v>
      </c>
      <c r="B507" t="s">
        <v>3100</v>
      </c>
      <c r="C507" t="s">
        <v>3053</v>
      </c>
      <c r="D507">
        <f>C490*11/C261</f>
        <v>0.70922218047130814</v>
      </c>
    </row>
    <row r="509" spans="1:5" x14ac:dyDescent="0.2">
      <c r="A509" s="375" t="s">
        <v>1739</v>
      </c>
      <c r="B509">
        <v>4</v>
      </c>
      <c r="C509" t="s">
        <v>3053</v>
      </c>
      <c r="D509">
        <v>0.66600000000000004</v>
      </c>
    </row>
    <row r="510" spans="1:5" x14ac:dyDescent="0.2">
      <c r="A510" s="375" t="s">
        <v>1740</v>
      </c>
      <c r="B510">
        <v>5</v>
      </c>
      <c r="C510" t="s">
        <v>3053</v>
      </c>
      <c r="D510">
        <v>0.69699999999999995</v>
      </c>
    </row>
    <row r="511" spans="1:5" x14ac:dyDescent="0.2">
      <c r="A511" s="375" t="s">
        <v>1741</v>
      </c>
      <c r="B511">
        <v>6</v>
      </c>
      <c r="C511" t="s">
        <v>3053</v>
      </c>
      <c r="D511">
        <v>0.71899999999999997</v>
      </c>
    </row>
    <row r="512" spans="1:5" x14ac:dyDescent="0.2">
      <c r="A512" s="375" t="s">
        <v>1743</v>
      </c>
      <c r="B512">
        <v>7</v>
      </c>
      <c r="C512" t="s">
        <v>3053</v>
      </c>
      <c r="D512">
        <v>0.73599999999999999</v>
      </c>
    </row>
    <row r="513" spans="1:4" x14ac:dyDescent="0.2">
      <c r="A513" s="375" t="s">
        <v>1745</v>
      </c>
      <c r="B513">
        <v>8</v>
      </c>
      <c r="C513" t="s">
        <v>3053</v>
      </c>
      <c r="D513">
        <v>0.749</v>
      </c>
    </row>
    <row r="514" spans="1:4" x14ac:dyDescent="0.2">
      <c r="A514" s="375" t="s">
        <v>1748</v>
      </c>
      <c r="B514">
        <v>9</v>
      </c>
      <c r="C514" t="s">
        <v>3053</v>
      </c>
      <c r="D514">
        <v>0.75990000000000002</v>
      </c>
    </row>
    <row r="515" spans="1:4" x14ac:dyDescent="0.2">
      <c r="A515" s="375" t="s">
        <v>1749</v>
      </c>
      <c r="B515">
        <v>10</v>
      </c>
      <c r="C515" t="s">
        <v>3053</v>
      </c>
      <c r="D515">
        <v>0.76859</v>
      </c>
    </row>
    <row r="516" spans="1:4" x14ac:dyDescent="0.2">
      <c r="A516" s="375" t="s">
        <v>1752</v>
      </c>
      <c r="B516">
        <v>11</v>
      </c>
      <c r="C516" t="s">
        <v>3053</v>
      </c>
      <c r="D516">
        <v>0.77581199999999995</v>
      </c>
    </row>
    <row r="517" spans="1:4" x14ac:dyDescent="0.2">
      <c r="A517" s="375" t="s">
        <v>1757</v>
      </c>
      <c r="B517">
        <v>12</v>
      </c>
      <c r="C517" t="s">
        <v>3053</v>
      </c>
      <c r="D517">
        <v>0.78193000000000001</v>
      </c>
    </row>
    <row r="518" spans="1:4" x14ac:dyDescent="0.2">
      <c r="A518" s="375" t="s">
        <v>1760</v>
      </c>
      <c r="B518">
        <v>13</v>
      </c>
      <c r="C518" t="s">
        <v>3053</v>
      </c>
      <c r="D518">
        <v>0.78718999999999995</v>
      </c>
    </row>
    <row r="519" spans="1:4" x14ac:dyDescent="0.2">
      <c r="A519" s="375" t="s">
        <v>1761</v>
      </c>
      <c r="B519">
        <v>14</v>
      </c>
      <c r="C519" t="s">
        <v>3053</v>
      </c>
      <c r="D519">
        <v>0.79174999999999995</v>
      </c>
    </row>
    <row r="520" spans="1:4" x14ac:dyDescent="0.2">
      <c r="A520" s="375" t="s">
        <v>1742</v>
      </c>
      <c r="B520">
        <v>6</v>
      </c>
      <c r="C520" t="s">
        <v>3053</v>
      </c>
      <c r="D520">
        <v>0.71899999999999997</v>
      </c>
    </row>
    <row r="521" spans="1:4" x14ac:dyDescent="0.2">
      <c r="A521" s="375" t="s">
        <v>1744</v>
      </c>
      <c r="B521">
        <v>7</v>
      </c>
      <c r="C521" t="s">
        <v>3053</v>
      </c>
      <c r="D521">
        <v>0.73599999999999999</v>
      </c>
    </row>
    <row r="522" spans="1:4" x14ac:dyDescent="0.2">
      <c r="A522" s="375" t="s">
        <v>1747</v>
      </c>
      <c r="B522">
        <v>8</v>
      </c>
      <c r="C522" t="s">
        <v>3053</v>
      </c>
      <c r="D522">
        <v>0.749</v>
      </c>
    </row>
    <row r="523" spans="1:4" x14ac:dyDescent="0.2">
      <c r="A523" s="375" t="s">
        <v>1751</v>
      </c>
      <c r="B523">
        <v>9</v>
      </c>
      <c r="C523" t="s">
        <v>3053</v>
      </c>
      <c r="D523">
        <v>0.75990000000000002</v>
      </c>
    </row>
    <row r="524" spans="1:4" x14ac:dyDescent="0.2">
      <c r="A524" s="375" t="s">
        <v>1754</v>
      </c>
      <c r="B524">
        <v>10</v>
      </c>
      <c r="C524" t="s">
        <v>3053</v>
      </c>
      <c r="D524">
        <v>0.76859</v>
      </c>
    </row>
    <row r="525" spans="1:4" x14ac:dyDescent="0.2">
      <c r="A525" s="375" t="s">
        <v>1755</v>
      </c>
      <c r="B525">
        <v>11</v>
      </c>
      <c r="C525" t="s">
        <v>3053</v>
      </c>
      <c r="D525">
        <v>0.77581199999999995</v>
      </c>
    </row>
    <row r="526" spans="1:4" x14ac:dyDescent="0.2">
      <c r="A526" s="375" t="s">
        <v>1759</v>
      </c>
      <c r="B526">
        <v>12</v>
      </c>
      <c r="C526" t="s">
        <v>3053</v>
      </c>
      <c r="D526">
        <v>0.78193000000000001</v>
      </c>
    </row>
    <row r="529" spans="1:4" ht="16" x14ac:dyDescent="0.2">
      <c r="A529" s="39" t="s">
        <v>409</v>
      </c>
      <c r="B529">
        <v>2</v>
      </c>
      <c r="C529" t="s">
        <v>3053</v>
      </c>
      <c r="D529">
        <f t="shared" ref="D529:D535" si="1">(B529*C$490)/C112</f>
        <v>0.52142392012155414</v>
      </c>
    </row>
    <row r="530" spans="1:4" ht="16" x14ac:dyDescent="0.2">
      <c r="A530" s="39" t="s">
        <v>410</v>
      </c>
      <c r="B530">
        <v>3</v>
      </c>
      <c r="C530" t="s">
        <v>3053</v>
      </c>
      <c r="D530">
        <f t="shared" si="1"/>
        <v>0.59965052421367948</v>
      </c>
    </row>
    <row r="531" spans="1:4" ht="16" x14ac:dyDescent="0.2">
      <c r="A531" s="39" t="s">
        <v>412</v>
      </c>
      <c r="B531">
        <v>4</v>
      </c>
      <c r="C531" t="s">
        <v>3053</v>
      </c>
      <c r="D531">
        <f t="shared" si="1"/>
        <v>0.64819212088505118</v>
      </c>
    </row>
    <row r="532" spans="1:4" ht="16" x14ac:dyDescent="0.2">
      <c r="A532" s="39" t="s">
        <v>411</v>
      </c>
      <c r="B532">
        <v>4</v>
      </c>
      <c r="C532" t="s">
        <v>3053</v>
      </c>
      <c r="D532">
        <f t="shared" si="1"/>
        <v>0.64819212088505118</v>
      </c>
    </row>
    <row r="533" spans="1:4" ht="16" x14ac:dyDescent="0.2">
      <c r="A533" s="39" t="s">
        <v>413</v>
      </c>
      <c r="B533">
        <v>5</v>
      </c>
      <c r="C533" t="s">
        <v>3053</v>
      </c>
      <c r="D533">
        <f t="shared" si="1"/>
        <v>0.68128190584231407</v>
      </c>
    </row>
    <row r="534" spans="1:4" ht="16" x14ac:dyDescent="0.2">
      <c r="A534" s="39" t="s">
        <v>414</v>
      </c>
      <c r="B534">
        <v>5</v>
      </c>
      <c r="C534" t="s">
        <v>3053</v>
      </c>
      <c r="D534">
        <f t="shared" si="1"/>
        <v>0.68128190584231407</v>
      </c>
    </row>
    <row r="535" spans="1:4" ht="16" x14ac:dyDescent="0.2">
      <c r="A535" s="39" t="s">
        <v>415</v>
      </c>
      <c r="B535">
        <v>6</v>
      </c>
      <c r="C535" t="s">
        <v>3053</v>
      </c>
      <c r="D535">
        <f t="shared" si="1"/>
        <v>0.7012357691933444</v>
      </c>
    </row>
    <row r="537" spans="1:4" x14ac:dyDescent="0.2">
      <c r="A537" s="472" t="s">
        <v>2149</v>
      </c>
      <c r="B537">
        <v>4</v>
      </c>
      <c r="C537" t="s">
        <v>3053</v>
      </c>
      <c r="D537">
        <f t="shared" ref="D537:D553" si="2">(B537*C$490)/C157</f>
        <v>0.54527295426171829</v>
      </c>
    </row>
    <row r="538" spans="1:4" x14ac:dyDescent="0.2">
      <c r="A538" s="472" t="s">
        <v>2150</v>
      </c>
      <c r="B538">
        <v>5</v>
      </c>
      <c r="C538" t="s">
        <v>3053</v>
      </c>
      <c r="D538">
        <f t="shared" si="2"/>
        <v>0.58877450980392154</v>
      </c>
    </row>
    <row r="539" spans="1:4" x14ac:dyDescent="0.2">
      <c r="A539" s="472" t="s">
        <v>2151</v>
      </c>
      <c r="B539">
        <v>6</v>
      </c>
      <c r="C539" t="s">
        <v>3053</v>
      </c>
      <c r="D539">
        <f t="shared" si="2"/>
        <v>0.62125862068965521</v>
      </c>
    </row>
    <row r="540" spans="1:4" x14ac:dyDescent="0.2">
      <c r="A540" s="472" t="s">
        <v>2152</v>
      </c>
      <c r="B540">
        <v>6</v>
      </c>
      <c r="C540" t="s">
        <v>3053</v>
      </c>
      <c r="D540">
        <f t="shared" si="2"/>
        <v>0.62125862068965521</v>
      </c>
    </row>
    <row r="541" spans="1:4" x14ac:dyDescent="0.2">
      <c r="A541" s="472" t="s">
        <v>2153</v>
      </c>
      <c r="B541">
        <v>7</v>
      </c>
      <c r="C541" t="s">
        <v>3053</v>
      </c>
      <c r="D541">
        <f t="shared" si="2"/>
        <v>0.64674615384615386</v>
      </c>
    </row>
    <row r="542" spans="1:4" x14ac:dyDescent="0.2">
      <c r="A542" s="472" t="s">
        <v>2156</v>
      </c>
      <c r="B542">
        <v>7</v>
      </c>
      <c r="C542" t="s">
        <v>3053</v>
      </c>
      <c r="D542">
        <f t="shared" si="2"/>
        <v>0.64674615384615386</v>
      </c>
    </row>
    <row r="543" spans="1:4" x14ac:dyDescent="0.2">
      <c r="A543" s="472" t="s">
        <v>2154</v>
      </c>
      <c r="B543">
        <v>8</v>
      </c>
      <c r="C543" t="s">
        <v>3053</v>
      </c>
      <c r="D543">
        <f t="shared" si="2"/>
        <v>0.66731222050687677</v>
      </c>
    </row>
    <row r="544" spans="1:4" x14ac:dyDescent="0.2">
      <c r="A544" s="472" t="s">
        <v>2155</v>
      </c>
      <c r="B544">
        <v>8</v>
      </c>
      <c r="C544" t="s">
        <v>3053</v>
      </c>
      <c r="D544">
        <f t="shared" si="2"/>
        <v>0.66731222050687677</v>
      </c>
    </row>
    <row r="545" spans="1:5" x14ac:dyDescent="0.2">
      <c r="A545" s="472" t="s">
        <v>2157</v>
      </c>
      <c r="B545">
        <v>9</v>
      </c>
      <c r="C545" t="s">
        <v>3053</v>
      </c>
      <c r="D545">
        <f t="shared" si="2"/>
        <v>0.68417088607594934</v>
      </c>
    </row>
    <row r="546" spans="1:5" x14ac:dyDescent="0.2">
      <c r="A546" s="472" t="s">
        <v>2158</v>
      </c>
      <c r="B546">
        <v>9</v>
      </c>
      <c r="C546" t="s">
        <v>3053</v>
      </c>
      <c r="D546">
        <f t="shared" si="2"/>
        <v>0.68417088607594934</v>
      </c>
    </row>
    <row r="547" spans="1:5" x14ac:dyDescent="0.2">
      <c r="A547" s="472" t="s">
        <v>2159</v>
      </c>
      <c r="B547">
        <v>10</v>
      </c>
      <c r="C547" t="s">
        <v>3053</v>
      </c>
      <c r="D547">
        <f t="shared" si="2"/>
        <v>0.69847693875770811</v>
      </c>
    </row>
    <row r="548" spans="1:5" x14ac:dyDescent="0.2">
      <c r="A548" s="472" t="s">
        <v>2160</v>
      </c>
      <c r="B548">
        <v>10</v>
      </c>
      <c r="C548" t="s">
        <v>3053</v>
      </c>
      <c r="D548">
        <f t="shared" si="2"/>
        <v>0.69847693875770811</v>
      </c>
    </row>
    <row r="549" spans="1:5" x14ac:dyDescent="0.2">
      <c r="A549" s="472" t="s">
        <v>2161</v>
      </c>
      <c r="B549">
        <v>11</v>
      </c>
      <c r="C549" t="s">
        <v>3053</v>
      </c>
      <c r="D549">
        <f t="shared" si="2"/>
        <v>0.71054374257802766</v>
      </c>
    </row>
    <row r="550" spans="1:5" x14ac:dyDescent="0.2">
      <c r="A550" s="472" t="s">
        <v>2162</v>
      </c>
      <c r="B550">
        <v>11</v>
      </c>
      <c r="C550" t="s">
        <v>3053</v>
      </c>
      <c r="D550">
        <f t="shared" si="2"/>
        <v>0.71054374257802766</v>
      </c>
    </row>
    <row r="551" spans="1:5" x14ac:dyDescent="0.2">
      <c r="A551" s="472" t="s">
        <v>2163</v>
      </c>
      <c r="B551">
        <v>12</v>
      </c>
      <c r="C551" t="s">
        <v>3053</v>
      </c>
      <c r="D551">
        <f t="shared" si="2"/>
        <v>0.72092255219975376</v>
      </c>
    </row>
    <row r="552" spans="1:5" x14ac:dyDescent="0.2">
      <c r="A552" s="472" t="s">
        <v>2164</v>
      </c>
      <c r="B552">
        <v>12</v>
      </c>
      <c r="C552" t="s">
        <v>3053</v>
      </c>
      <c r="D552">
        <f t="shared" si="2"/>
        <v>0.72092255219975376</v>
      </c>
    </row>
    <row r="553" spans="1:5" x14ac:dyDescent="0.2">
      <c r="A553" s="472" t="s">
        <v>2165</v>
      </c>
      <c r="B553">
        <v>13</v>
      </c>
      <c r="C553" t="s">
        <v>3053</v>
      </c>
      <c r="D553">
        <f t="shared" si="2"/>
        <v>0.72994440724222021</v>
      </c>
    </row>
    <row r="557" spans="1:5" x14ac:dyDescent="0.2">
      <c r="A557" s="1078" t="s">
        <v>3209</v>
      </c>
      <c r="B557" s="1076"/>
      <c r="C557" s="1076"/>
      <c r="D557" s="1076"/>
      <c r="E557" s="1077"/>
    </row>
    <row r="558" spans="1:5" x14ac:dyDescent="0.2">
      <c r="A558" s="25" t="s">
        <v>1770</v>
      </c>
      <c r="B558" s="103" t="s">
        <v>3210</v>
      </c>
      <c r="C558">
        <v>2.8536920000000001</v>
      </c>
      <c r="D558" s="103" t="s">
        <v>3281</v>
      </c>
    </row>
    <row r="559" spans="1:5" x14ac:dyDescent="0.2">
      <c r="A559" s="25" t="s">
        <v>1771</v>
      </c>
      <c r="B559" s="103" t="s">
        <v>3210</v>
      </c>
      <c r="C559">
        <v>3.5064899999999999</v>
      </c>
      <c r="D559" s="103" t="s">
        <v>3281</v>
      </c>
    </row>
    <row r="560" spans="1:5" x14ac:dyDescent="0.2">
      <c r="A560" s="25" t="s">
        <v>1772</v>
      </c>
      <c r="B560" s="103" t="s">
        <v>3210</v>
      </c>
      <c r="C560">
        <v>4.1538760000000003</v>
      </c>
      <c r="D560" s="103" t="s">
        <v>3281</v>
      </c>
    </row>
    <row r="561" spans="1:5" x14ac:dyDescent="0.2">
      <c r="A561" s="25" t="s">
        <v>1773</v>
      </c>
      <c r="B561" s="103" t="s">
        <v>3210</v>
      </c>
      <c r="C561">
        <v>4.8000589999999903</v>
      </c>
      <c r="D561" s="103" t="s">
        <v>3281</v>
      </c>
    </row>
    <row r="562" spans="1:5" x14ac:dyDescent="0.2">
      <c r="A562" s="25" t="s">
        <v>1774</v>
      </c>
      <c r="B562" s="103" t="s">
        <v>3210</v>
      </c>
      <c r="C562">
        <v>5.4259250000000003</v>
      </c>
      <c r="D562" s="103" t="s">
        <v>3281</v>
      </c>
      <c r="E562">
        <v>47.5</v>
      </c>
    </row>
    <row r="563" spans="1:5" x14ac:dyDescent="0.2">
      <c r="A563" s="25" t="s">
        <v>1775</v>
      </c>
      <c r="B563" s="103" t="s">
        <v>3210</v>
      </c>
      <c r="C563">
        <v>6.0666979999999997</v>
      </c>
      <c r="D563" s="103" t="s">
        <v>3281</v>
      </c>
      <c r="E563">
        <v>46.5</v>
      </c>
    </row>
    <row r="564" spans="1:5" x14ac:dyDescent="0.2">
      <c r="A564" s="25" t="s">
        <v>1776</v>
      </c>
      <c r="B564" s="103" t="s">
        <v>3210</v>
      </c>
      <c r="C564">
        <v>6.7018589999999998</v>
      </c>
      <c r="D564" s="103" t="s">
        <v>3281</v>
      </c>
      <c r="E564">
        <v>46</v>
      </c>
    </row>
    <row r="565" spans="1:5" x14ac:dyDescent="0.2">
      <c r="A565" s="25" t="s">
        <v>1777</v>
      </c>
      <c r="B565" s="103" t="s">
        <v>3210</v>
      </c>
      <c r="C565">
        <v>7.3465699999999998</v>
      </c>
      <c r="D565" s="103" t="s">
        <v>3281</v>
      </c>
      <c r="E565">
        <v>45.5</v>
      </c>
    </row>
    <row r="566" spans="1:5" x14ac:dyDescent="0.2">
      <c r="A566" s="25" t="s">
        <v>1778</v>
      </c>
      <c r="B566" s="103" t="s">
        <v>3210</v>
      </c>
      <c r="C566">
        <v>7.9719119999999997</v>
      </c>
      <c r="D566" s="103" t="s">
        <v>3281</v>
      </c>
      <c r="E566">
        <v>45</v>
      </c>
    </row>
    <row r="567" spans="1:5" x14ac:dyDescent="0.2">
      <c r="A567" s="25" t="s">
        <v>1779</v>
      </c>
      <c r="B567" s="103" t="s">
        <v>3210</v>
      </c>
      <c r="C567">
        <v>8.6100790000000007</v>
      </c>
      <c r="D567" s="103" t="s">
        <v>3281</v>
      </c>
      <c r="E567">
        <v>44.5</v>
      </c>
    </row>
    <row r="568" spans="1:5" x14ac:dyDescent="0.2">
      <c r="A568" s="25" t="s">
        <v>1780</v>
      </c>
      <c r="B568" s="103" t="s">
        <v>3210</v>
      </c>
      <c r="C568">
        <v>9.2251349999999999</v>
      </c>
      <c r="D568" s="103" t="s">
        <v>3281</v>
      </c>
      <c r="E568">
        <v>44</v>
      </c>
    </row>
    <row r="569" spans="1:5" x14ac:dyDescent="0.2">
      <c r="A569" s="25" t="s">
        <v>1781</v>
      </c>
      <c r="B569" s="103" t="s">
        <v>3210</v>
      </c>
      <c r="C569">
        <v>4.1194040000000003</v>
      </c>
      <c r="D569" s="103" t="s">
        <v>3281</v>
      </c>
      <c r="E569">
        <v>48.5</v>
      </c>
    </row>
    <row r="570" spans="1:5" x14ac:dyDescent="0.2">
      <c r="A570" s="25" t="s">
        <v>1782</v>
      </c>
      <c r="B570" s="103" t="s">
        <v>3210</v>
      </c>
      <c r="C570">
        <v>4.7699959999999999</v>
      </c>
      <c r="D570" s="103" t="s">
        <v>3281</v>
      </c>
      <c r="E570">
        <v>48</v>
      </c>
    </row>
    <row r="571" spans="1:5" x14ac:dyDescent="0.2">
      <c r="A571" s="25" t="s">
        <v>1783</v>
      </c>
      <c r="B571" s="103" t="s">
        <v>3210</v>
      </c>
      <c r="C571">
        <v>5.403079</v>
      </c>
      <c r="D571" s="103" t="s">
        <v>3281</v>
      </c>
      <c r="E571">
        <v>47.5</v>
      </c>
    </row>
    <row r="572" spans="1:5" x14ac:dyDescent="0.2">
      <c r="A572" s="25" t="s">
        <v>1784</v>
      </c>
      <c r="B572" s="103" t="s">
        <v>3210</v>
      </c>
      <c r="C572">
        <v>6.0410459999999997</v>
      </c>
      <c r="D572" s="103" t="s">
        <v>3281</v>
      </c>
      <c r="E572">
        <v>47</v>
      </c>
    </row>
    <row r="573" spans="1:5" x14ac:dyDescent="0.2">
      <c r="A573" s="25" t="s">
        <v>1785</v>
      </c>
      <c r="B573" s="103" t="s">
        <v>3210</v>
      </c>
      <c r="C573">
        <v>6.6734010000000001</v>
      </c>
      <c r="D573" s="103" t="s">
        <v>3281</v>
      </c>
      <c r="E573">
        <v>46.5</v>
      </c>
    </row>
    <row r="574" spans="1:5" x14ac:dyDescent="0.2">
      <c r="A574" s="25" t="s">
        <v>1786</v>
      </c>
      <c r="B574" s="103" t="s">
        <v>3210</v>
      </c>
      <c r="C574">
        <v>7.3153079999999999</v>
      </c>
      <c r="D574" s="103" t="s">
        <v>3281</v>
      </c>
      <c r="E574">
        <v>46</v>
      </c>
    </row>
    <row r="575" spans="1:5" x14ac:dyDescent="0.2">
      <c r="A575" s="25" t="s">
        <v>1787</v>
      </c>
      <c r="B575" s="103" t="s">
        <v>3210</v>
      </c>
      <c r="C575">
        <v>7.9378440000000001</v>
      </c>
      <c r="D575" s="103" t="s">
        <v>3281</v>
      </c>
      <c r="E575">
        <v>45.5</v>
      </c>
    </row>
  </sheetData>
  <mergeCells count="1">
    <mergeCell ref="G152:L152"/>
  </mergeCells>
  <phoneticPr fontId="5" type="noConversion"/>
  <pageMargins left="0.7" right="0.7" top="0.75" bottom="0.75" header="0.3" footer="0.3"/>
  <pageSetup orientation="portrait" horizontalDpi="0" verticalDpi="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3A3AC-EF1E-4D4A-A5F2-B31D466E9420}">
  <sheetPr codeName="Sheet3"/>
  <dimension ref="A1:AP2009"/>
  <sheetViews>
    <sheetView zoomScale="110" zoomScaleNormal="110" workbookViewId="0">
      <selection activeCell="B4" sqref="B4"/>
    </sheetView>
  </sheetViews>
  <sheetFormatPr baseColWidth="10" defaultColWidth="9" defaultRowHeight="15" x14ac:dyDescent="0.2"/>
  <cols>
    <col min="1" max="1" width="53.33203125" style="76" customWidth="1"/>
    <col min="2" max="2" width="17.6640625" style="76" customWidth="1"/>
    <col min="3" max="3" width="19.6640625" style="76" customWidth="1"/>
    <col min="4" max="4" width="18.5" style="76" customWidth="1"/>
    <col min="5" max="5" width="16.83203125" style="76" customWidth="1"/>
    <col min="6" max="6" width="24.5" style="76" customWidth="1"/>
    <col min="7" max="7" width="18.6640625" style="76" customWidth="1"/>
    <col min="8" max="8" width="16.5" style="76" customWidth="1"/>
    <col min="9" max="12" width="15.5" style="76" customWidth="1"/>
    <col min="13" max="13" width="15" style="76" customWidth="1"/>
    <col min="14" max="20" width="16.1640625" style="76" customWidth="1"/>
    <col min="21" max="21" width="24.5" style="76" customWidth="1"/>
    <col min="22" max="22" width="16.1640625" style="76" customWidth="1"/>
    <col min="23" max="25" width="14.6640625" style="76" customWidth="1"/>
    <col min="26" max="26" width="14.5" style="76" customWidth="1"/>
    <col min="27" max="30" width="13.5" style="76" customWidth="1"/>
    <col min="31" max="31" width="13.6640625" style="76" customWidth="1"/>
    <col min="32" max="35" width="12.5" style="76" customWidth="1"/>
    <col min="36" max="36" width="13.5" style="76" customWidth="1"/>
    <col min="37" max="42" width="12.5" style="76" customWidth="1"/>
    <col min="43" max="16384" width="9" style="76"/>
  </cols>
  <sheetData>
    <row r="1" spans="1:15" ht="35" thickBot="1" x14ac:dyDescent="0.25">
      <c r="A1" s="2038" t="s">
        <v>3604</v>
      </c>
      <c r="B1" s="378"/>
      <c r="C1" s="379"/>
      <c r="D1" s="378"/>
      <c r="E1" s="378"/>
      <c r="F1" s="378"/>
      <c r="G1" s="378"/>
      <c r="H1" s="378"/>
      <c r="I1" s="378"/>
      <c r="J1" s="378"/>
      <c r="K1" s="378"/>
      <c r="L1" s="378"/>
      <c r="M1" s="378"/>
      <c r="N1" s="378"/>
      <c r="O1" s="380"/>
    </row>
    <row r="2" spans="1:15" ht="15.75" customHeight="1" x14ac:dyDescent="0.2">
      <c r="A2" s="381" t="s">
        <v>868</v>
      </c>
      <c r="B2" s="382"/>
      <c r="C2" s="383"/>
      <c r="D2" s="382"/>
      <c r="E2" s="384"/>
      <c r="F2" s="385"/>
      <c r="G2" s="385"/>
      <c r="H2" s="385"/>
      <c r="I2" s="385"/>
      <c r="J2" s="385"/>
      <c r="K2" s="385"/>
      <c r="L2" s="385"/>
      <c r="M2" s="385"/>
      <c r="N2" s="385"/>
      <c r="O2" s="386"/>
    </row>
    <row r="3" spans="1:15" ht="15.75" customHeight="1" x14ac:dyDescent="0.2">
      <c r="A3" s="301" t="s">
        <v>580</v>
      </c>
      <c r="B3" s="301" t="s">
        <v>372</v>
      </c>
      <c r="C3" s="301" t="s">
        <v>42</v>
      </c>
      <c r="D3" s="385"/>
      <c r="E3" s="386"/>
      <c r="F3" s="385"/>
      <c r="G3" s="385"/>
      <c r="H3" s="385"/>
      <c r="I3" s="385"/>
      <c r="J3" s="385"/>
      <c r="K3" s="385"/>
      <c r="L3" s="385"/>
      <c r="M3" s="385"/>
      <c r="N3" s="385"/>
      <c r="O3" s="386"/>
    </row>
    <row r="4" spans="1:15" ht="15.75" customHeight="1" x14ac:dyDescent="0.2">
      <c r="A4" s="387" t="s">
        <v>288</v>
      </c>
      <c r="B4" s="341" t="s">
        <v>23</v>
      </c>
      <c r="C4" s="366">
        <v>6</v>
      </c>
      <c r="D4" s="385"/>
      <c r="E4" s="386"/>
      <c r="F4" s="385"/>
      <c r="G4" s="385"/>
      <c r="H4" s="385"/>
      <c r="I4" s="385"/>
      <c r="J4" s="385"/>
      <c r="K4" s="385"/>
      <c r="L4" s="385"/>
      <c r="M4" s="385"/>
      <c r="N4" s="385"/>
      <c r="O4" s="386"/>
    </row>
    <row r="5" spans="1:15" ht="15.75" customHeight="1" x14ac:dyDescent="0.2">
      <c r="A5" s="375" t="s">
        <v>312</v>
      </c>
      <c r="B5" s="172" t="s">
        <v>161</v>
      </c>
      <c r="C5" s="367">
        <v>298.14999999999998</v>
      </c>
      <c r="D5" s="385"/>
      <c r="E5" s="386"/>
      <c r="F5" s="385"/>
      <c r="G5" s="385"/>
      <c r="H5" s="385"/>
      <c r="I5" s="385"/>
      <c r="J5" s="385"/>
      <c r="K5" s="385"/>
      <c r="L5" s="385"/>
      <c r="M5" s="385"/>
      <c r="N5" s="385"/>
      <c r="O5" s="386"/>
    </row>
    <row r="6" spans="1:15" ht="15.75" customHeight="1" x14ac:dyDescent="0.2">
      <c r="A6" s="375" t="s">
        <v>814</v>
      </c>
      <c r="B6" s="172" t="s">
        <v>391</v>
      </c>
      <c r="C6" s="367">
        <v>18</v>
      </c>
      <c r="D6" s="385"/>
      <c r="E6" s="386"/>
      <c r="F6" s="385"/>
      <c r="G6" s="385"/>
      <c r="H6" s="385"/>
      <c r="I6" s="385"/>
      <c r="J6" s="385"/>
      <c r="K6" s="385"/>
      <c r="L6" s="385"/>
      <c r="M6" s="385"/>
      <c r="N6" s="385"/>
      <c r="O6" s="386"/>
    </row>
    <row r="7" spans="1:15" ht="15.75" customHeight="1" x14ac:dyDescent="0.2">
      <c r="A7" s="375" t="s">
        <v>1084</v>
      </c>
      <c r="B7" s="172" t="s">
        <v>769</v>
      </c>
      <c r="C7" s="367">
        <v>0.3</v>
      </c>
      <c r="D7" s="385"/>
      <c r="E7" s="386"/>
      <c r="F7" s="385"/>
      <c r="G7" s="385"/>
      <c r="H7" s="385"/>
      <c r="I7" s="385"/>
      <c r="J7" s="385"/>
      <c r="K7" s="385"/>
      <c r="L7" s="385"/>
      <c r="M7" s="385"/>
      <c r="N7" s="385"/>
      <c r="O7" s="386"/>
    </row>
    <row r="8" spans="1:15" ht="15.75" customHeight="1" x14ac:dyDescent="0.2">
      <c r="A8" s="375" t="s">
        <v>1085</v>
      </c>
      <c r="B8" s="172" t="s">
        <v>764</v>
      </c>
      <c r="C8" s="367">
        <v>2</v>
      </c>
      <c r="D8" s="385"/>
      <c r="E8" s="386"/>
      <c r="F8" s="385"/>
      <c r="G8" s="385"/>
      <c r="H8" s="385"/>
      <c r="I8" s="385"/>
      <c r="J8" s="385"/>
      <c r="K8" s="385"/>
      <c r="L8" s="385"/>
      <c r="M8" s="385"/>
      <c r="N8" s="385"/>
      <c r="O8" s="386"/>
    </row>
    <row r="9" spans="1:15" ht="15.75" customHeight="1" x14ac:dyDescent="0.2">
      <c r="A9" s="375" t="s">
        <v>1086</v>
      </c>
      <c r="B9" s="172" t="s">
        <v>764</v>
      </c>
      <c r="C9" s="367">
        <v>1</v>
      </c>
      <c r="D9" s="385"/>
      <c r="E9" s="386"/>
      <c r="F9" s="385"/>
      <c r="G9" s="385"/>
      <c r="H9" s="385"/>
      <c r="I9" s="385"/>
      <c r="J9" s="385"/>
      <c r="K9" s="385"/>
      <c r="L9" s="385"/>
      <c r="M9" s="385"/>
      <c r="N9" s="385"/>
      <c r="O9" s="386"/>
    </row>
    <row r="10" spans="1:15" ht="15.75" customHeight="1" x14ac:dyDescent="0.2">
      <c r="A10" s="375" t="s">
        <v>301</v>
      </c>
      <c r="B10" s="172" t="s">
        <v>302</v>
      </c>
      <c r="C10" s="367">
        <v>10</v>
      </c>
      <c r="D10" s="385"/>
      <c r="E10" s="386"/>
      <c r="F10" s="385"/>
      <c r="G10" s="385"/>
      <c r="H10" s="385"/>
      <c r="I10" s="385"/>
      <c r="J10" s="385"/>
      <c r="K10" s="385"/>
      <c r="L10" s="385"/>
      <c r="M10" s="385"/>
      <c r="N10" s="385"/>
      <c r="O10" s="386"/>
    </row>
    <row r="11" spans="1:15" ht="15.75" customHeight="1" x14ac:dyDescent="0.2">
      <c r="A11" s="375" t="s">
        <v>304</v>
      </c>
      <c r="B11" s="172" t="s">
        <v>305</v>
      </c>
      <c r="C11" s="367">
        <v>5</v>
      </c>
      <c r="D11" s="385"/>
      <c r="E11" s="386"/>
      <c r="F11" s="385"/>
      <c r="G11" s="385"/>
      <c r="H11" s="385"/>
      <c r="I11" s="385"/>
      <c r="J11" s="385"/>
      <c r="K11" s="385"/>
      <c r="L11" s="385"/>
      <c r="M11" s="385"/>
      <c r="N11" s="385"/>
      <c r="O11" s="386"/>
    </row>
    <row r="12" spans="1:15" ht="15.75" customHeight="1" x14ac:dyDescent="0.2">
      <c r="A12" s="375" t="s">
        <v>307</v>
      </c>
      <c r="B12" s="172" t="s">
        <v>305</v>
      </c>
      <c r="C12" s="367">
        <v>5</v>
      </c>
      <c r="D12" s="385"/>
      <c r="E12" s="386"/>
      <c r="F12" s="385"/>
      <c r="G12" s="385"/>
      <c r="H12" s="385"/>
      <c r="I12" s="385"/>
      <c r="J12" s="385"/>
      <c r="K12" s="385"/>
      <c r="L12" s="385"/>
      <c r="M12" s="385"/>
      <c r="N12" s="385"/>
      <c r="O12" s="386"/>
    </row>
    <row r="13" spans="1:15" ht="15.75" customHeight="1" x14ac:dyDescent="0.2">
      <c r="A13" s="375" t="s">
        <v>309</v>
      </c>
      <c r="B13" s="172" t="s">
        <v>7</v>
      </c>
      <c r="C13" s="367">
        <v>1</v>
      </c>
      <c r="D13" s="385"/>
      <c r="E13" s="386"/>
      <c r="F13" s="385"/>
      <c r="G13" s="385"/>
      <c r="H13" s="385"/>
      <c r="I13" s="385"/>
      <c r="J13" s="385"/>
      <c r="K13" s="385"/>
      <c r="L13" s="385"/>
      <c r="M13" s="385"/>
      <c r="N13" s="385"/>
      <c r="O13" s="386"/>
    </row>
    <row r="14" spans="1:15" ht="15.75" customHeight="1" x14ac:dyDescent="0.2">
      <c r="A14" s="375" t="s">
        <v>311</v>
      </c>
      <c r="B14" s="172" t="s">
        <v>10</v>
      </c>
      <c r="C14" s="367">
        <v>0.01</v>
      </c>
      <c r="D14" s="385"/>
      <c r="E14" s="386"/>
      <c r="F14" s="385"/>
      <c r="G14" s="385"/>
      <c r="H14" s="385"/>
      <c r="I14" s="385"/>
      <c r="J14" s="385"/>
      <c r="K14" s="385"/>
      <c r="L14" s="385"/>
      <c r="M14" s="385"/>
      <c r="N14" s="385"/>
      <c r="O14" s="386"/>
    </row>
    <row r="15" spans="1:15" ht="15.75" customHeight="1" x14ac:dyDescent="0.2">
      <c r="A15" s="375" t="s">
        <v>314</v>
      </c>
      <c r="B15" s="172" t="s">
        <v>10</v>
      </c>
      <c r="C15" s="367">
        <v>4.5</v>
      </c>
      <c r="D15" s="385"/>
      <c r="E15" s="386"/>
      <c r="F15" s="385"/>
      <c r="G15" s="385"/>
      <c r="H15" s="385"/>
      <c r="I15" s="385"/>
      <c r="J15" s="385"/>
      <c r="K15" s="385"/>
      <c r="L15" s="385"/>
      <c r="M15" s="385"/>
      <c r="N15" s="385"/>
      <c r="O15" s="386"/>
    </row>
    <row r="16" spans="1:15" ht="15.75" customHeight="1" x14ac:dyDescent="0.2">
      <c r="A16" s="375" t="s">
        <v>759</v>
      </c>
      <c r="B16" s="172" t="s">
        <v>760</v>
      </c>
      <c r="C16" s="367">
        <v>500</v>
      </c>
      <c r="D16" s="385"/>
      <c r="E16" s="386"/>
      <c r="F16" s="385"/>
      <c r="G16" s="385"/>
      <c r="H16" s="385"/>
      <c r="I16" s="385"/>
      <c r="J16" s="385"/>
      <c r="K16" s="385"/>
      <c r="L16" s="385"/>
      <c r="M16" s="385"/>
      <c r="N16" s="385"/>
      <c r="O16" s="386"/>
    </row>
    <row r="17" spans="1:15" ht="15.75" customHeight="1" x14ac:dyDescent="0.2">
      <c r="A17" s="375" t="s">
        <v>762</v>
      </c>
      <c r="B17" s="172" t="s">
        <v>787</v>
      </c>
      <c r="C17" s="367">
        <v>100</v>
      </c>
      <c r="D17" s="385"/>
      <c r="E17" s="386"/>
      <c r="F17" s="385"/>
      <c r="G17" s="385"/>
      <c r="H17" s="385"/>
      <c r="I17" s="385"/>
      <c r="J17" s="385"/>
      <c r="K17" s="385"/>
      <c r="L17" s="385"/>
      <c r="M17" s="385"/>
      <c r="N17" s="385"/>
      <c r="O17" s="386"/>
    </row>
    <row r="18" spans="1:15" ht="15.75" customHeight="1" x14ac:dyDescent="0.2">
      <c r="A18" s="375" t="s">
        <v>772</v>
      </c>
      <c r="B18" s="172" t="s">
        <v>10</v>
      </c>
      <c r="C18" s="367">
        <v>1E-3</v>
      </c>
      <c r="D18" s="385"/>
      <c r="E18" s="386"/>
      <c r="F18" s="385"/>
      <c r="G18" s="385"/>
      <c r="H18" s="385"/>
      <c r="I18" s="385"/>
      <c r="J18" s="385"/>
      <c r="K18" s="385"/>
      <c r="L18" s="385"/>
      <c r="M18" s="385"/>
      <c r="N18" s="385"/>
      <c r="O18" s="386"/>
    </row>
    <row r="19" spans="1:15" ht="15.75" customHeight="1" x14ac:dyDescent="0.2">
      <c r="A19" s="375" t="s">
        <v>775</v>
      </c>
      <c r="B19" s="172" t="s">
        <v>788</v>
      </c>
      <c r="C19" s="367">
        <v>3</v>
      </c>
      <c r="D19" s="385"/>
      <c r="E19" s="386"/>
      <c r="F19" s="385"/>
      <c r="G19" s="385"/>
      <c r="H19" s="385"/>
      <c r="I19" s="385"/>
      <c r="J19" s="385"/>
      <c r="K19" s="385"/>
      <c r="L19" s="385"/>
      <c r="M19" s="385"/>
      <c r="N19" s="385"/>
      <c r="O19" s="386"/>
    </row>
    <row r="20" spans="1:15" ht="15.75" customHeight="1" x14ac:dyDescent="0.2">
      <c r="A20" s="375" t="s">
        <v>780</v>
      </c>
      <c r="B20" s="172" t="s">
        <v>788</v>
      </c>
      <c r="C20" s="367">
        <v>1</v>
      </c>
      <c r="D20" s="385"/>
      <c r="E20" s="386"/>
      <c r="F20" s="385"/>
      <c r="G20" s="385"/>
      <c r="H20" s="385"/>
      <c r="I20" s="385"/>
      <c r="J20" s="385"/>
      <c r="K20" s="385"/>
      <c r="L20" s="385"/>
      <c r="M20" s="385"/>
      <c r="N20" s="385"/>
      <c r="O20" s="386"/>
    </row>
    <row r="21" spans="1:15" ht="15.75" customHeight="1" x14ac:dyDescent="0.2">
      <c r="A21" s="375" t="s">
        <v>781</v>
      </c>
      <c r="B21" s="172" t="s">
        <v>788</v>
      </c>
      <c r="C21" s="367">
        <v>1</v>
      </c>
      <c r="D21" s="385"/>
      <c r="E21" s="386"/>
      <c r="F21" s="385"/>
      <c r="G21" s="385"/>
      <c r="H21" s="385"/>
      <c r="I21" s="385"/>
      <c r="J21" s="385"/>
      <c r="K21" s="385"/>
      <c r="L21" s="385"/>
      <c r="M21" s="385"/>
      <c r="N21" s="385"/>
      <c r="O21" s="386"/>
    </row>
    <row r="22" spans="1:15" ht="15.75" customHeight="1" x14ac:dyDescent="0.2">
      <c r="A22" s="375" t="s">
        <v>782</v>
      </c>
      <c r="B22" s="172" t="s">
        <v>788</v>
      </c>
      <c r="C22" s="367">
        <v>1</v>
      </c>
      <c r="D22" s="385"/>
      <c r="E22" s="386"/>
      <c r="F22" s="385"/>
      <c r="G22" s="385"/>
      <c r="H22" s="385"/>
      <c r="I22" s="385"/>
      <c r="J22" s="385"/>
      <c r="K22" s="385"/>
      <c r="L22" s="385"/>
      <c r="M22" s="385"/>
      <c r="N22" s="385"/>
      <c r="O22" s="386"/>
    </row>
    <row r="23" spans="1:15" ht="15.75" customHeight="1" x14ac:dyDescent="0.2">
      <c r="A23" s="375" t="s">
        <v>794</v>
      </c>
      <c r="B23" s="172" t="s">
        <v>7</v>
      </c>
      <c r="C23" s="367">
        <v>1.44</v>
      </c>
      <c r="D23" s="385"/>
      <c r="E23" s="386"/>
      <c r="F23" s="385"/>
      <c r="G23" s="385"/>
      <c r="H23" s="385"/>
      <c r="I23" s="385"/>
      <c r="J23" s="385"/>
      <c r="K23" s="385"/>
      <c r="L23" s="385"/>
      <c r="M23" s="385"/>
      <c r="N23" s="385"/>
      <c r="O23" s="386"/>
    </row>
    <row r="24" spans="1:15" ht="15.75" customHeight="1" x14ac:dyDescent="0.2">
      <c r="A24" s="375" t="s">
        <v>796</v>
      </c>
      <c r="B24" s="172" t="s">
        <v>10</v>
      </c>
      <c r="C24" s="367">
        <v>0.25</v>
      </c>
      <c r="D24" s="385"/>
      <c r="E24" s="386"/>
      <c r="F24" s="385"/>
      <c r="G24" s="385"/>
      <c r="H24" s="385"/>
      <c r="I24" s="385"/>
      <c r="J24" s="385"/>
      <c r="K24" s="385"/>
      <c r="L24" s="385"/>
      <c r="M24" s="385"/>
      <c r="N24" s="385"/>
      <c r="O24" s="386"/>
    </row>
    <row r="25" spans="1:15" ht="15.75" customHeight="1" x14ac:dyDescent="0.2">
      <c r="A25" s="375" t="s">
        <v>819</v>
      </c>
      <c r="B25" s="172" t="s">
        <v>820</v>
      </c>
      <c r="C25" s="367">
        <v>4</v>
      </c>
      <c r="D25" s="385"/>
      <c r="E25" s="386"/>
      <c r="F25" s="385"/>
      <c r="G25" s="385"/>
      <c r="H25" s="385"/>
      <c r="I25" s="385"/>
      <c r="J25" s="385"/>
      <c r="K25" s="385"/>
      <c r="L25" s="385"/>
      <c r="M25" s="385"/>
      <c r="N25" s="385"/>
      <c r="O25" s="386"/>
    </row>
    <row r="26" spans="1:15" ht="15.75" customHeight="1" x14ac:dyDescent="0.2">
      <c r="A26" s="375" t="s">
        <v>826</v>
      </c>
      <c r="B26" s="172" t="s">
        <v>1</v>
      </c>
      <c r="C26" s="367">
        <v>1</v>
      </c>
      <c r="D26" s="385"/>
      <c r="E26" s="386"/>
      <c r="F26" s="385"/>
      <c r="G26" s="385"/>
      <c r="H26" s="385"/>
      <c r="I26" s="385"/>
      <c r="J26" s="385"/>
      <c r="K26" s="385"/>
      <c r="L26" s="385"/>
      <c r="M26" s="385"/>
      <c r="N26" s="385"/>
      <c r="O26" s="386"/>
    </row>
    <row r="27" spans="1:15" ht="15.75" customHeight="1" x14ac:dyDescent="0.2">
      <c r="A27" s="376" t="s">
        <v>831</v>
      </c>
      <c r="B27" s="178" t="s">
        <v>824</v>
      </c>
      <c r="C27" s="369">
        <v>1.2</v>
      </c>
      <c r="D27" s="385"/>
      <c r="E27" s="386"/>
      <c r="F27" s="385"/>
      <c r="G27" s="385"/>
      <c r="H27" s="385"/>
      <c r="I27" s="385"/>
      <c r="J27" s="385"/>
      <c r="K27" s="385"/>
      <c r="L27" s="385"/>
      <c r="M27" s="385"/>
      <c r="N27" s="385"/>
      <c r="O27" s="386"/>
    </row>
    <row r="28" spans="1:15" ht="15.75" customHeight="1" x14ac:dyDescent="0.2">
      <c r="A28" s="388"/>
      <c r="B28" s="385"/>
      <c r="C28" s="389"/>
      <c r="D28" s="385"/>
      <c r="E28" s="386"/>
      <c r="F28" s="385"/>
      <c r="G28" s="385"/>
      <c r="H28" s="385"/>
      <c r="I28" s="385"/>
      <c r="J28" s="385"/>
      <c r="K28" s="385"/>
      <c r="L28" s="385"/>
      <c r="M28" s="385"/>
      <c r="N28" s="385"/>
      <c r="O28" s="386"/>
    </row>
    <row r="29" spans="1:15" ht="15.75" customHeight="1" x14ac:dyDescent="0.2">
      <c r="A29" s="390"/>
      <c r="B29" s="391"/>
      <c r="C29" s="392"/>
      <c r="D29" s="391"/>
      <c r="E29" s="393"/>
      <c r="F29" s="385"/>
      <c r="G29" s="385"/>
      <c r="H29" s="385"/>
      <c r="I29" s="385"/>
      <c r="J29" s="385"/>
      <c r="K29" s="385"/>
      <c r="L29" s="385"/>
      <c r="M29" s="385"/>
      <c r="N29" s="385"/>
      <c r="O29" s="386"/>
    </row>
    <row r="30" spans="1:15" ht="15.75" customHeight="1" x14ac:dyDescent="0.2">
      <c r="A30" s="394" t="s">
        <v>1087</v>
      </c>
      <c r="B30" s="395"/>
      <c r="C30" s="396"/>
      <c r="D30" s="395"/>
      <c r="E30" s="397"/>
      <c r="F30" s="385"/>
      <c r="G30" s="385"/>
      <c r="H30" s="385"/>
      <c r="I30" s="385"/>
      <c r="J30" s="385"/>
      <c r="K30" s="385"/>
      <c r="L30" s="385"/>
      <c r="M30" s="385"/>
      <c r="N30" s="385"/>
      <c r="O30" s="386"/>
    </row>
    <row r="31" spans="1:15" ht="15.75" customHeight="1" x14ac:dyDescent="0.2">
      <c r="A31" s="373" t="s">
        <v>580</v>
      </c>
      <c r="B31" s="373" t="s">
        <v>372</v>
      </c>
      <c r="C31" s="373" t="s">
        <v>42</v>
      </c>
      <c r="D31" s="398"/>
      <c r="E31" s="399"/>
      <c r="F31" s="385"/>
      <c r="G31" s="385"/>
      <c r="H31" s="385"/>
      <c r="I31" s="385"/>
      <c r="J31" s="385"/>
      <c r="K31" s="385"/>
      <c r="L31" s="385"/>
      <c r="M31" s="385"/>
      <c r="N31" s="385"/>
      <c r="O31" s="386"/>
    </row>
    <row r="32" spans="1:15" ht="15.75" customHeight="1" x14ac:dyDescent="0.2">
      <c r="A32" s="371" t="s">
        <v>2590</v>
      </c>
      <c r="B32" s="400" t="s">
        <v>1081</v>
      </c>
      <c r="C32" s="401">
        <v>0.12</v>
      </c>
      <c r="D32" s="385"/>
      <c r="E32" s="386"/>
      <c r="F32" s="385"/>
      <c r="G32" s="385"/>
      <c r="H32" s="385"/>
      <c r="I32" s="385"/>
      <c r="J32" s="385"/>
      <c r="K32" s="385"/>
      <c r="L32" s="385"/>
      <c r="M32" s="385"/>
      <c r="N32" s="385"/>
      <c r="O32" s="386"/>
    </row>
    <row r="33" spans="1:15" ht="15.75" customHeight="1" x14ac:dyDescent="0.2">
      <c r="A33" s="354" t="s">
        <v>1053</v>
      </c>
      <c r="B33" s="402" t="s">
        <v>1081</v>
      </c>
      <c r="C33" s="403">
        <v>0.08</v>
      </c>
      <c r="D33" s="385"/>
      <c r="E33" s="386"/>
      <c r="F33" s="385"/>
      <c r="G33" s="385"/>
      <c r="H33" s="385"/>
      <c r="I33" s="385"/>
      <c r="J33" s="385"/>
      <c r="K33" s="385"/>
      <c r="L33" s="385"/>
      <c r="M33" s="385"/>
      <c r="N33" s="385"/>
      <c r="O33" s="386"/>
    </row>
    <row r="34" spans="1:15" ht="15.75" customHeight="1" x14ac:dyDescent="0.2">
      <c r="A34" s="354" t="s">
        <v>1052</v>
      </c>
      <c r="B34" s="402" t="s">
        <v>1081</v>
      </c>
      <c r="C34" s="403">
        <v>0.11</v>
      </c>
      <c r="D34" s="385"/>
      <c r="E34" s="386"/>
      <c r="F34" s="385"/>
      <c r="G34" s="385"/>
      <c r="H34" s="385"/>
      <c r="I34" s="385"/>
      <c r="J34" s="385"/>
      <c r="K34" s="385"/>
      <c r="L34" s="385"/>
      <c r="M34" s="385"/>
      <c r="N34" s="385"/>
      <c r="O34" s="386"/>
    </row>
    <row r="35" spans="1:15" ht="15.75" customHeight="1" x14ac:dyDescent="0.2">
      <c r="A35" s="354" t="s">
        <v>2591</v>
      </c>
      <c r="B35" s="402" t="s">
        <v>1081</v>
      </c>
      <c r="C35" s="403">
        <v>0.06</v>
      </c>
      <c r="D35" s="385"/>
      <c r="E35" s="386"/>
      <c r="F35" s="385"/>
      <c r="G35" s="385"/>
      <c r="H35" s="385"/>
      <c r="I35" s="385"/>
      <c r="J35" s="385"/>
      <c r="K35" s="385"/>
      <c r="L35" s="385"/>
      <c r="M35" s="385"/>
      <c r="N35" s="385"/>
      <c r="O35" s="386"/>
    </row>
    <row r="36" spans="1:15" ht="15.75" customHeight="1" x14ac:dyDescent="0.2">
      <c r="A36" s="354" t="s">
        <v>2592</v>
      </c>
      <c r="B36" s="402" t="s">
        <v>1081</v>
      </c>
      <c r="C36" s="403">
        <v>0.04</v>
      </c>
      <c r="D36" s="385"/>
      <c r="E36" s="386"/>
      <c r="F36" s="385"/>
      <c r="G36" s="385"/>
      <c r="H36" s="385"/>
      <c r="I36" s="385"/>
      <c r="J36" s="385"/>
      <c r="K36" s="385"/>
      <c r="L36" s="385"/>
      <c r="M36" s="385"/>
      <c r="N36" s="385"/>
      <c r="O36" s="386"/>
    </row>
    <row r="37" spans="1:15" ht="15.75" customHeight="1" x14ac:dyDescent="0.2">
      <c r="A37" s="354" t="s">
        <v>2594</v>
      </c>
      <c r="B37" s="402" t="s">
        <v>1081</v>
      </c>
      <c r="C37" s="403">
        <v>0.02</v>
      </c>
      <c r="D37" s="385"/>
      <c r="E37" s="386"/>
      <c r="F37" s="385"/>
      <c r="G37" s="385"/>
      <c r="H37" s="385"/>
      <c r="I37" s="385"/>
      <c r="J37" s="385"/>
      <c r="K37" s="385"/>
      <c r="L37" s="385"/>
      <c r="M37" s="385"/>
      <c r="N37" s="385"/>
      <c r="O37" s="386"/>
    </row>
    <row r="38" spans="1:15" ht="15.75" customHeight="1" x14ac:dyDescent="0.2">
      <c r="A38" s="355" t="s">
        <v>1060</v>
      </c>
      <c r="B38" s="404"/>
      <c r="C38" s="405">
        <f>C4</f>
        <v>6</v>
      </c>
      <c r="D38" s="385"/>
      <c r="E38" s="386"/>
      <c r="F38" s="385"/>
      <c r="G38" s="385"/>
      <c r="H38" s="385"/>
      <c r="I38" s="385"/>
      <c r="J38" s="385"/>
      <c r="K38" s="385"/>
      <c r="L38" s="385"/>
      <c r="M38" s="385"/>
      <c r="N38" s="385"/>
      <c r="O38" s="386"/>
    </row>
    <row r="39" spans="1:15" ht="15.75" customHeight="1" x14ac:dyDescent="0.2">
      <c r="A39" s="371" t="s">
        <v>2596</v>
      </c>
      <c r="B39" s="400" t="s">
        <v>1081</v>
      </c>
      <c r="C39" s="401">
        <v>0.08</v>
      </c>
      <c r="D39" s="385"/>
      <c r="E39" s="386"/>
      <c r="F39" s="385"/>
      <c r="G39" s="385"/>
      <c r="H39" s="385"/>
      <c r="I39" s="385"/>
      <c r="J39" s="385"/>
      <c r="K39" s="385"/>
      <c r="L39" s="385"/>
      <c r="M39" s="385"/>
      <c r="N39" s="385"/>
      <c r="O39" s="386"/>
    </row>
    <row r="40" spans="1:15" ht="15.75" customHeight="1" x14ac:dyDescent="0.2">
      <c r="A40" s="354" t="s">
        <v>1058</v>
      </c>
      <c r="B40" s="402" t="s">
        <v>1081</v>
      </c>
      <c r="C40" s="403">
        <v>0.85</v>
      </c>
      <c r="D40" s="385"/>
      <c r="E40" s="386"/>
      <c r="F40" s="385"/>
      <c r="G40" s="385"/>
      <c r="H40" s="385"/>
      <c r="I40" s="385"/>
      <c r="J40" s="385"/>
      <c r="K40" s="385"/>
      <c r="L40" s="385"/>
      <c r="M40" s="385"/>
      <c r="N40" s="385"/>
      <c r="O40" s="386"/>
    </row>
    <row r="41" spans="1:15" ht="15.75" customHeight="1" x14ac:dyDescent="0.2">
      <c r="A41" s="354" t="s">
        <v>1057</v>
      </c>
      <c r="B41" s="402" t="s">
        <v>1081</v>
      </c>
      <c r="C41" s="403">
        <f>0.70005+0.2</f>
        <v>0.90005000000000002</v>
      </c>
      <c r="D41" s="385"/>
      <c r="E41" s="386"/>
      <c r="F41" s="385"/>
      <c r="G41" s="385"/>
      <c r="H41" s="385"/>
      <c r="I41" s="385"/>
      <c r="J41" s="385"/>
      <c r="K41" s="385"/>
      <c r="L41" s="385"/>
      <c r="M41" s="385"/>
      <c r="N41" s="385"/>
      <c r="O41" s="386"/>
    </row>
    <row r="42" spans="1:15" ht="15.75" customHeight="1" x14ac:dyDescent="0.2">
      <c r="A42" s="354" t="s">
        <v>2595</v>
      </c>
      <c r="B42" s="402" t="s">
        <v>1081</v>
      </c>
      <c r="C42" s="403">
        <v>0.05</v>
      </c>
      <c r="D42" s="385"/>
      <c r="E42" s="386"/>
      <c r="F42" s="385"/>
      <c r="G42" s="385"/>
      <c r="H42" s="385"/>
      <c r="I42" s="385"/>
      <c r="J42" s="385"/>
      <c r="K42" s="385"/>
      <c r="L42" s="385"/>
      <c r="M42" s="385"/>
      <c r="N42" s="385"/>
      <c r="O42" s="386"/>
    </row>
    <row r="43" spans="1:15" ht="15.75" customHeight="1" x14ac:dyDescent="0.2">
      <c r="A43" s="354" t="s">
        <v>2597</v>
      </c>
      <c r="B43" s="402" t="s">
        <v>1081</v>
      </c>
      <c r="C43" s="403">
        <v>0.02</v>
      </c>
      <c r="D43" s="385"/>
      <c r="E43" s="386"/>
      <c r="F43" s="385"/>
      <c r="G43" s="385"/>
      <c r="H43" s="385"/>
      <c r="I43" s="385"/>
      <c r="J43" s="385"/>
      <c r="K43" s="385"/>
      <c r="L43" s="385"/>
      <c r="M43" s="385"/>
      <c r="N43" s="385"/>
      <c r="O43" s="386"/>
    </row>
    <row r="44" spans="1:15" ht="15.75" customHeight="1" x14ac:dyDescent="0.2">
      <c r="A44" s="354" t="s">
        <v>2598</v>
      </c>
      <c r="B44" s="402" t="s">
        <v>1081</v>
      </c>
      <c r="C44" s="403">
        <v>0.01</v>
      </c>
      <c r="D44" s="385"/>
      <c r="E44" s="386"/>
      <c r="F44" s="385"/>
      <c r="G44" s="385"/>
      <c r="H44" s="385"/>
      <c r="I44" s="385"/>
      <c r="J44" s="385"/>
      <c r="K44" s="385"/>
      <c r="L44" s="385"/>
      <c r="M44" s="385"/>
      <c r="N44" s="385"/>
      <c r="O44" s="386"/>
    </row>
    <row r="45" spans="1:15" ht="15.75" customHeight="1" x14ac:dyDescent="0.2">
      <c r="A45" s="355" t="s">
        <v>1061</v>
      </c>
      <c r="B45" s="404"/>
      <c r="C45" s="405">
        <v>1</v>
      </c>
      <c r="D45" s="385"/>
      <c r="E45" s="386"/>
      <c r="F45" s="385"/>
      <c r="G45" s="385"/>
      <c r="H45" s="385"/>
      <c r="I45" s="385"/>
      <c r="J45" s="385"/>
      <c r="K45" s="385"/>
      <c r="L45" s="385"/>
      <c r="M45" s="385"/>
      <c r="N45" s="385"/>
      <c r="O45" s="386"/>
    </row>
    <row r="46" spans="1:15" ht="15.75" customHeight="1" x14ac:dyDescent="0.2">
      <c r="A46" s="371" t="s">
        <v>2608</v>
      </c>
      <c r="B46" s="400" t="s">
        <v>1081</v>
      </c>
      <c r="C46" s="401">
        <v>0.76</v>
      </c>
      <c r="D46" s="385"/>
      <c r="E46" s="386"/>
      <c r="F46" s="385"/>
      <c r="G46" s="385"/>
      <c r="H46" s="385"/>
      <c r="I46" s="385"/>
      <c r="J46" s="385"/>
      <c r="K46" s="385"/>
      <c r="L46" s="385"/>
      <c r="M46" s="385"/>
      <c r="N46" s="385"/>
      <c r="O46" s="386"/>
    </row>
    <row r="47" spans="1:15" ht="15.75" customHeight="1" x14ac:dyDescent="0.2">
      <c r="A47" s="354" t="s">
        <v>2609</v>
      </c>
      <c r="B47" s="402" t="s">
        <v>1081</v>
      </c>
      <c r="C47" s="403">
        <v>0.08</v>
      </c>
      <c r="D47" s="385"/>
      <c r="E47" s="386"/>
      <c r="F47" s="385"/>
      <c r="G47" s="385"/>
      <c r="H47" s="385"/>
      <c r="I47" s="385"/>
      <c r="J47" s="385"/>
      <c r="K47" s="385"/>
      <c r="L47" s="385"/>
      <c r="M47" s="385"/>
      <c r="N47" s="385"/>
      <c r="O47" s="386"/>
    </row>
    <row r="48" spans="1:15" ht="15.75" customHeight="1" x14ac:dyDescent="0.2">
      <c r="A48" s="354" t="s">
        <v>2610</v>
      </c>
      <c r="B48" s="402" t="s">
        <v>1081</v>
      </c>
      <c r="C48" s="403">
        <v>0.03</v>
      </c>
      <c r="D48" s="385"/>
      <c r="E48" s="386"/>
      <c r="F48" s="385"/>
      <c r="G48" s="385"/>
      <c r="H48" s="385"/>
      <c r="I48" s="385"/>
      <c r="J48" s="385"/>
      <c r="K48" s="385"/>
      <c r="L48" s="385"/>
      <c r="M48" s="385"/>
      <c r="N48" s="385"/>
      <c r="O48" s="386"/>
    </row>
    <row r="49" spans="1:15" ht="15.75" customHeight="1" x14ac:dyDescent="0.2">
      <c r="A49" s="354" t="s">
        <v>2611</v>
      </c>
      <c r="B49" s="402" t="s">
        <v>1081</v>
      </c>
      <c r="C49" s="403">
        <v>0.87</v>
      </c>
      <c r="D49" s="385"/>
      <c r="E49" s="386"/>
      <c r="F49" s="385"/>
      <c r="G49" s="385"/>
      <c r="H49" s="385"/>
      <c r="I49" s="385"/>
      <c r="J49" s="385"/>
      <c r="K49" s="385"/>
      <c r="L49" s="385"/>
      <c r="M49" s="385"/>
      <c r="N49" s="385"/>
      <c r="O49" s="386"/>
    </row>
    <row r="50" spans="1:15" ht="15.75" customHeight="1" x14ac:dyDescent="0.2">
      <c r="A50" s="354" t="s">
        <v>2612</v>
      </c>
      <c r="B50" s="402" t="s">
        <v>1081</v>
      </c>
      <c r="C50" s="403">
        <v>0.93</v>
      </c>
      <c r="D50" s="385"/>
      <c r="E50" s="386"/>
      <c r="F50" s="385"/>
      <c r="G50" s="385"/>
      <c r="H50" s="385"/>
      <c r="I50" s="385"/>
      <c r="J50" s="385"/>
      <c r="K50" s="385"/>
      <c r="L50" s="385"/>
      <c r="M50" s="385"/>
      <c r="N50" s="385"/>
      <c r="O50" s="386"/>
    </row>
    <row r="51" spans="1:15" ht="15.75" customHeight="1" x14ac:dyDescent="0.2">
      <c r="A51" s="354" t="s">
        <v>2613</v>
      </c>
      <c r="B51" s="402" t="s">
        <v>1081</v>
      </c>
      <c r="C51" s="403">
        <v>0.95</v>
      </c>
      <c r="D51" s="385"/>
      <c r="E51" s="386"/>
      <c r="F51" s="385"/>
      <c r="G51" s="385"/>
      <c r="H51" s="385"/>
      <c r="I51" s="385"/>
      <c r="J51" s="385"/>
      <c r="K51" s="385"/>
      <c r="L51" s="385"/>
      <c r="M51" s="385"/>
      <c r="N51" s="385"/>
      <c r="O51" s="386"/>
    </row>
    <row r="52" spans="1:15" ht="15.75" customHeight="1" x14ac:dyDescent="0.2">
      <c r="A52" s="355" t="s">
        <v>2614</v>
      </c>
      <c r="B52" s="404"/>
      <c r="C52" s="405">
        <v>13</v>
      </c>
      <c r="D52" s="385"/>
      <c r="E52" s="386"/>
      <c r="F52" s="385"/>
      <c r="G52" s="385"/>
      <c r="H52" s="385"/>
      <c r="I52" s="385"/>
      <c r="J52" s="385"/>
      <c r="K52" s="385"/>
      <c r="L52" s="385"/>
      <c r="M52" s="385"/>
      <c r="N52" s="385"/>
      <c r="O52" s="386"/>
    </row>
    <row r="53" spans="1:15" ht="15.75" customHeight="1" x14ac:dyDescent="0.2">
      <c r="A53" s="354" t="s">
        <v>2599</v>
      </c>
      <c r="B53" s="402" t="s">
        <v>1081</v>
      </c>
      <c r="C53" s="403">
        <f>1-SUM(C32,C39,C46)</f>
        <v>4.0000000000000036E-2</v>
      </c>
      <c r="D53" s="385"/>
      <c r="E53" s="386"/>
      <c r="F53" s="385"/>
      <c r="G53" s="385"/>
      <c r="H53" s="385"/>
      <c r="I53" s="385"/>
      <c r="J53" s="385"/>
      <c r="K53" s="385"/>
      <c r="L53" s="385"/>
      <c r="M53" s="385"/>
      <c r="N53" s="385"/>
      <c r="O53" s="386"/>
    </row>
    <row r="54" spans="1:15" ht="15.75" customHeight="1" x14ac:dyDescent="0.2">
      <c r="A54" s="354" t="s">
        <v>1078</v>
      </c>
      <c r="B54" s="402" t="s">
        <v>1081</v>
      </c>
      <c r="C54" s="403">
        <v>9.1139200000000004E-2</v>
      </c>
      <c r="D54" s="385"/>
      <c r="E54" s="386"/>
      <c r="F54" s="385"/>
      <c r="G54" s="385"/>
      <c r="H54" s="385"/>
      <c r="I54" s="385"/>
      <c r="J54" s="385"/>
      <c r="K54" s="385"/>
      <c r="L54" s="385"/>
      <c r="M54" s="385"/>
      <c r="N54" s="385"/>
      <c r="O54" s="386"/>
    </row>
    <row r="55" spans="1:15" ht="15.75" customHeight="1" x14ac:dyDescent="0.2">
      <c r="A55" s="354" t="s">
        <v>1077</v>
      </c>
      <c r="B55" s="402" t="s">
        <v>1081</v>
      </c>
      <c r="C55" s="403">
        <v>0.10853500000000001</v>
      </c>
      <c r="D55" s="385"/>
      <c r="E55" s="386"/>
      <c r="F55" s="385"/>
      <c r="G55" s="385"/>
      <c r="H55" s="385"/>
      <c r="I55" s="385"/>
      <c r="J55" s="385"/>
      <c r="K55" s="385"/>
      <c r="L55" s="385"/>
      <c r="M55" s="385"/>
      <c r="N55" s="385"/>
      <c r="O55" s="386"/>
    </row>
    <row r="56" spans="1:15" ht="15.75" customHeight="1" x14ac:dyDescent="0.2">
      <c r="A56" s="354" t="s">
        <v>2600</v>
      </c>
      <c r="B56" s="402" t="s">
        <v>1081</v>
      </c>
      <c r="C56" s="403">
        <f>1-SUM(C35,C42,C49)</f>
        <v>2.0000000000000018E-2</v>
      </c>
      <c r="D56" s="385"/>
      <c r="E56" s="386"/>
      <c r="F56" s="385"/>
      <c r="G56" s="385"/>
      <c r="H56" s="385"/>
      <c r="I56" s="385"/>
      <c r="J56" s="385"/>
      <c r="K56" s="385"/>
      <c r="L56" s="385"/>
      <c r="M56" s="385"/>
      <c r="N56" s="385"/>
      <c r="O56" s="386"/>
    </row>
    <row r="57" spans="1:15" ht="15.75" customHeight="1" x14ac:dyDescent="0.2">
      <c r="A57" s="354" t="s">
        <v>2601</v>
      </c>
      <c r="B57" s="402" t="s">
        <v>1081</v>
      </c>
      <c r="C57" s="403">
        <f>1-SUM(C36,C43,C50)</f>
        <v>1.0000000000000009E-2</v>
      </c>
      <c r="D57" s="385"/>
      <c r="E57" s="386"/>
      <c r="F57" s="385"/>
      <c r="G57" s="385"/>
      <c r="H57" s="385"/>
      <c r="I57" s="385"/>
      <c r="J57" s="385"/>
      <c r="K57" s="385"/>
      <c r="L57" s="385"/>
      <c r="M57" s="385"/>
      <c r="N57" s="385"/>
      <c r="O57" s="386"/>
    </row>
    <row r="58" spans="1:15" ht="15.75" customHeight="1" x14ac:dyDescent="0.2">
      <c r="A58" s="354" t="s">
        <v>2602</v>
      </c>
      <c r="B58" s="402" t="s">
        <v>1081</v>
      </c>
      <c r="C58" s="403">
        <f>1-SUM(C37,C44,C51)</f>
        <v>2.0000000000000018E-2</v>
      </c>
      <c r="D58" s="385"/>
      <c r="E58" s="386"/>
      <c r="F58" s="385"/>
      <c r="G58" s="385"/>
      <c r="H58" s="385"/>
      <c r="I58" s="385"/>
      <c r="J58" s="385"/>
      <c r="K58" s="385"/>
      <c r="L58" s="385"/>
      <c r="M58" s="385"/>
      <c r="N58" s="385"/>
      <c r="O58" s="386"/>
    </row>
    <row r="59" spans="1:15" ht="15.75" customHeight="1" x14ac:dyDescent="0.2">
      <c r="A59" s="355" t="s">
        <v>1080</v>
      </c>
      <c r="B59" s="404"/>
      <c r="C59" s="393">
        <v>6.5</v>
      </c>
      <c r="D59" s="385"/>
      <c r="E59" s="386"/>
      <c r="F59" s="385"/>
      <c r="G59" s="385"/>
      <c r="H59" s="385"/>
      <c r="I59" s="385"/>
      <c r="J59" s="385"/>
      <c r="K59" s="385"/>
      <c r="L59" s="385"/>
      <c r="M59" s="385"/>
      <c r="N59" s="385"/>
      <c r="O59" s="386"/>
    </row>
    <row r="60" spans="1:15" ht="15.75" customHeight="1" x14ac:dyDescent="0.2">
      <c r="A60" s="406"/>
      <c r="B60" s="385"/>
      <c r="C60" s="385"/>
      <c r="D60" s="385"/>
      <c r="E60" s="386"/>
      <c r="F60" s="385"/>
      <c r="G60" s="385"/>
      <c r="H60" s="385"/>
      <c r="I60" s="385"/>
      <c r="J60" s="385"/>
      <c r="K60" s="385"/>
      <c r="L60" s="385"/>
      <c r="M60" s="385"/>
      <c r="N60" s="385"/>
      <c r="O60" s="386"/>
    </row>
    <row r="61" spans="1:15" ht="15.75" customHeight="1" x14ac:dyDescent="0.2">
      <c r="A61" s="404"/>
      <c r="B61" s="391"/>
      <c r="C61" s="391"/>
      <c r="D61" s="391"/>
      <c r="E61" s="393"/>
      <c r="F61" s="385"/>
      <c r="G61" s="385"/>
      <c r="H61" s="385"/>
      <c r="I61" s="385"/>
      <c r="J61" s="385"/>
      <c r="K61" s="385"/>
      <c r="L61" s="385"/>
      <c r="M61" s="385"/>
      <c r="N61" s="385"/>
      <c r="O61" s="386"/>
    </row>
    <row r="62" spans="1:15" ht="15.75" customHeight="1" x14ac:dyDescent="0.2">
      <c r="A62" s="394" t="s">
        <v>1377</v>
      </c>
      <c r="B62" s="395"/>
      <c r="C62" s="395"/>
      <c r="D62" s="395"/>
      <c r="E62" s="397"/>
      <c r="F62" s="385"/>
      <c r="G62" s="385"/>
      <c r="H62" s="385"/>
      <c r="I62" s="385"/>
      <c r="J62" s="385"/>
      <c r="K62" s="385"/>
      <c r="L62" s="385"/>
      <c r="M62" s="385"/>
      <c r="N62" s="385"/>
      <c r="O62" s="386"/>
    </row>
    <row r="63" spans="1:15" ht="15.75" customHeight="1" x14ac:dyDescent="0.2">
      <c r="A63" s="373" t="s">
        <v>580</v>
      </c>
      <c r="B63" s="373" t="s">
        <v>372</v>
      </c>
      <c r="C63" s="373" t="s">
        <v>42</v>
      </c>
      <c r="D63" s="398"/>
      <c r="E63" s="399"/>
      <c r="F63" s="385"/>
      <c r="G63" s="385"/>
      <c r="H63" s="385"/>
      <c r="I63" s="385"/>
      <c r="J63" s="385"/>
      <c r="K63" s="385"/>
      <c r="L63" s="385"/>
      <c r="M63" s="385"/>
      <c r="N63" s="385"/>
      <c r="O63" s="386"/>
    </row>
    <row r="64" spans="1:15" ht="15.75" customHeight="1" x14ac:dyDescent="0.2">
      <c r="A64" s="317" t="s">
        <v>2603</v>
      </c>
      <c r="B64" s="344" t="s">
        <v>302</v>
      </c>
      <c r="C64" s="362">
        <f>Inputs!F77/1000</f>
        <v>10.5</v>
      </c>
      <c r="D64" s="385"/>
      <c r="E64" s="386"/>
      <c r="F64" s="385"/>
      <c r="G64" s="385"/>
      <c r="H64" s="385"/>
      <c r="I64" s="385"/>
      <c r="J64" s="385"/>
      <c r="K64" s="385"/>
      <c r="L64" s="385"/>
      <c r="M64" s="385"/>
      <c r="N64" s="385"/>
      <c r="O64" s="386"/>
    </row>
    <row r="65" spans="1:15" ht="15.75" customHeight="1" x14ac:dyDescent="0.2">
      <c r="A65" s="317" t="s">
        <v>1386</v>
      </c>
      <c r="B65" s="344" t="s">
        <v>302</v>
      </c>
      <c r="C65" s="362">
        <f>Inputs!F81/1000</f>
        <v>16.535439999999998</v>
      </c>
      <c r="D65" s="385"/>
      <c r="E65" s="386"/>
      <c r="F65" s="385"/>
      <c r="G65" s="385"/>
      <c r="H65" s="385"/>
      <c r="I65" s="385"/>
      <c r="J65" s="385"/>
      <c r="K65" s="385"/>
      <c r="L65" s="385"/>
      <c r="M65" s="385"/>
      <c r="N65" s="385"/>
      <c r="O65" s="386"/>
    </row>
    <row r="66" spans="1:15" ht="15.75" customHeight="1" x14ac:dyDescent="0.2">
      <c r="A66" s="354" t="s">
        <v>2604</v>
      </c>
      <c r="B66" s="344" t="s">
        <v>302</v>
      </c>
      <c r="C66" s="362">
        <f>Inputs!F82/1000</f>
        <v>5.89907</v>
      </c>
      <c r="D66" s="385"/>
      <c r="E66" s="386"/>
      <c r="F66" s="385"/>
      <c r="G66" s="385"/>
      <c r="H66" s="385"/>
      <c r="I66" s="385"/>
      <c r="J66" s="385"/>
      <c r="K66" s="385"/>
      <c r="L66" s="385"/>
      <c r="M66" s="385"/>
      <c r="N66" s="385"/>
      <c r="O66" s="386"/>
    </row>
    <row r="67" spans="1:15" ht="15.75" customHeight="1" x14ac:dyDescent="0.2">
      <c r="A67" s="354" t="s">
        <v>2605</v>
      </c>
      <c r="B67" s="344" t="s">
        <v>302</v>
      </c>
      <c r="C67" s="362">
        <f>Inputs!F79/1000</f>
        <v>1.25</v>
      </c>
      <c r="D67" s="385"/>
      <c r="E67" s="386"/>
      <c r="F67" s="385"/>
      <c r="G67" s="385"/>
      <c r="H67" s="385"/>
      <c r="I67" s="385"/>
      <c r="J67" s="385"/>
      <c r="K67" s="385"/>
      <c r="L67" s="385"/>
      <c r="M67" s="385"/>
      <c r="N67" s="385"/>
      <c r="O67" s="386"/>
    </row>
    <row r="68" spans="1:15" ht="15.75" customHeight="1" x14ac:dyDescent="0.2">
      <c r="A68" s="354" t="s">
        <v>2606</v>
      </c>
      <c r="B68" s="344" t="s">
        <v>302</v>
      </c>
      <c r="C68" s="362">
        <f>Inputs!F80/1000</f>
        <v>0.4</v>
      </c>
      <c r="D68" s="385"/>
      <c r="E68" s="386"/>
      <c r="F68" s="385"/>
      <c r="G68" s="385"/>
      <c r="H68" s="385"/>
      <c r="I68" s="385"/>
      <c r="J68" s="385"/>
      <c r="K68" s="385"/>
      <c r="L68" s="385"/>
      <c r="M68" s="385"/>
      <c r="N68" s="385"/>
      <c r="O68" s="386"/>
    </row>
    <row r="69" spans="1:15" ht="15.75" customHeight="1" x14ac:dyDescent="0.2">
      <c r="A69" s="354" t="s">
        <v>2607</v>
      </c>
      <c r="B69" s="344" t="s">
        <v>302</v>
      </c>
      <c r="C69" s="362">
        <f>Inputs!F78/1000</f>
        <v>0.38</v>
      </c>
      <c r="D69" s="385"/>
      <c r="E69" s="386"/>
      <c r="F69" s="385"/>
      <c r="G69" s="385"/>
      <c r="H69" s="385"/>
      <c r="I69" s="385"/>
      <c r="J69" s="385"/>
      <c r="K69" s="385"/>
      <c r="L69" s="385"/>
      <c r="M69" s="385"/>
      <c r="N69" s="385"/>
      <c r="O69" s="386"/>
    </row>
    <row r="70" spans="1:15" ht="15.75" customHeight="1" x14ac:dyDescent="0.2">
      <c r="A70" s="354" t="s">
        <v>1390</v>
      </c>
      <c r="B70" s="344" t="s">
        <v>376</v>
      </c>
      <c r="C70" s="407">
        <f>10^(-C45)</f>
        <v>0.1</v>
      </c>
      <c r="D70" s="385"/>
      <c r="E70" s="386"/>
      <c r="F70" s="385"/>
      <c r="G70" s="385"/>
      <c r="H70" s="385"/>
      <c r="I70" s="385"/>
      <c r="J70" s="385"/>
      <c r="K70" s="385"/>
      <c r="L70" s="385"/>
      <c r="M70" s="385"/>
      <c r="N70" s="385"/>
      <c r="O70" s="386"/>
    </row>
    <row r="71" spans="1:15" ht="15.75" customHeight="1" x14ac:dyDescent="0.2">
      <c r="A71" s="355" t="s">
        <v>1391</v>
      </c>
      <c r="B71" s="347" t="s">
        <v>376</v>
      </c>
      <c r="C71" s="364">
        <f>10^(-(14-C52))</f>
        <v>0.1</v>
      </c>
      <c r="D71" s="385"/>
      <c r="E71" s="386"/>
      <c r="F71" s="385"/>
      <c r="G71" s="385"/>
      <c r="H71" s="385"/>
      <c r="I71" s="385"/>
      <c r="J71" s="385"/>
      <c r="K71" s="385"/>
      <c r="L71" s="385"/>
      <c r="M71" s="385"/>
      <c r="N71" s="385"/>
      <c r="O71" s="386"/>
    </row>
    <row r="72" spans="1:15" ht="15.75" customHeight="1" x14ac:dyDescent="0.2">
      <c r="A72" s="388"/>
      <c r="C72" s="385"/>
      <c r="D72" s="385"/>
      <c r="E72" s="386"/>
      <c r="F72" s="385"/>
      <c r="G72" s="385"/>
      <c r="H72" s="385"/>
      <c r="I72" s="385"/>
      <c r="J72" s="385"/>
      <c r="K72" s="385"/>
      <c r="L72" s="385"/>
      <c r="M72" s="385"/>
      <c r="N72" s="385"/>
      <c r="O72" s="386"/>
    </row>
    <row r="73" spans="1:15" ht="15.75" customHeight="1" x14ac:dyDescent="0.2">
      <c r="A73" s="388"/>
      <c r="C73" s="385"/>
      <c r="D73" s="385"/>
      <c r="E73" s="386"/>
      <c r="F73" s="385"/>
      <c r="G73" s="385"/>
      <c r="H73" s="385"/>
      <c r="I73" s="385"/>
      <c r="J73" s="385"/>
      <c r="K73" s="385"/>
      <c r="L73" s="385"/>
      <c r="M73" s="385"/>
      <c r="N73" s="385"/>
      <c r="O73" s="386"/>
    </row>
    <row r="74" spans="1:15" ht="15.75" customHeight="1" x14ac:dyDescent="0.2">
      <c r="A74" s="394" t="s">
        <v>1445</v>
      </c>
      <c r="B74" s="395"/>
      <c r="C74" s="395"/>
      <c r="D74" s="395"/>
      <c r="E74" s="395"/>
      <c r="F74" s="395"/>
      <c r="G74" s="395"/>
      <c r="H74" s="395"/>
      <c r="I74" s="395"/>
      <c r="J74" s="395"/>
      <c r="K74" s="397"/>
      <c r="L74" s="385"/>
      <c r="M74" s="385"/>
      <c r="N74" s="385"/>
      <c r="O74" s="386"/>
    </row>
    <row r="75" spans="1:15" ht="15.75" customHeight="1" x14ac:dyDescent="0.2">
      <c r="A75" s="408"/>
      <c r="B75" s="1581" t="s">
        <v>2589</v>
      </c>
      <c r="C75" s="1581"/>
      <c r="D75" s="409" t="s">
        <v>1447</v>
      </c>
      <c r="E75" s="410" t="s">
        <v>1449</v>
      </c>
      <c r="F75" s="411" t="s">
        <v>1451</v>
      </c>
      <c r="G75" s="1581" t="s">
        <v>2589</v>
      </c>
      <c r="H75" s="1581"/>
      <c r="I75" s="409" t="s">
        <v>1447</v>
      </c>
      <c r="J75" s="410" t="s">
        <v>1449</v>
      </c>
      <c r="K75" s="412" t="s">
        <v>1451</v>
      </c>
      <c r="L75" s="385"/>
      <c r="M75" s="413"/>
      <c r="N75" s="385"/>
      <c r="O75" s="386"/>
    </row>
    <row r="76" spans="1:15" ht="15.75" customHeight="1" x14ac:dyDescent="0.2">
      <c r="A76" s="372" t="s">
        <v>580</v>
      </c>
      <c r="B76" s="373" t="s">
        <v>372</v>
      </c>
      <c r="C76" s="372" t="s">
        <v>42</v>
      </c>
      <c r="D76" s="373" t="s">
        <v>42</v>
      </c>
      <c r="E76" s="373" t="s">
        <v>42</v>
      </c>
      <c r="F76" s="373" t="s">
        <v>42</v>
      </c>
      <c r="G76" s="373" t="s">
        <v>372</v>
      </c>
      <c r="H76" s="373" t="s">
        <v>42</v>
      </c>
      <c r="I76" s="373" t="s">
        <v>42</v>
      </c>
      <c r="J76" s="373" t="s">
        <v>42</v>
      </c>
      <c r="K76" s="373" t="s">
        <v>42</v>
      </c>
      <c r="L76" s="208"/>
      <c r="M76" s="385"/>
      <c r="N76" s="385"/>
      <c r="O76" s="386"/>
    </row>
    <row r="77" spans="1:15" ht="15.75" customHeight="1" x14ac:dyDescent="0.2">
      <c r="A77" s="316" t="s">
        <v>2603</v>
      </c>
      <c r="B77" s="344" t="s">
        <v>302</v>
      </c>
      <c r="C77" s="348">
        <f t="shared" ref="C77:C82" si="0">C64*C32</f>
        <v>1.26</v>
      </c>
      <c r="D77" s="349">
        <f t="shared" ref="D77:D82" si="1">(C64*C46)*C$11</f>
        <v>39.900000000000006</v>
      </c>
      <c r="E77" s="350">
        <f t="shared" ref="E77:E82" si="2">(C64*C39)*C$11</f>
        <v>4.2</v>
      </c>
      <c r="F77" s="349">
        <f t="shared" ref="F77:F82" si="3">(C64*C53)*C$12</f>
        <v>2.1000000000000019</v>
      </c>
      <c r="G77" s="351" t="s">
        <v>376</v>
      </c>
      <c r="H77" s="352">
        <f>C77/Units!$C232</f>
        <v>5.4806988273783878E-2</v>
      </c>
      <c r="I77" s="352">
        <f>D77/Units!$C232</f>
        <v>1.7355546286698229</v>
      </c>
      <c r="J77" s="352">
        <f>E77/Units!$C232</f>
        <v>0.18268996091261291</v>
      </c>
      <c r="K77" s="352">
        <f>F77/Units!$C232</f>
        <v>9.134498045630654E-2</v>
      </c>
      <c r="L77" s="172"/>
      <c r="O77" s="367"/>
    </row>
    <row r="78" spans="1:15" ht="15.75" customHeight="1" x14ac:dyDescent="0.2">
      <c r="A78" s="317" t="s">
        <v>1386</v>
      </c>
      <c r="B78" s="344" t="s">
        <v>302</v>
      </c>
      <c r="C78" s="353">
        <f t="shared" si="0"/>
        <v>1.3228351999999999</v>
      </c>
      <c r="D78" s="349">
        <f t="shared" si="1"/>
        <v>6.6141759999999996</v>
      </c>
      <c r="E78" s="350">
        <f t="shared" si="2"/>
        <v>70.275619999999989</v>
      </c>
      <c r="F78" s="349">
        <f t="shared" si="3"/>
        <v>7.5351338662399989</v>
      </c>
      <c r="G78" s="351" t="s">
        <v>376</v>
      </c>
      <c r="H78" s="349">
        <f>C78/Units!$C233</f>
        <v>3.7315520451339908E-2</v>
      </c>
      <c r="I78" s="349">
        <f>D78/Units!$C233</f>
        <v>0.18657760225669956</v>
      </c>
      <c r="J78" s="349">
        <f>E78/Units!$C233</f>
        <v>1.9823870239774326</v>
      </c>
      <c r="K78" s="349">
        <f>F78/Units!$C233</f>
        <v>0.21255666759492237</v>
      </c>
      <c r="L78" s="172"/>
      <c r="O78" s="367"/>
    </row>
    <row r="79" spans="1:15" ht="15.75" customHeight="1" x14ac:dyDescent="0.2">
      <c r="A79" s="354" t="s">
        <v>2604</v>
      </c>
      <c r="B79" s="344" t="s">
        <v>302</v>
      </c>
      <c r="C79" s="353">
        <f t="shared" si="0"/>
        <v>0.64889770000000002</v>
      </c>
      <c r="D79" s="349">
        <f t="shared" si="1"/>
        <v>0.88486049999999994</v>
      </c>
      <c r="E79" s="350">
        <f t="shared" si="2"/>
        <v>26.547289767500001</v>
      </c>
      <c r="F79" s="349">
        <f t="shared" si="3"/>
        <v>3.2012778122500003</v>
      </c>
      <c r="G79" s="351" t="s">
        <v>376</v>
      </c>
      <c r="H79" s="349">
        <f>C79/Units!$C234</f>
        <v>6.7551290859879246E-3</v>
      </c>
      <c r="I79" s="349">
        <f>D79/Units!$C234</f>
        <v>9.2115396627108041E-3</v>
      </c>
      <c r="J79" s="349">
        <f>E79/Units!$C234</f>
        <v>0.27636154244742867</v>
      </c>
      <c r="K79" s="349">
        <f>F79/Units!$C234</f>
        <v>3.3325815243077248E-2</v>
      </c>
      <c r="L79" s="172"/>
      <c r="O79" s="367"/>
    </row>
    <row r="80" spans="1:15" ht="15.75" customHeight="1" x14ac:dyDescent="0.2">
      <c r="A80" s="354" t="s">
        <v>2605</v>
      </c>
      <c r="B80" s="344" t="s">
        <v>302</v>
      </c>
      <c r="C80" s="353">
        <f t="shared" si="0"/>
        <v>7.4999999999999997E-2</v>
      </c>
      <c r="D80" s="349">
        <f t="shared" si="1"/>
        <v>5.4375</v>
      </c>
      <c r="E80" s="350">
        <f t="shared" si="2"/>
        <v>0.3125</v>
      </c>
      <c r="F80" s="349">
        <f t="shared" si="3"/>
        <v>0.12500000000000011</v>
      </c>
      <c r="G80" s="351" t="s">
        <v>376</v>
      </c>
      <c r="H80" s="349">
        <f>C80/Units!$C235</f>
        <v>3.0857848179386958E-3</v>
      </c>
      <c r="I80" s="349">
        <f>D80/Units!$C235</f>
        <v>0.22371939930055545</v>
      </c>
      <c r="J80" s="349">
        <f>E80/Units!$C235</f>
        <v>1.2857436741411233E-2</v>
      </c>
      <c r="K80" s="349">
        <f>F80/Units!$C235</f>
        <v>5.1429746965644977E-3</v>
      </c>
      <c r="L80" s="172"/>
      <c r="O80" s="367"/>
    </row>
    <row r="81" spans="1:17" ht="15.75" customHeight="1" x14ac:dyDescent="0.2">
      <c r="A81" s="354" t="s">
        <v>2606</v>
      </c>
      <c r="B81" s="344" t="s">
        <v>302</v>
      </c>
      <c r="C81" s="353">
        <f t="shared" si="0"/>
        <v>1.6E-2</v>
      </c>
      <c r="D81" s="349">
        <f t="shared" si="1"/>
        <v>1.8600000000000003</v>
      </c>
      <c r="E81" s="350">
        <f t="shared" si="2"/>
        <v>0.04</v>
      </c>
      <c r="F81" s="349">
        <f t="shared" si="3"/>
        <v>2.0000000000000018E-2</v>
      </c>
      <c r="G81" s="351" t="s">
        <v>376</v>
      </c>
      <c r="H81" s="349">
        <f>C81/Units!$C236</f>
        <v>3.9922151803982231E-4</v>
      </c>
      <c r="I81" s="349">
        <f>D81/Units!$C236</f>
        <v>4.6409501472129355E-2</v>
      </c>
      <c r="J81" s="349">
        <f>E81/Units!$C236</f>
        <v>9.980537950995559E-4</v>
      </c>
      <c r="K81" s="349">
        <f>F81/Units!$C236</f>
        <v>4.9902689754977839E-4</v>
      </c>
      <c r="L81" s="172"/>
      <c r="O81" s="367"/>
    </row>
    <row r="82" spans="1:17" ht="15.75" customHeight="1" x14ac:dyDescent="0.2">
      <c r="A82" s="355" t="s">
        <v>2607</v>
      </c>
      <c r="B82" s="347" t="s">
        <v>302</v>
      </c>
      <c r="C82" s="356">
        <f t="shared" si="0"/>
        <v>7.6E-3</v>
      </c>
      <c r="D82" s="357">
        <f t="shared" si="1"/>
        <v>1.8049999999999999</v>
      </c>
      <c r="E82" s="358">
        <f t="shared" si="2"/>
        <v>1.9E-2</v>
      </c>
      <c r="F82" s="357">
        <f t="shared" si="3"/>
        <v>3.8000000000000034E-2</v>
      </c>
      <c r="G82" s="359" t="s">
        <v>376</v>
      </c>
      <c r="H82" s="357">
        <f>C82/Units!$C237</f>
        <v>1.9438185291943639E-4</v>
      </c>
      <c r="I82" s="357">
        <f>D82/Units!$C237</f>
        <v>4.6165690068366141E-2</v>
      </c>
      <c r="J82" s="357">
        <f>E82/Units!$C237</f>
        <v>4.8595463229859096E-4</v>
      </c>
      <c r="K82" s="357">
        <f>F82/Units!$C237</f>
        <v>9.7190926459718278E-4</v>
      </c>
      <c r="L82" s="172"/>
      <c r="O82" s="367"/>
    </row>
    <row r="83" spans="1:17" ht="15.75" customHeight="1" x14ac:dyDescent="0.2">
      <c r="A83" s="375"/>
      <c r="B83" s="172"/>
      <c r="O83" s="367"/>
    </row>
    <row r="84" spans="1:17" ht="15.75" customHeight="1" x14ac:dyDescent="0.2">
      <c r="A84" s="414"/>
      <c r="B84" s="178"/>
      <c r="C84" s="415"/>
      <c r="D84" s="178"/>
      <c r="E84" s="416"/>
      <c r="F84" s="248"/>
      <c r="G84" s="248"/>
      <c r="H84" s="248"/>
      <c r="I84" s="248"/>
      <c r="J84" s="248"/>
      <c r="K84" s="248"/>
      <c r="L84" s="248"/>
      <c r="M84" s="248"/>
      <c r="N84" s="248"/>
      <c r="O84" s="369"/>
    </row>
    <row r="85" spans="1:17" ht="15.75" customHeight="1" x14ac:dyDescent="0.2"/>
    <row r="86" spans="1:17" ht="15.75" customHeight="1" x14ac:dyDescent="0.2"/>
    <row r="87" spans="1:17" ht="15.75" customHeight="1" x14ac:dyDescent="0.2">
      <c r="A87" s="417" t="s">
        <v>2326</v>
      </c>
      <c r="B87" s="418"/>
      <c r="C87" s="418"/>
      <c r="D87" s="418"/>
      <c r="E87" s="419"/>
    </row>
    <row r="88" spans="1:17" ht="15.75" customHeight="1" x14ac:dyDescent="0.2">
      <c r="A88" s="417"/>
      <c r="B88" s="418"/>
      <c r="C88" s="418"/>
      <c r="D88" s="1582" t="s">
        <v>2631</v>
      </c>
      <c r="E88" s="1583"/>
      <c r="F88" s="1582" t="s">
        <v>2630</v>
      </c>
      <c r="G88" s="1583"/>
      <c r="H88" s="420" t="s">
        <v>2633</v>
      </c>
      <c r="I88" s="420" t="s">
        <v>2634</v>
      </c>
      <c r="J88" s="420" t="s">
        <v>2636</v>
      </c>
      <c r="M88" s="1584" t="s">
        <v>2637</v>
      </c>
      <c r="N88" s="1585"/>
      <c r="O88" s="1585"/>
      <c r="P88" s="1585"/>
      <c r="Q88" s="1586"/>
    </row>
    <row r="89" spans="1:17" ht="15.75" customHeight="1" x14ac:dyDescent="0.2">
      <c r="A89" s="373" t="s">
        <v>580</v>
      </c>
      <c r="B89" s="373" t="s">
        <v>372</v>
      </c>
      <c r="C89" s="373" t="s">
        <v>42</v>
      </c>
      <c r="D89" s="373" t="s">
        <v>372</v>
      </c>
      <c r="E89" s="373" t="s">
        <v>42</v>
      </c>
      <c r="F89" s="373" t="s">
        <v>372</v>
      </c>
      <c r="G89" s="373" t="s">
        <v>42</v>
      </c>
      <c r="H89" s="373" t="s">
        <v>42</v>
      </c>
      <c r="I89" s="373" t="s">
        <v>42</v>
      </c>
      <c r="J89" s="373" t="s">
        <v>42</v>
      </c>
      <c r="M89" s="372" t="s">
        <v>2638</v>
      </c>
      <c r="N89" s="373" t="s">
        <v>1800</v>
      </c>
      <c r="O89" s="373" t="s">
        <v>2639</v>
      </c>
      <c r="P89" s="373" t="s">
        <v>1451</v>
      </c>
      <c r="Q89" s="374" t="s">
        <v>721</v>
      </c>
    </row>
    <row r="90" spans="1:17" ht="15.75" customHeight="1" x14ac:dyDescent="0.2">
      <c r="A90" s="316" t="s">
        <v>2603</v>
      </c>
      <c r="B90" s="342" t="s">
        <v>302</v>
      </c>
      <c r="C90" s="360">
        <f t="shared" ref="C90:C95" si="4">C64</f>
        <v>10.5</v>
      </c>
      <c r="D90" s="341" t="s">
        <v>376</v>
      </c>
      <c r="E90" s="361">
        <f>C90/Units!C232</f>
        <v>0.45672490228153229</v>
      </c>
      <c r="F90" s="342" t="s">
        <v>376</v>
      </c>
      <c r="G90" s="361">
        <f>E90</f>
        <v>0.45672490228153229</v>
      </c>
      <c r="H90" s="348">
        <f>G90</f>
        <v>0.45672490228153229</v>
      </c>
      <c r="I90" s="361">
        <f>H90</f>
        <v>0.45672490228153229</v>
      </c>
      <c r="J90" s="352">
        <f>I90-I91</f>
        <v>-1.0714244713661003E-8</v>
      </c>
      <c r="L90" s="316" t="s">
        <v>2730</v>
      </c>
      <c r="M90" s="375" t="s">
        <v>2640</v>
      </c>
      <c r="N90" s="349">
        <f t="shared" ref="N90:N95" si="5">E77</f>
        <v>4.2</v>
      </c>
      <c r="O90" s="349">
        <f>D77</f>
        <v>39.900000000000006</v>
      </c>
      <c r="P90" s="317"/>
      <c r="Q90" s="352">
        <f>C77</f>
        <v>1.26</v>
      </c>
    </row>
    <row r="91" spans="1:17" ht="15.75" customHeight="1" x14ac:dyDescent="0.2">
      <c r="A91" s="317" t="s">
        <v>1386</v>
      </c>
      <c r="B91" s="344" t="s">
        <v>302</v>
      </c>
      <c r="C91" s="362">
        <f t="shared" si="4"/>
        <v>16.535439999999998</v>
      </c>
      <c r="D91" s="172" t="s">
        <v>376</v>
      </c>
      <c r="E91" s="363">
        <f>C91/Units!C233</f>
        <v>0.46644400564174882</v>
      </c>
      <c r="F91" s="344" t="s">
        <v>376</v>
      </c>
      <c r="G91" s="363">
        <f>E91</f>
        <v>0.46644400564174882</v>
      </c>
      <c r="H91" s="353">
        <f>G91-G93</f>
        <v>0.46644400564174882</v>
      </c>
      <c r="I91" s="363">
        <f>H91-H95</f>
        <v>0.456724912995777</v>
      </c>
      <c r="J91" s="349">
        <f>I91-I91</f>
        <v>0</v>
      </c>
      <c r="L91" s="317" t="s">
        <v>2730</v>
      </c>
      <c r="M91" s="375" t="s">
        <v>2641</v>
      </c>
      <c r="N91" s="349">
        <f t="shared" si="5"/>
        <v>70.275619999999989</v>
      </c>
      <c r="O91" s="349">
        <f t="shared" ref="O91:O96" si="6">D78</f>
        <v>6.6141759999999996</v>
      </c>
      <c r="P91" s="317"/>
      <c r="Q91" s="349">
        <f>C78</f>
        <v>1.3228351999999999</v>
      </c>
    </row>
    <row r="92" spans="1:17" ht="15.75" customHeight="1" x14ac:dyDescent="0.2">
      <c r="A92" s="354" t="s">
        <v>2604</v>
      </c>
      <c r="B92" s="344" t="s">
        <v>302</v>
      </c>
      <c r="C92" s="362">
        <f t="shared" si="4"/>
        <v>5.89907</v>
      </c>
      <c r="D92" s="172" t="s">
        <v>376</v>
      </c>
      <c r="E92" s="363">
        <f>C92/Units!C234</f>
        <v>6.1410264418072034E-2</v>
      </c>
      <c r="F92" s="344" t="s">
        <v>376</v>
      </c>
      <c r="G92" s="363">
        <f>E92-E93</f>
        <v>9.980517452427104E-3</v>
      </c>
      <c r="H92" s="353">
        <f>G92-G92</f>
        <v>0</v>
      </c>
      <c r="I92" s="363">
        <f>H92</f>
        <v>0</v>
      </c>
      <c r="J92" s="317"/>
      <c r="L92" s="317" t="s">
        <v>2730</v>
      </c>
      <c r="M92" s="375" t="s">
        <v>2642</v>
      </c>
      <c r="N92" s="349">
        <f t="shared" si="5"/>
        <v>26.547289767500001</v>
      </c>
      <c r="O92" s="349">
        <f t="shared" si="6"/>
        <v>0.88486049999999994</v>
      </c>
      <c r="P92" s="317"/>
      <c r="Q92" s="349">
        <f>C79</f>
        <v>0.64889770000000002</v>
      </c>
    </row>
    <row r="93" spans="1:17" ht="15.75" customHeight="1" x14ac:dyDescent="0.2">
      <c r="A93" s="354" t="s">
        <v>2605</v>
      </c>
      <c r="B93" s="344" t="s">
        <v>302</v>
      </c>
      <c r="C93" s="362">
        <f t="shared" si="4"/>
        <v>1.25</v>
      </c>
      <c r="D93" s="172" t="s">
        <v>376</v>
      </c>
      <c r="E93" s="363">
        <f>C93/Units!C235</f>
        <v>5.142974696564493E-2</v>
      </c>
      <c r="F93" s="344" t="s">
        <v>376</v>
      </c>
      <c r="G93" s="363">
        <f>E93-E93</f>
        <v>0</v>
      </c>
      <c r="H93" s="353">
        <f>G93-G93</f>
        <v>0</v>
      </c>
      <c r="I93" s="363">
        <f>H93</f>
        <v>0</v>
      </c>
      <c r="J93" s="317"/>
      <c r="L93" s="317" t="s">
        <v>2730</v>
      </c>
      <c r="M93" s="375" t="s">
        <v>2643</v>
      </c>
      <c r="N93" s="349">
        <f t="shared" si="5"/>
        <v>0.3125</v>
      </c>
      <c r="O93" s="349">
        <f t="shared" si="6"/>
        <v>5.4375</v>
      </c>
      <c r="P93" s="317"/>
      <c r="Q93" s="349">
        <f>C80</f>
        <v>7.4999999999999997E-2</v>
      </c>
    </row>
    <row r="94" spans="1:17" ht="15.75" customHeight="1" x14ac:dyDescent="0.2">
      <c r="A94" s="354" t="s">
        <v>2606</v>
      </c>
      <c r="B94" s="344" t="s">
        <v>302</v>
      </c>
      <c r="C94" s="362">
        <f t="shared" si="4"/>
        <v>0.4</v>
      </c>
      <c r="D94" s="172" t="s">
        <v>376</v>
      </c>
      <c r="E94" s="363">
        <f>C94/Units!C236</f>
        <v>9.9805379509955577E-3</v>
      </c>
      <c r="F94" s="344" t="s">
        <v>376</v>
      </c>
      <c r="G94" s="363">
        <f>E94</f>
        <v>9.9805379509955577E-3</v>
      </c>
      <c r="H94" s="353">
        <f>G94-G92</f>
        <v>2.0498568453763966E-8</v>
      </c>
      <c r="I94" s="363">
        <f>H94-H94</f>
        <v>0</v>
      </c>
      <c r="J94" s="317"/>
      <c r="L94" s="317" t="s">
        <v>2730</v>
      </c>
      <c r="M94" s="375" t="s">
        <v>2644</v>
      </c>
      <c r="N94" s="349">
        <f t="shared" si="5"/>
        <v>0.04</v>
      </c>
      <c r="O94" s="349">
        <f t="shared" si="6"/>
        <v>1.8600000000000003</v>
      </c>
      <c r="P94" s="317"/>
      <c r="Q94" s="349">
        <f>C81</f>
        <v>1.6E-2</v>
      </c>
    </row>
    <row r="95" spans="1:17" ht="15.75" customHeight="1" x14ac:dyDescent="0.2">
      <c r="A95" s="355" t="s">
        <v>2607</v>
      </c>
      <c r="B95" s="347" t="s">
        <v>302</v>
      </c>
      <c r="C95" s="364">
        <f t="shared" si="4"/>
        <v>0.38</v>
      </c>
      <c r="D95" s="178" t="s">
        <v>376</v>
      </c>
      <c r="E95" s="365">
        <f>C95/Units!C237</f>
        <v>9.7190926459718198E-3</v>
      </c>
      <c r="F95" s="347" t="s">
        <v>376</v>
      </c>
      <c r="G95" s="365">
        <f>E95</f>
        <v>9.7190926459718198E-3</v>
      </c>
      <c r="H95" s="356">
        <f>G95</f>
        <v>9.7190926459718198E-3</v>
      </c>
      <c r="I95" s="365">
        <f>H95-H95</f>
        <v>0</v>
      </c>
      <c r="J95" s="318"/>
      <c r="L95" s="317" t="s">
        <v>2730</v>
      </c>
      <c r="M95" s="375" t="s">
        <v>2645</v>
      </c>
      <c r="N95" s="349">
        <f t="shared" si="5"/>
        <v>1.9E-2</v>
      </c>
      <c r="O95" s="349">
        <f t="shared" si="6"/>
        <v>1.8049999999999999</v>
      </c>
      <c r="P95" s="317"/>
      <c r="Q95" s="317"/>
    </row>
    <row r="96" spans="1:17" ht="15.75" customHeight="1" x14ac:dyDescent="0.2">
      <c r="A96" s="316" t="s">
        <v>2622</v>
      </c>
      <c r="B96" s="342" t="s">
        <v>2628</v>
      </c>
      <c r="C96" s="366">
        <v>1</v>
      </c>
      <c r="L96" s="317" t="s">
        <v>2730</v>
      </c>
      <c r="M96" s="375" t="s">
        <v>2646</v>
      </c>
      <c r="N96" s="349">
        <f>(J78+(2*J79))*Units!C142</f>
        <v>2.5553909897432683</v>
      </c>
      <c r="O96" s="349">
        <f t="shared" si="6"/>
        <v>0</v>
      </c>
      <c r="P96" s="317"/>
      <c r="Q96" s="317"/>
    </row>
    <row r="97" spans="1:17" ht="15.75" customHeight="1" x14ac:dyDescent="0.2">
      <c r="A97" s="317" t="s">
        <v>2623</v>
      </c>
      <c r="B97" s="344" t="s">
        <v>2628</v>
      </c>
      <c r="C97" s="367">
        <v>-1</v>
      </c>
      <c r="F97" s="368" t="s">
        <v>376</v>
      </c>
      <c r="G97" s="368" t="s">
        <v>302</v>
      </c>
      <c r="H97" s="368" t="s">
        <v>1908</v>
      </c>
      <c r="L97" s="317" t="s">
        <v>2730</v>
      </c>
      <c r="M97" s="375" t="s">
        <v>2647</v>
      </c>
      <c r="N97" s="317"/>
      <c r="O97" s="349">
        <f>SUM(I77,I80,I81,I82)*Units!C143</f>
        <v>34.897851525440949</v>
      </c>
      <c r="P97" s="317"/>
      <c r="Q97" s="317"/>
    </row>
    <row r="98" spans="1:17" ht="15.75" customHeight="1" x14ac:dyDescent="0.2">
      <c r="A98" s="354" t="s">
        <v>2624</v>
      </c>
      <c r="B98" s="344" t="s">
        <v>2628</v>
      </c>
      <c r="C98" s="367">
        <v>-2</v>
      </c>
      <c r="E98" s="316" t="s">
        <v>1472</v>
      </c>
      <c r="F98" s="349">
        <f>E93+E94</f>
        <v>6.1410284916640488E-2</v>
      </c>
      <c r="G98" s="349">
        <f>F98*Units!C234</f>
        <v>5.8990719690924855</v>
      </c>
      <c r="H98" s="349">
        <f>G98*1000</f>
        <v>5899.0719690924852</v>
      </c>
      <c r="L98" s="317" t="s">
        <v>2730</v>
      </c>
      <c r="M98" s="375" t="s">
        <v>2769</v>
      </c>
      <c r="N98" s="317"/>
      <c r="O98" s="317"/>
      <c r="P98" s="349">
        <f>E103</f>
        <v>3.095556469862168</v>
      </c>
      <c r="Q98" s="317"/>
    </row>
    <row r="99" spans="1:17" ht="15.75" customHeight="1" x14ac:dyDescent="0.2">
      <c r="A99" s="354" t="s">
        <v>2625</v>
      </c>
      <c r="B99" s="344" t="s">
        <v>2628</v>
      </c>
      <c r="C99" s="367">
        <v>2</v>
      </c>
      <c r="E99" s="318" t="s">
        <v>1468</v>
      </c>
      <c r="F99" s="357">
        <f>E90+E95</f>
        <v>0.4664439949275041</v>
      </c>
      <c r="G99" s="357">
        <f>F99*Units!C233</f>
        <v>16.535439620180021</v>
      </c>
      <c r="H99" s="357">
        <f>G99*1000</f>
        <v>16535.439620180023</v>
      </c>
      <c r="L99" s="317" t="s">
        <v>2730</v>
      </c>
      <c r="M99" s="375" t="s">
        <v>2779</v>
      </c>
      <c r="N99" s="317"/>
      <c r="O99" s="317"/>
      <c r="P99" s="349">
        <f>E104</f>
        <v>0.6387544288637157</v>
      </c>
      <c r="Q99" s="317"/>
    </row>
    <row r="100" spans="1:17" ht="15.75" customHeight="1" x14ac:dyDescent="0.2">
      <c r="A100" s="354" t="s">
        <v>2626</v>
      </c>
      <c r="B100" s="344" t="s">
        <v>2628</v>
      </c>
      <c r="C100" s="367">
        <v>2</v>
      </c>
      <c r="L100" s="317" t="s">
        <v>2730</v>
      </c>
      <c r="M100" s="375" t="s">
        <v>2632</v>
      </c>
      <c r="N100" s="317"/>
      <c r="O100" s="317"/>
      <c r="P100" s="349">
        <f>E105</f>
        <v>0.72455835675719915</v>
      </c>
      <c r="Q100" s="317"/>
    </row>
    <row r="101" spans="1:17" ht="15.75" customHeight="1" x14ac:dyDescent="0.2">
      <c r="A101" s="355" t="s">
        <v>2627</v>
      </c>
      <c r="B101" s="347" t="s">
        <v>2628</v>
      </c>
      <c r="C101" s="369">
        <v>1</v>
      </c>
      <c r="L101" s="317" t="s">
        <v>2730</v>
      </c>
      <c r="M101" s="376" t="s">
        <v>2635</v>
      </c>
      <c r="N101" s="318"/>
      <c r="O101" s="318"/>
      <c r="P101" s="357">
        <f>E106</f>
        <v>26.691003915473207</v>
      </c>
      <c r="Q101" s="318"/>
    </row>
    <row r="102" spans="1:17" ht="15.75" customHeight="1" x14ac:dyDescent="0.2">
      <c r="A102" s="370" t="s">
        <v>2629</v>
      </c>
      <c r="L102" s="318" t="s">
        <v>2729</v>
      </c>
      <c r="M102" s="377" t="s">
        <v>536</v>
      </c>
      <c r="N102" s="357">
        <f ca="1">C552/Units!C14</f>
        <v>6.7911896763888713</v>
      </c>
      <c r="O102" s="357">
        <f ca="1">N102</f>
        <v>6.7911896763888713</v>
      </c>
      <c r="P102" s="357">
        <f ca="1">B115/1000</f>
        <v>0</v>
      </c>
      <c r="Q102" s="357">
        <f ca="1">O102*5</f>
        <v>33.955948381944353</v>
      </c>
    </row>
    <row r="103" spans="1:17" ht="15.75" customHeight="1" x14ac:dyDescent="0.2">
      <c r="A103" s="371" t="s">
        <v>2769</v>
      </c>
      <c r="B103" s="342" t="s">
        <v>376</v>
      </c>
      <c r="C103" s="361">
        <f>E93*0.5</f>
        <v>2.5714873482822465E-2</v>
      </c>
      <c r="D103" s="342" t="s">
        <v>302</v>
      </c>
      <c r="E103" s="361">
        <f>C103*Units!C238</f>
        <v>3.095556469862168</v>
      </c>
    </row>
    <row r="104" spans="1:17" ht="15.75" customHeight="1" x14ac:dyDescent="0.2">
      <c r="A104" s="354" t="s">
        <v>2768</v>
      </c>
      <c r="B104" s="344" t="s">
        <v>376</v>
      </c>
      <c r="C104" s="363">
        <f>G94</f>
        <v>9.9805379509955577E-3</v>
      </c>
      <c r="D104" s="344" t="s">
        <v>302</v>
      </c>
      <c r="E104" s="363">
        <f>C104*Units!C239</f>
        <v>0.6387544288637157</v>
      </c>
    </row>
    <row r="105" spans="1:17" ht="15.75" customHeight="1" x14ac:dyDescent="0.2">
      <c r="A105" s="354" t="s">
        <v>2632</v>
      </c>
      <c r="B105" s="344" t="s">
        <v>376</v>
      </c>
      <c r="C105" s="363">
        <f>H95</f>
        <v>9.7190926459718198E-3</v>
      </c>
      <c r="D105" s="344" t="s">
        <v>302</v>
      </c>
      <c r="E105" s="363">
        <f>C105*Units!C240</f>
        <v>0.72455835675719915</v>
      </c>
    </row>
    <row r="106" spans="1:17" ht="15.75" customHeight="1" x14ac:dyDescent="0.2">
      <c r="A106" s="355" t="s">
        <v>2635</v>
      </c>
      <c r="B106" s="347" t="s">
        <v>376</v>
      </c>
      <c r="C106" s="365">
        <f>I91</f>
        <v>0.456724912995777</v>
      </c>
      <c r="D106" s="347" t="s">
        <v>302</v>
      </c>
      <c r="E106" s="365">
        <f>C106*Units!C241</f>
        <v>26.691003915473207</v>
      </c>
    </row>
    <row r="107" spans="1:17" ht="15.75" customHeight="1" x14ac:dyDescent="0.2"/>
    <row r="108" spans="1:17" ht="15.75" customHeight="1" x14ac:dyDescent="0.2">
      <c r="A108" s="1517" t="s">
        <v>2778</v>
      </c>
      <c r="B108" s="1518"/>
      <c r="C108" s="1519"/>
    </row>
    <row r="109" spans="1:17" ht="15.75" customHeight="1" x14ac:dyDescent="0.2">
      <c r="A109" s="377" t="s">
        <v>2780</v>
      </c>
      <c r="B109" s="440">
        <f ca="1">N102*C10</f>
        <v>67.911896763888706</v>
      </c>
      <c r="C109" s="377" t="s">
        <v>267</v>
      </c>
    </row>
    <row r="110" spans="1:17" ht="15.75" customHeight="1" x14ac:dyDescent="0.2">
      <c r="A110" s="377" t="s">
        <v>2781</v>
      </c>
      <c r="B110" s="440">
        <f ca="1">A917</f>
        <v>96.187768972952213</v>
      </c>
      <c r="C110" s="377" t="s">
        <v>267</v>
      </c>
    </row>
    <row r="111" spans="1:17" ht="15.75" customHeight="1" x14ac:dyDescent="0.2">
      <c r="A111" s="377" t="s">
        <v>2782</v>
      </c>
      <c r="B111" s="440">
        <f ca="1">A1460</f>
        <v>192.37553794590443</v>
      </c>
      <c r="C111" s="377" t="s">
        <v>267</v>
      </c>
    </row>
    <row r="112" spans="1:17" ht="15.75" customHeight="1" x14ac:dyDescent="0.2">
      <c r="A112" s="377" t="s">
        <v>586</v>
      </c>
      <c r="B112" s="440">
        <f ca="1">SUM(B109:B111)</f>
        <v>356.47520368274536</v>
      </c>
      <c r="C112" s="377" t="s">
        <v>267</v>
      </c>
    </row>
    <row r="113" spans="1:15" ht="15.75" customHeight="1" x14ac:dyDescent="0.2">
      <c r="A113" s="377" t="s">
        <v>2783</v>
      </c>
      <c r="B113" s="440">
        <f ca="1">B635</f>
        <v>386.11611192160132</v>
      </c>
      <c r="C113" s="377" t="s">
        <v>267</v>
      </c>
    </row>
    <row r="114" spans="1:15" ht="15.75" customHeight="1" x14ac:dyDescent="0.2">
      <c r="A114" s="377" t="s">
        <v>2784</v>
      </c>
      <c r="B114" s="440">
        <f ca="1">IF((B112-B113)&gt;0,(B112-B113),0)</f>
        <v>0</v>
      </c>
      <c r="C114" s="377" t="s">
        <v>267</v>
      </c>
    </row>
    <row r="115" spans="1:15" ht="15.75" customHeight="1" x14ac:dyDescent="0.2">
      <c r="A115" s="377" t="s">
        <v>2785</v>
      </c>
      <c r="B115" s="440">
        <f ca="1">B114/(E106/1000)</f>
        <v>0</v>
      </c>
      <c r="C115" s="377" t="s">
        <v>391</v>
      </c>
    </row>
    <row r="116" spans="1:15" ht="15.75" customHeight="1" x14ac:dyDescent="0.2">
      <c r="B116" s="436"/>
    </row>
    <row r="117" spans="1:15" ht="15.75" customHeight="1" x14ac:dyDescent="0.2"/>
    <row r="118" spans="1:15" ht="15.75" customHeight="1" x14ac:dyDescent="0.2"/>
    <row r="119" spans="1:15" ht="15.75" customHeight="1" thickBot="1" x14ac:dyDescent="0.25"/>
    <row r="120" spans="1:15" ht="36" customHeight="1" thickBot="1" x14ac:dyDescent="0.25">
      <c r="A120" s="2039" t="s">
        <v>2617</v>
      </c>
      <c r="B120" s="421"/>
      <c r="C120" s="421"/>
      <c r="D120" s="421"/>
      <c r="E120" s="421"/>
      <c r="F120" s="421"/>
      <c r="G120" s="421"/>
      <c r="H120" s="421"/>
      <c r="I120" s="421"/>
      <c r="J120" s="421"/>
      <c r="K120" s="421"/>
      <c r="L120" s="421"/>
      <c r="M120" s="421"/>
      <c r="N120" s="421"/>
      <c r="O120" s="422"/>
    </row>
    <row r="121" spans="1:15" ht="15.75" customHeight="1" x14ac:dyDescent="0.2"/>
    <row r="122" spans="1:15" ht="15.75" customHeight="1" x14ac:dyDescent="0.2">
      <c r="A122" s="423" t="s">
        <v>2648</v>
      </c>
      <c r="B122" s="424"/>
      <c r="C122" s="424"/>
      <c r="D122" s="424"/>
      <c r="E122" s="424"/>
      <c r="F122" s="424"/>
      <c r="G122" s="425"/>
    </row>
    <row r="123" spans="1:15" ht="15.75" customHeight="1" x14ac:dyDescent="0.2">
      <c r="A123" s="301" t="s">
        <v>580</v>
      </c>
      <c r="B123" s="301" t="s">
        <v>372</v>
      </c>
      <c r="C123" s="301" t="s">
        <v>42</v>
      </c>
      <c r="D123" s="301" t="s">
        <v>372</v>
      </c>
      <c r="E123" s="301" t="s">
        <v>42</v>
      </c>
      <c r="F123" s="301" t="s">
        <v>372</v>
      </c>
      <c r="G123" s="301" t="s">
        <v>42</v>
      </c>
    </row>
    <row r="124" spans="1:15" ht="15.75" customHeight="1" x14ac:dyDescent="0.2">
      <c r="A124" s="387" t="s">
        <v>2649</v>
      </c>
      <c r="B124" s="342" t="s">
        <v>2650</v>
      </c>
      <c r="C124" s="366">
        <v>25</v>
      </c>
      <c r="D124" s="342" t="s">
        <v>302</v>
      </c>
      <c r="E124" s="366">
        <f>(C124/100)*Units!C84</f>
        <v>250</v>
      </c>
      <c r="F124" s="341" t="s">
        <v>2653</v>
      </c>
      <c r="G124" s="426">
        <f>E124/(Units!C36*Units!C47)</f>
        <v>6.2500000000000001E-4</v>
      </c>
    </row>
    <row r="125" spans="1:15" ht="15.75" customHeight="1" x14ac:dyDescent="0.2">
      <c r="A125" s="375" t="s">
        <v>2651</v>
      </c>
      <c r="B125" s="344" t="s">
        <v>2650</v>
      </c>
      <c r="C125" s="367">
        <v>70</v>
      </c>
      <c r="D125" s="344" t="s">
        <v>302</v>
      </c>
      <c r="E125" s="367">
        <f>E124*(C125/100)</f>
        <v>175</v>
      </c>
      <c r="F125" s="172" t="s">
        <v>2960</v>
      </c>
      <c r="G125" s="363">
        <f ca="1">G124*C143</f>
        <v>7.5446155281312439</v>
      </c>
    </row>
    <row r="126" spans="1:15" ht="15.75" customHeight="1" x14ac:dyDescent="0.2">
      <c r="A126" s="375" t="s">
        <v>2654</v>
      </c>
      <c r="B126" s="344" t="s">
        <v>2655</v>
      </c>
      <c r="C126" s="367">
        <v>15</v>
      </c>
      <c r="D126" s="344" t="s">
        <v>2656</v>
      </c>
      <c r="E126" s="367">
        <f>C126*E124</f>
        <v>3750</v>
      </c>
      <c r="F126" s="172" t="s">
        <v>2984</v>
      </c>
      <c r="G126" s="435">
        <f ca="1">G125*Units!C36</f>
        <v>3017.8462112524976</v>
      </c>
    </row>
    <row r="127" spans="1:15" ht="15.75" customHeight="1" x14ac:dyDescent="0.2">
      <c r="A127" s="375" t="s">
        <v>2657</v>
      </c>
      <c r="B127" s="344" t="s">
        <v>1992</v>
      </c>
      <c r="C127" s="367">
        <v>0.47</v>
      </c>
      <c r="D127" s="344"/>
      <c r="E127" s="367"/>
      <c r="G127" s="367"/>
    </row>
    <row r="128" spans="1:15" ht="15.75" customHeight="1" x14ac:dyDescent="0.2">
      <c r="A128" s="376" t="s">
        <v>2658</v>
      </c>
      <c r="B128" s="347" t="s">
        <v>1992</v>
      </c>
      <c r="C128" s="369">
        <v>0.46</v>
      </c>
      <c r="D128" s="347"/>
      <c r="E128" s="369"/>
      <c r="F128" s="248"/>
      <c r="G128" s="369"/>
    </row>
    <row r="129" spans="1:7" ht="15.75" customHeight="1" x14ac:dyDescent="0.2">
      <c r="A129" s="375" t="s">
        <v>2659</v>
      </c>
      <c r="B129" s="344" t="s">
        <v>302</v>
      </c>
      <c r="C129" s="367">
        <f>E125*C127</f>
        <v>82.25</v>
      </c>
    </row>
    <row r="130" spans="1:7" ht="15.75" customHeight="1" x14ac:dyDescent="0.2">
      <c r="A130" s="376" t="s">
        <v>2660</v>
      </c>
      <c r="B130" s="347" t="s">
        <v>302</v>
      </c>
      <c r="C130" s="369">
        <f>E125*C128</f>
        <v>80.5</v>
      </c>
    </row>
    <row r="131" spans="1:7" ht="15.75" customHeight="1" x14ac:dyDescent="0.2"/>
    <row r="132" spans="1:7" ht="15.75" customHeight="1" x14ac:dyDescent="0.2"/>
    <row r="133" spans="1:7" ht="15.75" customHeight="1" x14ac:dyDescent="0.2">
      <c r="A133" s="423" t="s">
        <v>2661</v>
      </c>
      <c r="B133" s="427"/>
      <c r="C133" s="427"/>
      <c r="D133" s="427"/>
      <c r="E133" s="427"/>
      <c r="F133" s="427"/>
      <c r="G133" s="428"/>
    </row>
    <row r="134" spans="1:7" ht="15.75" customHeight="1" x14ac:dyDescent="0.2">
      <c r="A134" s="429" t="s">
        <v>580</v>
      </c>
      <c r="B134" s="429" t="s">
        <v>372</v>
      </c>
      <c r="C134" s="429" t="s">
        <v>42</v>
      </c>
      <c r="D134" s="301" t="s">
        <v>372</v>
      </c>
      <c r="E134" s="301" t="s">
        <v>42</v>
      </c>
      <c r="F134" s="301" t="s">
        <v>372</v>
      </c>
      <c r="G134" s="301" t="s">
        <v>42</v>
      </c>
    </row>
    <row r="135" spans="1:7" ht="15.75" customHeight="1" x14ac:dyDescent="0.2">
      <c r="A135" s="430" t="s">
        <v>2669</v>
      </c>
      <c r="B135" s="1523" t="s">
        <v>2691</v>
      </c>
      <c r="C135" s="1524"/>
      <c r="D135" s="432"/>
      <c r="E135" s="432"/>
      <c r="F135" s="208"/>
      <c r="G135" s="208"/>
    </row>
    <row r="136" spans="1:7" ht="15.75" customHeight="1" x14ac:dyDescent="0.2">
      <c r="A136" s="317" t="s">
        <v>2662</v>
      </c>
      <c r="B136" s="344" t="s">
        <v>1992</v>
      </c>
      <c r="C136" s="367">
        <v>0.91</v>
      </c>
    </row>
    <row r="137" spans="1:7" ht="15.75" customHeight="1" x14ac:dyDescent="0.2">
      <c r="A137" s="317" t="s">
        <v>2663</v>
      </c>
      <c r="B137" s="344" t="s">
        <v>1992</v>
      </c>
      <c r="C137" s="367">
        <v>0.79</v>
      </c>
    </row>
    <row r="138" spans="1:7" ht="15.75" customHeight="1" x14ac:dyDescent="0.2">
      <c r="A138" s="317" t="s">
        <v>2312</v>
      </c>
      <c r="B138" s="344" t="s">
        <v>302</v>
      </c>
      <c r="C138" s="367">
        <f>(C129*C136)+(C137*C130)</f>
        <v>138.4425</v>
      </c>
    </row>
    <row r="139" spans="1:7" ht="15.75" customHeight="1" x14ac:dyDescent="0.2">
      <c r="A139" s="317" t="s">
        <v>2659</v>
      </c>
      <c r="B139" s="344" t="s">
        <v>302</v>
      </c>
      <c r="C139" s="367">
        <f>C129-(C129*C136)</f>
        <v>7.4025000000000034</v>
      </c>
    </row>
    <row r="140" spans="1:7" ht="15.75" customHeight="1" x14ac:dyDescent="0.2">
      <c r="A140" s="317" t="s">
        <v>2660</v>
      </c>
      <c r="B140" s="344" t="s">
        <v>302</v>
      </c>
      <c r="C140" s="367">
        <f>C130-(C130*C137)</f>
        <v>16.904999999999994</v>
      </c>
    </row>
    <row r="141" spans="1:7" ht="15.75" customHeight="1" x14ac:dyDescent="0.2">
      <c r="A141" s="317" t="s">
        <v>2664</v>
      </c>
      <c r="B141" s="344" t="s">
        <v>302</v>
      </c>
      <c r="C141" s="367">
        <f>E125-(E125*C127)-(E125*C128)</f>
        <v>12.25</v>
      </c>
    </row>
    <row r="142" spans="1:7" ht="15.75" customHeight="1" x14ac:dyDescent="0.2">
      <c r="A142" s="373" t="s">
        <v>2670</v>
      </c>
      <c r="B142" s="433" t="s">
        <v>1044</v>
      </c>
      <c r="C142" s="434">
        <f ca="1">G677</f>
        <v>1671192.6964052955</v>
      </c>
    </row>
    <row r="143" spans="1:7" ht="15.75" customHeight="1" x14ac:dyDescent="0.2">
      <c r="A143" s="377" t="s">
        <v>2676</v>
      </c>
      <c r="B143" s="433" t="s">
        <v>391</v>
      </c>
      <c r="C143" s="434">
        <f ca="1">C142/C138</f>
        <v>12071.38484500999</v>
      </c>
    </row>
    <row r="144" spans="1:7" ht="15.75" customHeight="1" x14ac:dyDescent="0.2">
      <c r="A144" s="429" t="s">
        <v>2665</v>
      </c>
      <c r="B144" s="344"/>
      <c r="C144" s="367"/>
    </row>
    <row r="145" spans="1:5" ht="15.75" customHeight="1" x14ac:dyDescent="0.2">
      <c r="A145" s="317" t="s">
        <v>2667</v>
      </c>
      <c r="B145" s="344" t="s">
        <v>302</v>
      </c>
      <c r="C145" s="367">
        <f>E124-E125</f>
        <v>75</v>
      </c>
    </row>
    <row r="146" spans="1:5" ht="15.75" customHeight="1" x14ac:dyDescent="0.2">
      <c r="A146" s="317" t="s">
        <v>2668</v>
      </c>
      <c r="B146" s="344" t="s">
        <v>302</v>
      </c>
      <c r="C146" s="367">
        <v>0.01</v>
      </c>
    </row>
    <row r="147" spans="1:5" ht="15.75" customHeight="1" x14ac:dyDescent="0.2">
      <c r="A147" s="317" t="s">
        <v>2671</v>
      </c>
      <c r="B147" s="344" t="s">
        <v>1044</v>
      </c>
      <c r="C147" s="363">
        <f ca="1">(C145+C146)*C143</f>
        <v>905474.57722419943</v>
      </c>
    </row>
    <row r="148" spans="1:5" ht="15.75" customHeight="1" x14ac:dyDescent="0.2">
      <c r="A148" s="317" t="s">
        <v>2666</v>
      </c>
      <c r="B148" s="344" t="s">
        <v>1978</v>
      </c>
      <c r="C148" s="435">
        <v>1</v>
      </c>
    </row>
    <row r="149" spans="1:5" ht="15.75" customHeight="1" x14ac:dyDescent="0.2">
      <c r="A149" s="377" t="s">
        <v>2704</v>
      </c>
      <c r="B149" s="433" t="s">
        <v>1044</v>
      </c>
      <c r="C149" s="434">
        <f ca="1">C147*C148</f>
        <v>905474.57722419943</v>
      </c>
    </row>
    <row r="150" spans="1:5" ht="15.75" customHeight="1" x14ac:dyDescent="0.2">
      <c r="A150" s="317" t="s">
        <v>2705</v>
      </c>
      <c r="B150" s="344" t="s">
        <v>1044</v>
      </c>
      <c r="C150" s="363">
        <f ca="1">C145*C143*C148</f>
        <v>905353.86337574932</v>
      </c>
    </row>
    <row r="151" spans="1:5" ht="15.75" customHeight="1" x14ac:dyDescent="0.2">
      <c r="A151" s="317" t="s">
        <v>2672</v>
      </c>
      <c r="B151" s="344" t="s">
        <v>302</v>
      </c>
      <c r="C151" s="367">
        <v>250</v>
      </c>
    </row>
    <row r="152" spans="1:5" ht="15.75" customHeight="1" x14ac:dyDescent="0.2">
      <c r="A152" s="377" t="s">
        <v>2675</v>
      </c>
      <c r="B152" s="433" t="s">
        <v>391</v>
      </c>
      <c r="C152" s="434">
        <f ca="1">C150/C151</f>
        <v>3621.4154535029975</v>
      </c>
    </row>
    <row r="153" spans="1:5" ht="15.75" customHeight="1" x14ac:dyDescent="0.2">
      <c r="A153" s="318"/>
      <c r="B153" s="347"/>
      <c r="C153" s="365"/>
    </row>
    <row r="154" spans="1:5" ht="15.75" customHeight="1" x14ac:dyDescent="0.2">
      <c r="B154" s="172"/>
      <c r="C154" s="436"/>
    </row>
    <row r="155" spans="1:5" ht="15.75" customHeight="1" x14ac:dyDescent="0.2"/>
    <row r="156" spans="1:5" ht="15.75" customHeight="1" x14ac:dyDescent="0.2">
      <c r="A156" s="423" t="s">
        <v>2690</v>
      </c>
      <c r="B156" s="424"/>
      <c r="C156" s="424"/>
      <c r="D156" s="424"/>
      <c r="E156" s="425"/>
    </row>
    <row r="157" spans="1:5" ht="15.75" customHeight="1" x14ac:dyDescent="0.2">
      <c r="A157" s="301" t="s">
        <v>580</v>
      </c>
      <c r="B157" s="301" t="s">
        <v>372</v>
      </c>
      <c r="C157" s="301" t="s">
        <v>42</v>
      </c>
      <c r="D157" s="301" t="s">
        <v>372</v>
      </c>
      <c r="E157" s="301" t="s">
        <v>42</v>
      </c>
    </row>
    <row r="158" spans="1:5" ht="15.75" customHeight="1" x14ac:dyDescent="0.2">
      <c r="A158" s="316" t="s">
        <v>2674</v>
      </c>
      <c r="B158" s="342" t="s">
        <v>374</v>
      </c>
      <c r="C158" s="366">
        <v>5.5</v>
      </c>
      <c r="D158" s="342" t="s">
        <v>2679</v>
      </c>
      <c r="E158" s="366">
        <f>10^(-C158)</f>
        <v>3.1622776601683767E-6</v>
      </c>
    </row>
    <row r="159" spans="1:5" ht="15.75" customHeight="1" x14ac:dyDescent="0.2">
      <c r="A159" s="377" t="s">
        <v>2677</v>
      </c>
      <c r="B159" s="433" t="s">
        <v>391</v>
      </c>
      <c r="C159" s="434">
        <f ca="1">C143+C152</f>
        <v>15692.800298512988</v>
      </c>
      <c r="D159" s="375"/>
      <c r="E159" s="367"/>
    </row>
    <row r="160" spans="1:5" ht="15.75" customHeight="1" x14ac:dyDescent="0.2">
      <c r="A160" s="317" t="s">
        <v>2678</v>
      </c>
      <c r="B160" s="344" t="s">
        <v>1251</v>
      </c>
      <c r="C160" s="363">
        <f ca="1">C159*E158</f>
        <v>4.9624991809471254E-2</v>
      </c>
      <c r="D160" s="375"/>
      <c r="E160" s="367"/>
    </row>
    <row r="161" spans="1:11" ht="15.75" customHeight="1" x14ac:dyDescent="0.2">
      <c r="A161" s="317" t="s">
        <v>2680</v>
      </c>
      <c r="B161" s="344" t="s">
        <v>473</v>
      </c>
      <c r="C161" s="367">
        <f>Units!C379</f>
        <v>3.86</v>
      </c>
      <c r="D161" s="375"/>
      <c r="E161" s="367"/>
    </row>
    <row r="162" spans="1:11" ht="15.75" customHeight="1" x14ac:dyDescent="0.2">
      <c r="A162" s="317" t="s">
        <v>2681</v>
      </c>
      <c r="B162" s="344" t="s">
        <v>1922</v>
      </c>
      <c r="C162" s="367">
        <f>10^(E162-C161)</f>
        <v>138038.42646028881</v>
      </c>
      <c r="D162" s="433" t="s">
        <v>2682</v>
      </c>
      <c r="E162" s="437">
        <v>9</v>
      </c>
    </row>
    <row r="163" spans="1:11" ht="15.75" customHeight="1" x14ac:dyDescent="0.2">
      <c r="A163" s="317" t="s">
        <v>1431</v>
      </c>
      <c r="B163" s="344" t="s">
        <v>376</v>
      </c>
      <c r="C163" s="367">
        <f>C162*C164</f>
        <v>1.5542998283101821</v>
      </c>
      <c r="D163" s="375"/>
      <c r="E163" s="367"/>
    </row>
    <row r="164" spans="1:11" ht="15.75" customHeight="1" x14ac:dyDescent="0.2">
      <c r="A164" s="317" t="s">
        <v>1432</v>
      </c>
      <c r="B164" s="344" t="s">
        <v>376</v>
      </c>
      <c r="C164" s="367">
        <f>C138/((C162*Units!C93)+Units!C102)</f>
        <v>1.1259906883662764E-5</v>
      </c>
      <c r="D164" s="375"/>
      <c r="E164" s="367"/>
    </row>
    <row r="165" spans="1:11" ht="15.75" customHeight="1" x14ac:dyDescent="0.2">
      <c r="A165" s="317" t="s">
        <v>2683</v>
      </c>
      <c r="B165" s="344" t="s">
        <v>2684</v>
      </c>
      <c r="C165" s="438">
        <f>10^(9-14)</f>
        <v>1.0000000000000001E-5</v>
      </c>
      <c r="D165" s="375"/>
      <c r="E165" s="367"/>
    </row>
    <row r="166" spans="1:11" ht="15.75" customHeight="1" x14ac:dyDescent="0.2">
      <c r="A166" s="317" t="s">
        <v>2686</v>
      </c>
      <c r="B166" s="344" t="s">
        <v>2685</v>
      </c>
      <c r="C166" s="363">
        <f ca="1">(C165*C159)+C160</f>
        <v>0.20655299479460115</v>
      </c>
      <c r="D166" s="344" t="s">
        <v>2687</v>
      </c>
      <c r="E166" s="363">
        <f ca="1">C166*Units!C143</f>
        <v>3.5130533354665761</v>
      </c>
    </row>
    <row r="167" spans="1:11" ht="15.75" customHeight="1" x14ac:dyDescent="0.2">
      <c r="A167" s="317" t="s">
        <v>2688</v>
      </c>
      <c r="B167" s="344" t="s">
        <v>302</v>
      </c>
      <c r="C167" s="363">
        <f>O97</f>
        <v>34.897851525440949</v>
      </c>
      <c r="D167" s="375"/>
      <c r="E167" s="367"/>
    </row>
    <row r="168" spans="1:11" ht="15.75" customHeight="1" x14ac:dyDescent="0.2">
      <c r="A168" s="377" t="s">
        <v>2689</v>
      </c>
      <c r="B168" s="433" t="s">
        <v>391</v>
      </c>
      <c r="C168" s="437">
        <f ca="1">E166/C167</f>
        <v>0.10066675115817712</v>
      </c>
      <c r="D168" s="439"/>
      <c r="E168" s="437"/>
    </row>
    <row r="169" spans="1:11" ht="15.75" customHeight="1" x14ac:dyDescent="0.2">
      <c r="A169" s="318" t="s">
        <v>2697</v>
      </c>
      <c r="B169" s="347" t="s">
        <v>391</v>
      </c>
      <c r="C169" s="365">
        <f ca="1">C168+C159</f>
        <v>15692.900965264145</v>
      </c>
      <c r="D169" s="376"/>
      <c r="E169" s="369"/>
    </row>
    <row r="170" spans="1:11" ht="15.75" customHeight="1" x14ac:dyDescent="0.2">
      <c r="A170" s="318"/>
      <c r="B170" s="376"/>
      <c r="C170" s="369"/>
      <c r="D170" s="376"/>
      <c r="E170" s="369"/>
    </row>
    <row r="171" spans="1:11" ht="15.75" customHeight="1" x14ac:dyDescent="0.2">
      <c r="H171" s="1590" t="s">
        <v>2702</v>
      </c>
      <c r="I171" s="1591"/>
      <c r="J171" s="1591"/>
      <c r="K171" s="1592"/>
    </row>
    <row r="172" spans="1:11" ht="15.75" customHeight="1" x14ac:dyDescent="0.2">
      <c r="A172" s="423" t="s">
        <v>2673</v>
      </c>
      <c r="B172" s="424"/>
      <c r="C172" s="424"/>
      <c r="D172" s="424"/>
      <c r="E172" s="425"/>
      <c r="H172" s="377" t="s">
        <v>2638</v>
      </c>
      <c r="I172" s="377" t="s">
        <v>2696</v>
      </c>
      <c r="J172" s="377" t="s">
        <v>721</v>
      </c>
      <c r="K172" s="377"/>
    </row>
    <row r="173" spans="1:11" ht="15.75" customHeight="1" x14ac:dyDescent="0.2">
      <c r="A173" s="373" t="s">
        <v>580</v>
      </c>
      <c r="B173" s="373" t="s">
        <v>372</v>
      </c>
      <c r="C173" s="373" t="s">
        <v>42</v>
      </c>
      <c r="D173" s="373" t="s">
        <v>372</v>
      </c>
      <c r="E173" s="373" t="s">
        <v>42</v>
      </c>
      <c r="H173" s="317" t="s">
        <v>1431</v>
      </c>
      <c r="I173" s="349">
        <f ca="1">C178</f>
        <v>54.823581682067385</v>
      </c>
      <c r="J173" s="349">
        <f ca="1">E178</f>
        <v>0.83066032851617311</v>
      </c>
      <c r="K173" s="317"/>
    </row>
    <row r="174" spans="1:11" ht="15.75" customHeight="1" x14ac:dyDescent="0.2">
      <c r="A174" s="316" t="s">
        <v>2692</v>
      </c>
      <c r="B174" s="342" t="s">
        <v>1081</v>
      </c>
      <c r="C174" s="366">
        <v>0.99</v>
      </c>
      <c r="E174" s="367"/>
      <c r="H174" s="317" t="s">
        <v>2699</v>
      </c>
      <c r="I174" s="349">
        <f ca="1">C179</f>
        <v>2.9314088043881323</v>
      </c>
      <c r="J174" s="349">
        <f ca="1">E179</f>
        <v>4.4415284914971737E-2</v>
      </c>
      <c r="K174" s="317"/>
    </row>
    <row r="175" spans="1:11" ht="15.75" customHeight="1" x14ac:dyDescent="0.2">
      <c r="A175" s="317" t="s">
        <v>2693</v>
      </c>
      <c r="B175" s="344" t="s">
        <v>1081</v>
      </c>
      <c r="C175" s="435">
        <v>0.6</v>
      </c>
      <c r="E175" s="367"/>
      <c r="H175" s="317" t="s">
        <v>2700</v>
      </c>
      <c r="I175" s="349">
        <f ca="1">C180</f>
        <v>6.6944229433544535</v>
      </c>
      <c r="J175" s="349">
        <f ca="1">E180</f>
        <v>0.10143065065688572</v>
      </c>
      <c r="K175" s="317"/>
    </row>
    <row r="176" spans="1:11" ht="15.75" customHeight="1" x14ac:dyDescent="0.2">
      <c r="A176" s="318" t="s">
        <v>2694</v>
      </c>
      <c r="B176" s="347" t="s">
        <v>2695</v>
      </c>
      <c r="C176" s="369">
        <v>6</v>
      </c>
      <c r="E176" s="367"/>
      <c r="H176" s="317" t="s">
        <v>2701</v>
      </c>
      <c r="I176" s="349">
        <f ca="1">C181</f>
        <v>4.8510311183727932</v>
      </c>
      <c r="J176" s="349">
        <f ca="1">E181</f>
        <v>7.3500471490496933E-2</v>
      </c>
      <c r="K176" s="317"/>
    </row>
    <row r="177" spans="1:23" ht="15.75" customHeight="1" x14ac:dyDescent="0.2">
      <c r="A177" s="317"/>
      <c r="B177" s="1587" t="s">
        <v>2696</v>
      </c>
      <c r="C177" s="1588"/>
      <c r="D177" s="1589" t="s">
        <v>721</v>
      </c>
      <c r="E177" s="1588"/>
      <c r="H177" s="317" t="s">
        <v>2652</v>
      </c>
      <c r="I177" s="317"/>
      <c r="J177" s="317"/>
      <c r="K177" s="317"/>
    </row>
    <row r="178" spans="1:23" ht="15.75" customHeight="1" x14ac:dyDescent="0.2">
      <c r="A178" s="317" t="s">
        <v>2698</v>
      </c>
      <c r="B178" s="341" t="s">
        <v>302</v>
      </c>
      <c r="C178" s="361">
        <f ca="1">C138*C$174*(C$182/C$159)</f>
        <v>54.823581682067385</v>
      </c>
      <c r="D178" s="342" t="s">
        <v>302</v>
      </c>
      <c r="E178" s="361">
        <f ca="1">C138*(1-C$174)*(E$182/C$159)</f>
        <v>0.83066032851617311</v>
      </c>
      <c r="H178" s="318" t="s">
        <v>2703</v>
      </c>
      <c r="I178" s="317"/>
      <c r="J178" s="317"/>
      <c r="K178" s="317"/>
    </row>
    <row r="179" spans="1:23" ht="15.75" customHeight="1" x14ac:dyDescent="0.2">
      <c r="A179" s="317" t="s">
        <v>2699</v>
      </c>
      <c r="B179" s="172" t="s">
        <v>302</v>
      </c>
      <c r="C179" s="363">
        <f ca="1">C139*C$174*(C$182/C$159)</f>
        <v>2.9314088043881323</v>
      </c>
      <c r="D179" s="344" t="s">
        <v>302</v>
      </c>
      <c r="E179" s="363">
        <f ca="1">C139*(1-C$174)*(E$182/C$159)</f>
        <v>4.4415284914971737E-2</v>
      </c>
      <c r="H179" s="377" t="s">
        <v>536</v>
      </c>
      <c r="I179" s="440">
        <f ca="1">C182/Units!C14</f>
        <v>6.277160386105658</v>
      </c>
      <c r="J179" s="440">
        <f ca="1">E182/Units!C14</f>
        <v>9.4157405791584861</v>
      </c>
      <c r="K179" s="440"/>
    </row>
    <row r="180" spans="1:23" ht="15.75" customHeight="1" x14ac:dyDescent="0.2">
      <c r="A180" s="317" t="s">
        <v>2700</v>
      </c>
      <c r="B180" s="172" t="s">
        <v>302</v>
      </c>
      <c r="C180" s="363">
        <f ca="1">C140*C$174*(C$182/C$159)</f>
        <v>6.6944229433544535</v>
      </c>
      <c r="D180" s="344" t="s">
        <v>302</v>
      </c>
      <c r="E180" s="363">
        <f ca="1">C140*(1-C$174)*(E$182/C$159)</f>
        <v>0.10143065065688572</v>
      </c>
    </row>
    <row r="181" spans="1:23" ht="15.75" customHeight="1" x14ac:dyDescent="0.2">
      <c r="A181" s="317" t="s">
        <v>2701</v>
      </c>
      <c r="B181" s="172" t="s">
        <v>302</v>
      </c>
      <c r="C181" s="363">
        <f ca="1">C141*C$174*(C$182/C$159)</f>
        <v>4.8510311183727932</v>
      </c>
      <c r="D181" s="344" t="s">
        <v>302</v>
      </c>
      <c r="E181" s="363">
        <f ca="1">C141*(1-C$174)*(E$182/C$159)</f>
        <v>7.3500471490496933E-2</v>
      </c>
      <c r="H181" s="377" t="s">
        <v>3595</v>
      </c>
      <c r="I181" s="377">
        <f ca="1">I173*I179</f>
        <v>344.1364151591012</v>
      </c>
      <c r="J181" s="377" t="s">
        <v>267</v>
      </c>
    </row>
    <row r="182" spans="1:23" ht="15.75" customHeight="1" x14ac:dyDescent="0.2">
      <c r="A182" s="318" t="s">
        <v>536</v>
      </c>
      <c r="B182" s="178" t="s">
        <v>391</v>
      </c>
      <c r="C182" s="369">
        <f ca="1">C169*(1-C175)</f>
        <v>6277.1603861056583</v>
      </c>
      <c r="D182" s="347" t="s">
        <v>391</v>
      </c>
      <c r="E182" s="369">
        <f ca="1">(C168+C143+C152)*(C175)</f>
        <v>9415.7405791584861</v>
      </c>
      <c r="H182" s="377" t="s">
        <v>3594</v>
      </c>
      <c r="I182" s="377">
        <f ca="1">I181*8000*30</f>
        <v>82592739.638184279</v>
      </c>
      <c r="J182" s="377" t="s">
        <v>715</v>
      </c>
    </row>
    <row r="183" spans="1:23" ht="15.75" customHeight="1" x14ac:dyDescent="0.2">
      <c r="A183" s="376"/>
      <c r="B183" s="248"/>
      <c r="C183" s="248"/>
      <c r="D183" s="248"/>
      <c r="E183" s="369"/>
    </row>
    <row r="184" spans="1:23" ht="15.75" customHeight="1" x14ac:dyDescent="0.2"/>
    <row r="185" spans="1:23" ht="15.75" customHeight="1" x14ac:dyDescent="0.2"/>
    <row r="186" spans="1:23" ht="15.75" customHeight="1" x14ac:dyDescent="0.2"/>
    <row r="187" spans="1:23" ht="15.75" customHeight="1" x14ac:dyDescent="0.2"/>
    <row r="188" spans="1:23" ht="15.75" customHeight="1" thickBot="1" x14ac:dyDescent="0.25"/>
    <row r="189" spans="1:23" ht="45" customHeight="1" thickBot="1" x14ac:dyDescent="0.25">
      <c r="A189" s="2040" t="s">
        <v>3605</v>
      </c>
      <c r="B189" s="2041"/>
      <c r="C189" s="2041"/>
      <c r="D189" s="2041"/>
      <c r="E189" s="2041"/>
      <c r="F189" s="2041"/>
      <c r="G189" s="2041"/>
      <c r="H189" s="2041"/>
      <c r="I189" s="2041"/>
      <c r="J189" s="2041"/>
      <c r="K189" s="2041"/>
      <c r="L189" s="2041"/>
      <c r="M189" s="2041"/>
      <c r="N189" s="2041"/>
      <c r="O189" s="2041"/>
      <c r="P189" s="2041"/>
      <c r="Q189" s="2041"/>
      <c r="R189" s="2041"/>
      <c r="S189" s="2042"/>
      <c r="T189" s="208"/>
      <c r="U189" s="208"/>
      <c r="V189" s="208"/>
      <c r="W189" s="208"/>
    </row>
    <row r="190" spans="1:23" ht="15.75" customHeight="1" x14ac:dyDescent="0.2">
      <c r="A190" s="443" t="s">
        <v>3606</v>
      </c>
      <c r="B190" s="444"/>
      <c r="C190" s="444"/>
      <c r="D190" s="444"/>
      <c r="E190" s="445"/>
    </row>
    <row r="191" spans="1:23" ht="15.75" customHeight="1" x14ac:dyDescent="0.2">
      <c r="A191" s="373" t="s">
        <v>580</v>
      </c>
      <c r="B191" s="373" t="s">
        <v>372</v>
      </c>
      <c r="C191" s="373" t="s">
        <v>42</v>
      </c>
      <c r="D191" s="373" t="s">
        <v>372</v>
      </c>
      <c r="E191" s="373" t="s">
        <v>42</v>
      </c>
    </row>
    <row r="192" spans="1:23" ht="15.75" customHeight="1" x14ac:dyDescent="0.2">
      <c r="A192" s="316" t="s">
        <v>872</v>
      </c>
      <c r="B192" s="342" t="s">
        <v>275</v>
      </c>
      <c r="C192" s="366">
        <v>100</v>
      </c>
      <c r="D192" s="387"/>
      <c r="E192" s="366"/>
    </row>
    <row r="193" spans="1:7" ht="15.75" customHeight="1" x14ac:dyDescent="0.2">
      <c r="A193" s="317" t="s">
        <v>873</v>
      </c>
      <c r="B193" s="344" t="s">
        <v>275</v>
      </c>
      <c r="C193" s="367">
        <v>0</v>
      </c>
      <c r="D193" s="375"/>
      <c r="E193" s="367"/>
    </row>
    <row r="194" spans="1:7" ht="15.75" customHeight="1" x14ac:dyDescent="0.2">
      <c r="A194" s="317" t="s">
        <v>869</v>
      </c>
      <c r="B194" s="344" t="s">
        <v>269</v>
      </c>
      <c r="C194" s="367">
        <v>5</v>
      </c>
      <c r="D194" s="375"/>
      <c r="E194" s="367"/>
    </row>
    <row r="195" spans="1:7" ht="15.75" customHeight="1" x14ac:dyDescent="0.2">
      <c r="A195" s="317" t="s">
        <v>870</v>
      </c>
      <c r="B195" s="344" t="s">
        <v>281</v>
      </c>
      <c r="C195" s="367">
        <v>254</v>
      </c>
      <c r="D195" s="375"/>
      <c r="E195" s="367"/>
      <c r="G195" s="208"/>
    </row>
    <row r="196" spans="1:7" ht="15.75" customHeight="1" x14ac:dyDescent="0.2">
      <c r="A196" s="317" t="s">
        <v>871</v>
      </c>
      <c r="B196" s="344"/>
      <c r="C196" s="367">
        <v>5</v>
      </c>
      <c r="D196" s="375"/>
      <c r="E196" s="367"/>
    </row>
    <row r="197" spans="1:7" ht="15.75" customHeight="1" x14ac:dyDescent="0.2">
      <c r="A197" s="317" t="s">
        <v>1551</v>
      </c>
      <c r="B197" s="344" t="s">
        <v>1550</v>
      </c>
      <c r="C197" s="367">
        <v>41.5</v>
      </c>
      <c r="D197" s="375"/>
      <c r="E197" s="367"/>
    </row>
    <row r="198" spans="1:7" ht="15.75" customHeight="1" x14ac:dyDescent="0.2">
      <c r="A198" s="429" t="s">
        <v>1600</v>
      </c>
      <c r="B198" s="344"/>
      <c r="C198" s="367"/>
      <c r="D198" s="375"/>
      <c r="E198" s="446"/>
    </row>
    <row r="199" spans="1:7" ht="15.75" customHeight="1" x14ac:dyDescent="0.2">
      <c r="A199" s="317" t="s">
        <v>1424</v>
      </c>
      <c r="B199" s="344" t="s">
        <v>302</v>
      </c>
      <c r="C199" s="367">
        <v>0</v>
      </c>
      <c r="D199" s="344" t="s">
        <v>1580</v>
      </c>
      <c r="E199" s="446">
        <f>C199/C$197</f>
        <v>0</v>
      </c>
    </row>
    <row r="200" spans="1:7" ht="15.75" customHeight="1" x14ac:dyDescent="0.2">
      <c r="A200" s="317" t="s">
        <v>874</v>
      </c>
      <c r="B200" s="344" t="s">
        <v>302</v>
      </c>
      <c r="C200" s="367">
        <v>1.43</v>
      </c>
      <c r="D200" s="344" t="s">
        <v>1580</v>
      </c>
      <c r="E200" s="446">
        <f t="shared" ref="E200:E207" si="7">C200/C$197</f>
        <v>3.4457831325301204E-2</v>
      </c>
    </row>
    <row r="201" spans="1:7" ht="15.75" customHeight="1" x14ac:dyDescent="0.2">
      <c r="A201" s="317" t="s">
        <v>875</v>
      </c>
      <c r="B201" s="344" t="s">
        <v>302</v>
      </c>
      <c r="C201" s="367">
        <v>1.21</v>
      </c>
      <c r="D201" s="344" t="s">
        <v>1580</v>
      </c>
      <c r="E201" s="446">
        <f t="shared" si="7"/>
        <v>2.9156626506024096E-2</v>
      </c>
    </row>
    <row r="202" spans="1:7" ht="15.75" customHeight="1" x14ac:dyDescent="0.2">
      <c r="A202" s="317" t="s">
        <v>876</v>
      </c>
      <c r="B202" s="344" t="s">
        <v>302</v>
      </c>
      <c r="C202" s="367">
        <v>3.76</v>
      </c>
      <c r="D202" s="344" t="s">
        <v>1580</v>
      </c>
      <c r="E202" s="446">
        <f t="shared" si="7"/>
        <v>9.0602409638554218E-2</v>
      </c>
      <c r="G202" s="447"/>
    </row>
    <row r="203" spans="1:7" ht="15.75" customHeight="1" x14ac:dyDescent="0.2">
      <c r="A203" s="317" t="s">
        <v>877</v>
      </c>
      <c r="B203" s="344" t="s">
        <v>302</v>
      </c>
      <c r="C203" s="367">
        <v>0</v>
      </c>
      <c r="D203" s="344" t="s">
        <v>1580</v>
      </c>
      <c r="E203" s="446">
        <f t="shared" si="7"/>
        <v>0</v>
      </c>
    </row>
    <row r="204" spans="1:7" ht="15.75" customHeight="1" x14ac:dyDescent="0.2">
      <c r="A204" s="317" t="s">
        <v>1423</v>
      </c>
      <c r="B204" s="344" t="s">
        <v>302</v>
      </c>
      <c r="C204" s="367">
        <v>2.33</v>
      </c>
      <c r="D204" s="344" t="s">
        <v>1580</v>
      </c>
      <c r="E204" s="446">
        <f t="shared" si="7"/>
        <v>5.6144578313253014E-2</v>
      </c>
    </row>
    <row r="205" spans="1:7" ht="15.75" customHeight="1" x14ac:dyDescent="0.2">
      <c r="A205" s="317" t="s">
        <v>878</v>
      </c>
      <c r="B205" s="344" t="s">
        <v>302</v>
      </c>
      <c r="C205" s="367">
        <v>0.21</v>
      </c>
      <c r="D205" s="344" t="s">
        <v>1580</v>
      </c>
      <c r="E205" s="446">
        <f t="shared" si="7"/>
        <v>5.0602409638554214E-3</v>
      </c>
    </row>
    <row r="206" spans="1:7" ht="15.75" customHeight="1" x14ac:dyDescent="0.2">
      <c r="A206" s="317" t="s">
        <v>879</v>
      </c>
      <c r="B206" s="344" t="s">
        <v>302</v>
      </c>
      <c r="C206" s="367">
        <v>1.39</v>
      </c>
      <c r="D206" s="344" t="s">
        <v>1580</v>
      </c>
      <c r="E206" s="446">
        <f t="shared" si="7"/>
        <v>3.3493975903614456E-2</v>
      </c>
    </row>
    <row r="207" spans="1:7" ht="15.75" customHeight="1" x14ac:dyDescent="0.2">
      <c r="A207" s="317" t="s">
        <v>1428</v>
      </c>
      <c r="B207" s="344" t="s">
        <v>302</v>
      </c>
      <c r="C207" s="367">
        <v>0</v>
      </c>
      <c r="D207" s="344" t="s">
        <v>1580</v>
      </c>
      <c r="E207" s="446">
        <f t="shared" si="7"/>
        <v>0</v>
      </c>
    </row>
    <row r="208" spans="1:7" ht="15.75" customHeight="1" x14ac:dyDescent="0.2">
      <c r="A208" s="429" t="s">
        <v>1601</v>
      </c>
      <c r="B208" s="344"/>
      <c r="C208" s="367"/>
      <c r="D208" s="344"/>
      <c r="E208" s="446"/>
    </row>
    <row r="209" spans="1:7" ht="15.75" customHeight="1" x14ac:dyDescent="0.2">
      <c r="A209" s="317" t="s">
        <v>1424</v>
      </c>
      <c r="B209" s="344" t="s">
        <v>302</v>
      </c>
      <c r="C209" s="367">
        <v>0.03</v>
      </c>
      <c r="D209" s="344"/>
      <c r="E209" s="446"/>
    </row>
    <row r="210" spans="1:7" ht="15.75" customHeight="1" x14ac:dyDescent="0.2">
      <c r="A210" s="317" t="s">
        <v>874</v>
      </c>
      <c r="B210" s="344" t="s">
        <v>302</v>
      </c>
      <c r="C210" s="367">
        <v>2.0299999999999998</v>
      </c>
      <c r="D210" s="344"/>
      <c r="E210" s="446"/>
    </row>
    <row r="211" spans="1:7" ht="15.75" customHeight="1" x14ac:dyDescent="0.2">
      <c r="A211" s="317" t="s">
        <v>875</v>
      </c>
      <c r="B211" s="344" t="s">
        <v>302</v>
      </c>
      <c r="C211" s="367">
        <v>0</v>
      </c>
      <c r="D211" s="344"/>
      <c r="E211" s="446"/>
    </row>
    <row r="212" spans="1:7" ht="15.75" customHeight="1" x14ac:dyDescent="0.2">
      <c r="A212" s="317" t="s">
        <v>876</v>
      </c>
      <c r="B212" s="344" t="s">
        <v>302</v>
      </c>
      <c r="C212" s="367">
        <v>2.09</v>
      </c>
      <c r="D212" s="344"/>
      <c r="E212" s="446"/>
      <c r="G212" s="436"/>
    </row>
    <row r="213" spans="1:7" ht="15.75" customHeight="1" x14ac:dyDescent="0.2">
      <c r="A213" s="317" t="s">
        <v>877</v>
      </c>
      <c r="B213" s="344" t="s">
        <v>302</v>
      </c>
      <c r="C213" s="367">
        <v>0.09</v>
      </c>
      <c r="D213" s="344"/>
      <c r="E213" s="446"/>
      <c r="G213" s="436"/>
    </row>
    <row r="214" spans="1:7" ht="15.75" customHeight="1" x14ac:dyDescent="0.2">
      <c r="A214" s="317" t="s">
        <v>1423</v>
      </c>
      <c r="B214" s="344" t="s">
        <v>302</v>
      </c>
      <c r="C214" s="367">
        <v>1.22</v>
      </c>
      <c r="D214" s="344"/>
      <c r="E214" s="446"/>
      <c r="G214" s="447"/>
    </row>
    <row r="215" spans="1:7" ht="15.75" customHeight="1" x14ac:dyDescent="0.2">
      <c r="A215" s="317" t="s">
        <v>878</v>
      </c>
      <c r="B215" s="344" t="s">
        <v>302</v>
      </c>
      <c r="C215" s="367">
        <v>0</v>
      </c>
      <c r="D215" s="344"/>
      <c r="E215" s="446"/>
    </row>
    <row r="216" spans="1:7" ht="15.75" customHeight="1" x14ac:dyDescent="0.2">
      <c r="A216" s="317" t="s">
        <v>879</v>
      </c>
      <c r="B216" s="344" t="s">
        <v>302</v>
      </c>
      <c r="C216" s="367">
        <v>0.42</v>
      </c>
      <c r="D216" s="344"/>
      <c r="E216" s="446"/>
    </row>
    <row r="217" spans="1:7" ht="15.75" customHeight="1" x14ac:dyDescent="0.2">
      <c r="A217" s="317" t="s">
        <v>1428</v>
      </c>
      <c r="B217" s="344" t="s">
        <v>302</v>
      </c>
      <c r="C217" s="367">
        <v>0</v>
      </c>
      <c r="D217" s="344" t="s">
        <v>1831</v>
      </c>
      <c r="E217" s="367">
        <f>SUM(C199:C217)</f>
        <v>16.21</v>
      </c>
    </row>
    <row r="218" spans="1:7" ht="15.75" customHeight="1" x14ac:dyDescent="0.2">
      <c r="A218" s="317" t="s">
        <v>880</v>
      </c>
      <c r="B218" s="344" t="s">
        <v>881</v>
      </c>
      <c r="C218" s="367">
        <v>7875</v>
      </c>
      <c r="D218" s="344"/>
      <c r="E218" s="446"/>
      <c r="G218" s="447"/>
    </row>
    <row r="219" spans="1:7" ht="15.75" customHeight="1" x14ac:dyDescent="0.2">
      <c r="A219" s="317" t="s">
        <v>882</v>
      </c>
      <c r="B219" s="344" t="s">
        <v>1081</v>
      </c>
      <c r="C219" s="367">
        <v>0.5</v>
      </c>
      <c r="D219" s="375"/>
      <c r="E219" s="367"/>
    </row>
    <row r="220" spans="1:7" ht="15.75" customHeight="1" x14ac:dyDescent="0.2">
      <c r="A220" s="317" t="s">
        <v>883</v>
      </c>
      <c r="B220" s="344" t="s">
        <v>1081</v>
      </c>
      <c r="C220" s="367">
        <v>0.03</v>
      </c>
      <c r="D220" s="375"/>
      <c r="E220" s="367"/>
    </row>
    <row r="221" spans="1:7" ht="15.75" customHeight="1" x14ac:dyDescent="0.2">
      <c r="A221" s="317" t="s">
        <v>884</v>
      </c>
      <c r="B221" s="344" t="s">
        <v>1081</v>
      </c>
      <c r="C221" s="367">
        <v>0.47</v>
      </c>
      <c r="D221" s="375"/>
      <c r="E221" s="367"/>
    </row>
    <row r="222" spans="1:7" ht="15.75" customHeight="1" x14ac:dyDescent="0.2">
      <c r="A222" s="317" t="s">
        <v>886</v>
      </c>
      <c r="B222" s="344" t="s">
        <v>887</v>
      </c>
      <c r="C222" s="367">
        <v>0.4</v>
      </c>
      <c r="D222" s="375"/>
      <c r="E222" s="367"/>
    </row>
    <row r="223" spans="1:7" ht="15.75" customHeight="1" x14ac:dyDescent="0.2">
      <c r="A223" s="317" t="s">
        <v>889</v>
      </c>
      <c r="B223" s="344"/>
      <c r="C223" s="367">
        <v>0.98</v>
      </c>
      <c r="D223" s="375"/>
      <c r="E223" s="367"/>
      <c r="G223" s="448"/>
    </row>
    <row r="224" spans="1:7" ht="15.75" customHeight="1" x14ac:dyDescent="0.2">
      <c r="A224" s="317" t="s">
        <v>1255</v>
      </c>
      <c r="B224" s="344" t="s">
        <v>294</v>
      </c>
      <c r="C224" s="367">
        <v>0.6</v>
      </c>
      <c r="D224" s="375"/>
      <c r="E224" s="367"/>
    </row>
    <row r="225" spans="1:11" ht="15.75" customHeight="1" x14ac:dyDescent="0.2">
      <c r="A225" s="317"/>
      <c r="B225" s="375"/>
      <c r="C225" s="367"/>
      <c r="D225" s="375"/>
      <c r="E225" s="367"/>
    </row>
    <row r="226" spans="1:11" ht="15.75" customHeight="1" x14ac:dyDescent="0.2">
      <c r="A226" s="318"/>
      <c r="B226" s="376"/>
      <c r="C226" s="369"/>
      <c r="D226" s="376"/>
      <c r="E226" s="369"/>
    </row>
    <row r="227" spans="1:11" ht="15.75" customHeight="1" x14ac:dyDescent="0.2">
      <c r="A227" s="375"/>
      <c r="E227" s="367"/>
    </row>
    <row r="228" spans="1:11" ht="15.75" customHeight="1" x14ac:dyDescent="0.2">
      <c r="A228" s="449" t="s">
        <v>890</v>
      </c>
      <c r="B228" s="450"/>
      <c r="C228" s="450"/>
      <c r="D228" s="450"/>
      <c r="E228" s="450"/>
      <c r="F228" s="450"/>
      <c r="G228" s="450"/>
      <c r="H228" s="450"/>
      <c r="I228" s="451"/>
    </row>
    <row r="229" spans="1:11" ht="15.75" customHeight="1" x14ac:dyDescent="0.2">
      <c r="A229" s="373" t="s">
        <v>580</v>
      </c>
      <c r="B229" s="373" t="s">
        <v>372</v>
      </c>
      <c r="C229" s="373" t="s">
        <v>42</v>
      </c>
      <c r="D229" s="373" t="s">
        <v>372</v>
      </c>
      <c r="E229" s="373" t="s">
        <v>42</v>
      </c>
      <c r="F229" s="220"/>
      <c r="G229" s="220"/>
      <c r="H229" s="220"/>
      <c r="I229" s="366"/>
    </row>
    <row r="230" spans="1:11" ht="15.75" customHeight="1" x14ac:dyDescent="0.2">
      <c r="A230" s="316" t="s">
        <v>888</v>
      </c>
      <c r="B230" s="342" t="s">
        <v>1041</v>
      </c>
      <c r="C230" s="361">
        <f ca="1">((Inputs!F$44*Inputs!F$16)+(Inputs!F$61*Inputs!F$17))+((C372*C376)/(Inputs!F$13*Inputs!F$15))</f>
        <v>0.20761052631578947</v>
      </c>
      <c r="D230" s="387"/>
      <c r="E230" s="366"/>
      <c r="I230" s="367"/>
    </row>
    <row r="231" spans="1:11" ht="15.75" customHeight="1" x14ac:dyDescent="0.2">
      <c r="A231" s="317" t="s">
        <v>885</v>
      </c>
      <c r="B231" s="344" t="s">
        <v>1041</v>
      </c>
      <c r="C231" s="367">
        <f>Inputs!F$23</f>
        <v>0.39960000000000001</v>
      </c>
      <c r="D231" s="1531" t="s">
        <v>2893</v>
      </c>
      <c r="E231" s="1533"/>
      <c r="I231" s="367"/>
    </row>
    <row r="232" spans="1:11" ht="15.75" customHeight="1" x14ac:dyDescent="0.2">
      <c r="A232" s="317" t="s">
        <v>1582</v>
      </c>
      <c r="B232" s="344" t="s">
        <v>1579</v>
      </c>
      <c r="C232" s="435">
        <f>((Inputs!F$56*Inputs!F$16)+(Inputs!F$17*Inputs!F$73))*Units!C$81</f>
        <v>56</v>
      </c>
      <c r="D232" s="344" t="s">
        <v>1579</v>
      </c>
      <c r="E232" s="363">
        <f>C232*(C242/G242)</f>
        <v>44.800000000000004</v>
      </c>
      <c r="I232" s="367"/>
    </row>
    <row r="233" spans="1:11" ht="15.75" customHeight="1" x14ac:dyDescent="0.2">
      <c r="A233" s="317" t="s">
        <v>1583</v>
      </c>
      <c r="B233" s="344" t="s">
        <v>1579</v>
      </c>
      <c r="C233" s="435">
        <f>(Inputs!F$24/Inputs!F$37)*Units!C$81</f>
        <v>198.000198000198</v>
      </c>
      <c r="D233" s="344" t="s">
        <v>1579</v>
      </c>
      <c r="E233" s="363">
        <f>C233*(C243/G243)</f>
        <v>158.4001584001584</v>
      </c>
      <c r="I233" s="367"/>
    </row>
    <row r="234" spans="1:11" ht="15.75" customHeight="1" x14ac:dyDescent="0.2">
      <c r="A234" s="317" t="s">
        <v>1597</v>
      </c>
      <c r="B234" s="344"/>
      <c r="C234" s="435">
        <f ca="1">(C230/C231)</f>
        <v>0.51954586165112482</v>
      </c>
      <c r="D234" s="375"/>
      <c r="E234" s="367"/>
      <c r="I234" s="367"/>
      <c r="K234" s="436"/>
    </row>
    <row r="235" spans="1:11" ht="15.75" customHeight="1" x14ac:dyDescent="0.2">
      <c r="A235" s="317" t="s">
        <v>1598</v>
      </c>
      <c r="B235" s="344"/>
      <c r="C235" s="435">
        <f>(C232/C197)</f>
        <v>1.3493975903614457</v>
      </c>
      <c r="D235" s="375"/>
      <c r="E235" s="367"/>
      <c r="I235" s="367"/>
    </row>
    <row r="236" spans="1:11" ht="15.75" customHeight="1" x14ac:dyDescent="0.2">
      <c r="A236" s="318" t="s">
        <v>1599</v>
      </c>
      <c r="B236" s="347"/>
      <c r="C236" s="452">
        <f>(C233/C197)</f>
        <v>4.7710891084385061</v>
      </c>
      <c r="D236" s="376"/>
      <c r="E236" s="369"/>
      <c r="I236" s="367"/>
    </row>
    <row r="237" spans="1:11" ht="15.75" customHeight="1" x14ac:dyDescent="0.2">
      <c r="A237" s="375"/>
      <c r="B237" s="172"/>
      <c r="C237" s="453"/>
      <c r="E237" s="367"/>
      <c r="I237" s="367"/>
    </row>
    <row r="238" spans="1:11" ht="15.75" customHeight="1" x14ac:dyDescent="0.2">
      <c r="A238" s="449" t="s">
        <v>2569</v>
      </c>
      <c r="B238" s="450"/>
      <c r="C238" s="450"/>
      <c r="D238" s="450"/>
      <c r="E238" s="450"/>
      <c r="F238" s="450"/>
      <c r="G238" s="450"/>
      <c r="H238" s="450"/>
      <c r="I238" s="451"/>
    </row>
    <row r="239" spans="1:11" ht="15.75" customHeight="1" x14ac:dyDescent="0.2">
      <c r="A239" s="373" t="s">
        <v>580</v>
      </c>
      <c r="B239" s="373" t="s">
        <v>372</v>
      </c>
      <c r="C239" s="373" t="s">
        <v>42</v>
      </c>
      <c r="D239" s="373" t="s">
        <v>372</v>
      </c>
      <c r="E239" s="373" t="s">
        <v>42</v>
      </c>
      <c r="F239" s="373" t="s">
        <v>372</v>
      </c>
      <c r="G239" s="373" t="s">
        <v>42</v>
      </c>
      <c r="H239" s="373" t="s">
        <v>372</v>
      </c>
      <c r="I239" s="373" t="s">
        <v>42</v>
      </c>
    </row>
    <row r="240" spans="1:11" ht="15.75" customHeight="1" x14ac:dyDescent="0.2">
      <c r="A240" s="377" t="s">
        <v>2570</v>
      </c>
      <c r="B240" s="342" t="s">
        <v>1081</v>
      </c>
      <c r="C240" s="454">
        <v>0.25</v>
      </c>
      <c r="D240" s="387"/>
      <c r="E240" s="366"/>
      <c r="F240" s="387"/>
      <c r="G240" s="366"/>
      <c r="I240" s="367"/>
    </row>
    <row r="241" spans="1:9" ht="15.75" customHeight="1" x14ac:dyDescent="0.2">
      <c r="A241" s="375"/>
      <c r="B241" s="1530" t="s">
        <v>2574</v>
      </c>
      <c r="C241" s="1530"/>
      <c r="D241" s="1530" t="s">
        <v>2576</v>
      </c>
      <c r="E241" s="1530"/>
      <c r="F241" s="1531" t="s">
        <v>2575</v>
      </c>
      <c r="G241" s="1532"/>
      <c r="H241" s="1532"/>
      <c r="I241" s="1533"/>
    </row>
    <row r="242" spans="1:9" ht="15.75" customHeight="1" x14ac:dyDescent="0.2">
      <c r="A242" s="316" t="s">
        <v>2572</v>
      </c>
      <c r="B242" s="344" t="s">
        <v>2571</v>
      </c>
      <c r="C242" s="435">
        <f>Inputs!F13*Inputs!F15</f>
        <v>22500</v>
      </c>
      <c r="D242" s="344" t="s">
        <v>267</v>
      </c>
      <c r="E242" s="367">
        <f>C242*C240</f>
        <v>5625</v>
      </c>
      <c r="F242" s="344" t="s">
        <v>267</v>
      </c>
      <c r="G242" s="363">
        <f>C242+E242</f>
        <v>28125</v>
      </c>
      <c r="H242" s="342" t="s">
        <v>444</v>
      </c>
      <c r="I242" s="361">
        <f>G242/Units!C18</f>
        <v>26.785714285714285</v>
      </c>
    </row>
    <row r="243" spans="1:9" ht="15.75" customHeight="1" x14ac:dyDescent="0.2">
      <c r="A243" s="318" t="s">
        <v>2573</v>
      </c>
      <c r="B243" s="347" t="s">
        <v>267</v>
      </c>
      <c r="C243" s="452">
        <f>Inputs!F13*Inputs!F14</f>
        <v>2500</v>
      </c>
      <c r="D243" s="347" t="s">
        <v>267</v>
      </c>
      <c r="E243" s="369">
        <f>C243*C240</f>
        <v>625</v>
      </c>
      <c r="F243" s="347" t="s">
        <v>267</v>
      </c>
      <c r="G243" s="365">
        <f>C243+E243</f>
        <v>3125</v>
      </c>
      <c r="H243" s="347" t="s">
        <v>444</v>
      </c>
      <c r="I243" s="365">
        <f>G243/Units!C18</f>
        <v>2.9761904761904763</v>
      </c>
    </row>
    <row r="244" spans="1:9" ht="15.75" customHeight="1" x14ac:dyDescent="0.2">
      <c r="A244" s="375"/>
      <c r="B244" s="172"/>
      <c r="C244" s="453"/>
      <c r="E244" s="367"/>
      <c r="I244" s="367"/>
    </row>
    <row r="245" spans="1:9" ht="15.75" customHeight="1" x14ac:dyDescent="0.2">
      <c r="A245" s="376"/>
      <c r="B245" s="248"/>
      <c r="C245" s="248"/>
      <c r="D245" s="248"/>
      <c r="E245" s="369"/>
      <c r="F245" s="248"/>
      <c r="G245" s="248"/>
      <c r="H245" s="248"/>
      <c r="I245" s="369"/>
    </row>
    <row r="246" spans="1:9" ht="15.75" customHeight="1" x14ac:dyDescent="0.2">
      <c r="A246" s="456" t="s">
        <v>1586</v>
      </c>
      <c r="B246" s="457"/>
      <c r="C246" s="457"/>
      <c r="D246" s="457"/>
      <c r="E246" s="457"/>
      <c r="F246" s="457"/>
      <c r="G246" s="457"/>
      <c r="H246" s="457"/>
      <c r="I246" s="458"/>
    </row>
    <row r="247" spans="1:9" ht="15.75" customHeight="1" x14ac:dyDescent="0.2">
      <c r="A247" s="301" t="s">
        <v>580</v>
      </c>
      <c r="B247" s="1598" t="s">
        <v>1587</v>
      </c>
      <c r="C247" s="1599"/>
      <c r="D247" s="1599"/>
      <c r="E247" s="1600"/>
      <c r="F247" s="1601" t="s">
        <v>1588</v>
      </c>
      <c r="G247" s="1602"/>
      <c r="H247" s="1602"/>
      <c r="I247" s="1603"/>
    </row>
    <row r="248" spans="1:9" ht="15.75" customHeight="1" x14ac:dyDescent="0.2">
      <c r="A248" s="375"/>
      <c r="B248" s="301" t="s">
        <v>372</v>
      </c>
      <c r="C248" s="301" t="s">
        <v>42</v>
      </c>
      <c r="D248" s="301" t="s">
        <v>372</v>
      </c>
      <c r="E248" s="301" t="s">
        <v>42</v>
      </c>
      <c r="F248" s="301" t="s">
        <v>372</v>
      </c>
      <c r="G248" s="301" t="s">
        <v>42</v>
      </c>
      <c r="H248" s="301" t="s">
        <v>372</v>
      </c>
      <c r="I248" s="301" t="s">
        <v>42</v>
      </c>
    </row>
    <row r="249" spans="1:9" ht="15.75" customHeight="1" x14ac:dyDescent="0.2">
      <c r="A249" s="377" t="s">
        <v>893</v>
      </c>
      <c r="B249" s="455" t="s">
        <v>267</v>
      </c>
      <c r="C249" s="459">
        <f>C231*Inputs!F$14*Inputs!F$13</f>
        <v>999.00000000000011</v>
      </c>
      <c r="E249" s="367"/>
      <c r="F249" s="433" t="s">
        <v>267</v>
      </c>
      <c r="G249" s="460">
        <f ca="1">(C230*Inputs!F$13*Inputs!F$15)+(C372*C376)</f>
        <v>5308.2236842105267</v>
      </c>
      <c r="I249" s="367"/>
    </row>
    <row r="250" spans="1:9" ht="15.75" customHeight="1" x14ac:dyDescent="0.2">
      <c r="A250" s="375"/>
      <c r="E250" s="367"/>
      <c r="I250" s="367"/>
    </row>
    <row r="251" spans="1:9" ht="15.75" customHeight="1" x14ac:dyDescent="0.2">
      <c r="A251" s="316" t="s">
        <v>1425</v>
      </c>
      <c r="B251" s="342" t="s">
        <v>267</v>
      </c>
      <c r="C251" s="361">
        <f>(C199/Units!C$47*Inputs!F$13*Inputs!F$14*Inputs!F$182*C$236)^C$223</f>
        <v>0</v>
      </c>
      <c r="D251" s="342" t="s">
        <v>302</v>
      </c>
      <c r="E251" s="361">
        <f t="shared" ref="E251:E259" si="8">C251/C$261</f>
        <v>0</v>
      </c>
      <c r="F251" s="341" t="s">
        <v>267</v>
      </c>
      <c r="G251" s="454">
        <f ca="1">(C209/Units!C$47*Inputs!F$13*Inputs!F$15*Inputs!F$181*Inputs!F$182*C$235*C$234)^C$223</f>
        <v>0.99389647423751326</v>
      </c>
      <c r="H251" s="342" t="s">
        <v>302</v>
      </c>
      <c r="I251" s="461">
        <f ca="1">G251/G$261</f>
        <v>2.7086991911219695E-2</v>
      </c>
    </row>
    <row r="252" spans="1:9" ht="15.75" customHeight="1" x14ac:dyDescent="0.2">
      <c r="A252" s="317" t="s">
        <v>891</v>
      </c>
      <c r="B252" s="344" t="s">
        <v>267</v>
      </c>
      <c r="C252" s="363">
        <f>(C200/Units!C$47*Inputs!F$13*Inputs!F$14*Inputs!F$182*C$236)^C$223</f>
        <v>22.410997000234151</v>
      </c>
      <c r="D252" s="344" t="s">
        <v>302</v>
      </c>
      <c r="E252" s="363">
        <f>C252/C$261</f>
        <v>7.5300949920786744</v>
      </c>
      <c r="F252" s="172" t="s">
        <v>267</v>
      </c>
      <c r="G252" s="435">
        <f ca="1">(C210/Units!C$47*Inputs!F$13*Inputs!F$15*Inputs!F$181*Inputs!F$182*C$235*C$234)^C$223</f>
        <v>61.817072981695162</v>
      </c>
      <c r="H252" s="344" t="s">
        <v>302</v>
      </c>
      <c r="I252" s="446">
        <f t="shared" ref="I252:I259" ca="1" si="9">G252/G$261</f>
        <v>1.6847212956611322</v>
      </c>
    </row>
    <row r="253" spans="1:9" ht="15.75" customHeight="1" x14ac:dyDescent="0.2">
      <c r="A253" s="317" t="s">
        <v>892</v>
      </c>
      <c r="B253" s="344" t="s">
        <v>267</v>
      </c>
      <c r="C253" s="363">
        <f>(C201/Units!C$47*Inputs!F$13*Inputs!F$14*Inputs!F$182*C$236)^C$223</f>
        <v>19.026614704732602</v>
      </c>
      <c r="D253" s="344" t="s">
        <v>302</v>
      </c>
      <c r="E253" s="363">
        <f t="shared" si="8"/>
        <v>6.3929425407901537</v>
      </c>
      <c r="F253" s="172" t="s">
        <v>267</v>
      </c>
      <c r="G253" s="435">
        <f ca="1">(C211/Units!C$47*Inputs!F$13*Inputs!F$15*Inputs!F$181*Inputs!F$182*C$235*C$234)^C$223</f>
        <v>0</v>
      </c>
      <c r="H253" s="344" t="s">
        <v>302</v>
      </c>
      <c r="I253" s="446">
        <f t="shared" ca="1" si="9"/>
        <v>0</v>
      </c>
    </row>
    <row r="254" spans="1:9" ht="15.75" customHeight="1" x14ac:dyDescent="0.2">
      <c r="A254" s="317" t="s">
        <v>439</v>
      </c>
      <c r="B254" s="344" t="s">
        <v>267</v>
      </c>
      <c r="C254" s="363">
        <f>(C202/Units!C$47*Inputs!F$13*Inputs!F$14*Inputs!F$182*C$236)^C$223</f>
        <v>57.798417636268617</v>
      </c>
      <c r="D254" s="344" t="s">
        <v>302</v>
      </c>
      <c r="E254" s="363">
        <f t="shared" si="8"/>
        <v>19.420268325786253</v>
      </c>
      <c r="F254" s="172" t="s">
        <v>267</v>
      </c>
      <c r="G254" s="435">
        <f ca="1">(C212/Units!C$47*Inputs!F$13*Inputs!F$15*Inputs!F$181*Inputs!F$182*C$235*C$234)^C$223</f>
        <v>63.607112484752321</v>
      </c>
      <c r="H254" s="344" t="s">
        <v>302</v>
      </c>
      <c r="I254" s="446">
        <f ca="1">G254/G$261</f>
        <v>1.7335058389177831</v>
      </c>
    </row>
    <row r="255" spans="1:9" ht="15.75" customHeight="1" x14ac:dyDescent="0.2">
      <c r="A255" s="317" t="s">
        <v>440</v>
      </c>
      <c r="B255" s="344" t="s">
        <v>267</v>
      </c>
      <c r="C255" s="363">
        <f>(C203/Units!C$47*Inputs!F$13*Inputs!F$14*Inputs!F$182*C$236)^C$223</f>
        <v>0</v>
      </c>
      <c r="D255" s="344" t="s">
        <v>302</v>
      </c>
      <c r="E255" s="363">
        <f t="shared" si="8"/>
        <v>0</v>
      </c>
      <c r="F255" s="172" t="s">
        <v>267</v>
      </c>
      <c r="G255" s="435">
        <f ca="1">(C213/Units!C$47*Inputs!F$13*Inputs!F$15*Inputs!F$181*Inputs!F$182*C$235*C$234)^C$223</f>
        <v>2.9168895166133182</v>
      </c>
      <c r="H255" s="344" t="s">
        <v>302</v>
      </c>
      <c r="I255" s="446">
        <f t="shared" ca="1" si="9"/>
        <v>7.9494962292768298E-2</v>
      </c>
    </row>
    <row r="256" spans="1:9" ht="15.75" customHeight="1" x14ac:dyDescent="0.2">
      <c r="A256" s="317" t="s">
        <v>1426</v>
      </c>
      <c r="B256" s="344" t="s">
        <v>267</v>
      </c>
      <c r="C256" s="363">
        <f>(C204/Units!C$47*Inputs!F$13*Inputs!F$14*Inputs!F$182*C$236)^C$223</f>
        <v>36.16101926412297</v>
      </c>
      <c r="D256" s="344" t="s">
        <v>302</v>
      </c>
      <c r="E256" s="363">
        <f t="shared" si="8"/>
        <v>12.150102472745317</v>
      </c>
      <c r="F256" s="172" t="s">
        <v>267</v>
      </c>
      <c r="G256" s="435">
        <f ca="1">(C214/Units!C$47*Inputs!F$13*Inputs!F$15*Inputs!F$181*Inputs!F$182*C$235*C$234)^C$223</f>
        <v>37.531416385688324</v>
      </c>
      <c r="H256" s="344" t="s">
        <v>302</v>
      </c>
      <c r="I256" s="446">
        <f t="shared" ca="1" si="9"/>
        <v>1.0228562012312925</v>
      </c>
    </row>
    <row r="257" spans="1:14" ht="15.75" customHeight="1" x14ac:dyDescent="0.2">
      <c r="A257" s="317" t="s">
        <v>441</v>
      </c>
      <c r="B257" s="344" t="s">
        <v>267</v>
      </c>
      <c r="C257" s="363">
        <f>(C205/Units!C$47*Inputs!F$13*Inputs!F$14*Inputs!F$182*C$236)^C$223</f>
        <v>3.4198477317913003</v>
      </c>
      <c r="D257" s="344" t="s">
        <v>302</v>
      </c>
      <c r="E257" s="363">
        <f t="shared" si="8"/>
        <v>1.149068837881877</v>
      </c>
      <c r="F257" s="172" t="s">
        <v>267</v>
      </c>
      <c r="G257" s="435">
        <f ca="1">(C215/Units!C$47*Inputs!F$13*Inputs!F$15*Inputs!F$181*Inputs!F$182*C$235*C$234)^C$223</f>
        <v>0</v>
      </c>
      <c r="H257" s="344" t="s">
        <v>302</v>
      </c>
      <c r="I257" s="446">
        <f t="shared" ca="1" si="9"/>
        <v>0</v>
      </c>
      <c r="K257" s="1593" t="s">
        <v>1801</v>
      </c>
      <c r="L257" s="1594"/>
      <c r="M257" s="1595"/>
    </row>
    <row r="258" spans="1:14" ht="38.5" customHeight="1" x14ac:dyDescent="0.2">
      <c r="A258" s="317" t="s">
        <v>442</v>
      </c>
      <c r="B258" s="344" t="s">
        <v>267</v>
      </c>
      <c r="C258" s="363">
        <f>(C206/Units!C$47*Inputs!F$13*Inputs!F$14*Inputs!F$182*C$236)^C$223</f>
        <v>21.79648008384304</v>
      </c>
      <c r="D258" s="344" t="s">
        <v>302</v>
      </c>
      <c r="E258" s="363">
        <f t="shared" si="8"/>
        <v>7.3236173081712614</v>
      </c>
      <c r="F258" s="172" t="s">
        <v>267</v>
      </c>
      <c r="G258" s="435">
        <f ca="1">(C216/Units!C$47*Inputs!F$13*Inputs!F$15*Inputs!F$181*Inputs!F$182*C$235*C$234)^C$223</f>
        <v>13.199170076282689</v>
      </c>
      <c r="H258" s="344" t="s">
        <v>302</v>
      </c>
      <c r="I258" s="446">
        <f t="shared" ca="1" si="9"/>
        <v>0.35972138181229085</v>
      </c>
      <c r="K258" s="462" t="s">
        <v>1800</v>
      </c>
      <c r="L258" s="463" t="s">
        <v>1584</v>
      </c>
      <c r="M258" s="463" t="s">
        <v>1585</v>
      </c>
      <c r="N258" s="413"/>
    </row>
    <row r="259" spans="1:14" ht="15.75" customHeight="1" x14ac:dyDescent="0.2">
      <c r="A259" s="318" t="s">
        <v>1427</v>
      </c>
      <c r="B259" s="347" t="s">
        <v>267</v>
      </c>
      <c r="C259" s="365">
        <f>(C207/Units!C$47*Inputs!F$13*Inputs!F$14*Inputs!F$182*C$236)^C$223</f>
        <v>0</v>
      </c>
      <c r="D259" s="347" t="s">
        <v>302</v>
      </c>
      <c r="E259" s="365">
        <f t="shared" si="8"/>
        <v>0</v>
      </c>
      <c r="F259" s="178" t="s">
        <v>267</v>
      </c>
      <c r="G259" s="452">
        <f ca="1">(C217/Units!C$47*Inputs!F$13*Inputs!F$15*Inputs!F$181*Inputs!F$182*C$235*C$234)^C$223</f>
        <v>0</v>
      </c>
      <c r="H259" s="347" t="s">
        <v>302</v>
      </c>
      <c r="I259" s="464">
        <f t="shared" ca="1" si="9"/>
        <v>0</v>
      </c>
      <c r="K259" s="465" t="s">
        <v>393</v>
      </c>
      <c r="L259" s="466">
        <f t="shared" ref="L259:L266" ca="1" si="10">I252</f>
        <v>1.6847212956611322</v>
      </c>
      <c r="M259" s="467">
        <f t="shared" ref="M259:M266" si="11">E252</f>
        <v>7.5300949920786744</v>
      </c>
    </row>
    <row r="260" spans="1:14" ht="15.75" customHeight="1" x14ac:dyDescent="0.2">
      <c r="A260" s="375"/>
      <c r="B260" s="172"/>
      <c r="D260" s="172"/>
      <c r="H260" s="375" t="s">
        <v>1832</v>
      </c>
      <c r="I260" s="446">
        <f ca="1">SUM(G251:G259,C251:C259)</f>
        <v>340.678934340262</v>
      </c>
      <c r="K260" s="406" t="s">
        <v>394</v>
      </c>
      <c r="L260" s="468">
        <f t="shared" ca="1" si="10"/>
        <v>0</v>
      </c>
      <c r="M260" s="469">
        <f t="shared" si="11"/>
        <v>6.3929425407901537</v>
      </c>
    </row>
    <row r="261" spans="1:14" ht="15.75" customHeight="1" x14ac:dyDescent="0.2">
      <c r="A261" s="372" t="s">
        <v>443</v>
      </c>
      <c r="B261" s="433" t="s">
        <v>444</v>
      </c>
      <c r="C261" s="434">
        <f>I243</f>
        <v>2.9761904761904763</v>
      </c>
      <c r="D261" s="172"/>
      <c r="E261" s="436"/>
      <c r="F261" s="433" t="s">
        <v>444</v>
      </c>
      <c r="G261" s="470">
        <f ca="1">I242+E378</f>
        <v>36.692759295499023</v>
      </c>
      <c r="H261" s="376" t="s">
        <v>1831</v>
      </c>
      <c r="I261" s="365">
        <f ca="1">I260/(SUM(C261,G261))</f>
        <v>8.5880502584768212</v>
      </c>
      <c r="K261" s="406" t="s">
        <v>396</v>
      </c>
      <c r="L261" s="468">
        <f t="shared" ca="1" si="10"/>
        <v>1.7335058389177831</v>
      </c>
      <c r="M261" s="469">
        <f t="shared" si="11"/>
        <v>19.420268325786253</v>
      </c>
    </row>
    <row r="262" spans="1:14" ht="15.75" customHeight="1" x14ac:dyDescent="0.2">
      <c r="A262" s="375"/>
      <c r="D262" s="172"/>
      <c r="I262" s="367"/>
      <c r="K262" s="406" t="s">
        <v>395</v>
      </c>
      <c r="L262" s="468">
        <f t="shared" ca="1" si="10"/>
        <v>7.9494962292768298E-2</v>
      </c>
      <c r="M262" s="469">
        <f t="shared" si="11"/>
        <v>0</v>
      </c>
    </row>
    <row r="263" spans="1:14" ht="15.75" customHeight="1" x14ac:dyDescent="0.2">
      <c r="A263" s="316" t="s">
        <v>1429</v>
      </c>
      <c r="B263" s="342" t="s">
        <v>1430</v>
      </c>
      <c r="C263" s="461">
        <f>C251/C$261*Units!C$47</f>
        <v>0</v>
      </c>
      <c r="D263" s="342" t="s">
        <v>446</v>
      </c>
      <c r="E263" s="461">
        <f>C263/Units!C93</f>
        <v>0</v>
      </c>
      <c r="F263" s="342" t="s">
        <v>1430</v>
      </c>
      <c r="G263" s="471">
        <f ca="1">G251/G$261*Units!C$47</f>
        <v>27.086991911219695</v>
      </c>
      <c r="H263" s="342" t="s">
        <v>446</v>
      </c>
      <c r="I263" s="461">
        <f ca="1">G263/Units!C93</f>
        <v>0.30410903683866281</v>
      </c>
      <c r="K263" s="406" t="s">
        <v>397</v>
      </c>
      <c r="L263" s="468">
        <f t="shared" ca="1" si="10"/>
        <v>1.0228562012312925</v>
      </c>
      <c r="M263" s="469">
        <f t="shared" si="11"/>
        <v>12.150102472745317</v>
      </c>
    </row>
    <row r="264" spans="1:14" ht="15.75" customHeight="1" x14ac:dyDescent="0.2">
      <c r="A264" s="317" t="s">
        <v>437</v>
      </c>
      <c r="B264" s="344" t="s">
        <v>459</v>
      </c>
      <c r="C264" s="446">
        <f>C252/C$261*Units!C$47</f>
        <v>7530.0949920786743</v>
      </c>
      <c r="D264" s="344" t="s">
        <v>446</v>
      </c>
      <c r="E264" s="446">
        <f>C264/Units!C94</f>
        <v>127.54225935092606</v>
      </c>
      <c r="F264" s="344" t="s">
        <v>459</v>
      </c>
      <c r="G264" s="472">
        <f ca="1">G252/G$261*Units!C$47</f>
        <v>1684.7212956611322</v>
      </c>
      <c r="H264" s="344" t="s">
        <v>446</v>
      </c>
      <c r="I264" s="446">
        <f ca="1">G264/Units!C94</f>
        <v>28.535252297783405</v>
      </c>
      <c r="K264" s="406" t="s">
        <v>398</v>
      </c>
      <c r="L264" s="468">
        <f t="shared" ca="1" si="10"/>
        <v>0</v>
      </c>
      <c r="M264" s="469">
        <f t="shared" si="11"/>
        <v>1.149068837881877</v>
      </c>
    </row>
    <row r="265" spans="1:14" ht="15.75" customHeight="1" x14ac:dyDescent="0.2">
      <c r="A265" s="317" t="s">
        <v>438</v>
      </c>
      <c r="B265" s="344" t="s">
        <v>459</v>
      </c>
      <c r="C265" s="446">
        <f>C253/C$261*Units!C$47</f>
        <v>6392.9425407901535</v>
      </c>
      <c r="D265" s="344" t="s">
        <v>446</v>
      </c>
      <c r="E265" s="446">
        <f>C265/Units!C95</f>
        <v>87.490660199673655</v>
      </c>
      <c r="F265" s="344" t="s">
        <v>459</v>
      </c>
      <c r="G265" s="594">
        <f ca="1">G253/G$261*Units!C$47</f>
        <v>0</v>
      </c>
      <c r="H265" s="344" t="s">
        <v>446</v>
      </c>
      <c r="I265" s="446">
        <f ca="1">G265/Units!C95</f>
        <v>0</v>
      </c>
      <c r="K265" s="406" t="s">
        <v>578</v>
      </c>
      <c r="L265" s="468">
        <f t="shared" ca="1" si="10"/>
        <v>0.35972138181229085</v>
      </c>
      <c r="M265" s="469">
        <f t="shared" si="11"/>
        <v>7.3236173081712614</v>
      </c>
    </row>
    <row r="266" spans="1:14" ht="15.75" customHeight="1" x14ac:dyDescent="0.2">
      <c r="A266" s="317" t="s">
        <v>439</v>
      </c>
      <c r="B266" s="344" t="s">
        <v>459</v>
      </c>
      <c r="C266" s="446">
        <f>C254/C$261*Units!C$47</f>
        <v>19420.268325786252</v>
      </c>
      <c r="D266" s="344" t="s">
        <v>446</v>
      </c>
      <c r="E266" s="446">
        <f>C266/Units!C96</f>
        <v>222.96519317779854</v>
      </c>
      <c r="F266" s="344" t="s">
        <v>459</v>
      </c>
      <c r="G266" s="472">
        <f ca="1">G254/G$261*Units!C$47</f>
        <v>1733.5058389177832</v>
      </c>
      <c r="H266" s="344" t="s">
        <v>446</v>
      </c>
      <c r="I266" s="446">
        <f ca="1">G266/Units!C96</f>
        <v>19.902478058757559</v>
      </c>
      <c r="K266" s="404" t="s">
        <v>407</v>
      </c>
      <c r="L266" s="473">
        <f t="shared" ca="1" si="10"/>
        <v>0</v>
      </c>
      <c r="M266" s="474">
        <f t="shared" si="11"/>
        <v>0</v>
      </c>
    </row>
    <row r="267" spans="1:14" ht="15.75" customHeight="1" x14ac:dyDescent="0.2">
      <c r="A267" s="317" t="s">
        <v>440</v>
      </c>
      <c r="B267" s="344" t="s">
        <v>459</v>
      </c>
      <c r="C267" s="446">
        <f>C255/C$261*Units!C$47</f>
        <v>0</v>
      </c>
      <c r="D267" s="344" t="s">
        <v>446</v>
      </c>
      <c r="E267" s="446">
        <f>C267/Units!C97</f>
        <v>0</v>
      </c>
      <c r="F267" s="344" t="s">
        <v>459</v>
      </c>
      <c r="G267" s="472">
        <f ca="1">G255/G$261*Units!C$47</f>
        <v>79.494962292768292</v>
      </c>
      <c r="H267" s="344" t="s">
        <v>446</v>
      </c>
      <c r="I267" s="446">
        <f ca="1">G267/Units!C97</f>
        <v>0.91268613424533063</v>
      </c>
      <c r="K267" s="387" t="s">
        <v>1693</v>
      </c>
      <c r="L267" s="468">
        <f ca="1">G321</f>
        <v>4.9834981831999992</v>
      </c>
      <c r="M267" s="446">
        <f>C321</f>
        <v>4.21408</v>
      </c>
    </row>
    <row r="268" spans="1:14" ht="15.75" customHeight="1" x14ac:dyDescent="0.2">
      <c r="A268" s="317" t="s">
        <v>1426</v>
      </c>
      <c r="B268" s="344" t="s">
        <v>1430</v>
      </c>
      <c r="C268" s="446">
        <f>C256/C$261*Units!C$47</f>
        <v>12150.102472745317</v>
      </c>
      <c r="D268" s="344" t="s">
        <v>446</v>
      </c>
      <c r="E268" s="446">
        <f>C268/Units!C98</f>
        <v>120.15528552952252</v>
      </c>
      <c r="F268" s="344" t="s">
        <v>1430</v>
      </c>
      <c r="G268" s="472">
        <f ca="1">G256/G$261*Units!C$47</f>
        <v>1022.8562012312925</v>
      </c>
      <c r="H268" s="344" t="s">
        <v>446</v>
      </c>
      <c r="I268" s="446">
        <f ca="1">G268/Units!C98</f>
        <v>10.115270977366421</v>
      </c>
      <c r="K268" s="375" t="s">
        <v>1689</v>
      </c>
      <c r="L268" s="468">
        <f ca="1">G337</f>
        <v>1.0360661655999999</v>
      </c>
      <c r="M268" s="367">
        <f>C337</f>
        <v>0</v>
      </c>
    </row>
    <row r="269" spans="1:14" ht="15.75" customHeight="1" x14ac:dyDescent="0.2">
      <c r="A269" s="317" t="s">
        <v>441</v>
      </c>
      <c r="B269" s="344" t="s">
        <v>459</v>
      </c>
      <c r="C269" s="446">
        <f>C257/C$261*Units!C$47</f>
        <v>1149.068837881877</v>
      </c>
      <c r="D269" s="344" t="s">
        <v>446</v>
      </c>
      <c r="E269" s="446">
        <f>C269/Units!C99</f>
        <v>11.363418096141979</v>
      </c>
      <c r="F269" s="344" t="s">
        <v>459</v>
      </c>
      <c r="G269" s="472">
        <f ca="1">G257/G$261*Units!C$47</f>
        <v>0</v>
      </c>
      <c r="H269" s="344" t="s">
        <v>446</v>
      </c>
      <c r="I269" s="446">
        <f ca="1">G269/Units!C99</f>
        <v>0</v>
      </c>
      <c r="K269" s="376" t="s">
        <v>482</v>
      </c>
      <c r="L269" s="473">
        <f ca="1">G350</f>
        <v>7.0295506570399997</v>
      </c>
      <c r="M269" s="464">
        <f>C350</f>
        <v>0.54026666666666678</v>
      </c>
    </row>
    <row r="270" spans="1:14" ht="15.75" customHeight="1" x14ac:dyDescent="0.2">
      <c r="A270" s="317" t="s">
        <v>442</v>
      </c>
      <c r="B270" s="344" t="s">
        <v>459</v>
      </c>
      <c r="C270" s="446">
        <f>C258/C$261*Units!C$47</f>
        <v>7323.6173081712614</v>
      </c>
      <c r="D270" s="344" t="s">
        <v>446</v>
      </c>
      <c r="E270" s="446">
        <f>C270/Units!C100</f>
        <v>63.60067136926844</v>
      </c>
      <c r="F270" s="344" t="s">
        <v>459</v>
      </c>
      <c r="G270" s="472">
        <f ca="1">G258/G$261*Units!C$47</f>
        <v>359.72138181229087</v>
      </c>
      <c r="H270" s="344" t="s">
        <v>446</v>
      </c>
      <c r="I270" s="446">
        <f ca="1">G270/Units!C100</f>
        <v>3.1239373149135115</v>
      </c>
      <c r="K270" s="473" t="s">
        <v>2310</v>
      </c>
      <c r="L270" s="475">
        <f ca="1">G261-L271</f>
        <v>36.512693737579752</v>
      </c>
      <c r="M270" s="475">
        <f>C261-M271</f>
        <v>2.8155770997694836</v>
      </c>
    </row>
    <row r="271" spans="1:14" ht="15.75" customHeight="1" x14ac:dyDescent="0.2">
      <c r="A271" s="318" t="s">
        <v>1427</v>
      </c>
      <c r="B271" s="347" t="s">
        <v>1430</v>
      </c>
      <c r="C271" s="464">
        <f>C259/C$261*Units!C$47</f>
        <v>0</v>
      </c>
      <c r="D271" s="347" t="s">
        <v>446</v>
      </c>
      <c r="E271" s="464">
        <f>C271/Units!C101</f>
        <v>0</v>
      </c>
      <c r="F271" s="347" t="s">
        <v>1430</v>
      </c>
      <c r="G271" s="416">
        <f ca="1">G259/G$261*Units!C$47</f>
        <v>0</v>
      </c>
      <c r="H271" s="347" t="s">
        <v>446</v>
      </c>
      <c r="I271" s="464">
        <f ca="1">G271/Units!C101</f>
        <v>0</v>
      </c>
      <c r="K271" s="476" t="s">
        <v>1897</v>
      </c>
      <c r="L271" s="462">
        <f ca="1">SUM(G251:G259)/1000</f>
        <v>0.18006555791926931</v>
      </c>
      <c r="M271" s="477">
        <f>SUM(C251:C259)/1000</f>
        <v>0.16061337642099269</v>
      </c>
    </row>
    <row r="272" spans="1:14" ht="15.75" customHeight="1" x14ac:dyDescent="0.2">
      <c r="A272" s="375"/>
      <c r="B272" s="172"/>
      <c r="D272" s="172"/>
      <c r="E272" s="436"/>
      <c r="I272" s="367"/>
      <c r="K272" s="476" t="s">
        <v>2314</v>
      </c>
      <c r="L272" s="478">
        <f ca="1">(L271/(L270+L271))*1000/1050</f>
        <v>4.6737015922157015E-3</v>
      </c>
      <c r="M272" s="478">
        <f>(M271/(M270+M271))*1000/1050</f>
        <v>5.1396280454717655E-2</v>
      </c>
    </row>
    <row r="273" spans="1:13" ht="15.75" customHeight="1" x14ac:dyDescent="0.2">
      <c r="A273" s="376"/>
      <c r="B273" s="248"/>
      <c r="C273" s="248"/>
      <c r="D273" s="248"/>
      <c r="E273" s="248"/>
      <c r="F273" s="248"/>
      <c r="G273" s="248"/>
      <c r="H273" s="248"/>
      <c r="I273" s="369"/>
    </row>
    <row r="274" spans="1:13" ht="15.75" customHeight="1" x14ac:dyDescent="0.2">
      <c r="A274" s="479" t="s">
        <v>1433</v>
      </c>
      <c r="B274" s="480"/>
      <c r="C274" s="480"/>
      <c r="D274" s="480"/>
      <c r="E274" s="480"/>
      <c r="F274" s="481"/>
      <c r="G274" s="481"/>
      <c r="H274" s="481"/>
      <c r="I274" s="482"/>
    </row>
    <row r="275" spans="1:13" ht="15.75" customHeight="1" x14ac:dyDescent="0.2">
      <c r="A275" s="390"/>
      <c r="B275" s="1529" t="s">
        <v>1585</v>
      </c>
      <c r="C275" s="1529"/>
      <c r="D275" s="1529"/>
      <c r="E275" s="1529"/>
      <c r="F275" s="1527" t="s">
        <v>1584</v>
      </c>
      <c r="G275" s="1527"/>
      <c r="H275" s="1527"/>
      <c r="I275" s="1528"/>
      <c r="K275" s="1593" t="s">
        <v>2715</v>
      </c>
      <c r="L275" s="1594"/>
      <c r="M275" s="1595"/>
    </row>
    <row r="276" spans="1:13" ht="15.75" customHeight="1" x14ac:dyDescent="0.2">
      <c r="A276" s="373" t="s">
        <v>580</v>
      </c>
      <c r="B276" s="373" t="s">
        <v>372</v>
      </c>
      <c r="C276" s="373" t="s">
        <v>42</v>
      </c>
      <c r="D276" s="373" t="s">
        <v>372</v>
      </c>
      <c r="E276" s="373" t="s">
        <v>42</v>
      </c>
      <c r="F276" s="373" t="s">
        <v>372</v>
      </c>
      <c r="G276" s="373" t="s">
        <v>42</v>
      </c>
      <c r="H276" s="373" t="s">
        <v>372</v>
      </c>
      <c r="I276" s="373" t="s">
        <v>42</v>
      </c>
      <c r="K276" s="439"/>
      <c r="L276" s="373" t="s">
        <v>584</v>
      </c>
      <c r="M276" s="373" t="s">
        <v>585</v>
      </c>
    </row>
    <row r="277" spans="1:13" ht="15.75" customHeight="1" x14ac:dyDescent="0.2">
      <c r="A277" s="387" t="s">
        <v>1434</v>
      </c>
      <c r="B277" s="342" t="s">
        <v>374</v>
      </c>
      <c r="C277" s="366">
        <f>C$196</f>
        <v>5</v>
      </c>
      <c r="E277" s="367"/>
      <c r="F277" s="341" t="s">
        <v>374</v>
      </c>
      <c r="G277" s="366">
        <f>Inputs!F$176</f>
        <v>5</v>
      </c>
      <c r="I277" s="367"/>
      <c r="K277" s="375" t="s">
        <v>433</v>
      </c>
      <c r="L277" s="349">
        <f ca="1">G363/1000000</f>
        <v>1.1697474830830171E-2</v>
      </c>
      <c r="M277" s="349">
        <f>C363/1000000</f>
        <v>3.3546720293708247E-3</v>
      </c>
    </row>
    <row r="278" spans="1:13" ht="15.75" customHeight="1" x14ac:dyDescent="0.2">
      <c r="A278" s="375" t="s">
        <v>1435</v>
      </c>
      <c r="B278" s="344" t="s">
        <v>460</v>
      </c>
      <c r="C278" s="367">
        <f>Units!C371</f>
        <v>4.74</v>
      </c>
      <c r="E278" s="367"/>
      <c r="F278" s="172" t="s">
        <v>460</v>
      </c>
      <c r="G278" s="367">
        <f>C278</f>
        <v>4.74</v>
      </c>
      <c r="I278" s="367"/>
      <c r="K278" s="375" t="s">
        <v>432</v>
      </c>
      <c r="L278" s="349">
        <f ca="1">G364/1000000</f>
        <v>0.18326043901633934</v>
      </c>
      <c r="M278" s="349">
        <f>C364/1000000</f>
        <v>5.2556528460142922E-2</v>
      </c>
    </row>
    <row r="279" spans="1:13" ht="15.75" customHeight="1" x14ac:dyDescent="0.2">
      <c r="A279" s="375" t="s">
        <v>1436</v>
      </c>
      <c r="B279" s="344" t="s">
        <v>473</v>
      </c>
      <c r="C279" s="367">
        <f>Units!C379</f>
        <v>3.86</v>
      </c>
      <c r="E279" s="367"/>
      <c r="F279" s="172" t="s">
        <v>473</v>
      </c>
      <c r="G279" s="367">
        <f>C279</f>
        <v>3.86</v>
      </c>
      <c r="I279" s="367"/>
      <c r="K279" s="376" t="s">
        <v>431</v>
      </c>
      <c r="L279" s="357">
        <f ca="1">G365/1000000</f>
        <v>0.19495791384716951</v>
      </c>
      <c r="M279" s="357">
        <f>C365/1000000</f>
        <v>5.591120048951375E-2</v>
      </c>
    </row>
    <row r="280" spans="1:13" ht="15.75" customHeight="1" x14ac:dyDescent="0.2">
      <c r="A280" s="375" t="s">
        <v>1662</v>
      </c>
      <c r="B280" s="344" t="s">
        <v>461</v>
      </c>
      <c r="C280" s="446">
        <f>10^(C277-C278)</f>
        <v>1.8197008586099825</v>
      </c>
      <c r="E280" s="367"/>
      <c r="F280" s="172" t="s">
        <v>461</v>
      </c>
      <c r="G280" s="446">
        <f>10^(G277-G278)</f>
        <v>1.8197008586099825</v>
      </c>
      <c r="I280" s="367"/>
      <c r="L280" s="436"/>
    </row>
    <row r="281" spans="1:13" ht="15.75" customHeight="1" x14ac:dyDescent="0.2">
      <c r="A281" s="376" t="s">
        <v>1663</v>
      </c>
      <c r="B281" s="347" t="s">
        <v>461</v>
      </c>
      <c r="C281" s="464">
        <f>10^(C277-C279)</f>
        <v>13.803842646028857</v>
      </c>
      <c r="E281" s="367"/>
      <c r="F281" s="178" t="s">
        <v>461</v>
      </c>
      <c r="G281" s="464">
        <f>10^(G277-G279)</f>
        <v>13.803842646028857</v>
      </c>
      <c r="I281" s="367"/>
    </row>
    <row r="282" spans="1:13" ht="15.75" customHeight="1" x14ac:dyDescent="0.2">
      <c r="A282" s="375"/>
      <c r="E282" s="367"/>
      <c r="I282" s="367"/>
    </row>
    <row r="283" spans="1:13" ht="15.75" customHeight="1" x14ac:dyDescent="0.2">
      <c r="A283" s="387" t="s">
        <v>1437</v>
      </c>
      <c r="B283" s="342" t="s">
        <v>446</v>
      </c>
      <c r="C283" s="461">
        <f>E263-C292</f>
        <v>0</v>
      </c>
      <c r="D283" s="341" t="s">
        <v>373</v>
      </c>
      <c r="E283" s="471">
        <f>C283*Units!C357/Units!C$84</f>
        <v>0</v>
      </c>
      <c r="F283" s="342" t="s">
        <v>446</v>
      </c>
      <c r="G283" s="471">
        <f ca="1">I263-G292</f>
        <v>0.28356646258209028</v>
      </c>
      <c r="H283" s="342" t="s">
        <v>373</v>
      </c>
      <c r="I283" s="461">
        <f ca="1">G283*Units!C357/Units!C$84</f>
        <v>2.3040387588354014E-2</v>
      </c>
    </row>
    <row r="284" spans="1:13" ht="15.75" customHeight="1" x14ac:dyDescent="0.2">
      <c r="A284" s="375" t="s">
        <v>447</v>
      </c>
      <c r="B284" s="344" t="s">
        <v>446</v>
      </c>
      <c r="C284" s="446">
        <f>E264-C293</f>
        <v>82.30970960669535</v>
      </c>
      <c r="D284" s="172" t="s">
        <v>373</v>
      </c>
      <c r="E284" s="472">
        <f>C284*Units!C358/Units!C$84</f>
        <v>5.2886869262138001</v>
      </c>
      <c r="F284" s="344" t="s">
        <v>446</v>
      </c>
      <c r="G284" s="472">
        <f t="shared" ref="G284:G291" ca="1" si="12">I264-G293</f>
        <v>18.415294994280536</v>
      </c>
      <c r="H284" s="344" t="s">
        <v>373</v>
      </c>
      <c r="I284" s="446">
        <f ca="1">G284*Units!C358/Units!C$84</f>
        <v>1.1832471569150045</v>
      </c>
    </row>
    <row r="285" spans="1:13" ht="15.75" customHeight="1" x14ac:dyDescent="0.2">
      <c r="A285" s="375" t="s">
        <v>448</v>
      </c>
      <c r="B285" s="344" t="s">
        <v>446</v>
      </c>
      <c r="C285" s="446">
        <f t="shared" ref="C285:C291" si="13">E265-C294</f>
        <v>56.46231195041873</v>
      </c>
      <c r="D285" s="172" t="s">
        <v>373</v>
      </c>
      <c r="E285" s="472">
        <f>C285*Units!C359/Units!C$84</f>
        <v>6.315919384623399</v>
      </c>
      <c r="F285" s="344" t="s">
        <v>446</v>
      </c>
      <c r="G285" s="472">
        <f t="shared" ca="1" si="12"/>
        <v>0</v>
      </c>
      <c r="H285" s="344" t="s">
        <v>373</v>
      </c>
      <c r="I285" s="446">
        <f ca="1">G285*Units!C359/Units!C$84</f>
        <v>0</v>
      </c>
    </row>
    <row r="286" spans="1:13" ht="15.75" customHeight="1" x14ac:dyDescent="0.2">
      <c r="A286" s="375" t="s">
        <v>449</v>
      </c>
      <c r="B286" s="344" t="s">
        <v>446</v>
      </c>
      <c r="C286" s="446">
        <f>E266-C295</f>
        <v>143.89113377998251</v>
      </c>
      <c r="D286" s="172" t="s">
        <v>373</v>
      </c>
      <c r="E286" s="472">
        <f>C286*Units!C360/Units!C$84</f>
        <v>23.074410991184752</v>
      </c>
      <c r="F286" s="344" t="s">
        <v>446</v>
      </c>
      <c r="G286" s="472">
        <f t="shared" ca="1" si="12"/>
        <v>12.844112985035231</v>
      </c>
      <c r="H286" s="344" t="s">
        <v>373</v>
      </c>
      <c r="I286" s="446">
        <f ca="1">G286*Units!C360/Units!C$84</f>
        <v>2.0596845271028466</v>
      </c>
    </row>
    <row r="287" spans="1:13" ht="15.75" customHeight="1" x14ac:dyDescent="0.2">
      <c r="A287" s="375" t="s">
        <v>450</v>
      </c>
      <c r="B287" s="344" t="s">
        <v>446</v>
      </c>
      <c r="C287" s="446">
        <f t="shared" si="13"/>
        <v>0</v>
      </c>
      <c r="D287" s="172" t="s">
        <v>373</v>
      </c>
      <c r="E287" s="472">
        <f>C287*Units!C361/Units!C$84</f>
        <v>0</v>
      </c>
      <c r="F287" s="344" t="s">
        <v>446</v>
      </c>
      <c r="G287" s="472">
        <f t="shared" ca="1" si="12"/>
        <v>0.58900423321727113</v>
      </c>
      <c r="H287" s="344" t="s">
        <v>373</v>
      </c>
      <c r="I287" s="446">
        <f ca="1">G287*Units!C361/Units!C$84</f>
        <v>9.445283663956823E-2</v>
      </c>
      <c r="K287" s="472"/>
    </row>
    <row r="288" spans="1:13" ht="15.75" customHeight="1" x14ac:dyDescent="0.2">
      <c r="A288" s="375" t="s">
        <v>1438</v>
      </c>
      <c r="B288" s="344" t="s">
        <v>446</v>
      </c>
      <c r="C288" s="446">
        <f t="shared" si="13"/>
        <v>77.542507949720999</v>
      </c>
      <c r="D288" s="172" t="s">
        <v>373</v>
      </c>
      <c r="E288" s="472">
        <f>C288*Units!C362/Units!C$84</f>
        <v>16.155609327286214</v>
      </c>
      <c r="F288" s="344" t="s">
        <v>446</v>
      </c>
      <c r="G288" s="472">
        <f t="shared" ca="1" si="12"/>
        <v>6.5279149121017852</v>
      </c>
      <c r="H288" s="344" t="s">
        <v>373</v>
      </c>
      <c r="I288" s="446">
        <f ca="1">G288*Units!C362/Units!C$84</f>
        <v>1.3600597379448289</v>
      </c>
    </row>
    <row r="289" spans="1:13" ht="15.75" customHeight="1" x14ac:dyDescent="0.2">
      <c r="A289" s="375" t="s">
        <v>451</v>
      </c>
      <c r="B289" s="344" t="s">
        <v>446</v>
      </c>
      <c r="C289" s="446">
        <f t="shared" si="13"/>
        <v>7.3334097137124461</v>
      </c>
      <c r="D289" s="172" t="s">
        <v>373</v>
      </c>
      <c r="E289" s="472">
        <f>C289*Units!C363/Units!C$84</f>
        <v>1.5278807134853623</v>
      </c>
      <c r="F289" s="344" t="s">
        <v>446</v>
      </c>
      <c r="G289" s="472">
        <f t="shared" ca="1" si="12"/>
        <v>0</v>
      </c>
      <c r="H289" s="344" t="s">
        <v>373</v>
      </c>
      <c r="I289" s="446">
        <f ca="1">G289*Units!C363/Units!C$84</f>
        <v>0</v>
      </c>
    </row>
    <row r="290" spans="1:13" ht="15.75" customHeight="1" x14ac:dyDescent="0.2">
      <c r="A290" s="375" t="s">
        <v>452</v>
      </c>
      <c r="B290" s="344" t="s">
        <v>446</v>
      </c>
      <c r="C290" s="446">
        <f t="shared" si="13"/>
        <v>41.044849117747248</v>
      </c>
      <c r="D290" s="172" t="s">
        <v>373</v>
      </c>
      <c r="E290" s="472">
        <f>C290*Units!C364/Units!C$84</f>
        <v>10.53677097847372</v>
      </c>
      <c r="F290" s="344" t="s">
        <v>446</v>
      </c>
      <c r="G290" s="472">
        <f t="shared" ca="1" si="12"/>
        <v>2.0160406011984588</v>
      </c>
      <c r="H290" s="344" t="s">
        <v>373</v>
      </c>
      <c r="I290" s="446">
        <f ca="1">G290*Units!C364/Units!C$84</f>
        <v>0.51754504047982064</v>
      </c>
    </row>
    <row r="291" spans="1:13" ht="15.75" customHeight="1" x14ac:dyDescent="0.2">
      <c r="A291" s="376" t="s">
        <v>1439</v>
      </c>
      <c r="B291" s="347" t="s">
        <v>446</v>
      </c>
      <c r="C291" s="464">
        <f t="shared" si="13"/>
        <v>0</v>
      </c>
      <c r="D291" s="178" t="s">
        <v>373</v>
      </c>
      <c r="E291" s="416">
        <f>C291*Units!C365/Units!C$84</f>
        <v>0</v>
      </c>
      <c r="F291" s="347" t="s">
        <v>446</v>
      </c>
      <c r="G291" s="416">
        <f t="shared" ca="1" si="12"/>
        <v>0</v>
      </c>
      <c r="H291" s="344" t="s">
        <v>373</v>
      </c>
      <c r="I291" s="446">
        <f ca="1">G291*Units!C365/Units!C$84</f>
        <v>0</v>
      </c>
    </row>
    <row r="292" spans="1:13" ht="15.75" customHeight="1" x14ac:dyDescent="0.2">
      <c r="A292" s="316" t="s">
        <v>1440</v>
      </c>
      <c r="B292" s="342" t="s">
        <v>446</v>
      </c>
      <c r="C292" s="461">
        <f>E263/(C281+1)</f>
        <v>0</v>
      </c>
      <c r="D292" s="342" t="s">
        <v>373</v>
      </c>
      <c r="E292" s="461">
        <f>C292*Units!C357/Units!C$84</f>
        <v>0</v>
      </c>
      <c r="F292" s="344" t="s">
        <v>446</v>
      </c>
      <c r="G292" s="472">
        <f ca="1">I263/(G281+1)</f>
        <v>2.0542574256572521E-2</v>
      </c>
      <c r="H292" s="342" t="s">
        <v>373</v>
      </c>
      <c r="I292" s="461">
        <f ca="1">G292*Units!C357/Units!C$84</f>
        <v>1.6691285303069116E-3</v>
      </c>
      <c r="K292" s="436"/>
      <c r="M292" s="436"/>
    </row>
    <row r="293" spans="1:13" ht="15.75" customHeight="1" x14ac:dyDescent="0.2">
      <c r="A293" s="317" t="s">
        <v>453</v>
      </c>
      <c r="B293" s="344" t="s">
        <v>446</v>
      </c>
      <c r="C293" s="446">
        <f>E264/(C$280+1)</f>
        <v>45.23254974423071</v>
      </c>
      <c r="D293" s="344" t="s">
        <v>373</v>
      </c>
      <c r="E293" s="446">
        <f>C293*Units!C358/Units!C$84</f>
        <v>2.9063496349909279</v>
      </c>
      <c r="F293" s="344" t="s">
        <v>446</v>
      </c>
      <c r="G293" s="472">
        <f ca="1">I264/(G$280+1)</f>
        <v>10.11995730350287</v>
      </c>
      <c r="H293" s="344" t="s">
        <v>373</v>
      </c>
      <c r="I293" s="446">
        <f ca="1">G293*Units!C358/Units!C$84</f>
        <v>0.65024267660062174</v>
      </c>
    </row>
    <row r="294" spans="1:13" ht="15.75" customHeight="1" x14ac:dyDescent="0.2">
      <c r="A294" s="317" t="s">
        <v>454</v>
      </c>
      <c r="B294" s="344" t="s">
        <v>446</v>
      </c>
      <c r="C294" s="446">
        <f t="shared" ref="C294:C300" si="14">E265/(C$280+1)</f>
        <v>31.028348249254925</v>
      </c>
      <c r="D294" s="344" t="s">
        <v>373</v>
      </c>
      <c r="E294" s="446">
        <f>C294*Units!C359/Units!C$84</f>
        <v>3.4708558578402555</v>
      </c>
      <c r="F294" s="344" t="s">
        <v>446</v>
      </c>
      <c r="G294" s="472">
        <f t="shared" ref="G294:G300" ca="1" si="15">I265/(G$280+1)</f>
        <v>0</v>
      </c>
      <c r="H294" s="344" t="s">
        <v>373</v>
      </c>
      <c r="I294" s="446">
        <f ca="1">G294*Units!C359/Units!C$84</f>
        <v>0</v>
      </c>
    </row>
    <row r="295" spans="1:13" ht="15.75" customHeight="1" x14ac:dyDescent="0.2">
      <c r="A295" s="317" t="s">
        <v>455</v>
      </c>
      <c r="B295" s="344" t="s">
        <v>446</v>
      </c>
      <c r="C295" s="446">
        <f t="shared" si="14"/>
        <v>79.074059397816015</v>
      </c>
      <c r="D295" s="344" t="s">
        <v>373</v>
      </c>
      <c r="E295" s="446">
        <f>C295*Units!C360/Units!C$84</f>
        <v>12.680331979845656</v>
      </c>
      <c r="F295" s="344" t="s">
        <v>446</v>
      </c>
      <c r="G295" s="472">
        <f t="shared" ca="1" si="15"/>
        <v>7.058365073722328</v>
      </c>
      <c r="H295" s="344" t="s">
        <v>373</v>
      </c>
      <c r="I295" s="446">
        <f ca="1">G295*Units!C360/Units!C$84</f>
        <v>1.1318808348951273</v>
      </c>
    </row>
    <row r="296" spans="1:13" ht="15.75" customHeight="1" x14ac:dyDescent="0.2">
      <c r="A296" s="317" t="s">
        <v>456</v>
      </c>
      <c r="B296" s="344" t="s">
        <v>446</v>
      </c>
      <c r="C296" s="446">
        <f t="shared" si="14"/>
        <v>0</v>
      </c>
      <c r="D296" s="344" t="s">
        <v>373</v>
      </c>
      <c r="E296" s="446">
        <f>C296*Units!C361/Units!C$84</f>
        <v>0</v>
      </c>
      <c r="F296" s="344" t="s">
        <v>446</v>
      </c>
      <c r="G296" s="472">
        <f t="shared" ca="1" si="15"/>
        <v>0.32368190102805949</v>
      </c>
      <c r="H296" s="344" t="s">
        <v>373</v>
      </c>
      <c r="I296" s="446">
        <f ca="1">G296*Units!C361/Units!C$84</f>
        <v>5.1905694385239828E-2</v>
      </c>
    </row>
    <row r="297" spans="1:13" ht="15.75" customHeight="1" x14ac:dyDescent="0.2">
      <c r="A297" s="317" t="s">
        <v>1441</v>
      </c>
      <c r="B297" s="344" t="s">
        <v>446</v>
      </c>
      <c r="C297" s="446">
        <f t="shared" si="14"/>
        <v>42.612777579801509</v>
      </c>
      <c r="D297" s="344" t="s">
        <v>373</v>
      </c>
      <c r="E297" s="446">
        <f>C297*Units!C362/Units!C$84</f>
        <v>8.8781676674192624</v>
      </c>
      <c r="F297" s="344" t="s">
        <v>446</v>
      </c>
      <c r="G297" s="472">
        <f t="shared" ca="1" si="15"/>
        <v>3.5873560652646357</v>
      </c>
      <c r="H297" s="344" t="s">
        <v>373</v>
      </c>
      <c r="I297" s="446">
        <f ca="1">G297*Units!C362/Units!C$84</f>
        <v>0.74740841688877357</v>
      </c>
    </row>
    <row r="298" spans="1:13" ht="15.75" customHeight="1" x14ac:dyDescent="0.2">
      <c r="A298" s="317" t="s">
        <v>457</v>
      </c>
      <c r="B298" s="344" t="s">
        <v>446</v>
      </c>
      <c r="C298" s="446">
        <f t="shared" si="14"/>
        <v>4.030008382429533</v>
      </c>
      <c r="D298" s="344" t="s">
        <v>373</v>
      </c>
      <c r="E298" s="446">
        <f>C298*Units!C363/Units!C$84</f>
        <v>0.83963290243895761</v>
      </c>
      <c r="F298" s="344" t="s">
        <v>446</v>
      </c>
      <c r="G298" s="472">
        <f t="shared" ca="1" si="15"/>
        <v>0</v>
      </c>
      <c r="H298" s="344" t="s">
        <v>373</v>
      </c>
      <c r="I298" s="446">
        <f ca="1">G298*Units!C363/Units!C$84</f>
        <v>0</v>
      </c>
    </row>
    <row r="299" spans="1:13" ht="15.75" customHeight="1" x14ac:dyDescent="0.2">
      <c r="A299" s="317" t="s">
        <v>458</v>
      </c>
      <c r="B299" s="344" t="s">
        <v>446</v>
      </c>
      <c r="C299" s="446">
        <f t="shared" si="14"/>
        <v>22.555822251521189</v>
      </c>
      <c r="D299" s="344" t="s">
        <v>373</v>
      </c>
      <c r="E299" s="446">
        <f>C299*Units!C364/Units!C$84</f>
        <v>5.7903863311481087</v>
      </c>
      <c r="F299" s="344" t="s">
        <v>446</v>
      </c>
      <c r="G299" s="472">
        <f t="shared" ca="1" si="15"/>
        <v>1.1078967137150526</v>
      </c>
      <c r="H299" s="344" t="s">
        <v>373</v>
      </c>
      <c r="I299" s="446">
        <f ca="1">G299*Units!C364/Units!C$84</f>
        <v>0.28441215380596047</v>
      </c>
    </row>
    <row r="300" spans="1:13" ht="15.75" customHeight="1" x14ac:dyDescent="0.2">
      <c r="A300" s="318" t="s">
        <v>1442</v>
      </c>
      <c r="B300" s="347" t="s">
        <v>446</v>
      </c>
      <c r="C300" s="464">
        <f t="shared" si="14"/>
        <v>0</v>
      </c>
      <c r="D300" s="347" t="s">
        <v>373</v>
      </c>
      <c r="E300" s="464">
        <f>C300*Units!C365/Units!C$84</f>
        <v>0</v>
      </c>
      <c r="F300" s="347" t="s">
        <v>446</v>
      </c>
      <c r="G300" s="416">
        <f t="shared" ca="1" si="15"/>
        <v>0</v>
      </c>
      <c r="H300" s="347" t="s">
        <v>373</v>
      </c>
      <c r="I300" s="464">
        <f ca="1">G300*Units!C365/Units!C$84</f>
        <v>0</v>
      </c>
    </row>
    <row r="301" spans="1:13" ht="15.75" customHeight="1" x14ac:dyDescent="0.2">
      <c r="A301" s="375"/>
      <c r="E301" s="367"/>
    </row>
    <row r="302" spans="1:13" ht="15.75" customHeight="1" x14ac:dyDescent="0.2">
      <c r="A302" s="376"/>
      <c r="B302" s="248"/>
      <c r="C302" s="248"/>
      <c r="D302" s="248"/>
      <c r="E302" s="369"/>
    </row>
    <row r="303" spans="1:13" ht="15.75" customHeight="1" x14ac:dyDescent="0.2">
      <c r="A303" s="423" t="s">
        <v>1358</v>
      </c>
      <c r="B303" s="424"/>
      <c r="C303" s="424"/>
      <c r="D303" s="424"/>
      <c r="E303" s="425"/>
    </row>
    <row r="304" spans="1:13" ht="15.75" customHeight="1" x14ac:dyDescent="0.2">
      <c r="A304" s="373" t="s">
        <v>580</v>
      </c>
      <c r="B304" s="373" t="s">
        <v>372</v>
      </c>
      <c r="C304" s="373" t="s">
        <v>42</v>
      </c>
      <c r="D304" s="220"/>
      <c r="E304" s="366"/>
    </row>
    <row r="305" spans="1:13" ht="15.75" customHeight="1" x14ac:dyDescent="0.2">
      <c r="A305" s="387" t="s">
        <v>1349</v>
      </c>
      <c r="B305" s="342" t="s">
        <v>1353</v>
      </c>
      <c r="C305" s="461">
        <f>(Inputs!F$22*Inputs!F$14*Inputs!F$13)/C261</f>
        <v>340.36799999999999</v>
      </c>
      <c r="E305" s="367"/>
    </row>
    <row r="306" spans="1:13" ht="15.75" customHeight="1" x14ac:dyDescent="0.2">
      <c r="A306" s="376"/>
      <c r="B306" s="347" t="s">
        <v>1354</v>
      </c>
      <c r="C306" s="464">
        <f>C305*Units!C$84/Units!C$17</f>
        <v>324.16000000000003</v>
      </c>
      <c r="E306" s="367"/>
    </row>
    <row r="307" spans="1:13" ht="15.75" customHeight="1" x14ac:dyDescent="0.2">
      <c r="A307" s="316" t="s">
        <v>1350</v>
      </c>
      <c r="B307" s="342" t="s">
        <v>1353</v>
      </c>
      <c r="C307" s="461">
        <f ca="1">(Inputs!F$13*Inputs!F$15*Inputs!F$16*Inputs!F$43)/(G261*Inputs!F$16)</f>
        <v>140.4228</v>
      </c>
      <c r="E307" s="367"/>
    </row>
    <row r="308" spans="1:13" ht="15.75" customHeight="1" x14ac:dyDescent="0.2">
      <c r="A308" s="317"/>
      <c r="B308" s="344" t="s">
        <v>1355</v>
      </c>
      <c r="C308" s="446">
        <f ca="1">C307*Units!C$84/Units!C$17</f>
        <v>133.73599999999999</v>
      </c>
      <c r="E308" s="367"/>
    </row>
    <row r="309" spans="1:13" ht="15.75" customHeight="1" x14ac:dyDescent="0.2">
      <c r="A309" s="317"/>
      <c r="B309" s="344" t="s">
        <v>1356</v>
      </c>
      <c r="C309" s="446">
        <f ca="1">C308*Inputs!F$46*Units!C$81</f>
        <v>2.5811048000000003</v>
      </c>
      <c r="E309" s="367"/>
    </row>
    <row r="310" spans="1:13" ht="15.75" customHeight="1" x14ac:dyDescent="0.2">
      <c r="A310" s="318"/>
      <c r="B310" s="347" t="s">
        <v>1357</v>
      </c>
      <c r="C310" s="464">
        <f ca="1">C308-C309</f>
        <v>131.1548952</v>
      </c>
      <c r="E310" s="367"/>
    </row>
    <row r="311" spans="1:13" ht="15.75" customHeight="1" x14ac:dyDescent="0.2">
      <c r="A311" s="316" t="s">
        <v>1351</v>
      </c>
      <c r="B311" s="342" t="s">
        <v>1353</v>
      </c>
      <c r="C311" s="461">
        <f ca="1">(Inputs!F$13*Inputs!F$15*Inputs!F$17*Inputs!F$60)/(G261*Inputs!F$17)</f>
        <v>140.42279999999997</v>
      </c>
      <c r="E311" s="367"/>
    </row>
    <row r="312" spans="1:13" ht="15.75" customHeight="1" x14ac:dyDescent="0.2">
      <c r="A312" s="317"/>
      <c r="B312" s="344" t="s">
        <v>1355</v>
      </c>
      <c r="C312" s="446">
        <f ca="1">C311*Units!C$84/Units!C$17</f>
        <v>133.73599999999996</v>
      </c>
      <c r="E312" s="367"/>
    </row>
    <row r="313" spans="1:13" ht="15.75" customHeight="1" x14ac:dyDescent="0.2">
      <c r="A313" s="317"/>
      <c r="B313" s="344" t="s">
        <v>1356</v>
      </c>
      <c r="C313" s="446">
        <f ca="1">C312*Inputs!F$63*Units!C$81</f>
        <v>2.594478399999999</v>
      </c>
      <c r="E313" s="367"/>
    </row>
    <row r="314" spans="1:13" ht="15.75" customHeight="1" x14ac:dyDescent="0.2">
      <c r="A314" s="318"/>
      <c r="B314" s="347" t="s">
        <v>1357</v>
      </c>
      <c r="C314" s="464">
        <f ca="1">C312-C313</f>
        <v>131.14152159999998</v>
      </c>
      <c r="E314" s="367"/>
    </row>
    <row r="315" spans="1:13" ht="15.75" customHeight="1" x14ac:dyDescent="0.2">
      <c r="A315" s="439" t="s">
        <v>1392</v>
      </c>
      <c r="B315" s="433" t="s">
        <v>1353</v>
      </c>
      <c r="C315" s="484">
        <f ca="1">C305+C307+C311</f>
        <v>621.21359999999993</v>
      </c>
      <c r="D315" s="453"/>
      <c r="E315" s="367"/>
    </row>
    <row r="316" spans="1:13" ht="15.75" customHeight="1" x14ac:dyDescent="0.2">
      <c r="A316" s="375"/>
      <c r="E316" s="367"/>
      <c r="G316" s="485"/>
    </row>
    <row r="317" spans="1:13" ht="15.75" customHeight="1" x14ac:dyDescent="0.2">
      <c r="A317" s="375"/>
      <c r="E317" s="367"/>
    </row>
    <row r="318" spans="1:13" ht="15.75" customHeight="1" x14ac:dyDescent="0.2">
      <c r="A318" s="456" t="s">
        <v>476</v>
      </c>
      <c r="B318" s="457"/>
      <c r="C318" s="457"/>
      <c r="D318" s="457"/>
      <c r="E318" s="457"/>
      <c r="F318" s="457"/>
      <c r="G318" s="457"/>
      <c r="H318" s="457"/>
      <c r="I318" s="458"/>
    </row>
    <row r="319" spans="1:13" ht="15.75" customHeight="1" x14ac:dyDescent="0.2">
      <c r="A319" s="486"/>
      <c r="B319" s="1604" t="s">
        <v>1585</v>
      </c>
      <c r="C319" s="1537"/>
      <c r="D319" s="1537"/>
      <c r="E319" s="1537"/>
      <c r="F319" s="1559" t="s">
        <v>1584</v>
      </c>
      <c r="G319" s="1560"/>
      <c r="H319" s="1560"/>
      <c r="I319" s="1561"/>
      <c r="K319" s="208"/>
      <c r="L319" s="208"/>
      <c r="M319" s="208"/>
    </row>
    <row r="320" spans="1:13" ht="15.75" customHeight="1" x14ac:dyDescent="0.2">
      <c r="A320" s="373" t="s">
        <v>580</v>
      </c>
      <c r="B320" s="373" t="s">
        <v>372</v>
      </c>
      <c r="C320" s="301" t="s">
        <v>42</v>
      </c>
      <c r="D320" s="301" t="s">
        <v>372</v>
      </c>
      <c r="E320" s="301" t="s">
        <v>42</v>
      </c>
      <c r="F320" s="373" t="s">
        <v>372</v>
      </c>
      <c r="G320" s="301" t="s">
        <v>42</v>
      </c>
      <c r="H320" s="301" t="s">
        <v>372</v>
      </c>
      <c r="I320" s="301" t="s">
        <v>42</v>
      </c>
      <c r="K320" s="208"/>
      <c r="L320" s="208"/>
      <c r="M320" s="208"/>
    </row>
    <row r="321" spans="1:9" ht="15.75" customHeight="1" x14ac:dyDescent="0.2">
      <c r="A321" s="316" t="s">
        <v>1359</v>
      </c>
      <c r="B321" s="342" t="s">
        <v>1360</v>
      </c>
      <c r="C321" s="461">
        <f>(C306*Inputs!F$34)</f>
        <v>4.21408</v>
      </c>
      <c r="D321" s="220"/>
      <c r="E321" s="366"/>
      <c r="F321" s="342" t="s">
        <v>1360</v>
      </c>
      <c r="G321" s="461">
        <f ca="1">((((C310*Inputs!D$51*Units!C$81)+(C314*Inputs!F$68*Units!C$81))*G242)+(C377*C378))/(G242+C378)</f>
        <v>4.9834981831999992</v>
      </c>
      <c r="I321" s="367"/>
    </row>
    <row r="322" spans="1:9" ht="15.75" customHeight="1" x14ac:dyDescent="0.2">
      <c r="A322" s="317" t="s">
        <v>1361</v>
      </c>
      <c r="B322" s="344" t="s">
        <v>302</v>
      </c>
      <c r="C322" s="446">
        <f>C321*0.7</f>
        <v>2.949856</v>
      </c>
      <c r="E322" s="367"/>
      <c r="F322" s="344" t="s">
        <v>302</v>
      </c>
      <c r="G322" s="446">
        <f ca="1">G321*0.7</f>
        <v>3.4884487282399994</v>
      </c>
      <c r="I322" s="367"/>
    </row>
    <row r="323" spans="1:9" ht="15.75" customHeight="1" x14ac:dyDescent="0.2">
      <c r="A323" s="317" t="s">
        <v>1434</v>
      </c>
      <c r="B323" s="344" t="s">
        <v>374</v>
      </c>
      <c r="C323" s="367">
        <f>C$196</f>
        <v>5</v>
      </c>
      <c r="E323" s="367"/>
      <c r="F323" s="344" t="s">
        <v>374</v>
      </c>
      <c r="G323" s="367">
        <f>Inputs!F$176</f>
        <v>5</v>
      </c>
      <c r="I323" s="367"/>
    </row>
    <row r="324" spans="1:9" ht="15.75" customHeight="1" x14ac:dyDescent="0.2">
      <c r="A324" s="317" t="s">
        <v>1661</v>
      </c>
      <c r="B324" s="375"/>
      <c r="C324" s="367"/>
      <c r="E324" s="367"/>
      <c r="F324" s="375"/>
      <c r="G324" s="367"/>
      <c r="I324" s="367"/>
    </row>
    <row r="325" spans="1:9" ht="15.75" customHeight="1" x14ac:dyDescent="0.2">
      <c r="A325" s="317" t="s">
        <v>1406</v>
      </c>
      <c r="B325" s="344" t="s">
        <v>1394</v>
      </c>
      <c r="C325" s="438">
        <f>10^(C$323-Units!C375)</f>
        <v>724.43596007499025</v>
      </c>
      <c r="E325" s="367"/>
      <c r="F325" s="344" t="s">
        <v>1394</v>
      </c>
      <c r="G325" s="438">
        <f>10^(G$323-Units!C375)</f>
        <v>724.43596007499025</v>
      </c>
      <c r="I325" s="367"/>
    </row>
    <row r="326" spans="1:9" ht="15.75" customHeight="1" x14ac:dyDescent="0.2">
      <c r="A326" s="317" t="s">
        <v>1407</v>
      </c>
      <c r="B326" s="344" t="s">
        <v>1394</v>
      </c>
      <c r="C326" s="438">
        <f>10^(C$323-Units!C376)</f>
        <v>6.1659500186148197E-3</v>
      </c>
      <c r="E326" s="367"/>
      <c r="F326" s="344" t="s">
        <v>1394</v>
      </c>
      <c r="G326" s="438">
        <f>10^(G$323-Units!C376)</f>
        <v>6.1659500186148197E-3</v>
      </c>
      <c r="I326" s="367"/>
    </row>
    <row r="327" spans="1:9" ht="15.75" customHeight="1" x14ac:dyDescent="0.2">
      <c r="A327" s="317" t="s">
        <v>1408</v>
      </c>
      <c r="B327" s="347" t="s">
        <v>1394</v>
      </c>
      <c r="C327" s="487">
        <f>10^(C$323-Units!C377)</f>
        <v>2.0892961308540368E-8</v>
      </c>
      <c r="D327" s="172"/>
      <c r="E327" s="367"/>
      <c r="F327" s="347" t="s">
        <v>1394</v>
      </c>
      <c r="G327" s="487">
        <f>10^(G$323-Units!C377)</f>
        <v>2.0892961308540368E-8</v>
      </c>
      <c r="I327" s="367"/>
    </row>
    <row r="328" spans="1:9" ht="15.75" customHeight="1" x14ac:dyDescent="0.2">
      <c r="A328" s="316" t="s">
        <v>474</v>
      </c>
      <c r="B328" s="342" t="s">
        <v>376</v>
      </c>
      <c r="C328" s="426">
        <f>C329*C327</f>
        <v>3.8889319816985841E-12</v>
      </c>
      <c r="D328" s="342" t="s">
        <v>435</v>
      </c>
      <c r="E328" s="426">
        <f>C328*Units!$C127</f>
        <v>3.6933187030191453E-10</v>
      </c>
      <c r="F328" s="342" t="s">
        <v>376</v>
      </c>
      <c r="G328" s="426">
        <f ca="1">G329*G327</f>
        <v>4.598983755738683E-12</v>
      </c>
      <c r="H328" s="342" t="s">
        <v>435</v>
      </c>
      <c r="I328" s="426">
        <f ca="1">G328*Units!$C127</f>
        <v>4.3676548728250272E-10</v>
      </c>
    </row>
    <row r="329" spans="1:9" ht="15.75" customHeight="1" x14ac:dyDescent="0.2">
      <c r="A329" s="317" t="s">
        <v>475</v>
      </c>
      <c r="B329" s="344" t="s">
        <v>376</v>
      </c>
      <c r="C329" s="438">
        <f>C330*C326</f>
        <v>1.8613598734368566E-4</v>
      </c>
      <c r="D329" s="344" t="s">
        <v>435</v>
      </c>
      <c r="E329" s="438">
        <f>C329*Units!$C125</f>
        <v>1.805332941246407E-2</v>
      </c>
      <c r="F329" s="344" t="s">
        <v>376</v>
      </c>
      <c r="G329" s="438">
        <f ca="1">G330*G326</f>
        <v>2.2012120195995225E-4</v>
      </c>
      <c r="H329" s="344" t="s">
        <v>435</v>
      </c>
      <c r="I329" s="438">
        <f ca="1">G329*Units!$C125</f>
        <v>2.1349555378095769E-2</v>
      </c>
    </row>
    <row r="330" spans="1:9" ht="15.75" customHeight="1" x14ac:dyDescent="0.2">
      <c r="A330" s="317" t="s">
        <v>425</v>
      </c>
      <c r="B330" s="344" t="s">
        <v>376</v>
      </c>
      <c r="C330" s="438">
        <f>C331*C325</f>
        <v>3.018772237558635E-2</v>
      </c>
      <c r="D330" s="344" t="s">
        <v>435</v>
      </c>
      <c r="E330" s="438">
        <f>Units!$C$124*C330</f>
        <v>2.9582156664732087</v>
      </c>
      <c r="F330" s="344" t="s">
        <v>376</v>
      </c>
      <c r="G330" s="438">
        <f ca="1">G331*G325</f>
        <v>3.5699478798143496E-2</v>
      </c>
      <c r="H330" s="344" t="s">
        <v>435</v>
      </c>
      <c r="I330" s="438">
        <f ca="1">Units!$C$124*G330</f>
        <v>3.4983347253452739</v>
      </c>
    </row>
    <row r="331" spans="1:9" ht="15.75" customHeight="1" x14ac:dyDescent="0.2">
      <c r="A331" s="318" t="s">
        <v>424</v>
      </c>
      <c r="B331" s="347" t="s">
        <v>376</v>
      </c>
      <c r="C331" s="487">
        <f>C322/((C325*C326*C327*Units!C127)+(C326*C325*Units!C126)+(C325*Units!C125)+(Units!C124))</f>
        <v>4.1670656951459804E-5</v>
      </c>
      <c r="D331" s="347" t="s">
        <v>435</v>
      </c>
      <c r="E331" s="487">
        <f>Units!$C$125*C331</f>
        <v>4.0416370177220858E-3</v>
      </c>
      <c r="F331" s="347" t="s">
        <v>376</v>
      </c>
      <c r="G331" s="487">
        <f ca="1">G322/((G325*G326*G327*Units!C127)+(G326*G325*Units!C126)+(G325*Units!C125)+(Units!C124))</f>
        <v>4.9278998787481572E-5</v>
      </c>
      <c r="H331" s="347" t="s">
        <v>435</v>
      </c>
      <c r="I331" s="487">
        <f ca="1">Units!$C$125*G331</f>
        <v>4.7795700923978371E-3</v>
      </c>
    </row>
    <row r="332" spans="1:9" ht="15.75" customHeight="1" x14ac:dyDescent="0.2">
      <c r="A332" s="375"/>
      <c r="E332" s="367"/>
      <c r="I332" s="367"/>
    </row>
    <row r="333" spans="1:9" ht="15.75" customHeight="1" x14ac:dyDescent="0.2">
      <c r="A333" s="376"/>
      <c r="B333" s="248"/>
      <c r="C333" s="248"/>
      <c r="D333" s="248"/>
      <c r="E333" s="369"/>
      <c r="F333" s="248"/>
      <c r="G333" s="248"/>
      <c r="H333" s="248"/>
      <c r="I333" s="369"/>
    </row>
    <row r="334" spans="1:9" ht="15.75" customHeight="1" x14ac:dyDescent="0.2">
      <c r="A334" s="456" t="s">
        <v>477</v>
      </c>
      <c r="B334" s="457"/>
      <c r="C334" s="457"/>
      <c r="D334" s="457"/>
      <c r="E334" s="457"/>
      <c r="F334" s="457"/>
      <c r="G334" s="457"/>
      <c r="H334" s="457"/>
      <c r="I334" s="458"/>
    </row>
    <row r="335" spans="1:9" ht="15.75" customHeight="1" x14ac:dyDescent="0.2">
      <c r="A335" s="414"/>
      <c r="B335" s="1529" t="s">
        <v>1585</v>
      </c>
      <c r="C335" s="1529"/>
      <c r="D335" s="1529"/>
      <c r="E335" s="1529"/>
      <c r="F335" s="1527" t="s">
        <v>1584</v>
      </c>
      <c r="G335" s="1527"/>
      <c r="H335" s="1527"/>
      <c r="I335" s="1528"/>
    </row>
    <row r="336" spans="1:9" ht="15.75" customHeight="1" x14ac:dyDescent="0.2">
      <c r="A336" s="373" t="s">
        <v>580</v>
      </c>
      <c r="B336" s="373" t="s">
        <v>372</v>
      </c>
      <c r="C336" s="373" t="s">
        <v>42</v>
      </c>
      <c r="D336" s="373" t="s">
        <v>372</v>
      </c>
      <c r="E336" s="373" t="s">
        <v>42</v>
      </c>
      <c r="F336" s="373" t="s">
        <v>372</v>
      </c>
      <c r="G336" s="373" t="s">
        <v>42</v>
      </c>
      <c r="H336" s="373" t="s">
        <v>372</v>
      </c>
      <c r="I336" s="373" t="s">
        <v>42</v>
      </c>
    </row>
    <row r="337" spans="1:11" ht="15.75" customHeight="1" x14ac:dyDescent="0.2">
      <c r="A337" s="316" t="s">
        <v>1365</v>
      </c>
      <c r="B337" s="342" t="s">
        <v>1362</v>
      </c>
      <c r="C337" s="366"/>
      <c r="E337" s="367"/>
      <c r="F337" s="342" t="s">
        <v>1362</v>
      </c>
      <c r="G337" s="366">
        <f ca="1">(C310*Inputs!F$55*Units!C$81)+(C314*Inputs!F$72*Units!C$81)</f>
        <v>1.0360661655999999</v>
      </c>
      <c r="I337" s="367"/>
    </row>
    <row r="338" spans="1:11" ht="15.75" customHeight="1" x14ac:dyDescent="0.2">
      <c r="A338" s="317" t="s">
        <v>1434</v>
      </c>
      <c r="B338" s="344" t="s">
        <v>374</v>
      </c>
      <c r="C338" s="367">
        <f>C$196</f>
        <v>5</v>
      </c>
      <c r="E338" s="367"/>
      <c r="F338" s="344" t="s">
        <v>374</v>
      </c>
      <c r="G338" s="367">
        <f>Inputs!F$176</f>
        <v>5</v>
      </c>
      <c r="I338" s="367"/>
    </row>
    <row r="339" spans="1:11" ht="15.75" customHeight="1" x14ac:dyDescent="0.2">
      <c r="A339" s="317" t="s">
        <v>1661</v>
      </c>
      <c r="B339" s="344"/>
      <c r="C339" s="367"/>
      <c r="E339" s="367"/>
      <c r="F339" s="344"/>
      <c r="G339" s="367"/>
      <c r="I339" s="367"/>
    </row>
    <row r="340" spans="1:11" ht="15.75" customHeight="1" x14ac:dyDescent="0.2">
      <c r="A340" s="317" t="s">
        <v>1480</v>
      </c>
      <c r="B340" s="344" t="s">
        <v>1394</v>
      </c>
      <c r="C340" s="367"/>
      <c r="E340" s="367"/>
      <c r="F340" s="344" t="s">
        <v>1394</v>
      </c>
      <c r="G340" s="438">
        <f>10^(G$338-Units!$C$373)</f>
        <v>100000000</v>
      </c>
      <c r="I340" s="367"/>
    </row>
    <row r="341" spans="1:11" ht="15.75" customHeight="1" x14ac:dyDescent="0.2">
      <c r="A341" s="318" t="s">
        <v>479</v>
      </c>
      <c r="B341" s="347" t="s">
        <v>1394</v>
      </c>
      <c r="C341" s="369"/>
      <c r="E341" s="367"/>
      <c r="F341" s="347" t="s">
        <v>1394</v>
      </c>
      <c r="G341" s="487">
        <f>10^(G$338-Units!$C$374)</f>
        <v>1202.2644346174138</v>
      </c>
      <c r="I341" s="367"/>
    </row>
    <row r="342" spans="1:11" ht="15.75" customHeight="1" x14ac:dyDescent="0.2">
      <c r="A342" s="316" t="s">
        <v>480</v>
      </c>
      <c r="B342" s="342" t="s">
        <v>376</v>
      </c>
      <c r="C342" s="426">
        <f>C343*G341</f>
        <v>0</v>
      </c>
      <c r="D342" s="342" t="s">
        <v>435</v>
      </c>
      <c r="E342" s="461">
        <f>C342*Units!$C$130</f>
        <v>0</v>
      </c>
      <c r="F342" s="342" t="s">
        <v>376</v>
      </c>
      <c r="G342" s="426">
        <f ca="1">G343*G341</f>
        <v>1.0776557646803001E-2</v>
      </c>
      <c r="H342" s="342" t="s">
        <v>435</v>
      </c>
      <c r="I342" s="461">
        <f ca="1">G342*Units!$C$130</f>
        <v>1.0351961275518964</v>
      </c>
    </row>
    <row r="343" spans="1:11" ht="15.75" customHeight="1" x14ac:dyDescent="0.2">
      <c r="A343" s="317" t="s">
        <v>430</v>
      </c>
      <c r="B343" s="344" t="s">
        <v>376</v>
      </c>
      <c r="C343" s="438">
        <f>C344*G340</f>
        <v>0</v>
      </c>
      <c r="D343" s="344" t="s">
        <v>435</v>
      </c>
      <c r="E343" s="446">
        <f>C343*Units!$C$129</f>
        <v>0</v>
      </c>
      <c r="F343" s="344" t="s">
        <v>376</v>
      </c>
      <c r="G343" s="438">
        <f ca="1">G344*G340</f>
        <v>8.9635502278101836E-6</v>
      </c>
      <c r="H343" s="344" t="s">
        <v>435</v>
      </c>
      <c r="I343" s="446">
        <f ca="1">G343*Units!$C$129</f>
        <v>8.7003803931216762E-4</v>
      </c>
    </row>
    <row r="344" spans="1:11" ht="15.75" customHeight="1" x14ac:dyDescent="0.2">
      <c r="A344" s="318" t="s">
        <v>428</v>
      </c>
      <c r="B344" s="347" t="s">
        <v>376</v>
      </c>
      <c r="C344" s="487"/>
      <c r="D344" s="347" t="s">
        <v>435</v>
      </c>
      <c r="E344" s="464">
        <f>C344*Units!$C$128</f>
        <v>0</v>
      </c>
      <c r="F344" s="347" t="s">
        <v>376</v>
      </c>
      <c r="G344" s="487">
        <f ca="1">G337/((G340*G341*Units!C130)+(G340*Units!C129)+(Units!C128))</f>
        <v>8.9635502278101842E-14</v>
      </c>
      <c r="H344" s="347" t="s">
        <v>435</v>
      </c>
      <c r="I344" s="464">
        <f ca="1">G344*Units!$C$128</f>
        <v>8.7913604279339503E-12</v>
      </c>
    </row>
    <row r="345" spans="1:11" ht="15.75" customHeight="1" x14ac:dyDescent="0.2">
      <c r="A345" s="376"/>
      <c r="B345" s="248"/>
      <c r="C345" s="248"/>
      <c r="D345" s="248"/>
      <c r="E345" s="369"/>
      <c r="F345" s="248"/>
      <c r="G345" s="248"/>
      <c r="H345" s="248"/>
      <c r="I345" s="369"/>
    </row>
    <row r="346" spans="1:11" ht="15.75" customHeight="1" x14ac:dyDescent="0.2">
      <c r="A346" s="488" t="s">
        <v>1010</v>
      </c>
      <c r="B346" s="489"/>
      <c r="C346" s="489"/>
      <c r="D346" s="489"/>
      <c r="E346" s="489"/>
      <c r="F346" s="457"/>
      <c r="G346" s="457"/>
      <c r="H346" s="457"/>
      <c r="I346" s="458"/>
    </row>
    <row r="347" spans="1:11" ht="15.75" customHeight="1" x14ac:dyDescent="0.2">
      <c r="A347" s="390"/>
      <c r="B347" s="1529" t="s">
        <v>1585</v>
      </c>
      <c r="C347" s="1529"/>
      <c r="D347" s="1529"/>
      <c r="E347" s="1529"/>
      <c r="F347" s="1527" t="s">
        <v>1584</v>
      </c>
      <c r="G347" s="1527"/>
      <c r="H347" s="1527"/>
      <c r="I347" s="1528"/>
    </row>
    <row r="348" spans="1:11" ht="15.75" customHeight="1" x14ac:dyDescent="0.2">
      <c r="A348" s="373" t="s">
        <v>580</v>
      </c>
      <c r="B348" s="373" t="s">
        <v>372</v>
      </c>
      <c r="C348" s="373" t="s">
        <v>42</v>
      </c>
      <c r="D348" s="373" t="s">
        <v>372</v>
      </c>
      <c r="E348" s="373" t="s">
        <v>42</v>
      </c>
      <c r="F348" s="373" t="s">
        <v>372</v>
      </c>
      <c r="G348" s="373" t="s">
        <v>42</v>
      </c>
      <c r="H348" s="373" t="s">
        <v>372</v>
      </c>
      <c r="I348" s="373" t="s">
        <v>42</v>
      </c>
    </row>
    <row r="349" spans="1:11" ht="15.75" customHeight="1" x14ac:dyDescent="0.2">
      <c r="A349" s="316" t="s">
        <v>1366</v>
      </c>
      <c r="B349" s="342" t="s">
        <v>302</v>
      </c>
      <c r="C349" s="461">
        <f>(C$306*Inputs!F$30*Inputs!F$33)/Inputs!F$38</f>
        <v>0.54026666666666678</v>
      </c>
      <c r="E349" s="367"/>
      <c r="F349" s="342" t="s">
        <v>302</v>
      </c>
      <c r="G349" s="399">
        <f ca="1">(C310*Inputs!F50*Units!C81)+(C314*Inputs!F67*Units!C81)</f>
        <v>7.0295506570399997</v>
      </c>
      <c r="I349" s="367"/>
    </row>
    <row r="350" spans="1:11" ht="15.75" customHeight="1" x14ac:dyDescent="0.2">
      <c r="A350" s="429" t="s">
        <v>1367</v>
      </c>
      <c r="B350" s="490" t="s">
        <v>302</v>
      </c>
      <c r="C350" s="491">
        <f>C349</f>
        <v>0.54026666666666678</v>
      </c>
      <c r="E350" s="367"/>
      <c r="F350" s="490" t="s">
        <v>302</v>
      </c>
      <c r="G350" s="492">
        <f ca="1">G349</f>
        <v>7.0295506570399997</v>
      </c>
      <c r="H350" s="485"/>
      <c r="I350" s="367"/>
      <c r="K350" s="436"/>
    </row>
    <row r="351" spans="1:11" ht="15.75" customHeight="1" x14ac:dyDescent="0.2">
      <c r="A351" s="317" t="s">
        <v>1434</v>
      </c>
      <c r="B351" s="344" t="s">
        <v>374</v>
      </c>
      <c r="C351" s="367">
        <f>C$196</f>
        <v>5</v>
      </c>
      <c r="E351" s="367"/>
      <c r="F351" s="344" t="s">
        <v>374</v>
      </c>
      <c r="G351" s="367">
        <f>Inputs!F$176</f>
        <v>5</v>
      </c>
      <c r="I351" s="367"/>
    </row>
    <row r="352" spans="1:11" ht="15.75" customHeight="1" x14ac:dyDescent="0.2">
      <c r="A352" s="317" t="s">
        <v>1661</v>
      </c>
      <c r="B352" s="344"/>
      <c r="C352" s="446"/>
      <c r="E352" s="367"/>
      <c r="F352" s="344"/>
      <c r="G352" s="367"/>
      <c r="I352" s="367"/>
    </row>
    <row r="353" spans="1:9" ht="15.75" customHeight="1" x14ac:dyDescent="0.2">
      <c r="A353" s="318" t="s">
        <v>1368</v>
      </c>
      <c r="B353" s="347" t="s">
        <v>1394</v>
      </c>
      <c r="C353" s="487">
        <f>10^(C351-Units!C$378)</f>
        <v>5.4954087385762447E-5</v>
      </c>
      <c r="E353" s="367"/>
      <c r="F353" s="347" t="s">
        <v>1394</v>
      </c>
      <c r="G353" s="369">
        <f>10^(G351-Units!C$378)</f>
        <v>5.4954087385762447E-5</v>
      </c>
      <c r="I353" s="367"/>
    </row>
    <row r="354" spans="1:9" ht="15.75" customHeight="1" x14ac:dyDescent="0.2">
      <c r="A354" s="316" t="s">
        <v>1369</v>
      </c>
      <c r="B354" s="342" t="s">
        <v>376</v>
      </c>
      <c r="C354" s="461">
        <f>C355*C353</f>
        <v>1.6456940891664695E-6</v>
      </c>
      <c r="D354" s="342" t="s">
        <v>373</v>
      </c>
      <c r="E354" s="461">
        <f>C354*Units!C$121</f>
        <v>2.802781603259414E-5</v>
      </c>
      <c r="F354" s="342" t="s">
        <v>376</v>
      </c>
      <c r="G354" s="461">
        <f ca="1">G355*G353</f>
        <v>2.2681070597884474E-5</v>
      </c>
      <c r="H354" s="342" t="s">
        <v>373</v>
      </c>
      <c r="I354" s="461">
        <f ca="1">G354*Units!$C$121</f>
        <v>3.8628131335257044E-4</v>
      </c>
    </row>
    <row r="355" spans="1:9" ht="15.75" customHeight="1" x14ac:dyDescent="0.2">
      <c r="A355" s="318" t="s">
        <v>1370</v>
      </c>
      <c r="B355" s="347" t="s">
        <v>376</v>
      </c>
      <c r="C355" s="464">
        <f>C350/((C353*Units!C121)+Units!C122)</f>
        <v>2.9946709470655995E-2</v>
      </c>
      <c r="D355" s="347" t="s">
        <v>373</v>
      </c>
      <c r="E355" s="464">
        <f>C355*Units!C$122</f>
        <v>0.54023863885063417</v>
      </c>
      <c r="F355" s="347" t="s">
        <v>376</v>
      </c>
      <c r="G355" s="464">
        <f ca="1">G350/((G353*Units!C$121)+Units!C$121)</f>
        <v>0.41272763641164034</v>
      </c>
      <c r="H355" s="347" t="s">
        <v>373</v>
      </c>
      <c r="I355" s="464">
        <f ca="1">G355*Units!$C$122</f>
        <v>7.4456065608659916</v>
      </c>
    </row>
    <row r="356" spans="1:9" ht="15.75" customHeight="1" x14ac:dyDescent="0.2">
      <c r="A356" s="375"/>
      <c r="E356" s="367"/>
      <c r="I356" s="367"/>
    </row>
    <row r="357" spans="1:9" ht="15.75" customHeight="1" x14ac:dyDescent="0.2">
      <c r="A357" s="375"/>
      <c r="E357" s="367"/>
      <c r="I357" s="367"/>
    </row>
    <row r="358" spans="1:9" ht="15.75" customHeight="1" x14ac:dyDescent="0.2">
      <c r="A358" s="456" t="s">
        <v>617</v>
      </c>
      <c r="B358" s="457"/>
      <c r="C358" s="457"/>
      <c r="D358" s="457"/>
      <c r="E358" s="457"/>
      <c r="F358" s="457"/>
      <c r="G358" s="457"/>
      <c r="H358" s="457"/>
      <c r="I358" s="458"/>
    </row>
    <row r="359" spans="1:9" ht="15.75" customHeight="1" x14ac:dyDescent="0.2">
      <c r="A359" s="414"/>
      <c r="B359" s="1529" t="s">
        <v>1585</v>
      </c>
      <c r="C359" s="1529"/>
      <c r="D359" s="1529"/>
      <c r="E359" s="1529"/>
      <c r="F359" s="1527" t="s">
        <v>1584</v>
      </c>
      <c r="G359" s="1527"/>
      <c r="H359" s="1527"/>
      <c r="I359" s="1528"/>
    </row>
    <row r="360" spans="1:9" ht="15.75" customHeight="1" x14ac:dyDescent="0.2">
      <c r="A360" s="373" t="s">
        <v>580</v>
      </c>
      <c r="B360" s="373" t="s">
        <v>372</v>
      </c>
      <c r="C360" s="373" t="s">
        <v>42</v>
      </c>
      <c r="D360" s="373" t="s">
        <v>372</v>
      </c>
      <c r="E360" s="373" t="s">
        <v>42</v>
      </c>
      <c r="F360" s="373" t="s">
        <v>372</v>
      </c>
      <c r="G360" s="373" t="s">
        <v>42</v>
      </c>
      <c r="H360" s="373" t="s">
        <v>372</v>
      </c>
      <c r="I360" s="373" t="s">
        <v>42</v>
      </c>
    </row>
    <row r="361" spans="1:9" s="385" customFormat="1" ht="15.75" customHeight="1" x14ac:dyDescent="0.2">
      <c r="A361" s="371" t="s">
        <v>617</v>
      </c>
      <c r="B361" s="400" t="s">
        <v>1581</v>
      </c>
      <c r="C361" s="493">
        <f>(C218*C261)/(C197*Inputs!F$13*Inputs!F$14)</f>
        <v>0.22590361445783133</v>
      </c>
      <c r="E361" s="386"/>
      <c r="F361" s="400" t="s">
        <v>1581</v>
      </c>
      <c r="G361" s="493">
        <f ca="1">(C218*G261)/(C197*Inputs!F13*Inputs!F15)</f>
        <v>0.3094570061066183</v>
      </c>
      <c r="I361" s="386"/>
    </row>
    <row r="362" spans="1:9" s="385" customFormat="1" ht="15.75" customHeight="1" x14ac:dyDescent="0.2">
      <c r="A362" s="354"/>
      <c r="B362" s="402" t="s">
        <v>1606</v>
      </c>
      <c r="C362" s="403">
        <f>C361*C233*Inputs!F$13*Inputs!F$14</f>
        <v>111822.4009790275</v>
      </c>
      <c r="E362" s="386"/>
      <c r="F362" s="402" t="s">
        <v>1607</v>
      </c>
      <c r="G362" s="469">
        <f ca="1">G361*C232*Inputs!F$13*Inputs!F$15</f>
        <v>389915.82769433904</v>
      </c>
      <c r="I362" s="386"/>
    </row>
    <row r="363" spans="1:9" s="385" customFormat="1" ht="15.75" customHeight="1" x14ac:dyDescent="0.2">
      <c r="A363" s="354" t="s">
        <v>1007</v>
      </c>
      <c r="B363" s="400" t="s">
        <v>391</v>
      </c>
      <c r="C363" s="401">
        <f>C362*C220</f>
        <v>3354.6720293708249</v>
      </c>
      <c r="D363" s="400" t="s">
        <v>1371</v>
      </c>
      <c r="E363" s="401">
        <f>C363/C261</f>
        <v>1127.1698018685972</v>
      </c>
      <c r="F363" s="400" t="s">
        <v>391</v>
      </c>
      <c r="G363" s="467">
        <f ca="1">G362*C220</f>
        <v>11697.474830830171</v>
      </c>
      <c r="H363" s="400" t="s">
        <v>1371</v>
      </c>
      <c r="I363" s="467">
        <f ca="1">G363/G$261</f>
        <v>318.79518072289159</v>
      </c>
    </row>
    <row r="364" spans="1:9" s="385" customFormat="1" ht="15.75" customHeight="1" x14ac:dyDescent="0.2">
      <c r="A364" s="354" t="s">
        <v>1008</v>
      </c>
      <c r="B364" s="402" t="s">
        <v>391</v>
      </c>
      <c r="C364" s="403">
        <f>C362*C221</f>
        <v>52556.528460142923</v>
      </c>
      <c r="D364" s="402" t="s">
        <v>1371</v>
      </c>
      <c r="E364" s="403">
        <f>C364/C261</f>
        <v>17658.993562608022</v>
      </c>
      <c r="F364" s="402" t="s">
        <v>391</v>
      </c>
      <c r="G364" s="469">
        <f ca="1">G362*C221</f>
        <v>183260.43901633934</v>
      </c>
      <c r="H364" s="402" t="s">
        <v>1371</v>
      </c>
      <c r="I364" s="469">
        <f ca="1">G364/G$261</f>
        <v>4994.4578313253014</v>
      </c>
    </row>
    <row r="365" spans="1:9" s="385" customFormat="1" ht="15.75" customHeight="1" x14ac:dyDescent="0.2">
      <c r="A365" s="355" t="s">
        <v>1009</v>
      </c>
      <c r="B365" s="494" t="s">
        <v>391</v>
      </c>
      <c r="C365" s="405">
        <f>C362*C219</f>
        <v>55911.200489513751</v>
      </c>
      <c r="D365" s="494" t="s">
        <v>1371</v>
      </c>
      <c r="E365" s="405">
        <f>C365/C261</f>
        <v>18786.163364476619</v>
      </c>
      <c r="F365" s="494" t="s">
        <v>391</v>
      </c>
      <c r="G365" s="474">
        <f ca="1">C219*G362</f>
        <v>194957.91384716952</v>
      </c>
      <c r="H365" s="494" t="s">
        <v>1371</v>
      </c>
      <c r="I365" s="474">
        <f ca="1">G365/G$261</f>
        <v>5313.2530120481933</v>
      </c>
    </row>
    <row r="366" spans="1:9" s="385" customFormat="1" ht="15.75" customHeight="1" x14ac:dyDescent="0.2">
      <c r="A366" s="404"/>
      <c r="B366" s="495"/>
      <c r="C366" s="392"/>
      <c r="D366" s="495"/>
      <c r="E366" s="392"/>
      <c r="F366" s="391"/>
      <c r="G366" s="391"/>
      <c r="H366" s="391"/>
      <c r="I366" s="393"/>
    </row>
    <row r="367" spans="1:9" s="385" customFormat="1" ht="15.75" customHeight="1" x14ac:dyDescent="0.2">
      <c r="B367" s="496"/>
      <c r="C367" s="389"/>
      <c r="D367" s="496"/>
      <c r="E367" s="389"/>
    </row>
    <row r="368" spans="1:9" s="385" customFormat="1" ht="15.75" customHeight="1" x14ac:dyDescent="0.2">
      <c r="A368" s="488" t="s">
        <v>2706</v>
      </c>
      <c r="B368" s="497"/>
      <c r="C368" s="498"/>
      <c r="D368" s="497"/>
      <c r="E368" s="498"/>
      <c r="F368" s="489"/>
      <c r="G368" s="489"/>
      <c r="H368" s="489"/>
      <c r="I368" s="499"/>
    </row>
    <row r="369" spans="1:16" s="385" customFormat="1" ht="15.75" customHeight="1" x14ac:dyDescent="0.2">
      <c r="A369" s="414"/>
      <c r="B369" s="1559" t="s">
        <v>1584</v>
      </c>
      <c r="C369" s="1560"/>
      <c r="D369" s="1560"/>
      <c r="E369" s="1561"/>
    </row>
    <row r="370" spans="1:16" s="385" customFormat="1" ht="15.75" customHeight="1" x14ac:dyDescent="0.2">
      <c r="A370" s="373" t="s">
        <v>580</v>
      </c>
      <c r="B370" s="373" t="s">
        <v>372</v>
      </c>
      <c r="C370" s="373" t="s">
        <v>42</v>
      </c>
      <c r="D370" s="373" t="s">
        <v>372</v>
      </c>
      <c r="E370" s="373" t="s">
        <v>42</v>
      </c>
      <c r="F370" s="373" t="s">
        <v>372</v>
      </c>
      <c r="G370" s="373" t="s">
        <v>42</v>
      </c>
      <c r="H370" s="373" t="s">
        <v>372</v>
      </c>
      <c r="I370" s="373" t="s">
        <v>42</v>
      </c>
    </row>
    <row r="371" spans="1:16" s="385" customFormat="1" ht="15.75" customHeight="1" x14ac:dyDescent="0.2">
      <c r="A371" s="371" t="s">
        <v>2707</v>
      </c>
      <c r="B371" s="400" t="s">
        <v>267</v>
      </c>
      <c r="C371" s="401">
        <f ca="1">C388</f>
        <v>5152.5</v>
      </c>
      <c r="D371" s="400"/>
      <c r="E371" s="401"/>
    </row>
    <row r="372" spans="1:16" s="385" customFormat="1" ht="15.75" customHeight="1" x14ac:dyDescent="0.2">
      <c r="A372" s="476" t="s">
        <v>2714</v>
      </c>
      <c r="B372" s="500" t="s">
        <v>267</v>
      </c>
      <c r="C372" s="501">
        <f ca="1">G249*C222</f>
        <v>2123.2894736842109</v>
      </c>
      <c r="D372" s="402" t="s">
        <v>1041</v>
      </c>
      <c r="E372" s="403">
        <f ca="1">C372/C371</f>
        <v>0.41208917490232139</v>
      </c>
    </row>
    <row r="373" spans="1:16" s="385" customFormat="1" ht="15.75" customHeight="1" x14ac:dyDescent="0.2">
      <c r="A373" s="354" t="s">
        <v>2710</v>
      </c>
      <c r="B373" s="402" t="s">
        <v>1044</v>
      </c>
      <c r="C373" s="502">
        <f ca="1">G321*C391*G261*Units!C18</f>
        <v>172801.092825</v>
      </c>
      <c r="D373" s="402" t="s">
        <v>302</v>
      </c>
      <c r="E373" s="403">
        <f ca="1">C373/C371</f>
        <v>33.537329999999997</v>
      </c>
    </row>
    <row r="374" spans="1:16" s="385" customFormat="1" ht="15.75" customHeight="1" x14ac:dyDescent="0.2">
      <c r="A374" s="354" t="s">
        <v>2708</v>
      </c>
      <c r="B374" s="402" t="s">
        <v>1044</v>
      </c>
      <c r="C374" s="403">
        <v>0</v>
      </c>
      <c r="D374" s="402"/>
      <c r="E374" s="403"/>
    </row>
    <row r="375" spans="1:16" s="385" customFormat="1" ht="15.75" customHeight="1" x14ac:dyDescent="0.2">
      <c r="A375" s="354" t="s">
        <v>2709</v>
      </c>
      <c r="B375" s="402" t="s">
        <v>1044</v>
      </c>
      <c r="C375" s="403">
        <v>0</v>
      </c>
      <c r="D375" s="402"/>
      <c r="E375" s="403"/>
    </row>
    <row r="376" spans="1:16" s="385" customFormat="1" ht="15.75" customHeight="1" x14ac:dyDescent="0.2">
      <c r="A376" s="354" t="s">
        <v>2717</v>
      </c>
      <c r="B376" s="402" t="s">
        <v>1081</v>
      </c>
      <c r="C376" s="403">
        <f>Inputs!F179</f>
        <v>0.3</v>
      </c>
      <c r="D376" s="402"/>
      <c r="E376" s="403"/>
    </row>
    <row r="377" spans="1:16" s="385" customFormat="1" ht="15.75" customHeight="1" x14ac:dyDescent="0.2">
      <c r="A377" s="476" t="s">
        <v>2711</v>
      </c>
      <c r="B377" s="500" t="s">
        <v>302</v>
      </c>
      <c r="C377" s="501">
        <f ca="1">((C310*Inputs!D$51*Units!C$81)+(C314*Inputs!F$68*Units!C$81))</f>
        <v>4.9834981831999992</v>
      </c>
      <c r="D377" s="402"/>
      <c r="E377" s="403"/>
    </row>
    <row r="378" spans="1:16" s="385" customFormat="1" ht="15.75" customHeight="1" x14ac:dyDescent="0.2">
      <c r="A378" s="476" t="s">
        <v>2712</v>
      </c>
      <c r="B378" s="500" t="s">
        <v>391</v>
      </c>
      <c r="C378" s="501">
        <f ca="1">(C373*C376)/C377</f>
        <v>10402.397260273974</v>
      </c>
      <c r="D378" s="500" t="s">
        <v>444</v>
      </c>
      <c r="E378" s="501">
        <f ca="1">C378/Units!C18</f>
        <v>9.9070450097847367</v>
      </c>
    </row>
    <row r="379" spans="1:16" s="385" customFormat="1" ht="15.75" customHeight="1" x14ac:dyDescent="0.2">
      <c r="A379" s="476" t="s">
        <v>2713</v>
      </c>
      <c r="B379" s="500" t="s">
        <v>391</v>
      </c>
      <c r="C379" s="501">
        <f ca="1">C378-C371</f>
        <v>5249.8972602739741</v>
      </c>
      <c r="D379" s="402"/>
      <c r="E379" s="403"/>
    </row>
    <row r="380" spans="1:16" s="385" customFormat="1" ht="15.75" customHeight="1" x14ac:dyDescent="0.2">
      <c r="A380" s="355"/>
      <c r="B380" s="494"/>
      <c r="C380" s="405"/>
      <c r="D380" s="494"/>
      <c r="E380" s="405"/>
    </row>
    <row r="381" spans="1:16" s="385" customFormat="1" ht="15.75" customHeight="1" x14ac:dyDescent="0.2">
      <c r="B381" s="496"/>
      <c r="C381" s="389"/>
      <c r="D381" s="496"/>
      <c r="E381" s="389"/>
    </row>
    <row r="382" spans="1:16" s="385" customFormat="1" ht="15.75" customHeight="1" thickBot="1" x14ac:dyDescent="0.25">
      <c r="B382" s="496"/>
      <c r="C382" s="389"/>
      <c r="D382" s="496"/>
      <c r="E382" s="389"/>
    </row>
    <row r="383" spans="1:16" s="385" customFormat="1" ht="42" customHeight="1" thickBot="1" x14ac:dyDescent="0.25">
      <c r="A383" s="2043" t="s">
        <v>1608</v>
      </c>
      <c r="B383" s="2044"/>
      <c r="C383" s="2044"/>
      <c r="D383" s="2044"/>
      <c r="E383" s="2044"/>
      <c r="F383" s="2044"/>
      <c r="G383" s="2044"/>
      <c r="H383" s="2044"/>
      <c r="I383" s="2044"/>
      <c r="J383" s="2044"/>
      <c r="K383" s="2044"/>
      <c r="L383" s="2044"/>
      <c r="M383" s="2044"/>
      <c r="N383" s="2044"/>
      <c r="O383" s="2044"/>
      <c r="P383" s="2045"/>
    </row>
    <row r="384" spans="1:16" s="385" customFormat="1" ht="15.75" customHeight="1" x14ac:dyDescent="0.2">
      <c r="B384" s="496"/>
      <c r="C384" s="389"/>
      <c r="D384" s="496"/>
      <c r="E384" s="389"/>
    </row>
    <row r="385" spans="1:5" s="385" customFormat="1" ht="15.75" customHeight="1" x14ac:dyDescent="0.2">
      <c r="A385" s="505" t="s">
        <v>1641</v>
      </c>
      <c r="B385" s="506"/>
      <c r="C385" s="507"/>
      <c r="D385" s="508"/>
      <c r="E385" s="509"/>
    </row>
    <row r="386" spans="1:5" s="385" customFormat="1" ht="15.75" customHeight="1" x14ac:dyDescent="0.2">
      <c r="A386" s="373" t="s">
        <v>580</v>
      </c>
      <c r="B386" s="373" t="s">
        <v>372</v>
      </c>
      <c r="C386" s="373" t="s">
        <v>42</v>
      </c>
      <c r="D386" s="374" t="s">
        <v>372</v>
      </c>
      <c r="E386" s="373" t="s">
        <v>42</v>
      </c>
    </row>
    <row r="387" spans="1:5" s="385" customFormat="1" ht="15.75" customHeight="1" x14ac:dyDescent="0.2">
      <c r="A387" s="371" t="s">
        <v>1643</v>
      </c>
      <c r="B387" s="342" t="s">
        <v>444</v>
      </c>
      <c r="C387" s="366">
        <f ca="1">G261</f>
        <v>36.692759295499023</v>
      </c>
      <c r="D387" s="220"/>
      <c r="E387" s="366"/>
    </row>
    <row r="388" spans="1:5" s="385" customFormat="1" ht="15.75" customHeight="1" x14ac:dyDescent="0.2">
      <c r="A388" s="317" t="s">
        <v>1644</v>
      </c>
      <c r="B388" s="344" t="s">
        <v>267</v>
      </c>
      <c r="C388" s="403">
        <f ca="1">(C387*Inputs!F$16*C307)+(ExpBase!C387*Inputs!F$17*C311)</f>
        <v>5152.5</v>
      </c>
      <c r="D388" s="400" t="s">
        <v>444</v>
      </c>
      <c r="E388" s="401">
        <f ca="1">C388/Units!C34</f>
        <v>2.8946629213483148</v>
      </c>
    </row>
    <row r="389" spans="1:5" s="385" customFormat="1" ht="15.75" customHeight="1" x14ac:dyDescent="0.2">
      <c r="A389" s="373" t="s">
        <v>1645</v>
      </c>
      <c r="B389" s="433" t="s">
        <v>444</v>
      </c>
      <c r="C389" s="501">
        <f ca="1">C387-E388</f>
        <v>33.79809637415071</v>
      </c>
      <c r="D389" s="500" t="s">
        <v>391</v>
      </c>
      <c r="E389" s="501">
        <f ca="1">C389*Units!C14</f>
        <v>33798.096374150708</v>
      </c>
    </row>
    <row r="390" spans="1:5" s="385" customFormat="1" ht="15.75" customHeight="1" x14ac:dyDescent="0.2">
      <c r="A390" s="318" t="s">
        <v>1646</v>
      </c>
      <c r="B390" s="347" t="s">
        <v>374</v>
      </c>
      <c r="C390" s="405">
        <f>G351</f>
        <v>5</v>
      </c>
      <c r="D390" s="496"/>
      <c r="E390" s="403"/>
    </row>
    <row r="391" spans="1:5" s="385" customFormat="1" ht="15.75" customHeight="1" x14ac:dyDescent="0.2">
      <c r="A391" s="316" t="s">
        <v>1943</v>
      </c>
      <c r="B391" s="342" t="s">
        <v>1081</v>
      </c>
      <c r="C391" s="401">
        <v>0.9</v>
      </c>
      <c r="D391" s="496"/>
      <c r="E391" s="403"/>
    </row>
    <row r="392" spans="1:5" s="385" customFormat="1" ht="15.75" customHeight="1" x14ac:dyDescent="0.2">
      <c r="A392" s="318" t="s">
        <v>1944</v>
      </c>
      <c r="B392" s="347" t="s">
        <v>1081</v>
      </c>
      <c r="C392" s="405">
        <v>1</v>
      </c>
      <c r="D392" s="496"/>
      <c r="E392" s="403"/>
    </row>
    <row r="393" spans="1:5" s="385" customFormat="1" ht="15.75" customHeight="1" x14ac:dyDescent="0.2">
      <c r="A393" s="76"/>
      <c r="B393" s="172"/>
      <c r="C393" s="389"/>
      <c r="D393" s="496"/>
      <c r="E393" s="403"/>
    </row>
    <row r="394" spans="1:5" s="385" customFormat="1" ht="15.75" customHeight="1" x14ac:dyDescent="0.2">
      <c r="A394" s="376"/>
      <c r="B394" s="178"/>
      <c r="C394" s="392"/>
      <c r="D394" s="495"/>
      <c r="E394" s="405"/>
    </row>
    <row r="395" spans="1:5" s="385" customFormat="1" ht="15.75" customHeight="1" x14ac:dyDescent="0.2">
      <c r="A395" s="76"/>
      <c r="B395" s="172"/>
      <c r="C395" s="389"/>
      <c r="D395" s="496"/>
      <c r="E395" s="389"/>
    </row>
    <row r="396" spans="1:5" s="385" customFormat="1" ht="15.75" customHeight="1" x14ac:dyDescent="0.2">
      <c r="A396" s="505" t="s">
        <v>2281</v>
      </c>
      <c r="B396" s="506"/>
      <c r="C396" s="507"/>
      <c r="D396" s="508"/>
      <c r="E396" s="509"/>
    </row>
    <row r="397" spans="1:5" s="385" customFormat="1" ht="15.75" customHeight="1" x14ac:dyDescent="0.2">
      <c r="A397" s="373" t="s">
        <v>580</v>
      </c>
      <c r="B397" s="373" t="s">
        <v>372</v>
      </c>
      <c r="C397" s="373" t="s">
        <v>42</v>
      </c>
      <c r="D397" s="374" t="s">
        <v>372</v>
      </c>
      <c r="E397" s="373" t="s">
        <v>42</v>
      </c>
    </row>
    <row r="398" spans="1:5" s="385" customFormat="1" ht="15.75" customHeight="1" x14ac:dyDescent="0.2">
      <c r="A398" s="371" t="s">
        <v>1647</v>
      </c>
      <c r="B398" s="341" t="s">
        <v>374</v>
      </c>
      <c r="C398" s="401">
        <f>C390</f>
        <v>5</v>
      </c>
      <c r="D398" s="496"/>
      <c r="E398" s="403"/>
    </row>
    <row r="399" spans="1:5" s="385" customFormat="1" ht="15.75" customHeight="1" x14ac:dyDescent="0.2">
      <c r="A399" s="355" t="s">
        <v>2282</v>
      </c>
      <c r="B399" s="178" t="s">
        <v>391</v>
      </c>
      <c r="C399" s="405">
        <f ca="1">E389</f>
        <v>33798.096374150708</v>
      </c>
      <c r="D399" s="496"/>
      <c r="E399" s="403"/>
    </row>
    <row r="400" spans="1:5" s="385" customFormat="1" ht="15.75" customHeight="1" x14ac:dyDescent="0.2">
      <c r="A400" s="371" t="s">
        <v>2283</v>
      </c>
      <c r="B400" s="341" t="s">
        <v>391</v>
      </c>
      <c r="C400" s="401">
        <f ca="1">C887</f>
        <v>9618.7768972952217</v>
      </c>
      <c r="D400" s="496"/>
      <c r="E400" s="403"/>
    </row>
    <row r="401" spans="1:7" s="385" customFormat="1" ht="15.75" customHeight="1" x14ac:dyDescent="0.2">
      <c r="A401" s="355" t="s">
        <v>2285</v>
      </c>
      <c r="B401" s="178" t="s">
        <v>374</v>
      </c>
      <c r="C401" s="405">
        <v>13.8</v>
      </c>
      <c r="D401" s="496"/>
      <c r="E401" s="403"/>
    </row>
    <row r="402" spans="1:7" s="385" customFormat="1" ht="15.75" customHeight="1" x14ac:dyDescent="0.2">
      <c r="A402" s="371" t="s">
        <v>2284</v>
      </c>
      <c r="B402" s="341" t="s">
        <v>391</v>
      </c>
      <c r="C402" s="401">
        <f ca="1">C400</f>
        <v>9618.7768972952217</v>
      </c>
      <c r="D402" s="496"/>
      <c r="E402" s="403"/>
    </row>
    <row r="403" spans="1:7" s="385" customFormat="1" ht="15.75" customHeight="1" x14ac:dyDescent="0.2">
      <c r="A403" s="355" t="s">
        <v>2286</v>
      </c>
      <c r="B403" s="178" t="s">
        <v>374</v>
      </c>
      <c r="C403" s="405">
        <f>C791</f>
        <v>13</v>
      </c>
      <c r="D403" s="496"/>
      <c r="E403" s="403"/>
      <c r="G403" s="534"/>
    </row>
    <row r="404" spans="1:7" s="385" customFormat="1" ht="15.75" customHeight="1" x14ac:dyDescent="0.2">
      <c r="A404" s="510" t="s">
        <v>2287</v>
      </c>
      <c r="B404" s="341" t="s">
        <v>391</v>
      </c>
      <c r="C404" s="401">
        <f ca="1">C399+C400+C402</f>
        <v>53035.650168741151</v>
      </c>
      <c r="D404" s="496"/>
      <c r="E404" s="403"/>
      <c r="G404" s="534"/>
    </row>
    <row r="405" spans="1:7" s="385" customFormat="1" ht="15.75" customHeight="1" x14ac:dyDescent="0.2">
      <c r="A405" s="390" t="s">
        <v>2288</v>
      </c>
      <c r="B405" s="178" t="s">
        <v>374</v>
      </c>
      <c r="C405" s="405">
        <f ca="1">((C399*C398)+(C401*C400)+(C403*C402))/C404</f>
        <v>8.0469212946465021</v>
      </c>
      <c r="D405" s="495"/>
      <c r="E405" s="405"/>
    </row>
    <row r="406" spans="1:7" s="385" customFormat="1" ht="15.75" customHeight="1" x14ac:dyDescent="0.2">
      <c r="B406" s="172"/>
      <c r="C406" s="389"/>
      <c r="D406" s="496"/>
      <c r="E406" s="389"/>
    </row>
    <row r="407" spans="1:7" s="385" customFormat="1" ht="15.75" customHeight="1" x14ac:dyDescent="0.2">
      <c r="A407" s="505" t="s">
        <v>2280</v>
      </c>
      <c r="B407" s="506"/>
      <c r="C407" s="507"/>
      <c r="D407" s="508"/>
      <c r="E407" s="509"/>
    </row>
    <row r="408" spans="1:7" s="385" customFormat="1" ht="15.75" customHeight="1" x14ac:dyDescent="0.2">
      <c r="A408" s="373" t="s">
        <v>580</v>
      </c>
      <c r="B408" s="373" t="s">
        <v>372</v>
      </c>
      <c r="C408" s="373" t="s">
        <v>42</v>
      </c>
      <c r="D408" s="374" t="s">
        <v>372</v>
      </c>
      <c r="E408" s="373" t="s">
        <v>42</v>
      </c>
    </row>
    <row r="409" spans="1:7" s="385" customFormat="1" ht="15.75" customHeight="1" x14ac:dyDescent="0.2">
      <c r="A409" s="371" t="s">
        <v>1647</v>
      </c>
      <c r="B409" s="342" t="s">
        <v>374</v>
      </c>
      <c r="C409" s="401">
        <v>10.5</v>
      </c>
      <c r="D409" s="496"/>
      <c r="E409" s="403"/>
    </row>
    <row r="410" spans="1:7" s="385" customFormat="1" ht="15.75" customHeight="1" x14ac:dyDescent="0.2">
      <c r="A410" s="354" t="s">
        <v>1650</v>
      </c>
      <c r="B410" s="344" t="s">
        <v>302</v>
      </c>
      <c r="C410" s="403">
        <f>Inputs!F178</f>
        <v>2.4</v>
      </c>
      <c r="D410" s="511" t="s">
        <v>1651</v>
      </c>
      <c r="E410" s="501">
        <f>C410/4</f>
        <v>0.6</v>
      </c>
    </row>
    <row r="411" spans="1:7" s="385" customFormat="1" ht="15.75" customHeight="1" x14ac:dyDescent="0.2">
      <c r="A411" s="354" t="s">
        <v>2718</v>
      </c>
      <c r="B411" s="344" t="s">
        <v>1044</v>
      </c>
      <c r="C411" s="403">
        <f ca="1">(C409-C405)*E410*C404</f>
        <v>78060.374432109937</v>
      </c>
      <c r="D411" s="496"/>
      <c r="E411" s="403"/>
    </row>
    <row r="412" spans="1:7" s="385" customFormat="1" ht="15.75" customHeight="1" x14ac:dyDescent="0.2">
      <c r="A412" s="354" t="s">
        <v>2719</v>
      </c>
      <c r="B412" s="344" t="s">
        <v>302</v>
      </c>
      <c r="C412" s="403">
        <f>O97</f>
        <v>34.897851525440949</v>
      </c>
      <c r="D412" s="496"/>
      <c r="E412" s="403"/>
    </row>
    <row r="413" spans="1:7" s="385" customFormat="1" ht="15.75" customHeight="1" x14ac:dyDescent="0.2">
      <c r="A413" s="512" t="s">
        <v>2720</v>
      </c>
      <c r="B413" s="513" t="s">
        <v>391</v>
      </c>
      <c r="C413" s="514">
        <f ca="1">C411/C412</f>
        <v>2236.8246473626891</v>
      </c>
      <c r="D413" s="496"/>
      <c r="E413" s="403"/>
    </row>
    <row r="414" spans="1:7" s="385" customFormat="1" ht="15.75" customHeight="1" x14ac:dyDescent="0.2">
      <c r="A414" s="390" t="s">
        <v>2287</v>
      </c>
      <c r="B414" s="515" t="s">
        <v>391</v>
      </c>
      <c r="C414" s="514">
        <f ca="1">C404+C413</f>
        <v>55272.474816103837</v>
      </c>
      <c r="D414" s="516" t="s">
        <v>444</v>
      </c>
      <c r="E414" s="517">
        <f ca="1">C414/Units!C15</f>
        <v>55.272474816103838</v>
      </c>
    </row>
    <row r="415" spans="1:7" s="385" customFormat="1" ht="15.75" customHeight="1" x14ac:dyDescent="0.2">
      <c r="A415" s="404"/>
      <c r="B415" s="178"/>
      <c r="C415" s="392"/>
      <c r="D415" s="495"/>
      <c r="E415" s="405"/>
    </row>
    <row r="416" spans="1:7" s="385" customFormat="1" ht="15.75" customHeight="1" x14ac:dyDescent="0.2">
      <c r="B416" s="172"/>
      <c r="C416" s="389"/>
      <c r="D416" s="496"/>
      <c r="E416" s="389"/>
    </row>
    <row r="417" spans="1:5" s="385" customFormat="1" ht="15.75" customHeight="1" x14ac:dyDescent="0.2">
      <c r="A417" s="505" t="s">
        <v>2289</v>
      </c>
      <c r="B417" s="506"/>
      <c r="C417" s="507"/>
      <c r="D417" s="508"/>
      <c r="E417" s="509"/>
    </row>
    <row r="418" spans="1:5" s="385" customFormat="1" ht="15.75" customHeight="1" x14ac:dyDescent="0.2">
      <c r="A418" s="373" t="s">
        <v>580</v>
      </c>
      <c r="B418" s="373" t="s">
        <v>372</v>
      </c>
      <c r="C418" s="373" t="s">
        <v>42</v>
      </c>
      <c r="D418" s="374" t="s">
        <v>372</v>
      </c>
      <c r="E418" s="373" t="s">
        <v>42</v>
      </c>
    </row>
    <row r="419" spans="1:5" s="385" customFormat="1" ht="15.75" customHeight="1" x14ac:dyDescent="0.2">
      <c r="A419" s="316" t="s">
        <v>1453</v>
      </c>
      <c r="B419" s="342" t="s">
        <v>446</v>
      </c>
      <c r="C419" s="518">
        <f ca="1">(D857+E857)/Units!C$15</f>
        <v>5.2065926709222303E-7</v>
      </c>
      <c r="D419" s="400" t="s">
        <v>302</v>
      </c>
      <c r="E419" s="401">
        <f ca="1">K857+L857</f>
        <v>3.0739723129124846E-2</v>
      </c>
    </row>
    <row r="420" spans="1:5" s="385" customFormat="1" ht="15.75" customHeight="1" x14ac:dyDescent="0.2">
      <c r="A420" s="317" t="s">
        <v>1454</v>
      </c>
      <c r="B420" s="344" t="s">
        <v>446</v>
      </c>
      <c r="C420" s="502">
        <f ca="1">(D858+E858)/Units!C$15</f>
        <v>2.6315105441081367E-15</v>
      </c>
      <c r="D420" s="402" t="s">
        <v>302</v>
      </c>
      <c r="E420" s="403">
        <f ca="1">K858+L858</f>
        <v>1.580222081736936E-10</v>
      </c>
    </row>
    <row r="421" spans="1:5" s="385" customFormat="1" ht="15.75" customHeight="1" x14ac:dyDescent="0.2">
      <c r="A421" s="317" t="s">
        <v>1455</v>
      </c>
      <c r="B421" s="344" t="s">
        <v>446</v>
      </c>
      <c r="C421" s="502">
        <f ca="1">(D859+E859)/Units!C$15</f>
        <v>1.3497206952192225E-6</v>
      </c>
      <c r="D421" s="402" t="s">
        <v>302</v>
      </c>
      <c r="E421" s="403">
        <f t="shared" ref="E421:E443" ca="1" si="16">K859+L859</f>
        <v>9.8624091199668584E-2</v>
      </c>
    </row>
    <row r="422" spans="1:5" s="385" customFormat="1" ht="15.75" customHeight="1" x14ac:dyDescent="0.2">
      <c r="A422" s="317" t="s">
        <v>1456</v>
      </c>
      <c r="B422" s="344" t="s">
        <v>446</v>
      </c>
      <c r="C422" s="502">
        <f ca="1">(D860+E860)/Units!C$15</f>
        <v>6.8217440187144245E-15</v>
      </c>
      <c r="D422" s="402" t="s">
        <v>302</v>
      </c>
      <c r="E422" s="403">
        <f t="shared" ca="1" si="16"/>
        <v>5.0535479690636467E-10</v>
      </c>
    </row>
    <row r="423" spans="1:5" s="385" customFormat="1" ht="15.75" customHeight="1" x14ac:dyDescent="0.2">
      <c r="A423" s="317" t="s">
        <v>1457</v>
      </c>
      <c r="B423" s="344" t="s">
        <v>446</v>
      </c>
      <c r="C423" s="502">
        <f ca="1">(D861+E861)/Units!C$15</f>
        <v>1.5625147495302523E-6</v>
      </c>
      <c r="D423" s="402" t="s">
        <v>302</v>
      </c>
      <c r="E423" s="403">
        <f t="shared" ca="1" si="16"/>
        <v>0.13609503468408496</v>
      </c>
    </row>
    <row r="424" spans="1:5" s="385" customFormat="1" ht="15.75" customHeight="1" x14ac:dyDescent="0.2">
      <c r="A424" s="317" t="s">
        <v>1458</v>
      </c>
      <c r="B424" s="344" t="s">
        <v>446</v>
      </c>
      <c r="C424" s="502">
        <f ca="1">(D862+E862)/Units!C$15</f>
        <v>7.8972454705071274E-15</v>
      </c>
      <c r="D424" s="402" t="s">
        <v>302</v>
      </c>
      <c r="E424" s="403">
        <f t="shared" ca="1" si="16"/>
        <v>6.9582629840638291E-10</v>
      </c>
    </row>
    <row r="425" spans="1:5" s="385" customFormat="1" ht="15.75" customHeight="1" x14ac:dyDescent="0.2">
      <c r="A425" s="317" t="s">
        <v>1459</v>
      </c>
      <c r="B425" s="344" t="s">
        <v>446</v>
      </c>
      <c r="C425" s="502">
        <f>(D863+E863)/Units!C$15</f>
        <v>0</v>
      </c>
      <c r="D425" s="402" t="s">
        <v>302</v>
      </c>
      <c r="E425" s="403">
        <f t="shared" si="16"/>
        <v>0</v>
      </c>
    </row>
    <row r="426" spans="1:5" s="385" customFormat="1" ht="15.75" customHeight="1" x14ac:dyDescent="0.2">
      <c r="A426" s="317" t="s">
        <v>1460</v>
      </c>
      <c r="B426" s="344" t="s">
        <v>446</v>
      </c>
      <c r="C426" s="502">
        <f>(D864+E864)/Units!C$15</f>
        <v>0</v>
      </c>
      <c r="D426" s="402" t="s">
        <v>302</v>
      </c>
      <c r="E426" s="403">
        <f t="shared" si="16"/>
        <v>0</v>
      </c>
    </row>
    <row r="427" spans="1:5" s="385" customFormat="1" ht="15.75" customHeight="1" x14ac:dyDescent="0.2">
      <c r="A427" s="317" t="s">
        <v>1461</v>
      </c>
      <c r="B427" s="344" t="s">
        <v>446</v>
      </c>
      <c r="C427" s="502">
        <f ca="1">(D865+E865)/Units!C$15</f>
        <v>2.1283925831249786E-6</v>
      </c>
      <c r="D427" s="402" t="s">
        <v>302</v>
      </c>
      <c r="E427" s="403">
        <f t="shared" ca="1" si="16"/>
        <v>0.21522305800559782</v>
      </c>
    </row>
    <row r="428" spans="1:5" s="385" customFormat="1" ht="15.75" customHeight="1" x14ac:dyDescent="0.2">
      <c r="A428" s="317" t="s">
        <v>1462</v>
      </c>
      <c r="B428" s="344" t="s">
        <v>446</v>
      </c>
      <c r="C428" s="502">
        <f ca="1">(D866+E866)/Units!C$15</f>
        <v>1.0757299213724405E-14</v>
      </c>
      <c r="D428" s="402" t="s">
        <v>302</v>
      </c>
      <c r="E428" s="403">
        <f t="shared" ca="1" si="16"/>
        <v>1.0986429686976734E-9</v>
      </c>
    </row>
    <row r="429" spans="1:5" s="385" customFormat="1" ht="15.75" customHeight="1" x14ac:dyDescent="0.2">
      <c r="A429" s="317" t="s">
        <v>1463</v>
      </c>
      <c r="B429" s="344" t="s">
        <v>446</v>
      </c>
      <c r="C429" s="502">
        <f>(D867+E867)/Units!C$15</f>
        <v>1.8550660901924319E-7</v>
      </c>
      <c r="D429" s="402" t="s">
        <v>302</v>
      </c>
      <c r="E429" s="403">
        <f t="shared" si="16"/>
        <v>1.8758428304025871E-2</v>
      </c>
    </row>
    <row r="430" spans="1:5" s="385" customFormat="1" ht="15.75" customHeight="1" x14ac:dyDescent="0.2">
      <c r="A430" s="317" t="s">
        <v>1464</v>
      </c>
      <c r="B430" s="344" t="s">
        <v>446</v>
      </c>
      <c r="C430" s="502">
        <f>(D868+E868)/Units!C$15</f>
        <v>9.3758553528383859E-16</v>
      </c>
      <c r="D430" s="402" t="s">
        <v>302</v>
      </c>
      <c r="E430" s="403">
        <f t="shared" si="16"/>
        <v>9.5755610718538452E-11</v>
      </c>
    </row>
    <row r="431" spans="1:5" s="385" customFormat="1" ht="15.75" customHeight="1" x14ac:dyDescent="0.2">
      <c r="A431" s="317" t="s">
        <v>1465</v>
      </c>
      <c r="B431" s="344" t="s">
        <v>446</v>
      </c>
      <c r="C431" s="502">
        <f ca="1">(D869+E869)/Units!C$15</f>
        <v>4.2187898237919108E-6</v>
      </c>
      <c r="D431" s="402" t="s">
        <v>302</v>
      </c>
      <c r="E431" s="403">
        <f t="shared" ca="1" si="16"/>
        <v>0.48579364820963861</v>
      </c>
    </row>
    <row r="432" spans="1:5" s="385" customFormat="1" ht="15.75" customHeight="1" x14ac:dyDescent="0.2">
      <c r="A432" s="317" t="s">
        <v>1465</v>
      </c>
      <c r="B432" s="344" t="s">
        <v>446</v>
      </c>
      <c r="C432" s="502">
        <f ca="1">(D870+E870)/Units!C$15</f>
        <v>2.1322562770695651E-14</v>
      </c>
      <c r="D432" s="402" t="s">
        <v>302</v>
      </c>
      <c r="E432" s="403">
        <f t="shared" ca="1" si="16"/>
        <v>2.4768288914440065E-9</v>
      </c>
    </row>
    <row r="433" spans="1:5" s="385" customFormat="1" ht="15.75" customHeight="1" x14ac:dyDescent="0.2">
      <c r="A433" s="317" t="s">
        <v>1466</v>
      </c>
      <c r="B433" s="344" t="s">
        <v>446</v>
      </c>
      <c r="C433" s="502">
        <f ca="1">(D871+E871)/Units!C$15</f>
        <v>2.076115992100621E-7</v>
      </c>
      <c r="D433" s="402" t="s">
        <v>302</v>
      </c>
      <c r="E433" s="403">
        <f t="shared" ca="1" si="16"/>
        <v>2.6817190269963716E-2</v>
      </c>
    </row>
    <row r="434" spans="1:5" s="385" customFormat="1" ht="15.75" customHeight="1" x14ac:dyDescent="0.2">
      <c r="A434" s="317" t="s">
        <v>1467</v>
      </c>
      <c r="B434" s="344" t="s">
        <v>446</v>
      </c>
      <c r="C434" s="502">
        <f ca="1">(D872+E872)/Units!C$15</f>
        <v>1.0493083421970932E-15</v>
      </c>
      <c r="D434" s="402" t="s">
        <v>302</v>
      </c>
      <c r="E434" s="403">
        <f t="shared" ca="1" si="16"/>
        <v>1.3659895998721757E-10</v>
      </c>
    </row>
    <row r="435" spans="1:5" s="385" customFormat="1" ht="15.75" customHeight="1" x14ac:dyDescent="0.2">
      <c r="A435" s="317" t="s">
        <v>1468</v>
      </c>
      <c r="B435" s="344" t="s">
        <v>446</v>
      </c>
      <c r="C435" s="502">
        <f>(D873+E873)/Units!C$15</f>
        <v>4.4662637517630465E-6</v>
      </c>
      <c r="D435" s="402" t="s">
        <v>302</v>
      </c>
      <c r="E435" s="403">
        <f t="shared" si="16"/>
        <v>0.15832905000000003</v>
      </c>
    </row>
    <row r="436" spans="1:5" s="385" customFormat="1" ht="15.75" customHeight="1" x14ac:dyDescent="0.2">
      <c r="A436" s="317" t="s">
        <v>1469</v>
      </c>
      <c r="B436" s="344" t="s">
        <v>446</v>
      </c>
      <c r="C436" s="502">
        <f>(D874+E874)/Units!C$15</f>
        <v>1.4494401371747886E-25</v>
      </c>
      <c r="D436" s="402" t="s">
        <v>302</v>
      </c>
      <c r="E436" s="403">
        <f t="shared" si="16"/>
        <v>5.2843688521118448E-21</v>
      </c>
    </row>
    <row r="437" spans="1:5" s="385" customFormat="1" ht="15.75" customHeight="1" x14ac:dyDescent="0.2">
      <c r="A437" s="317" t="s">
        <v>1470</v>
      </c>
      <c r="B437" s="344" t="s">
        <v>446</v>
      </c>
      <c r="C437" s="502">
        <f ca="1">(D875+E875)/Units!C$15</f>
        <v>0</v>
      </c>
      <c r="D437" s="402" t="s">
        <v>302</v>
      </c>
      <c r="E437" s="403">
        <f t="shared" ca="1" si="16"/>
        <v>0</v>
      </c>
    </row>
    <row r="438" spans="1:5" s="385" customFormat="1" ht="15.75" customHeight="1" x14ac:dyDescent="0.2">
      <c r="A438" s="317" t="s">
        <v>1471</v>
      </c>
      <c r="B438" s="344" t="s">
        <v>446</v>
      </c>
      <c r="C438" s="502">
        <f ca="1">(D876+E876)/Units!C$15</f>
        <v>0</v>
      </c>
      <c r="D438" s="402" t="s">
        <v>302</v>
      </c>
      <c r="E438" s="403">
        <f t="shared" ca="1" si="16"/>
        <v>0</v>
      </c>
    </row>
    <row r="439" spans="1:5" s="385" customFormat="1" ht="15.75" customHeight="1" x14ac:dyDescent="0.2">
      <c r="A439" s="317" t="s">
        <v>1472</v>
      </c>
      <c r="B439" s="344" t="s">
        <v>446</v>
      </c>
      <c r="C439" s="502">
        <f ca="1">(D877+E877)/Units!C$15</f>
        <v>0</v>
      </c>
      <c r="D439" s="402" t="s">
        <v>302</v>
      </c>
      <c r="E439" s="403">
        <f t="shared" ca="1" si="16"/>
        <v>0</v>
      </c>
    </row>
    <row r="440" spans="1:5" s="385" customFormat="1" ht="15.75" customHeight="1" x14ac:dyDescent="0.2">
      <c r="A440" s="317" t="s">
        <v>1473</v>
      </c>
      <c r="B440" s="344" t="s">
        <v>446</v>
      </c>
      <c r="C440" s="502">
        <f ca="1">(D878+E878)/Units!C$15</f>
        <v>6.2610879395663213E-26</v>
      </c>
      <c r="D440" s="402" t="s">
        <v>302</v>
      </c>
      <c r="E440" s="403">
        <f t="shared" ca="1" si="16"/>
        <v>6.1354905154986208E-21</v>
      </c>
    </row>
    <row r="441" spans="1:5" s="385" customFormat="1" ht="15.75" customHeight="1" x14ac:dyDescent="0.2">
      <c r="A441" s="317" t="s">
        <v>1474</v>
      </c>
      <c r="B441" s="344" t="s">
        <v>446</v>
      </c>
      <c r="C441" s="502">
        <f ca="1">(D879+E879)/Units!C$15</f>
        <v>2.8618693513159046E-14</v>
      </c>
      <c r="D441" s="402" t="s">
        <v>302</v>
      </c>
      <c r="E441" s="403">
        <f t="shared" ca="1" si="16"/>
        <v>2.7757270838412958E-9</v>
      </c>
    </row>
    <row r="442" spans="1:5" s="385" customFormat="1" ht="15.75" customHeight="1" x14ac:dyDescent="0.2">
      <c r="A442" s="317" t="s">
        <v>1475</v>
      </c>
      <c r="B442" s="344" t="s">
        <v>446</v>
      </c>
      <c r="C442" s="502">
        <f ca="1">(D880+E880)/Units!C$15</f>
        <v>1.1133963767373871E-7</v>
      </c>
      <c r="D442" s="402" t="s">
        <v>302</v>
      </c>
      <c r="E442" s="403">
        <f t="shared" ca="1" si="16"/>
        <v>1.0686378423925441E-2</v>
      </c>
    </row>
    <row r="443" spans="1:5" s="385" customFormat="1" ht="15.75" customHeight="1" x14ac:dyDescent="0.2">
      <c r="A443" s="317" t="s">
        <v>1476</v>
      </c>
      <c r="B443" s="344" t="s">
        <v>446</v>
      </c>
      <c r="C443" s="502">
        <f ca="1">(D881+E881)/Units!C$15</f>
        <v>1.4677422763183524E-6</v>
      </c>
      <c r="D443" s="402" t="s">
        <v>302</v>
      </c>
      <c r="E443" s="403">
        <f t="shared" ca="1" si="16"/>
        <v>0.13939148398195395</v>
      </c>
    </row>
    <row r="444" spans="1:5" s="385" customFormat="1" ht="15.75" customHeight="1" x14ac:dyDescent="0.2">
      <c r="A444" s="317" t="s">
        <v>1477</v>
      </c>
      <c r="B444" s="344" t="s">
        <v>446</v>
      </c>
      <c r="C444" s="502">
        <v>1</v>
      </c>
      <c r="D444" s="402" t="s">
        <v>302</v>
      </c>
      <c r="E444" s="403">
        <v>1</v>
      </c>
    </row>
    <row r="445" spans="1:5" s="385" customFormat="1" ht="15.75" customHeight="1" x14ac:dyDescent="0.2">
      <c r="A445" s="318" t="s">
        <v>1478</v>
      </c>
      <c r="B445" s="347" t="s">
        <v>446</v>
      </c>
      <c r="C445" s="529">
        <v>1</v>
      </c>
      <c r="D445" s="494" t="s">
        <v>302</v>
      </c>
      <c r="E445" s="405">
        <v>1</v>
      </c>
    </row>
    <row r="446" spans="1:5" s="385" customFormat="1" ht="15.75" customHeight="1" x14ac:dyDescent="0.2">
      <c r="B446" s="172"/>
      <c r="C446" s="389"/>
      <c r="D446" s="496"/>
      <c r="E446" s="389"/>
    </row>
    <row r="447" spans="1:5" s="385" customFormat="1" ht="15.75" customHeight="1" x14ac:dyDescent="0.2">
      <c r="B447" s="172"/>
      <c r="C447" s="389"/>
      <c r="D447" s="496"/>
      <c r="E447" s="389"/>
    </row>
    <row r="448" spans="1:5" s="385" customFormat="1" ht="15.75" customHeight="1" x14ac:dyDescent="0.2">
      <c r="A448" s="505" t="s">
        <v>1653</v>
      </c>
      <c r="B448" s="506"/>
      <c r="C448" s="507"/>
      <c r="D448" s="508"/>
      <c r="E448" s="509"/>
    </row>
    <row r="449" spans="1:11" s="385" customFormat="1" ht="15.75" customHeight="1" x14ac:dyDescent="0.2">
      <c r="A449" s="519"/>
      <c r="B449" s="1563" t="s">
        <v>2721</v>
      </c>
      <c r="C449" s="1596"/>
      <c r="D449" s="1596"/>
      <c r="E449" s="1597"/>
      <c r="F449" s="1563" t="s">
        <v>2722</v>
      </c>
      <c r="G449" s="1564"/>
      <c r="H449" s="1564"/>
      <c r="I449" s="1564"/>
      <c r="J449" s="1564"/>
      <c r="K449" s="1565"/>
    </row>
    <row r="450" spans="1:11" s="385" customFormat="1" ht="15.75" customHeight="1" x14ac:dyDescent="0.2">
      <c r="A450" s="301" t="s">
        <v>580</v>
      </c>
      <c r="B450" s="373" t="s">
        <v>372</v>
      </c>
      <c r="C450" s="373" t="s">
        <v>42</v>
      </c>
      <c r="D450" s="374" t="s">
        <v>372</v>
      </c>
      <c r="E450" s="373" t="s">
        <v>42</v>
      </c>
      <c r="F450" s="373" t="s">
        <v>372</v>
      </c>
      <c r="G450" s="373" t="s">
        <v>42</v>
      </c>
      <c r="H450" s="374" t="s">
        <v>372</v>
      </c>
      <c r="I450" s="373" t="s">
        <v>42</v>
      </c>
      <c r="J450" s="374" t="s">
        <v>372</v>
      </c>
      <c r="K450" s="373" t="s">
        <v>42</v>
      </c>
    </row>
    <row r="451" spans="1:11" s="385" customFormat="1" ht="15.75" customHeight="1" x14ac:dyDescent="0.2">
      <c r="A451" s="377" t="s">
        <v>1660</v>
      </c>
      <c r="B451" s="455" t="s">
        <v>461</v>
      </c>
      <c r="C451" s="520">
        <f>10^(C409-Units!C382)</f>
        <v>691830.97091893724</v>
      </c>
      <c r="D451" s="208"/>
      <c r="E451" s="521"/>
      <c r="F451" s="522"/>
      <c r="G451" s="398"/>
      <c r="H451" s="398"/>
      <c r="I451" s="399"/>
      <c r="J451" s="522"/>
      <c r="K451" s="399"/>
    </row>
    <row r="452" spans="1:11" s="385" customFormat="1" ht="15.75" customHeight="1" x14ac:dyDescent="0.2">
      <c r="A452" s="317" t="s">
        <v>1654</v>
      </c>
      <c r="B452" s="342" t="s">
        <v>446</v>
      </c>
      <c r="C452" s="518">
        <f ca="1">(I264+C419+C420)/(C$451+1)</f>
        <v>4.1245929673559689E-5</v>
      </c>
      <c r="D452" s="400" t="s">
        <v>302</v>
      </c>
      <c r="E452" s="523">
        <f ca="1">(C452/Units!C$14)*Units!C94</f>
        <v>2.435159687926964E-6</v>
      </c>
      <c r="F452" s="342" t="s">
        <v>446</v>
      </c>
      <c r="G452" s="524">
        <f t="shared" ref="G452:G467" ca="1" si="17">C452*(C$389/E$414)</f>
        <v>2.5221123367218145E-5</v>
      </c>
      <c r="H452" s="400" t="s">
        <v>302</v>
      </c>
      <c r="I452" s="467">
        <f t="shared" ref="I452:I467" ca="1" si="18">E452*(C$389/E$414)</f>
        <v>1.4890551236005593E-6</v>
      </c>
      <c r="J452" s="342" t="s">
        <v>1251</v>
      </c>
      <c r="K452" s="467">
        <f t="shared" ref="K452:K467" ca="1" si="19">G452*E$414</f>
        <v>1.3940339061484131E-3</v>
      </c>
    </row>
    <row r="453" spans="1:11" s="385" customFormat="1" ht="15.75" customHeight="1" x14ac:dyDescent="0.2">
      <c r="A453" s="317" t="s">
        <v>1655</v>
      </c>
      <c r="B453" s="344" t="s">
        <v>446</v>
      </c>
      <c r="C453" s="502">
        <f ca="1">(I265+C421+C422)/(C$451+1)</f>
        <v>1.9509371621669602E-12</v>
      </c>
      <c r="D453" s="402" t="s">
        <v>302</v>
      </c>
      <c r="E453" s="525">
        <f ca="1">(C453/Units!C$14)*Units!C95</f>
        <v>1.4255497843953977E-13</v>
      </c>
      <c r="F453" s="344" t="s">
        <v>446</v>
      </c>
      <c r="G453" s="526">
        <f t="shared" ca="1" si="17"/>
        <v>1.1929620022662662E-12</v>
      </c>
      <c r="H453" s="402" t="s">
        <v>302</v>
      </c>
      <c r="I453" s="469">
        <f t="shared" ca="1" si="18"/>
        <v>8.7169733505596075E-14</v>
      </c>
      <c r="J453" s="344" t="s">
        <v>1251</v>
      </c>
      <c r="K453" s="469">
        <f t="shared" ca="1" si="19"/>
        <v>6.5937962226831012E-11</v>
      </c>
    </row>
    <row r="454" spans="1:11" s="385" customFormat="1" ht="15.75" customHeight="1" x14ac:dyDescent="0.2">
      <c r="A454" s="317" t="s">
        <v>1656</v>
      </c>
      <c r="B454" s="344" t="s">
        <v>446</v>
      </c>
      <c r="C454" s="502">
        <f ca="1">(I266+C423+C424)/(C$451+1)</f>
        <v>2.8767793998933758E-5</v>
      </c>
      <c r="D454" s="402" t="s">
        <v>302</v>
      </c>
      <c r="E454" s="525">
        <f ca="1">(C454/Units!C$14)*Units!C96</f>
        <v>2.5056748573071301E-6</v>
      </c>
      <c r="F454" s="344" t="s">
        <v>446</v>
      </c>
      <c r="G454" s="526">
        <f t="shared" ca="1" si="17"/>
        <v>1.759097412016723E-5</v>
      </c>
      <c r="H454" s="402" t="s">
        <v>302</v>
      </c>
      <c r="I454" s="469">
        <f t="shared" ca="1" si="18"/>
        <v>1.5321738458665655E-6</v>
      </c>
      <c r="J454" s="344" t="s">
        <v>1251</v>
      </c>
      <c r="K454" s="469">
        <f t="shared" ca="1" si="19"/>
        <v>9.7229667404767758E-4</v>
      </c>
    </row>
    <row r="455" spans="1:11" s="385" customFormat="1" ht="15.75" customHeight="1" x14ac:dyDescent="0.2">
      <c r="A455" s="317" t="s">
        <v>1657</v>
      </c>
      <c r="B455" s="344" t="s">
        <v>446</v>
      </c>
      <c r="C455" s="502">
        <f ca="1">(I267+C425+C426)/(C$451+1)</f>
        <v>1.3192309297777034E-6</v>
      </c>
      <c r="D455" s="402" t="s">
        <v>302</v>
      </c>
      <c r="E455" s="525">
        <f ca="1">(C455/Units!C$14)*Units!C97</f>
        <v>1.1490501398363795E-7</v>
      </c>
      <c r="F455" s="344" t="s">
        <v>446</v>
      </c>
      <c r="G455" s="526">
        <f t="shared" ca="1" si="17"/>
        <v>8.0668532126946728E-7</v>
      </c>
      <c r="H455" s="402" t="s">
        <v>302</v>
      </c>
      <c r="I455" s="469">
        <f t="shared" ca="1" si="18"/>
        <v>7.0262291482570599E-8</v>
      </c>
      <c r="J455" s="344" t="s">
        <v>1251</v>
      </c>
      <c r="K455" s="469">
        <f t="shared" ca="1" si="19"/>
        <v>4.4587494104387266E-5</v>
      </c>
    </row>
    <row r="456" spans="1:11" s="385" customFormat="1" ht="15.75" customHeight="1" x14ac:dyDescent="0.2">
      <c r="A456" s="317" t="s">
        <v>1658</v>
      </c>
      <c r="B456" s="344" t="s">
        <v>446</v>
      </c>
      <c r="C456" s="502">
        <f ca="1">(I268+C427+C428)/(C$451+1)</f>
        <v>1.4620996905250328E-5</v>
      </c>
      <c r="D456" s="402" t="s">
        <v>302</v>
      </c>
      <c r="E456" s="525">
        <f ca="1">(C456/Units!C$14)*Units!C98</f>
        <v>1.4784752070589133E-6</v>
      </c>
      <c r="F456" s="344" t="s">
        <v>446</v>
      </c>
      <c r="G456" s="526">
        <f t="shared" ca="1" si="17"/>
        <v>8.9404692685451099E-6</v>
      </c>
      <c r="H456" s="402" t="s">
        <v>302</v>
      </c>
      <c r="I456" s="469">
        <f t="shared" ca="1" si="18"/>
        <v>9.0406025243528152E-7</v>
      </c>
      <c r="J456" s="344" t="s">
        <v>1251</v>
      </c>
      <c r="K456" s="469">
        <f t="shared" ca="1" si="19"/>
        <v>4.9416186248980984E-4</v>
      </c>
    </row>
    <row r="457" spans="1:11" s="385" customFormat="1" ht="15.75" customHeight="1" x14ac:dyDescent="0.2">
      <c r="A457" s="354" t="s">
        <v>405</v>
      </c>
      <c r="B457" s="344" t="s">
        <v>446</v>
      </c>
      <c r="C457" s="502">
        <f ca="1">(I269+C429+C430)/(C$451+1)</f>
        <v>2.681382441901702E-13</v>
      </c>
      <c r="D457" s="402" t="s">
        <v>302</v>
      </c>
      <c r="E457" s="525">
        <f ca="1">(C457/Units!C$14)*Units!C99</f>
        <v>2.7114139252510012E-14</v>
      </c>
      <c r="F457" s="344" t="s">
        <v>446</v>
      </c>
      <c r="G457" s="526">
        <f t="shared" ca="1" si="17"/>
        <v>1.6396157850515711E-13</v>
      </c>
      <c r="H457" s="402" t="s">
        <v>302</v>
      </c>
      <c r="I457" s="469">
        <f t="shared" ca="1" si="18"/>
        <v>1.6579794818441488E-14</v>
      </c>
      <c r="J457" s="344" t="s">
        <v>1251</v>
      </c>
      <c r="K457" s="469">
        <f t="shared" ca="1" si="19"/>
        <v>9.0625622187349282E-12</v>
      </c>
    </row>
    <row r="458" spans="1:11" s="385" customFormat="1" ht="15.75" customHeight="1" x14ac:dyDescent="0.2">
      <c r="A458" s="354" t="s">
        <v>420</v>
      </c>
      <c r="B458" s="344" t="s">
        <v>446</v>
      </c>
      <c r="C458" s="502">
        <f ca="1">(I270+C431+C432)/(C$451+1)</f>
        <v>4.5154628074703308E-6</v>
      </c>
      <c r="D458" s="402" t="s">
        <v>302</v>
      </c>
      <c r="E458" s="525">
        <f ca="1">(C458/Units!C$14)*Units!C100</f>
        <v>5.1995554228020864E-7</v>
      </c>
      <c r="F458" s="344" t="s">
        <v>446</v>
      </c>
      <c r="G458" s="526">
        <f t="shared" ca="1" si="17"/>
        <v>2.7611220168544131E-6</v>
      </c>
      <c r="H458" s="402" t="s">
        <v>302</v>
      </c>
      <c r="I458" s="469">
        <f t="shared" ca="1" si="18"/>
        <v>3.179432002407857E-7</v>
      </c>
      <c r="J458" s="344" t="s">
        <v>1251</v>
      </c>
      <c r="K458" s="469">
        <f t="shared" ca="1" si="19"/>
        <v>1.5261404714077539E-4</v>
      </c>
    </row>
    <row r="459" spans="1:11" s="385" customFormat="1" ht="15.75" customHeight="1" x14ac:dyDescent="0.2">
      <c r="A459" s="354" t="s">
        <v>1659</v>
      </c>
      <c r="B459" s="344" t="s">
        <v>446</v>
      </c>
      <c r="C459" s="502">
        <f ca="1">(I271+C433+C434)/(C$451+1)</f>
        <v>3.0008963012161303E-13</v>
      </c>
      <c r="D459" s="402" t="s">
        <v>302</v>
      </c>
      <c r="E459" s="525">
        <f ca="1">(C459/Units!C$14)*Units!C101</f>
        <v>3.8762577522808755E-14</v>
      </c>
      <c r="F459" s="344" t="s">
        <v>446</v>
      </c>
      <c r="G459" s="526">
        <f t="shared" ca="1" si="17"/>
        <v>1.8349926022813936E-13</v>
      </c>
      <c r="H459" s="402" t="s">
        <v>302</v>
      </c>
      <c r="I459" s="469">
        <f t="shared" ca="1" si="18"/>
        <v>2.370259944366876E-14</v>
      </c>
      <c r="J459" s="344" t="s">
        <v>1251</v>
      </c>
      <c r="K459" s="469">
        <f t="shared" ca="1" si="19"/>
        <v>1.0142458239733518E-11</v>
      </c>
    </row>
    <row r="460" spans="1:11" s="385" customFormat="1" ht="15.75" customHeight="1" x14ac:dyDescent="0.2">
      <c r="A460" s="354" t="s">
        <v>1652</v>
      </c>
      <c r="B460" s="344" t="s">
        <v>446</v>
      </c>
      <c r="C460" s="502">
        <f ca="1">(I264+C419+C420)-C452</f>
        <v>28.535211572513003</v>
      </c>
      <c r="D460" s="402" t="s">
        <v>302</v>
      </c>
      <c r="E460" s="525">
        <f ca="1">(C460/Units!C$14)*Units!C103</f>
        <v>1.7135394549294058</v>
      </c>
      <c r="F460" s="344" t="s">
        <v>446</v>
      </c>
      <c r="G460" s="526">
        <f t="shared" ca="1" si="17"/>
        <v>17.448754266808823</v>
      </c>
      <c r="H460" s="402" t="s">
        <v>302</v>
      </c>
      <c r="I460" s="469">
        <f t="shared" ca="1" si="18"/>
        <v>1.0477976937218698</v>
      </c>
      <c r="J460" s="344" t="s">
        <v>1251</v>
      </c>
      <c r="K460" s="469">
        <f t="shared" ca="1" si="19"/>
        <v>964.43583078457505</v>
      </c>
    </row>
    <row r="461" spans="1:11" s="385" customFormat="1" ht="15.75" customHeight="1" x14ac:dyDescent="0.2">
      <c r="A461" s="354" t="s">
        <v>394</v>
      </c>
      <c r="B461" s="344" t="s">
        <v>446</v>
      </c>
      <c r="C461" s="502">
        <f ca="1">(I265+C421+C422)-C453</f>
        <v>1.3497187511038042E-6</v>
      </c>
      <c r="D461" s="402" t="s">
        <v>302</v>
      </c>
      <c r="E461" s="525">
        <f ca="1">(C461/Units!C$14)*Units!C104</f>
        <v>9.9987165081769818E-8</v>
      </c>
      <c r="F461" s="344" t="s">
        <v>446</v>
      </c>
      <c r="G461" s="526">
        <f t="shared" ca="1" si="17"/>
        <v>8.2532806029727044E-7</v>
      </c>
      <c r="H461" s="402" t="s">
        <v>302</v>
      </c>
      <c r="I461" s="469">
        <f t="shared" ca="1" si="18"/>
        <v>6.1140302706821797E-8</v>
      </c>
      <c r="J461" s="344" t="s">
        <v>1251</v>
      </c>
      <c r="K461" s="469">
        <f t="shared" ca="1" si="19"/>
        <v>4.5617924427804711E-5</v>
      </c>
    </row>
    <row r="462" spans="1:11" s="385" customFormat="1" ht="15.75" customHeight="1" x14ac:dyDescent="0.2">
      <c r="A462" s="354" t="s">
        <v>396</v>
      </c>
      <c r="B462" s="344" t="s">
        <v>446</v>
      </c>
      <c r="C462" s="502">
        <f ca="1">(I266+C423+C424)-C454</f>
        <v>19.902450853478317</v>
      </c>
      <c r="D462" s="402" t="s">
        <v>302</v>
      </c>
      <c r="E462" s="525">
        <f ca="1">(C462/Units!C$14)*Units!C105</f>
        <v>1.7536049446999746</v>
      </c>
      <c r="F462" s="344" t="s">
        <v>446</v>
      </c>
      <c r="G462" s="526">
        <f t="shared" ca="1" si="17"/>
        <v>12.169980704965193</v>
      </c>
      <c r="H462" s="402" t="s">
        <v>302</v>
      </c>
      <c r="I462" s="469">
        <f t="shared" ca="1" si="18"/>
        <v>1.0722969999144831</v>
      </c>
      <c r="J462" s="344" t="s">
        <v>1251</v>
      </c>
      <c r="K462" s="469">
        <f t="shared" ca="1" si="19"/>
        <v>672.66495202765827</v>
      </c>
    </row>
    <row r="463" spans="1:11" s="385" customFormat="1" ht="15.75" customHeight="1" x14ac:dyDescent="0.2">
      <c r="A463" s="354" t="s">
        <v>395</v>
      </c>
      <c r="B463" s="344" t="s">
        <v>446</v>
      </c>
      <c r="C463" s="502">
        <f ca="1">(I267+C425+C426)-C455</f>
        <v>0.9126848150144008</v>
      </c>
      <c r="D463" s="402" t="s">
        <v>302</v>
      </c>
      <c r="E463" s="525">
        <f ca="1">(C463/Units!C$14)*Units!C106</f>
        <v>8.0416659050918854E-2</v>
      </c>
      <c r="F463" s="344" t="s">
        <v>446</v>
      </c>
      <c r="G463" s="526">
        <f t="shared" ca="1" si="17"/>
        <v>0.55808988903991041</v>
      </c>
      <c r="H463" s="402" t="s">
        <v>302</v>
      </c>
      <c r="I463" s="469">
        <f t="shared" ca="1" si="18"/>
        <v>4.91733001233065E-2</v>
      </c>
      <c r="J463" s="344" t="s">
        <v>1251</v>
      </c>
      <c r="K463" s="469">
        <f t="shared" ca="1" si="19"/>
        <v>30.847009337080635</v>
      </c>
    </row>
    <row r="464" spans="1:11" s="385" customFormat="1" ht="15.75" customHeight="1" x14ac:dyDescent="0.2">
      <c r="A464" s="354" t="s">
        <v>397</v>
      </c>
      <c r="B464" s="344" t="s">
        <v>446</v>
      </c>
      <c r="C464" s="502">
        <f ca="1">(I268+C427+C428)-C456</f>
        <v>10.11525848476211</v>
      </c>
      <c r="D464" s="402" t="s">
        <v>302</v>
      </c>
      <c r="E464" s="525">
        <f ca="1">(C464/Units!C$14)*Units!C107</f>
        <v>1.0330713490487544</v>
      </c>
      <c r="F464" s="344" t="s">
        <v>446</v>
      </c>
      <c r="G464" s="526">
        <f t="shared" ca="1" si="17"/>
        <v>6.1852935345284834</v>
      </c>
      <c r="H464" s="402" t="s">
        <v>302</v>
      </c>
      <c r="I464" s="469">
        <f t="shared" ca="1" si="18"/>
        <v>0.63170402868139408</v>
      </c>
      <c r="J464" s="344" t="s">
        <v>1251</v>
      </c>
      <c r="K464" s="469">
        <f t="shared" ca="1" si="19"/>
        <v>341.8764811174355</v>
      </c>
    </row>
    <row r="465" spans="1:11" s="385" customFormat="1" ht="15.75" customHeight="1" x14ac:dyDescent="0.2">
      <c r="A465" s="354" t="s">
        <v>398</v>
      </c>
      <c r="B465" s="344" t="s">
        <v>446</v>
      </c>
      <c r="C465" s="502">
        <f ca="1">(I269+C429+C430)-C457</f>
        <v>1.8550634181858454E-7</v>
      </c>
      <c r="D465" s="402" t="s">
        <v>302</v>
      </c>
      <c r="E465" s="525">
        <f ca="1">(C465/Units!C$14)*Units!C108</f>
        <v>1.8945762689932039E-8</v>
      </c>
      <c r="F465" s="344" t="s">
        <v>446</v>
      </c>
      <c r="G465" s="526">
        <f t="shared" ca="1" si="17"/>
        <v>1.134336980506244E-7</v>
      </c>
      <c r="H465" s="402" t="s">
        <v>302</v>
      </c>
      <c r="I465" s="469">
        <f t="shared" ca="1" si="18"/>
        <v>1.158498358191027E-8</v>
      </c>
      <c r="J465" s="344" t="s">
        <v>1251</v>
      </c>
      <c r="K465" s="469">
        <f t="shared" ca="1" si="19"/>
        <v>6.2697612188006641E-6</v>
      </c>
    </row>
    <row r="466" spans="1:11" s="385" customFormat="1" ht="15.75" customHeight="1" x14ac:dyDescent="0.2">
      <c r="A466" s="354" t="s">
        <v>578</v>
      </c>
      <c r="B466" s="344" t="s">
        <v>446</v>
      </c>
      <c r="C466" s="502">
        <f ca="1">(I270+C431+C432)-C458</f>
        <v>3.1239370182405488</v>
      </c>
      <c r="D466" s="402" t="s">
        <v>302</v>
      </c>
      <c r="E466" s="525">
        <f ca="1">(C466/Units!C$14)*Units!C109</f>
        <v>0.36287652403882215</v>
      </c>
      <c r="F466" s="344" t="s">
        <v>446</v>
      </c>
      <c r="G466" s="526">
        <f t="shared" ca="1" si="17"/>
        <v>1.9102297257460426</v>
      </c>
      <c r="H466" s="402" t="s">
        <v>302</v>
      </c>
      <c r="I466" s="469">
        <f t="shared" ca="1" si="18"/>
        <v>0.22189228494266028</v>
      </c>
      <c r="J466" s="344" t="s">
        <v>1251</v>
      </c>
      <c r="K466" s="469">
        <f t="shared" ca="1" si="19"/>
        <v>105.58312440927108</v>
      </c>
    </row>
    <row r="467" spans="1:11" s="385" customFormat="1" ht="15.75" customHeight="1" x14ac:dyDescent="0.2">
      <c r="A467" s="355" t="s">
        <v>407</v>
      </c>
      <c r="B467" s="347" t="s">
        <v>446</v>
      </c>
      <c r="C467" s="529">
        <f ca="1">(I271+C433+C434)-C459</f>
        <v>2.0761130016974032E-7</v>
      </c>
      <c r="D467" s="494" t="s">
        <v>302</v>
      </c>
      <c r="E467" s="527">
        <f ca="1">(C467/Units!C$14)*Units!C110</f>
        <v>2.7026839056096798E-8</v>
      </c>
      <c r="F467" s="347" t="s">
        <v>446</v>
      </c>
      <c r="G467" s="528">
        <f t="shared" ca="1" si="17"/>
        <v>1.2695047136654038E-7</v>
      </c>
      <c r="H467" s="494" t="s">
        <v>302</v>
      </c>
      <c r="I467" s="474">
        <f t="shared" ca="1" si="18"/>
        <v>1.6526412362496231E-8</v>
      </c>
      <c r="J467" s="347" t="s">
        <v>1251</v>
      </c>
      <c r="K467" s="474">
        <f t="shared" ca="1" si="19"/>
        <v>7.0168667314996141E-6</v>
      </c>
    </row>
    <row r="468" spans="1:11" s="385" customFormat="1" ht="15.75" customHeight="1" x14ac:dyDescent="0.2">
      <c r="A468" s="371" t="s">
        <v>1664</v>
      </c>
      <c r="B468" s="341" t="s">
        <v>1666</v>
      </c>
      <c r="C468" s="518">
        <f>10^(C$409-Units!C384)</f>
        <v>316227766.01683807</v>
      </c>
      <c r="D468" s="496"/>
      <c r="E468" s="525"/>
      <c r="F468" s="406"/>
      <c r="I468" s="386"/>
      <c r="J468" s="406"/>
      <c r="K468" s="386"/>
    </row>
    <row r="469" spans="1:11" s="385" customFormat="1" ht="15.75" customHeight="1" x14ac:dyDescent="0.2">
      <c r="A469" s="354"/>
      <c r="B469" s="172" t="s">
        <v>1665</v>
      </c>
      <c r="C469" s="502">
        <f>10^(C$409-Units!C385)</f>
        <v>6309.5734448019384</v>
      </c>
      <c r="D469" s="496"/>
      <c r="E469" s="525"/>
      <c r="F469" s="406"/>
      <c r="I469" s="386"/>
      <c r="J469" s="406"/>
      <c r="K469" s="386"/>
    </row>
    <row r="470" spans="1:11" s="385" customFormat="1" ht="15.75" customHeight="1" x14ac:dyDescent="0.2">
      <c r="A470" s="355"/>
      <c r="B470" s="178" t="s">
        <v>461</v>
      </c>
      <c r="C470" s="529">
        <f>10^(C$409-Units!C386)</f>
        <v>5.0118723362727137E-2</v>
      </c>
      <c r="D470" s="496"/>
      <c r="E470" s="525"/>
      <c r="F470" s="406"/>
      <c r="I470" s="386"/>
      <c r="J470" s="406"/>
      <c r="K470" s="386"/>
    </row>
    <row r="471" spans="1:11" s="385" customFormat="1" ht="15.75" customHeight="1" x14ac:dyDescent="0.2">
      <c r="A471" s="354" t="s">
        <v>474</v>
      </c>
      <c r="B471" s="400" t="s">
        <v>376</v>
      </c>
      <c r="C471" s="518">
        <f ca="1">C472*C470</f>
        <v>1.8099155541589538E-4</v>
      </c>
      <c r="D471" s="400" t="s">
        <v>302</v>
      </c>
      <c r="E471" s="401">
        <f ca="1">C471*Units!C127</f>
        <v>1.7188768017847585E-2</v>
      </c>
      <c r="F471" s="400" t="s">
        <v>376</v>
      </c>
      <c r="G471" s="530">
        <f ca="1">C471*(C$389/E$414)</f>
        <v>1.106729896427871E-4</v>
      </c>
      <c r="H471" s="400" t="s">
        <v>302</v>
      </c>
      <c r="I471" s="467">
        <f ca="1">E471*(C$389/E$414)</f>
        <v>1.0510613826375491E-2</v>
      </c>
      <c r="J471" s="342" t="s">
        <v>1251</v>
      </c>
      <c r="K471" s="467">
        <f ca="1">G471*C$414</f>
        <v>6.1171700328538705</v>
      </c>
    </row>
    <row r="472" spans="1:11" s="385" customFormat="1" ht="15.75" customHeight="1" x14ac:dyDescent="0.2">
      <c r="A472" s="354" t="s">
        <v>475</v>
      </c>
      <c r="B472" s="402" t="s">
        <v>376</v>
      </c>
      <c r="C472" s="502">
        <f ca="1">C473*C469</f>
        <v>3.6112562984893836E-3</v>
      </c>
      <c r="D472" s="402" t="s">
        <v>302</v>
      </c>
      <c r="E472" s="403">
        <f ca="1">C472*Units!C126</f>
        <v>0.34660837952901102</v>
      </c>
      <c r="F472" s="402" t="s">
        <v>376</v>
      </c>
      <c r="G472" s="531">
        <f ca="1">C472*(C$389/E$414)</f>
        <v>2.2082164551919465E-3</v>
      </c>
      <c r="H472" s="402" t="s">
        <v>302</v>
      </c>
      <c r="I472" s="469">
        <f ca="1">E472*(C$389/E$414)</f>
        <v>0.21194461536932302</v>
      </c>
      <c r="J472" s="344" t="s">
        <v>1251</v>
      </c>
      <c r="K472" s="469">
        <f ca="1">G472*C$414</f>
        <v>122.05358840810295</v>
      </c>
    </row>
    <row r="473" spans="1:11" s="385" customFormat="1" ht="15.75" customHeight="1" x14ac:dyDescent="0.2">
      <c r="A473" s="354" t="s">
        <v>425</v>
      </c>
      <c r="B473" s="402" t="s">
        <v>376</v>
      </c>
      <c r="C473" s="502">
        <f ca="1">C474*C468</f>
        <v>5.7234555237081374E-7</v>
      </c>
      <c r="D473" s="402" t="s">
        <v>302</v>
      </c>
      <c r="E473" s="403">
        <f ca="1">C473*Units!C125</f>
        <v>5.5511795124445219E-5</v>
      </c>
      <c r="F473" s="402" t="s">
        <v>376</v>
      </c>
      <c r="G473" s="531">
        <f ca="1">C473*(C$389/E$414)</f>
        <v>3.4997872273143242E-7</v>
      </c>
      <c r="H473" s="402" t="s">
        <v>302</v>
      </c>
      <c r="I473" s="469">
        <f ca="1">E473*(C$389/E$414)</f>
        <v>3.3944436317721623E-5</v>
      </c>
      <c r="J473" s="344" t="s">
        <v>1251</v>
      </c>
      <c r="K473" s="469">
        <f ca="1">G473*C$414</f>
        <v>1.9344190138345287E-2</v>
      </c>
    </row>
    <row r="474" spans="1:11" s="385" customFormat="1" ht="15.75" customHeight="1" x14ac:dyDescent="0.2">
      <c r="A474" s="355" t="s">
        <v>424</v>
      </c>
      <c r="B474" s="494" t="s">
        <v>376</v>
      </c>
      <c r="C474" s="529">
        <f ca="1">((G322+E440+E441+E442+E443)*(1-C391))/((C468*C469*C470*Units!C$127)+(ExpBase!C469*ExpBase!C468*Units!C$126)+(ExpBase!C468*Units!C$125)+(Units!C$124))</f>
        <v>1.8099155541589548E-15</v>
      </c>
      <c r="D474" s="494" t="s">
        <v>302</v>
      </c>
      <c r="E474" s="405">
        <f ca="1">C474*Units!C124</f>
        <v>1.7736086481425262E-13</v>
      </c>
      <c r="F474" s="494" t="s">
        <v>376</v>
      </c>
      <c r="G474" s="532">
        <f ca="1">C474*(C$389/E$414)</f>
        <v>1.1067298964278717E-15</v>
      </c>
      <c r="H474" s="494" t="s">
        <v>302</v>
      </c>
      <c r="I474" s="474">
        <f ca="1">E474*(C$389/E$414)</f>
        <v>1.0845288947055285E-13</v>
      </c>
      <c r="J474" s="347" t="s">
        <v>1251</v>
      </c>
      <c r="K474" s="474">
        <f ca="1">G474*C$414</f>
        <v>6.1171700328538749E-11</v>
      </c>
    </row>
    <row r="475" spans="1:11" s="385" customFormat="1" ht="15.75" customHeight="1" x14ac:dyDescent="0.2">
      <c r="A475" s="371" t="s">
        <v>1667</v>
      </c>
      <c r="B475" s="400" t="s">
        <v>1665</v>
      </c>
      <c r="C475" s="518">
        <f>10^(C409-Units!C373)</f>
        <v>31622776601683.871</v>
      </c>
      <c r="D475" s="496"/>
      <c r="E475" s="403"/>
      <c r="F475" s="406"/>
      <c r="I475" s="386"/>
      <c r="J475" s="406"/>
      <c r="K475" s="386"/>
    </row>
    <row r="476" spans="1:11" s="385" customFormat="1" ht="15.75" customHeight="1" x14ac:dyDescent="0.2">
      <c r="A476" s="355"/>
      <c r="B476" s="494" t="s">
        <v>461</v>
      </c>
      <c r="C476" s="529">
        <f>10^(C409-Units!C383)</f>
        <v>501187233.62727159</v>
      </c>
      <c r="D476" s="496"/>
      <c r="E476" s="403"/>
      <c r="F476" s="406"/>
      <c r="I476" s="386"/>
      <c r="J476" s="406"/>
      <c r="K476" s="386"/>
    </row>
    <row r="477" spans="1:11" s="385" customFormat="1" ht="15.75" customHeight="1" x14ac:dyDescent="0.2">
      <c r="A477" s="371" t="s">
        <v>480</v>
      </c>
      <c r="B477" s="400" t="s">
        <v>376</v>
      </c>
      <c r="C477" s="401">
        <f ca="1">C478*C476</f>
        <v>1.0785614882364842E-2</v>
      </c>
      <c r="D477" s="400" t="s">
        <v>302</v>
      </c>
      <c r="E477" s="401">
        <f ca="1">C477*Units!C130</f>
        <v>1.0360661655999668</v>
      </c>
      <c r="F477" s="400" t="s">
        <v>376</v>
      </c>
      <c r="G477" s="398">
        <f ca="1">C477*(C$389/E$414)</f>
        <v>6.5952040769202717E-3</v>
      </c>
      <c r="H477" s="400" t="s">
        <v>302</v>
      </c>
      <c r="I477" s="467">
        <f ca="1">E477*(C$389/E$414)</f>
        <v>0.63353530362896138</v>
      </c>
      <c r="J477" s="342" t="s">
        <v>1251</v>
      </c>
      <c r="K477" s="399">
        <f ca="1">G477*C$414</f>
        <v>364.53325124864108</v>
      </c>
    </row>
    <row r="478" spans="1:11" s="385" customFormat="1" ht="15.75" customHeight="1" x14ac:dyDescent="0.2">
      <c r="A478" s="354" t="s">
        <v>430</v>
      </c>
      <c r="B478" s="402" t="s">
        <v>376</v>
      </c>
      <c r="C478" s="403">
        <f ca="1">C475*C479</f>
        <v>2.1520130918550105E-11</v>
      </c>
      <c r="D478" s="402" t="s">
        <v>302</v>
      </c>
      <c r="E478" s="403">
        <f ca="1">C478*Units!C129</f>
        <v>2.0888299874781474E-9</v>
      </c>
      <c r="F478" s="402" t="s">
        <v>376</v>
      </c>
      <c r="G478" s="534">
        <f ca="1">C478*(C$389/E$414)</f>
        <v>1.3159162154208154E-11</v>
      </c>
      <c r="H478" s="402" t="s">
        <v>302</v>
      </c>
      <c r="I478" s="469">
        <f ca="1">E478*(C$389/E$414)</f>
        <v>1.2772809153360603E-9</v>
      </c>
      <c r="J478" s="344" t="s">
        <v>1251</v>
      </c>
      <c r="K478" s="386">
        <f ca="1">G478*C$414</f>
        <v>7.2733945876949692E-7</v>
      </c>
    </row>
    <row r="479" spans="1:11" s="385" customFormat="1" ht="15.75" customHeight="1" x14ac:dyDescent="0.2">
      <c r="A479" s="355" t="s">
        <v>428</v>
      </c>
      <c r="B479" s="494" t="s">
        <v>376</v>
      </c>
      <c r="C479" s="405">
        <f ca="1">(G337+E437+E438+E439)/((C475*C476*Units!C130)+(C476*Units!C129)+(Units!C128))</f>
        <v>6.8052629247629656E-25</v>
      </c>
      <c r="D479" s="494" t="s">
        <v>302</v>
      </c>
      <c r="E479" s="405">
        <f ca="1">C479*Units!C128</f>
        <v>6.6745338239782683E-23</v>
      </c>
      <c r="F479" s="494" t="s">
        <v>376</v>
      </c>
      <c r="G479" s="535">
        <f ca="1">C479*(C$389/E$414)</f>
        <v>4.1612924506785549E-25</v>
      </c>
      <c r="H479" s="494" t="s">
        <v>302</v>
      </c>
      <c r="I479" s="474">
        <f ca="1">E479*(C$389/E$414)</f>
        <v>4.0813540227010191E-23</v>
      </c>
      <c r="J479" s="347" t="s">
        <v>1251</v>
      </c>
      <c r="K479" s="393">
        <f ca="1">G479*C$414</f>
        <v>2.3000493218257345E-20</v>
      </c>
    </row>
    <row r="480" spans="1:11" s="385" customFormat="1" ht="15.75" customHeight="1" x14ac:dyDescent="0.2">
      <c r="A480" s="476" t="s">
        <v>1668</v>
      </c>
      <c r="B480" s="511" t="s">
        <v>461</v>
      </c>
      <c r="C480" s="501">
        <f>10^(C409-Units!C381)</f>
        <v>91.201083935591214</v>
      </c>
      <c r="D480" s="496"/>
      <c r="E480" s="403"/>
      <c r="F480" s="406"/>
      <c r="I480" s="386"/>
      <c r="J480" s="406"/>
      <c r="K480" s="386"/>
    </row>
    <row r="481" spans="1:17" s="385" customFormat="1" ht="15.75" customHeight="1" x14ac:dyDescent="0.2">
      <c r="A481" s="354" t="s">
        <v>1369</v>
      </c>
      <c r="B481" s="400" t="s">
        <v>376</v>
      </c>
      <c r="C481" s="401">
        <f ca="1">C482*C480</f>
        <v>0.52409617682607301</v>
      </c>
      <c r="D481" s="400" t="s">
        <v>302</v>
      </c>
      <c r="E481" s="401">
        <f ca="1">C481*Units!C121</f>
        <v>8.9258819875248481</v>
      </c>
      <c r="F481" s="400" t="s">
        <v>376</v>
      </c>
      <c r="G481" s="533">
        <f ca="1">C481*(C$389/E$414)</f>
        <v>0.3204751217061601</v>
      </c>
      <c r="H481" s="400" t="s">
        <v>302</v>
      </c>
      <c r="I481" s="467">
        <f ca="1">E481*(C$389/E$414)</f>
        <v>5.4580117977776119</v>
      </c>
      <c r="J481" s="342" t="s">
        <v>1251</v>
      </c>
      <c r="K481" s="399">
        <f ca="1">G481*C$414</f>
        <v>17713.453093691547</v>
      </c>
    </row>
    <row r="482" spans="1:17" s="385" customFormat="1" ht="15.75" customHeight="1" x14ac:dyDescent="0.2">
      <c r="A482" s="355" t="s">
        <v>1370</v>
      </c>
      <c r="B482" s="494" t="s">
        <v>376</v>
      </c>
      <c r="C482" s="405">
        <f ca="1">(G350+E444+E445)/((C480*Units!C121)+(Units!C122))</f>
        <v>5.7466003057179077E-3</v>
      </c>
      <c r="D482" s="494" t="s">
        <v>302</v>
      </c>
      <c r="E482" s="405">
        <f ca="1">C482*Units!C122</f>
        <v>0.10366866951515105</v>
      </c>
      <c r="F482" s="494" t="s">
        <v>376</v>
      </c>
      <c r="G482" s="535">
        <f ca="1">C482*(C$389/E$414)</f>
        <v>3.5139398335713723E-3</v>
      </c>
      <c r="H482" s="494" t="s">
        <v>302</v>
      </c>
      <c r="I482" s="474">
        <f ca="1">E482*(C$389/E$414)</f>
        <v>6.3391474597627548E-2</v>
      </c>
      <c r="J482" s="347" t="s">
        <v>1251</v>
      </c>
      <c r="K482" s="393">
        <f ca="1">G482*C$414</f>
        <v>194.22415095637777</v>
      </c>
    </row>
    <row r="483" spans="1:17" s="385" customFormat="1" ht="15.75" customHeight="1" x14ac:dyDescent="0.2">
      <c r="A483" s="376"/>
      <c r="B483" s="495"/>
      <c r="C483" s="392"/>
      <c r="D483" s="495"/>
      <c r="E483" s="405"/>
      <c r="F483" s="404"/>
      <c r="G483" s="391"/>
      <c r="H483" s="391"/>
      <c r="I483" s="393"/>
      <c r="J483" s="404"/>
      <c r="K483" s="393"/>
    </row>
    <row r="484" spans="1:17" s="385" customFormat="1" ht="15.75" customHeight="1" x14ac:dyDescent="0.2">
      <c r="A484" s="76"/>
      <c r="B484" s="496"/>
      <c r="C484" s="389"/>
      <c r="D484" s="496"/>
      <c r="E484" s="389"/>
    </row>
    <row r="485" spans="1:17" s="385" customFormat="1" ht="15.75" customHeight="1" x14ac:dyDescent="0.2">
      <c r="A485" s="536" t="s">
        <v>1681</v>
      </c>
      <c r="B485" s="537" t="s">
        <v>1675</v>
      </c>
      <c r="C485" s="538"/>
      <c r="D485" s="539"/>
      <c r="E485" s="540"/>
      <c r="F485" s="541" t="s">
        <v>2178</v>
      </c>
      <c r="G485" s="542"/>
      <c r="H485" s="543"/>
      <c r="I485" s="542"/>
      <c r="J485" s="544" t="s">
        <v>2179</v>
      </c>
      <c r="K485" s="545"/>
      <c r="L485" s="546"/>
      <c r="M485" s="545"/>
      <c r="N485" s="547" t="s">
        <v>2180</v>
      </c>
      <c r="O485" s="548"/>
      <c r="P485" s="549"/>
      <c r="Q485" s="550"/>
    </row>
    <row r="486" spans="1:17" s="385" customFormat="1" ht="15.75" customHeight="1" x14ac:dyDescent="0.2">
      <c r="B486" s="1535" t="s">
        <v>1679</v>
      </c>
      <c r="C486" s="1536"/>
      <c r="D486" s="1538" t="s">
        <v>2290</v>
      </c>
      <c r="E486" s="1539"/>
      <c r="F486" s="1538" t="s">
        <v>1680</v>
      </c>
      <c r="G486" s="1539"/>
      <c r="H486" s="1535" t="s">
        <v>1679</v>
      </c>
      <c r="I486" s="1536"/>
      <c r="J486" s="1538" t="s">
        <v>1680</v>
      </c>
      <c r="K486" s="1539"/>
      <c r="L486" s="1535" t="s">
        <v>1679</v>
      </c>
      <c r="M486" s="1536"/>
      <c r="N486" s="1538" t="s">
        <v>2181</v>
      </c>
      <c r="O486" s="1539"/>
      <c r="P486" s="1535" t="s">
        <v>2182</v>
      </c>
      <c r="Q486" s="1536"/>
    </row>
    <row r="487" spans="1:17" s="385" customFormat="1" ht="15.75" customHeight="1" x14ac:dyDescent="0.2">
      <c r="A487" s="373" t="s">
        <v>580</v>
      </c>
      <c r="B487" s="373" t="s">
        <v>372</v>
      </c>
      <c r="C487" s="373" t="s">
        <v>42</v>
      </c>
      <c r="D487" s="374" t="s">
        <v>372</v>
      </c>
      <c r="E487" s="373" t="s">
        <v>42</v>
      </c>
      <c r="F487" s="373" t="s">
        <v>372</v>
      </c>
      <c r="G487" s="373" t="s">
        <v>42</v>
      </c>
      <c r="H487" s="373" t="s">
        <v>372</v>
      </c>
      <c r="I487" s="373" t="s">
        <v>42</v>
      </c>
      <c r="J487" s="373" t="s">
        <v>372</v>
      </c>
      <c r="K487" s="373" t="s">
        <v>42</v>
      </c>
      <c r="L487" s="373" t="s">
        <v>372</v>
      </c>
      <c r="M487" s="373" t="s">
        <v>42</v>
      </c>
      <c r="N487" s="373" t="s">
        <v>372</v>
      </c>
      <c r="O487" s="373" t="s">
        <v>42</v>
      </c>
      <c r="P487" s="373" t="s">
        <v>372</v>
      </c>
      <c r="Q487" s="373" t="s">
        <v>42</v>
      </c>
    </row>
    <row r="488" spans="1:17" s="385" customFormat="1" ht="15.75" customHeight="1" x14ac:dyDescent="0.2">
      <c r="A488" s="316" t="s">
        <v>482</v>
      </c>
      <c r="B488" s="400" t="s">
        <v>2723</v>
      </c>
      <c r="C488" s="401">
        <f>6.7</f>
        <v>6.7</v>
      </c>
      <c r="D488" s="400" t="s">
        <v>1677</v>
      </c>
      <c r="E488" s="401">
        <f ca="1">E481-C488</f>
        <v>2.2258819875248479</v>
      </c>
      <c r="F488" s="400" t="s">
        <v>1677</v>
      </c>
      <c r="G488" s="467">
        <f>0</f>
        <v>0</v>
      </c>
      <c r="H488" s="400" t="s">
        <v>1677</v>
      </c>
      <c r="I488" s="469">
        <f>C488-(C488*0.999)</f>
        <v>6.7000000000003723E-3</v>
      </c>
      <c r="J488" s="400" t="s">
        <v>1677</v>
      </c>
      <c r="K488" s="467">
        <f>I488*Inputs!F407</f>
        <v>5.0920000000002829E-3</v>
      </c>
      <c r="L488" s="400" t="s">
        <v>1677</v>
      </c>
      <c r="M488" s="467">
        <f t="shared" ref="M488:M505" si="20">I488-K488</f>
        <v>1.6080000000000894E-3</v>
      </c>
      <c r="N488" s="400" t="s">
        <v>1677</v>
      </c>
      <c r="O488" s="467">
        <f>G488+K488</f>
        <v>5.0920000000002829E-3</v>
      </c>
      <c r="P488" s="400" t="s">
        <v>2183</v>
      </c>
      <c r="Q488" s="467">
        <f>O488/Units!C121</f>
        <v>2.989842052727546E-4</v>
      </c>
    </row>
    <row r="489" spans="1:17" s="385" customFormat="1" ht="15.75" customHeight="1" x14ac:dyDescent="0.2">
      <c r="A489" s="318" t="s">
        <v>1678</v>
      </c>
      <c r="B489" s="494" t="s">
        <v>2724</v>
      </c>
      <c r="C489" s="405">
        <v>0</v>
      </c>
      <c r="D489" s="494" t="s">
        <v>1676</v>
      </c>
      <c r="E489" s="405">
        <f ca="1">E482-C489</f>
        <v>0.10366866951515105</v>
      </c>
      <c r="F489" s="494" t="s">
        <v>2305</v>
      </c>
      <c r="G489" s="474">
        <f ca="1">(C543*Units!C123)</f>
        <v>1.5373498693287695</v>
      </c>
      <c r="H489" s="494" t="s">
        <v>1676</v>
      </c>
      <c r="I489" s="474">
        <v>0</v>
      </c>
      <c r="J489" s="494" t="s">
        <v>1676</v>
      </c>
      <c r="K489" s="474">
        <f>I489*Inputs!F408</f>
        <v>0</v>
      </c>
      <c r="L489" s="494" t="s">
        <v>1676</v>
      </c>
      <c r="M489" s="474">
        <f t="shared" si="20"/>
        <v>0</v>
      </c>
      <c r="N489" s="494" t="s">
        <v>1676</v>
      </c>
      <c r="O489" s="474">
        <f t="shared" ref="O489:O505" ca="1" si="21">G489+K489</f>
        <v>1.5373498693287695</v>
      </c>
      <c r="P489" s="494" t="s">
        <v>2184</v>
      </c>
      <c r="Q489" s="474">
        <f ca="1">O489/Units!C122</f>
        <v>8.5218950627980572E-2</v>
      </c>
    </row>
    <row r="490" spans="1:17" s="385" customFormat="1" ht="15.75" customHeight="1" x14ac:dyDescent="0.2">
      <c r="A490" s="317" t="s">
        <v>1654</v>
      </c>
      <c r="B490" s="400" t="s">
        <v>302</v>
      </c>
      <c r="C490" s="401">
        <f ca="1">E452*Inputs!F$408</f>
        <v>4.8703193758539281E-8</v>
      </c>
      <c r="D490" s="400" t="s">
        <v>302</v>
      </c>
      <c r="E490" s="518">
        <f t="shared" ref="E490:E505" ca="1" si="22">E452-C490</f>
        <v>2.3864564941684248E-6</v>
      </c>
      <c r="F490" s="400" t="s">
        <v>302</v>
      </c>
      <c r="G490" s="467">
        <f ca="1">C490*Inputs!F$407</f>
        <v>3.7014427256489852E-8</v>
      </c>
      <c r="H490" s="400" t="s">
        <v>302</v>
      </c>
      <c r="I490" s="467">
        <f t="shared" ref="I490:I505" ca="1" si="23">C490-G490</f>
        <v>1.1688766502049429E-8</v>
      </c>
      <c r="J490" s="400" t="s">
        <v>302</v>
      </c>
      <c r="K490" s="533">
        <f ca="1">I490*Inputs!F$407</f>
        <v>8.8834625415575666E-9</v>
      </c>
      <c r="L490" s="400" t="s">
        <v>302</v>
      </c>
      <c r="M490" s="467">
        <f t="shared" ca="1" si="20"/>
        <v>2.8053039604918624E-9</v>
      </c>
      <c r="N490" s="400" t="s">
        <v>302</v>
      </c>
      <c r="O490" s="467">
        <f t="shared" ca="1" si="21"/>
        <v>4.5897889798047417E-8</v>
      </c>
      <c r="P490" s="400" t="s">
        <v>376</v>
      </c>
      <c r="Q490" s="467">
        <f ca="1">O490/Units!C103</f>
        <v>7.6432789005907444E-10</v>
      </c>
    </row>
    <row r="491" spans="1:17" s="385" customFormat="1" ht="15.75" customHeight="1" x14ac:dyDescent="0.2">
      <c r="A491" s="317" t="s">
        <v>1655</v>
      </c>
      <c r="B491" s="402" t="s">
        <v>302</v>
      </c>
      <c r="C491" s="403">
        <f ca="1">E453*Inputs!F$408</f>
        <v>2.8510995687907955E-15</v>
      </c>
      <c r="D491" s="402" t="s">
        <v>302</v>
      </c>
      <c r="E491" s="502">
        <f t="shared" ca="1" si="22"/>
        <v>1.3970387887074898E-13</v>
      </c>
      <c r="F491" s="402" t="s">
        <v>302</v>
      </c>
      <c r="G491" s="469">
        <f ca="1">C491*Inputs!F$407</f>
        <v>2.1668356722810046E-15</v>
      </c>
      <c r="H491" s="402" t="s">
        <v>302</v>
      </c>
      <c r="I491" s="469">
        <f t="shared" ca="1" si="23"/>
        <v>6.8426389650979092E-16</v>
      </c>
      <c r="J491" s="402" t="s">
        <v>302</v>
      </c>
      <c r="K491" s="534">
        <f ca="1">I491*Inputs!F$407</f>
        <v>5.2004056134744115E-16</v>
      </c>
      <c r="L491" s="402" t="s">
        <v>302</v>
      </c>
      <c r="M491" s="469">
        <f t="shared" ca="1" si="20"/>
        <v>1.6422333516234977E-16</v>
      </c>
      <c r="N491" s="402" t="s">
        <v>302</v>
      </c>
      <c r="O491" s="469">
        <f t="shared" ca="1" si="21"/>
        <v>2.6868762336284457E-15</v>
      </c>
      <c r="P491" s="402" t="s">
        <v>376</v>
      </c>
      <c r="Q491" s="469">
        <f ca="1">O491/Units!C104</f>
        <v>3.6269927559779235E-17</v>
      </c>
    </row>
    <row r="492" spans="1:17" s="385" customFormat="1" ht="15.75" customHeight="1" x14ac:dyDescent="0.2">
      <c r="A492" s="317" t="s">
        <v>1656</v>
      </c>
      <c r="B492" s="402" t="s">
        <v>302</v>
      </c>
      <c r="C492" s="403">
        <f ca="1">E454*Inputs!F$408</f>
        <v>5.0113497146142601E-8</v>
      </c>
      <c r="D492" s="402" t="s">
        <v>302</v>
      </c>
      <c r="E492" s="502">
        <f t="shared" ca="1" si="22"/>
        <v>2.4555613601609874E-6</v>
      </c>
      <c r="F492" s="402" t="s">
        <v>302</v>
      </c>
      <c r="G492" s="469">
        <f ca="1">C492*Inputs!F$407</f>
        <v>3.8086257831068375E-8</v>
      </c>
      <c r="H492" s="402" t="s">
        <v>302</v>
      </c>
      <c r="I492" s="469">
        <f t="shared" ca="1" si="23"/>
        <v>1.2027239315074226E-8</v>
      </c>
      <c r="J492" s="402" t="s">
        <v>302</v>
      </c>
      <c r="K492" s="534">
        <f ca="1">I492*Inputs!F$407</f>
        <v>9.1407018794564118E-9</v>
      </c>
      <c r="L492" s="402" t="s">
        <v>302</v>
      </c>
      <c r="M492" s="469">
        <f t="shared" ca="1" si="20"/>
        <v>2.8865374356178143E-9</v>
      </c>
      <c r="N492" s="402" t="s">
        <v>302</v>
      </c>
      <c r="O492" s="469">
        <f t="shared" ca="1" si="21"/>
        <v>4.7226959710524787E-8</v>
      </c>
      <c r="P492" s="402" t="s">
        <v>376</v>
      </c>
      <c r="Q492" s="469">
        <f ca="1">O492/Units!C105</f>
        <v>5.3599999671461563E-10</v>
      </c>
    </row>
    <row r="493" spans="1:17" s="385" customFormat="1" ht="15.75" customHeight="1" x14ac:dyDescent="0.2">
      <c r="A493" s="317" t="s">
        <v>1657</v>
      </c>
      <c r="B493" s="402" t="s">
        <v>302</v>
      </c>
      <c r="C493" s="403">
        <f ca="1">E455*Inputs!F$408</f>
        <v>2.2981002796727592E-9</v>
      </c>
      <c r="D493" s="402" t="s">
        <v>302</v>
      </c>
      <c r="E493" s="502">
        <f t="shared" ca="1" si="22"/>
        <v>1.1260691370396519E-7</v>
      </c>
      <c r="F493" s="402" t="s">
        <v>302</v>
      </c>
      <c r="G493" s="469">
        <f ca="1">C493*Inputs!F$407</f>
        <v>1.746556212551297E-9</v>
      </c>
      <c r="H493" s="402" t="s">
        <v>302</v>
      </c>
      <c r="I493" s="469">
        <f t="shared" ca="1" si="23"/>
        <v>5.5154406712146221E-10</v>
      </c>
      <c r="J493" s="402" t="s">
        <v>302</v>
      </c>
      <c r="K493" s="534">
        <f ca="1">I493*Inputs!F$407</f>
        <v>4.1917349101231128E-10</v>
      </c>
      <c r="L493" s="402" t="s">
        <v>302</v>
      </c>
      <c r="M493" s="469">
        <f t="shared" ca="1" si="20"/>
        <v>1.3237057610915093E-10</v>
      </c>
      <c r="N493" s="402" t="s">
        <v>302</v>
      </c>
      <c r="O493" s="469">
        <f t="shared" ca="1" si="21"/>
        <v>2.1657297035636083E-9</v>
      </c>
      <c r="P493" s="402" t="s">
        <v>376</v>
      </c>
      <c r="Q493" s="469">
        <f ca="1">O493/Units!C106</f>
        <v>2.4579840013206312E-11</v>
      </c>
    </row>
    <row r="494" spans="1:17" s="385" customFormat="1" ht="15.75" customHeight="1" x14ac:dyDescent="0.2">
      <c r="A494" s="317" t="s">
        <v>1658</v>
      </c>
      <c r="B494" s="402" t="s">
        <v>302</v>
      </c>
      <c r="C494" s="403">
        <f ca="1">E456*Inputs!F$408</f>
        <v>2.9569504141178267E-8</v>
      </c>
      <c r="D494" s="402" t="s">
        <v>302</v>
      </c>
      <c r="E494" s="502">
        <f t="shared" ca="1" si="22"/>
        <v>1.4489057029177352E-6</v>
      </c>
      <c r="F494" s="402" t="s">
        <v>302</v>
      </c>
      <c r="G494" s="469">
        <f ca="1">C494*Inputs!F$407</f>
        <v>2.2472823147295485E-8</v>
      </c>
      <c r="H494" s="402" t="s">
        <v>302</v>
      </c>
      <c r="I494" s="469">
        <f t="shared" ca="1" si="23"/>
        <v>7.0966809938827825E-9</v>
      </c>
      <c r="J494" s="402" t="s">
        <v>302</v>
      </c>
      <c r="K494" s="534">
        <f ca="1">I494*Inputs!F$407</f>
        <v>5.3934775553509147E-9</v>
      </c>
      <c r="L494" s="402" t="s">
        <v>302</v>
      </c>
      <c r="M494" s="469">
        <f t="shared" ca="1" si="20"/>
        <v>1.7032034385318678E-9</v>
      </c>
      <c r="N494" s="402" t="s">
        <v>302</v>
      </c>
      <c r="O494" s="469">
        <f t="shared" ca="1" si="21"/>
        <v>2.78663007026464E-8</v>
      </c>
      <c r="P494" s="402" t="s">
        <v>376</v>
      </c>
      <c r="Q494" s="469">
        <f ca="1">O494/Units!C107</f>
        <v>2.7285127487169688E-10</v>
      </c>
    </row>
    <row r="495" spans="1:17" s="385" customFormat="1" ht="15.75" customHeight="1" x14ac:dyDescent="0.2">
      <c r="A495" s="354" t="s">
        <v>405</v>
      </c>
      <c r="B495" s="402" t="s">
        <v>302</v>
      </c>
      <c r="C495" s="403">
        <f ca="1">E457*Inputs!F$408</f>
        <v>5.4228278505020025E-16</v>
      </c>
      <c r="D495" s="402" t="s">
        <v>302</v>
      </c>
      <c r="E495" s="502">
        <f t="shared" ca="1" si="22"/>
        <v>2.657185646745981E-14</v>
      </c>
      <c r="F495" s="402" t="s">
        <v>302</v>
      </c>
      <c r="G495" s="469">
        <f ca="1">C495*Inputs!F$407</f>
        <v>4.1213491663815221E-16</v>
      </c>
      <c r="H495" s="402" t="s">
        <v>302</v>
      </c>
      <c r="I495" s="469">
        <f t="shared" ca="1" si="23"/>
        <v>1.3014786841204804E-16</v>
      </c>
      <c r="J495" s="402" t="s">
        <v>302</v>
      </c>
      <c r="K495" s="534">
        <f ca="1">I495*Inputs!F$407</f>
        <v>9.8912379993156513E-17</v>
      </c>
      <c r="L495" s="402" t="s">
        <v>302</v>
      </c>
      <c r="M495" s="469">
        <f t="shared" ca="1" si="20"/>
        <v>3.1235488418891525E-17</v>
      </c>
      <c r="N495" s="402" t="s">
        <v>302</v>
      </c>
      <c r="O495" s="469">
        <f t="shared" ca="1" si="21"/>
        <v>5.1104729663130872E-16</v>
      </c>
      <c r="P495" s="402" t="s">
        <v>376</v>
      </c>
      <c r="Q495" s="469">
        <f ca="1">O495/Units!C108</f>
        <v>5.0038901070332788E-18</v>
      </c>
    </row>
    <row r="496" spans="1:17" s="385" customFormat="1" ht="15.75" customHeight="1" x14ac:dyDescent="0.2">
      <c r="A496" s="354" t="s">
        <v>420</v>
      </c>
      <c r="B496" s="402" t="s">
        <v>302</v>
      </c>
      <c r="C496" s="403">
        <f ca="1">E458*Inputs!F$408</f>
        <v>1.0399110845604173E-8</v>
      </c>
      <c r="D496" s="402" t="s">
        <v>302</v>
      </c>
      <c r="E496" s="502">
        <f t="shared" ca="1" si="22"/>
        <v>5.0955643143460444E-7</v>
      </c>
      <c r="F496" s="402" t="s">
        <v>302</v>
      </c>
      <c r="G496" s="469">
        <f ca="1">C496*Inputs!F$407</f>
        <v>7.9033242426591721E-9</v>
      </c>
      <c r="H496" s="402" t="s">
        <v>302</v>
      </c>
      <c r="I496" s="469">
        <f t="shared" ca="1" si="23"/>
        <v>2.4957866029450007E-9</v>
      </c>
      <c r="J496" s="402" t="s">
        <v>302</v>
      </c>
      <c r="K496" s="534">
        <f ca="1">I496*Inputs!F$407</f>
        <v>1.8967978182382005E-9</v>
      </c>
      <c r="L496" s="402" t="s">
        <v>302</v>
      </c>
      <c r="M496" s="469">
        <f t="shared" ca="1" si="20"/>
        <v>5.9898878470680013E-10</v>
      </c>
      <c r="N496" s="402" t="s">
        <v>302</v>
      </c>
      <c r="O496" s="469">
        <f t="shared" ca="1" si="21"/>
        <v>9.8001220608973718E-9</v>
      </c>
      <c r="P496" s="402" t="s">
        <v>376</v>
      </c>
      <c r="Q496" s="469">
        <f ca="1">O496/Units!C109</f>
        <v>8.4367441984309339E-11</v>
      </c>
    </row>
    <row r="497" spans="1:17" s="385" customFormat="1" ht="15.75" customHeight="1" x14ac:dyDescent="0.2">
      <c r="A497" s="354" t="s">
        <v>1659</v>
      </c>
      <c r="B497" s="402" t="s">
        <v>302</v>
      </c>
      <c r="C497" s="403">
        <f ca="1">E459*Inputs!F$408</f>
        <v>7.7525155045617513E-16</v>
      </c>
      <c r="D497" s="402" t="s">
        <v>302</v>
      </c>
      <c r="E497" s="502">
        <f t="shared" ca="1" si="22"/>
        <v>3.7987325972352583E-14</v>
      </c>
      <c r="F497" s="402" t="s">
        <v>302</v>
      </c>
      <c r="G497" s="469">
        <f ca="1">C497*Inputs!F$407</f>
        <v>5.8919117834669309E-16</v>
      </c>
      <c r="H497" s="402" t="s">
        <v>302</v>
      </c>
      <c r="I497" s="469">
        <f t="shared" ca="1" si="23"/>
        <v>1.8606037210948204E-16</v>
      </c>
      <c r="J497" s="402" t="s">
        <v>302</v>
      </c>
      <c r="K497" s="534">
        <f ca="1">I497*Inputs!F$407</f>
        <v>1.4140588280320635E-16</v>
      </c>
      <c r="L497" s="402" t="s">
        <v>302</v>
      </c>
      <c r="M497" s="469">
        <f t="shared" ca="1" si="20"/>
        <v>4.4654489306275696E-17</v>
      </c>
      <c r="N497" s="402" t="s">
        <v>302</v>
      </c>
      <c r="O497" s="469">
        <f t="shared" ca="1" si="21"/>
        <v>7.3059706114989948E-16</v>
      </c>
      <c r="P497" s="402" t="s">
        <v>376</v>
      </c>
      <c r="Q497" s="469">
        <f ca="1">O497/Units!C110</f>
        <v>5.6122066457973534E-18</v>
      </c>
    </row>
    <row r="498" spans="1:17" s="385" customFormat="1" ht="15.75" customHeight="1" x14ac:dyDescent="0.2">
      <c r="A498" s="354" t="s">
        <v>1652</v>
      </c>
      <c r="B498" s="402" t="s">
        <v>302</v>
      </c>
      <c r="C498" s="403">
        <f ca="1">E460*Inputs!F$408</f>
        <v>3.427078909858812E-2</v>
      </c>
      <c r="D498" s="402" t="s">
        <v>302</v>
      </c>
      <c r="E498" s="403">
        <f t="shared" ca="1" si="22"/>
        <v>1.6792686658308178</v>
      </c>
      <c r="F498" s="402" t="s">
        <v>302</v>
      </c>
      <c r="G498" s="469">
        <f ca="1">C498*Inputs!F$407</f>
        <v>2.604579971492697E-2</v>
      </c>
      <c r="H498" s="402" t="s">
        <v>302</v>
      </c>
      <c r="I498" s="469">
        <f t="shared" ca="1" si="23"/>
        <v>8.22498938366115E-3</v>
      </c>
      <c r="J498" s="402" t="s">
        <v>302</v>
      </c>
      <c r="K498" s="534">
        <f ca="1">I498*Inputs!F$407</f>
        <v>6.2509919315824744E-3</v>
      </c>
      <c r="L498" s="402" t="s">
        <v>302</v>
      </c>
      <c r="M498" s="469">
        <f t="shared" ca="1" si="20"/>
        <v>1.9739974520786756E-3</v>
      </c>
      <c r="N498" s="402" t="s">
        <v>302</v>
      </c>
      <c r="O498" s="469">
        <f t="shared" ca="1" si="21"/>
        <v>3.2296791646509442E-2</v>
      </c>
      <c r="P498" s="402" t="s">
        <v>376</v>
      </c>
      <c r="Q498" s="469">
        <f ca="1">O498*Units!C94</f>
        <v>1.9068025788099174</v>
      </c>
    </row>
    <row r="499" spans="1:17" s="385" customFormat="1" ht="15.75" customHeight="1" x14ac:dyDescent="0.2">
      <c r="A499" s="354" t="s">
        <v>394</v>
      </c>
      <c r="B499" s="402" t="s">
        <v>302</v>
      </c>
      <c r="C499" s="403">
        <f ca="1">E461*Inputs!F$408</f>
        <v>1.9997433016353962E-9</v>
      </c>
      <c r="D499" s="402" t="s">
        <v>302</v>
      </c>
      <c r="E499" s="403">
        <f t="shared" ca="1" si="22"/>
        <v>9.7987421780134425E-8</v>
      </c>
      <c r="F499" s="402" t="s">
        <v>302</v>
      </c>
      <c r="G499" s="469">
        <f ca="1">C499*Inputs!F$407</f>
        <v>1.5198049092429012E-9</v>
      </c>
      <c r="H499" s="402" t="s">
        <v>302</v>
      </c>
      <c r="I499" s="469">
        <f t="shared" ca="1" si="23"/>
        <v>4.7993839239249498E-10</v>
      </c>
      <c r="J499" s="402" t="s">
        <v>302</v>
      </c>
      <c r="K499" s="534">
        <f ca="1">I499*Inputs!F$407</f>
        <v>3.6475317821829619E-10</v>
      </c>
      <c r="L499" s="402" t="s">
        <v>302</v>
      </c>
      <c r="M499" s="469">
        <f t="shared" ca="1" si="20"/>
        <v>1.1518521417419879E-10</v>
      </c>
      <c r="N499" s="402" t="s">
        <v>302</v>
      </c>
      <c r="O499" s="469">
        <f t="shared" ca="1" si="21"/>
        <v>1.8845580874611973E-9</v>
      </c>
      <c r="P499" s="402" t="s">
        <v>376</v>
      </c>
      <c r="Q499" s="469">
        <f ca="1">O499*Units!C95</f>
        <v>1.3770465945078967E-7</v>
      </c>
    </row>
    <row r="500" spans="1:17" s="385" customFormat="1" ht="15.75" customHeight="1" x14ac:dyDescent="0.2">
      <c r="A500" s="354" t="s">
        <v>396</v>
      </c>
      <c r="B500" s="402" t="s">
        <v>302</v>
      </c>
      <c r="C500" s="403">
        <f ca="1">E462*Inputs!F$408</f>
        <v>3.5072098893999495E-2</v>
      </c>
      <c r="D500" s="402" t="s">
        <v>302</v>
      </c>
      <c r="E500" s="403">
        <f t="shared" ca="1" si="22"/>
        <v>1.7185328458059752</v>
      </c>
      <c r="F500" s="402" t="s">
        <v>302</v>
      </c>
      <c r="G500" s="469">
        <f ca="1">C500*Inputs!F$407</f>
        <v>2.6654795159439616E-2</v>
      </c>
      <c r="H500" s="402" t="s">
        <v>302</v>
      </c>
      <c r="I500" s="469">
        <f t="shared" ca="1" si="23"/>
        <v>8.4173037345598792E-3</v>
      </c>
      <c r="J500" s="402" t="s">
        <v>302</v>
      </c>
      <c r="K500" s="534">
        <f ca="1">I500*Inputs!F$407</f>
        <v>6.3971508382655081E-3</v>
      </c>
      <c r="L500" s="402" t="s">
        <v>302</v>
      </c>
      <c r="M500" s="469">
        <f t="shared" ca="1" si="20"/>
        <v>2.0201528962943711E-3</v>
      </c>
      <c r="N500" s="402" t="s">
        <v>302</v>
      </c>
      <c r="O500" s="469">
        <f t="shared" ca="1" si="21"/>
        <v>3.3051945997705126E-2</v>
      </c>
      <c r="P500" s="402" t="s">
        <v>376</v>
      </c>
      <c r="Q500" s="469">
        <f ca="1">O500*Units!C96</f>
        <v>2.8788244964001164</v>
      </c>
    </row>
    <row r="501" spans="1:17" s="385" customFormat="1" ht="15.75" customHeight="1" x14ac:dyDescent="0.2">
      <c r="A501" s="354" t="s">
        <v>395</v>
      </c>
      <c r="B501" s="402" t="s">
        <v>302</v>
      </c>
      <c r="C501" s="403">
        <f ca="1">E463*Inputs!F$408</f>
        <v>1.6083331810183771E-3</v>
      </c>
      <c r="D501" s="402" t="s">
        <v>302</v>
      </c>
      <c r="E501" s="403">
        <f t="shared" ca="1" si="22"/>
        <v>7.8808325869900483E-2</v>
      </c>
      <c r="F501" s="402" t="s">
        <v>302</v>
      </c>
      <c r="G501" s="469">
        <f ca="1">C501*Inputs!F$407</f>
        <v>1.2223332175739666E-3</v>
      </c>
      <c r="H501" s="402" t="s">
        <v>302</v>
      </c>
      <c r="I501" s="469">
        <f t="shared" ca="1" si="23"/>
        <v>3.8599996344441056E-4</v>
      </c>
      <c r="J501" s="402" t="s">
        <v>302</v>
      </c>
      <c r="K501" s="534">
        <f ca="1">I501*Inputs!F$407</f>
        <v>2.9335997221775203E-4</v>
      </c>
      <c r="L501" s="402" t="s">
        <v>302</v>
      </c>
      <c r="M501" s="469">
        <f t="shared" ca="1" si="20"/>
        <v>9.2639991226658525E-5</v>
      </c>
      <c r="N501" s="402" t="s">
        <v>302</v>
      </c>
      <c r="O501" s="469">
        <f t="shared" ca="1" si="21"/>
        <v>1.5156931897917186E-3</v>
      </c>
      <c r="P501" s="402" t="s">
        <v>376</v>
      </c>
      <c r="Q501" s="469">
        <f ca="1">O501*Units!C97</f>
        <v>0.13201687683085869</v>
      </c>
    </row>
    <row r="502" spans="1:17" s="385" customFormat="1" ht="15.75" customHeight="1" x14ac:dyDescent="0.2">
      <c r="A502" s="354" t="s">
        <v>397</v>
      </c>
      <c r="B502" s="402" t="s">
        <v>302</v>
      </c>
      <c r="C502" s="403">
        <f ca="1">E464*Inputs!F$408</f>
        <v>2.0661426980975089E-2</v>
      </c>
      <c r="D502" s="402" t="s">
        <v>302</v>
      </c>
      <c r="E502" s="403">
        <f t="shared" ca="1" si="22"/>
        <v>1.0124099220677794</v>
      </c>
      <c r="F502" s="402" t="s">
        <v>302</v>
      </c>
      <c r="G502" s="469">
        <f ca="1">C502*Inputs!F$407</f>
        <v>1.5702684505541069E-2</v>
      </c>
      <c r="H502" s="402" t="s">
        <v>302</v>
      </c>
      <c r="I502" s="469">
        <f t="shared" ca="1" si="23"/>
        <v>4.9587424754340206E-3</v>
      </c>
      <c r="J502" s="402" t="s">
        <v>302</v>
      </c>
      <c r="K502" s="534">
        <f ca="1">I502*Inputs!F$407</f>
        <v>3.7686442813298559E-3</v>
      </c>
      <c r="L502" s="402" t="s">
        <v>302</v>
      </c>
      <c r="M502" s="469">
        <f t="shared" ca="1" si="20"/>
        <v>1.1900981941041647E-3</v>
      </c>
      <c r="N502" s="402" t="s">
        <v>302</v>
      </c>
      <c r="O502" s="469">
        <f t="shared" ca="1" si="21"/>
        <v>1.9471328786870926E-2</v>
      </c>
      <c r="P502" s="402" t="s">
        <v>376</v>
      </c>
      <c r="Q502" s="469">
        <f ca="1">O502*Units!C98</f>
        <v>1.968940766928388</v>
      </c>
    </row>
    <row r="503" spans="1:17" s="385" customFormat="1" ht="15.75" customHeight="1" x14ac:dyDescent="0.2">
      <c r="A503" s="354" t="s">
        <v>398</v>
      </c>
      <c r="B503" s="402" t="s">
        <v>302</v>
      </c>
      <c r="C503" s="403">
        <f ca="1">E465*Inputs!F$408</f>
        <v>3.789152537986408E-10</v>
      </c>
      <c r="D503" s="402" t="s">
        <v>302</v>
      </c>
      <c r="E503" s="403">
        <f t="shared" ca="1" si="22"/>
        <v>1.8566847436133398E-8</v>
      </c>
      <c r="F503" s="402" t="s">
        <v>302</v>
      </c>
      <c r="G503" s="469">
        <f ca="1">C503*Inputs!F$407</f>
        <v>2.8797559288696702E-10</v>
      </c>
      <c r="H503" s="402" t="s">
        <v>302</v>
      </c>
      <c r="I503" s="469">
        <f t="shared" ca="1" si="23"/>
        <v>9.0939660911673786E-11</v>
      </c>
      <c r="J503" s="402" t="s">
        <v>302</v>
      </c>
      <c r="K503" s="534">
        <f ca="1">I503*Inputs!F$407</f>
        <v>6.9114142292872079E-11</v>
      </c>
      <c r="L503" s="402" t="s">
        <v>302</v>
      </c>
      <c r="M503" s="469">
        <f t="shared" ca="1" si="20"/>
        <v>2.1825518618801707E-11</v>
      </c>
      <c r="N503" s="402" t="s">
        <v>302</v>
      </c>
      <c r="O503" s="469">
        <f t="shared" ca="1" si="21"/>
        <v>3.5708973517983911E-10</v>
      </c>
      <c r="P503" s="402" t="s">
        <v>376</v>
      </c>
      <c r="Q503" s="469">
        <f ca="1">O503*Units!C99</f>
        <v>3.6108914021385334E-8</v>
      </c>
    </row>
    <row r="504" spans="1:17" s="385" customFormat="1" ht="15.75" customHeight="1" x14ac:dyDescent="0.2">
      <c r="A504" s="354" t="s">
        <v>578</v>
      </c>
      <c r="B504" s="402" t="s">
        <v>302</v>
      </c>
      <c r="C504" s="403">
        <f ca="1">E466*Inputs!F$408</f>
        <v>7.2575304807764428E-3</v>
      </c>
      <c r="D504" s="402" t="s">
        <v>302</v>
      </c>
      <c r="E504" s="403">
        <f t="shared" ca="1" si="22"/>
        <v>0.35561899355804572</v>
      </c>
      <c r="F504" s="402" t="s">
        <v>302</v>
      </c>
      <c r="G504" s="469">
        <f ca="1">C504*Inputs!F$407</f>
        <v>5.5157231653900967E-3</v>
      </c>
      <c r="H504" s="402" t="s">
        <v>302</v>
      </c>
      <c r="I504" s="469">
        <f t="shared" ca="1" si="23"/>
        <v>1.7418073153863461E-3</v>
      </c>
      <c r="J504" s="402" t="s">
        <v>302</v>
      </c>
      <c r="K504" s="534">
        <f ca="1">I504*Inputs!F$407</f>
        <v>1.3237735596936231E-3</v>
      </c>
      <c r="L504" s="402" t="s">
        <v>302</v>
      </c>
      <c r="M504" s="469">
        <f t="shared" ca="1" si="20"/>
        <v>4.1803375569272297E-4</v>
      </c>
      <c r="N504" s="402" t="s">
        <v>302</v>
      </c>
      <c r="O504" s="469">
        <f t="shared" ca="1" si="21"/>
        <v>6.8394967250837201E-3</v>
      </c>
      <c r="P504" s="402" t="s">
        <v>376</v>
      </c>
      <c r="Q504" s="469">
        <f ca="1">O504*Units!C100</f>
        <v>0.78756804789339041</v>
      </c>
    </row>
    <row r="505" spans="1:17" s="385" customFormat="1" ht="15.75" customHeight="1" x14ac:dyDescent="0.2">
      <c r="A505" s="355" t="s">
        <v>407</v>
      </c>
      <c r="B505" s="494" t="s">
        <v>302</v>
      </c>
      <c r="C505" s="405">
        <f ca="1">E467*Inputs!F$408</f>
        <v>5.4053678112193598E-10</v>
      </c>
      <c r="D505" s="494" t="s">
        <v>302</v>
      </c>
      <c r="E505" s="405">
        <f t="shared" ca="1" si="22"/>
        <v>2.6486302274974863E-8</v>
      </c>
      <c r="F505" s="494" t="s">
        <v>302</v>
      </c>
      <c r="G505" s="474">
        <f ca="1">C505*Inputs!F$407</f>
        <v>4.1080795365267135E-10</v>
      </c>
      <c r="H505" s="494" t="s">
        <v>302</v>
      </c>
      <c r="I505" s="474">
        <f t="shared" ca="1" si="23"/>
        <v>1.2972882746926463E-10</v>
      </c>
      <c r="J505" s="494" t="s">
        <v>302</v>
      </c>
      <c r="K505" s="535">
        <f ca="1">I505*Inputs!F$407</f>
        <v>9.8593908876641114E-11</v>
      </c>
      <c r="L505" s="494" t="s">
        <v>302</v>
      </c>
      <c r="M505" s="474">
        <f t="shared" ca="1" si="20"/>
        <v>3.1134918592623516E-11</v>
      </c>
      <c r="N505" s="494" t="s">
        <v>302</v>
      </c>
      <c r="O505" s="474">
        <f t="shared" ca="1" si="21"/>
        <v>5.0940186252931248E-10</v>
      </c>
      <c r="P505" s="494" t="s">
        <v>376</v>
      </c>
      <c r="Q505" s="474">
        <f ca="1">O505*Units!C101</f>
        <v>6.5799438582911286E-8</v>
      </c>
    </row>
    <row r="506" spans="1:17" s="385" customFormat="1" ht="15.75" customHeight="1" x14ac:dyDescent="0.2">
      <c r="B506" s="496"/>
      <c r="C506" s="389"/>
      <c r="D506" s="496"/>
      <c r="E506" s="389"/>
      <c r="F506" s="496"/>
      <c r="G506" s="534"/>
      <c r="H506" s="496"/>
      <c r="I506" s="534"/>
      <c r="J506" s="496"/>
      <c r="K506" s="534"/>
      <c r="L506" s="496"/>
      <c r="M506" s="534"/>
      <c r="N506" s="496"/>
      <c r="O506" s="534"/>
      <c r="P506" s="496"/>
      <c r="Q506" s="534"/>
    </row>
    <row r="507" spans="1:17" s="385" customFormat="1" ht="15.75" customHeight="1" x14ac:dyDescent="0.2">
      <c r="B507" s="496"/>
      <c r="C507" s="389"/>
      <c r="D507" s="496"/>
      <c r="E507" s="389"/>
      <c r="F507" s="496"/>
      <c r="G507" s="534"/>
      <c r="H507" s="496"/>
      <c r="I507" s="534"/>
      <c r="J507" s="496"/>
      <c r="K507" s="534"/>
      <c r="L507" s="496"/>
      <c r="M507" s="534"/>
      <c r="N507" s="496"/>
      <c r="O507" s="534"/>
      <c r="P507" s="496"/>
      <c r="Q507" s="534"/>
    </row>
    <row r="508" spans="1:17" s="385" customFormat="1" ht="15.75" customHeight="1" x14ac:dyDescent="0.2">
      <c r="B508" s="496"/>
      <c r="C508" s="389"/>
      <c r="D508" s="496"/>
      <c r="E508" s="389"/>
      <c r="F508" s="496"/>
      <c r="G508" s="534"/>
      <c r="H508" s="496"/>
      <c r="I508" s="534"/>
      <c r="J508" s="496"/>
      <c r="K508" s="534"/>
      <c r="L508" s="496"/>
      <c r="M508" s="534"/>
      <c r="N508" s="496"/>
      <c r="O508" s="534"/>
      <c r="P508" s="496"/>
      <c r="Q508" s="534"/>
    </row>
    <row r="509" spans="1:17" s="385" customFormat="1" ht="15.75" customHeight="1" x14ac:dyDescent="0.2">
      <c r="A509" s="536" t="s">
        <v>1681</v>
      </c>
      <c r="B509" s="537" t="s">
        <v>1675</v>
      </c>
      <c r="C509" s="538"/>
      <c r="D509" s="539"/>
      <c r="E509" s="540"/>
      <c r="F509" s="541" t="s">
        <v>2178</v>
      </c>
      <c r="G509" s="542"/>
      <c r="H509" s="543"/>
      <c r="I509" s="552"/>
      <c r="J509" s="413"/>
      <c r="K509" s="413"/>
      <c r="L509" s="413"/>
      <c r="M509" s="413"/>
      <c r="N509" s="413"/>
      <c r="O509" s="413"/>
      <c r="P509" s="413"/>
      <c r="Q509" s="413"/>
    </row>
    <row r="510" spans="1:17" s="385" customFormat="1" ht="15.75" customHeight="1" x14ac:dyDescent="0.2">
      <c r="B510" s="1535" t="s">
        <v>1679</v>
      </c>
      <c r="C510" s="1536"/>
      <c r="D510" s="1576" t="s">
        <v>2740</v>
      </c>
      <c r="E510" s="1577"/>
      <c r="F510" s="1538" t="s">
        <v>1680</v>
      </c>
      <c r="G510" s="1539"/>
      <c r="H510" s="1535" t="s">
        <v>1679</v>
      </c>
      <c r="I510" s="1536"/>
      <c r="J510" s="413"/>
      <c r="K510" s="413"/>
      <c r="L510" s="413"/>
      <c r="M510" s="413"/>
      <c r="N510" s="413"/>
      <c r="O510" s="413"/>
      <c r="P510" s="413"/>
      <c r="Q510" s="413"/>
    </row>
    <row r="511" spans="1:17" s="385" customFormat="1" ht="15.75" customHeight="1" x14ac:dyDescent="0.2">
      <c r="A511" s="373" t="s">
        <v>580</v>
      </c>
      <c r="B511" s="373" t="s">
        <v>372</v>
      </c>
      <c r="C511" s="373" t="s">
        <v>42</v>
      </c>
      <c r="D511" s="373" t="s">
        <v>372</v>
      </c>
      <c r="E511" s="373" t="s">
        <v>42</v>
      </c>
      <c r="F511" s="373" t="s">
        <v>372</v>
      </c>
      <c r="G511" s="373" t="s">
        <v>42</v>
      </c>
      <c r="H511" s="373" t="s">
        <v>372</v>
      </c>
      <c r="I511" s="373" t="s">
        <v>42</v>
      </c>
      <c r="J511" s="413"/>
      <c r="K511" s="413"/>
      <c r="L511" s="413"/>
      <c r="M511" s="413"/>
      <c r="N511" s="413"/>
      <c r="O511" s="413"/>
      <c r="P511" s="413"/>
      <c r="Q511" s="413"/>
    </row>
    <row r="512" spans="1:17" s="385" customFormat="1" ht="15.75" customHeight="1" x14ac:dyDescent="0.2">
      <c r="A512" s="316" t="s">
        <v>482</v>
      </c>
      <c r="B512" s="400" t="s">
        <v>2723</v>
      </c>
      <c r="C512" s="401">
        <f ca="1">K481*Inputs!F406</f>
        <v>17182.049500880799</v>
      </c>
      <c r="D512" s="400" t="s">
        <v>2723</v>
      </c>
      <c r="E512" s="401">
        <f ca="1">K481-C512</f>
        <v>531.4035928107478</v>
      </c>
      <c r="F512" s="400" t="s">
        <v>2723</v>
      </c>
      <c r="G512" s="467">
        <f>0</f>
        <v>0</v>
      </c>
      <c r="H512" s="400" t="s">
        <v>1677</v>
      </c>
      <c r="I512" s="467">
        <v>0</v>
      </c>
      <c r="J512" s="413"/>
      <c r="K512" s="413"/>
      <c r="L512" s="413"/>
      <c r="M512" s="413"/>
      <c r="N512" s="413"/>
      <c r="O512" s="413"/>
      <c r="P512" s="413"/>
      <c r="Q512" s="413"/>
    </row>
    <row r="513" spans="1:17" s="385" customFormat="1" ht="15.75" customHeight="1" x14ac:dyDescent="0.2">
      <c r="A513" s="318" t="s">
        <v>1678</v>
      </c>
      <c r="B513" s="494" t="s">
        <v>2724</v>
      </c>
      <c r="C513" s="405">
        <v>0</v>
      </c>
      <c r="D513" s="494" t="s">
        <v>2724</v>
      </c>
      <c r="E513" s="405">
        <f ca="1">K482</f>
        <v>194.22415095637777</v>
      </c>
      <c r="F513" s="494" t="s">
        <v>2741</v>
      </c>
      <c r="G513" s="474">
        <f ca="1">(E512+E513)/2</f>
        <v>362.8138718835628</v>
      </c>
      <c r="H513" s="494" t="s">
        <v>1676</v>
      </c>
      <c r="I513" s="474">
        <v>0</v>
      </c>
      <c r="J513" s="413"/>
      <c r="K513" s="413"/>
      <c r="L513" s="413"/>
      <c r="M513" s="413"/>
      <c r="N513" s="413"/>
      <c r="O513" s="413"/>
      <c r="P513" s="413"/>
      <c r="Q513" s="413"/>
    </row>
    <row r="514" spans="1:17" s="385" customFormat="1" ht="15.75" customHeight="1" x14ac:dyDescent="0.2">
      <c r="A514" s="317" t="s">
        <v>1654</v>
      </c>
      <c r="B514" s="400" t="s">
        <v>1251</v>
      </c>
      <c r="C514" s="401">
        <f ca="1">K452*Inputs!F$408</f>
        <v>2.7880678122968261E-5</v>
      </c>
      <c r="D514" s="400" t="s">
        <v>1251</v>
      </c>
      <c r="E514" s="401">
        <f t="shared" ref="E514:E529" ca="1" si="24">K452-C514</f>
        <v>1.3661532280254448E-3</v>
      </c>
      <c r="F514" s="400" t="s">
        <v>1251</v>
      </c>
      <c r="G514" s="467">
        <f ca="1">C514*Inputs!F$407</f>
        <v>2.1189315373455879E-5</v>
      </c>
      <c r="H514" s="400" t="s">
        <v>1251</v>
      </c>
      <c r="I514" s="467">
        <f t="shared" ref="I514:I529" ca="1" si="25">C514-G514</f>
        <v>6.6913627495123815E-6</v>
      </c>
      <c r="J514" s="413"/>
      <c r="K514" s="413"/>
      <c r="L514" s="413"/>
      <c r="M514" s="413"/>
      <c r="N514" s="413"/>
      <c r="O514" s="413"/>
      <c r="P514" s="413"/>
      <c r="Q514" s="413"/>
    </row>
    <row r="515" spans="1:17" s="385" customFormat="1" ht="15.75" customHeight="1" x14ac:dyDescent="0.2">
      <c r="A515" s="317" t="s">
        <v>1655</v>
      </c>
      <c r="B515" s="402" t="s">
        <v>1251</v>
      </c>
      <c r="C515" s="403">
        <f ca="1">K453*Inputs!F$408</f>
        <v>1.3187592445366202E-12</v>
      </c>
      <c r="D515" s="402" t="s">
        <v>1251</v>
      </c>
      <c r="E515" s="403">
        <f t="shared" ca="1" si="24"/>
        <v>6.4619202982294397E-11</v>
      </c>
      <c r="F515" s="402" t="s">
        <v>1251</v>
      </c>
      <c r="G515" s="469">
        <f ca="1">C515*Inputs!F$407</f>
        <v>1.0022570258478314E-12</v>
      </c>
      <c r="H515" s="402" t="s">
        <v>1251</v>
      </c>
      <c r="I515" s="469">
        <f t="shared" ca="1" si="25"/>
        <v>3.1650221868878882E-13</v>
      </c>
      <c r="J515" s="413"/>
      <c r="K515" s="413"/>
      <c r="L515" s="413"/>
      <c r="M515" s="413"/>
      <c r="N515" s="413"/>
      <c r="O515" s="413"/>
      <c r="P515" s="413"/>
      <c r="Q515" s="413"/>
    </row>
    <row r="516" spans="1:17" s="385" customFormat="1" ht="15.75" customHeight="1" x14ac:dyDescent="0.2">
      <c r="A516" s="317" t="s">
        <v>1656</v>
      </c>
      <c r="B516" s="402" t="s">
        <v>1251</v>
      </c>
      <c r="C516" s="403">
        <f ca="1">K454*Inputs!F$408</f>
        <v>1.9445933480953551E-5</v>
      </c>
      <c r="D516" s="402" t="s">
        <v>1251</v>
      </c>
      <c r="E516" s="403">
        <f t="shared" ca="1" si="24"/>
        <v>9.5285074056672403E-4</v>
      </c>
      <c r="F516" s="402" t="s">
        <v>1251</v>
      </c>
      <c r="G516" s="469">
        <f ca="1">C516*Inputs!F$407</f>
        <v>1.4778909445524698E-5</v>
      </c>
      <c r="H516" s="402" t="s">
        <v>1251</v>
      </c>
      <c r="I516" s="469">
        <f t="shared" ca="1" si="25"/>
        <v>4.6670240354288524E-6</v>
      </c>
      <c r="J516" s="413"/>
      <c r="K516" s="413"/>
      <c r="L516" s="413"/>
      <c r="M516" s="413"/>
      <c r="N516" s="413"/>
      <c r="O516" s="413"/>
      <c r="P516" s="413"/>
      <c r="Q516" s="413"/>
    </row>
    <row r="517" spans="1:17" s="385" customFormat="1" ht="15.75" customHeight="1" x14ac:dyDescent="0.2">
      <c r="A517" s="317" t="s">
        <v>1657</v>
      </c>
      <c r="B517" s="402" t="s">
        <v>1251</v>
      </c>
      <c r="C517" s="403">
        <f ca="1">K455*Inputs!F$408</f>
        <v>8.9174988208774538E-7</v>
      </c>
      <c r="D517" s="402" t="s">
        <v>1251</v>
      </c>
      <c r="E517" s="403">
        <f t="shared" ca="1" si="24"/>
        <v>4.3695744222299524E-5</v>
      </c>
      <c r="F517" s="402" t="s">
        <v>1251</v>
      </c>
      <c r="G517" s="469">
        <f ca="1">C517*Inputs!F$407</f>
        <v>6.7772991038668649E-7</v>
      </c>
      <c r="H517" s="402" t="s">
        <v>1251</v>
      </c>
      <c r="I517" s="469">
        <f t="shared" ca="1" si="25"/>
        <v>2.140199717010589E-7</v>
      </c>
      <c r="J517" s="413"/>
      <c r="K517" s="413"/>
      <c r="L517" s="413"/>
      <c r="M517" s="413"/>
      <c r="N517" s="413"/>
      <c r="O517" s="413"/>
      <c r="P517" s="413"/>
      <c r="Q517" s="413"/>
    </row>
    <row r="518" spans="1:17" s="385" customFormat="1" ht="15.75" customHeight="1" x14ac:dyDescent="0.2">
      <c r="A518" s="317" t="s">
        <v>1658</v>
      </c>
      <c r="B518" s="402" t="s">
        <v>1251</v>
      </c>
      <c r="C518" s="403">
        <f ca="1">K456*Inputs!F$408</f>
        <v>9.8832372497961962E-6</v>
      </c>
      <c r="D518" s="402" t="s">
        <v>1251</v>
      </c>
      <c r="E518" s="403">
        <f t="shared" ca="1" si="24"/>
        <v>4.8427862524001367E-4</v>
      </c>
      <c r="F518" s="402" t="s">
        <v>1251</v>
      </c>
      <c r="G518" s="469">
        <f ca="1">C518*Inputs!F$407</f>
        <v>7.5112603098451088E-6</v>
      </c>
      <c r="H518" s="402" t="s">
        <v>1251</v>
      </c>
      <c r="I518" s="469">
        <f t="shared" ca="1" si="25"/>
        <v>2.3719769399510873E-6</v>
      </c>
      <c r="J518" s="413"/>
      <c r="K518" s="413"/>
      <c r="L518" s="413"/>
      <c r="M518" s="413"/>
      <c r="N518" s="413"/>
      <c r="O518" s="413"/>
      <c r="P518" s="413"/>
      <c r="Q518" s="413"/>
    </row>
    <row r="519" spans="1:17" s="385" customFormat="1" ht="15.75" customHeight="1" x14ac:dyDescent="0.2">
      <c r="A519" s="354" t="s">
        <v>405</v>
      </c>
      <c r="B519" s="402" t="s">
        <v>1251</v>
      </c>
      <c r="C519" s="403">
        <f ca="1">K457*Inputs!F$408</f>
        <v>1.8125124437469857E-13</v>
      </c>
      <c r="D519" s="402" t="s">
        <v>1251</v>
      </c>
      <c r="E519" s="403">
        <f t="shared" ca="1" si="24"/>
        <v>8.8813109743602299E-12</v>
      </c>
      <c r="F519" s="402" t="s">
        <v>1251</v>
      </c>
      <c r="G519" s="469">
        <f ca="1">C519*Inputs!F$407</f>
        <v>1.3775094572477091E-13</v>
      </c>
      <c r="H519" s="402" t="s">
        <v>1251</v>
      </c>
      <c r="I519" s="469">
        <f t="shared" ca="1" si="25"/>
        <v>4.3500298649927657E-14</v>
      </c>
      <c r="J519" s="413"/>
      <c r="K519" s="413"/>
      <c r="L519" s="413"/>
      <c r="M519" s="413"/>
      <c r="N519" s="413"/>
      <c r="O519" s="413"/>
      <c r="P519" s="413"/>
      <c r="Q519" s="413"/>
    </row>
    <row r="520" spans="1:17" s="385" customFormat="1" ht="15.75" customHeight="1" x14ac:dyDescent="0.2">
      <c r="A520" s="354" t="s">
        <v>420</v>
      </c>
      <c r="B520" s="402" t="s">
        <v>1251</v>
      </c>
      <c r="C520" s="403">
        <f ca="1">K458*Inputs!F$408</f>
        <v>3.0522809428155077E-6</v>
      </c>
      <c r="D520" s="402" t="s">
        <v>1251</v>
      </c>
      <c r="E520" s="403">
        <f t="shared" ca="1" si="24"/>
        <v>1.4956176619795988E-4</v>
      </c>
      <c r="F520" s="402" t="s">
        <v>1251</v>
      </c>
      <c r="G520" s="469">
        <f ca="1">C520*Inputs!F$407</f>
        <v>2.3197335165397858E-6</v>
      </c>
      <c r="H520" s="402" t="s">
        <v>1251</v>
      </c>
      <c r="I520" s="469">
        <f t="shared" ca="1" si="25"/>
        <v>7.3254742627572199E-7</v>
      </c>
      <c r="J520" s="413"/>
      <c r="K520" s="413"/>
      <c r="L520" s="413"/>
      <c r="M520" s="413"/>
      <c r="N520" s="413"/>
      <c r="O520" s="413"/>
      <c r="P520" s="413"/>
      <c r="Q520" s="413"/>
    </row>
    <row r="521" spans="1:17" s="385" customFormat="1" ht="15.75" customHeight="1" x14ac:dyDescent="0.2">
      <c r="A521" s="354" t="s">
        <v>1659</v>
      </c>
      <c r="B521" s="402" t="s">
        <v>1251</v>
      </c>
      <c r="C521" s="403">
        <f ca="1">K459*Inputs!F$408</f>
        <v>2.0284916479467037E-13</v>
      </c>
      <c r="D521" s="402" t="s">
        <v>1251</v>
      </c>
      <c r="E521" s="403">
        <f t="shared" ca="1" si="24"/>
        <v>9.9396090749388482E-12</v>
      </c>
      <c r="F521" s="402" t="s">
        <v>1251</v>
      </c>
      <c r="G521" s="469">
        <f ca="1">C521*Inputs!F$407</f>
        <v>1.5416536524394948E-13</v>
      </c>
      <c r="H521" s="402" t="s">
        <v>1251</v>
      </c>
      <c r="I521" s="469">
        <f t="shared" ca="1" si="25"/>
        <v>4.8683799550720892E-14</v>
      </c>
      <c r="J521" s="413"/>
      <c r="K521" s="413"/>
      <c r="L521" s="413"/>
      <c r="M521" s="413"/>
      <c r="N521" s="413"/>
      <c r="O521" s="413"/>
      <c r="P521" s="413"/>
      <c r="Q521" s="413"/>
    </row>
    <row r="522" spans="1:17" s="385" customFormat="1" ht="15.75" customHeight="1" x14ac:dyDescent="0.2">
      <c r="A522" s="354" t="s">
        <v>2771</v>
      </c>
      <c r="B522" s="402" t="s">
        <v>1251</v>
      </c>
      <c r="C522" s="403">
        <f ca="1">K460*Inputs!F$408</f>
        <v>19.288716615691502</v>
      </c>
      <c r="D522" s="402" t="s">
        <v>1251</v>
      </c>
      <c r="E522" s="403">
        <f t="shared" ca="1" si="24"/>
        <v>945.14711416888349</v>
      </c>
      <c r="F522" s="402" t="s">
        <v>1251</v>
      </c>
      <c r="G522" s="469">
        <f t="shared" ref="G522:G529" ca="1" si="26">C522</f>
        <v>19.288716615691502</v>
      </c>
      <c r="H522" s="402" t="s">
        <v>1251</v>
      </c>
      <c r="I522" s="469">
        <f t="shared" ca="1" si="25"/>
        <v>0</v>
      </c>
      <c r="J522" s="413"/>
      <c r="K522" s="413"/>
      <c r="L522" s="413"/>
      <c r="M522" s="413"/>
      <c r="N522" s="413"/>
      <c r="O522" s="413"/>
      <c r="P522" s="413"/>
      <c r="Q522" s="413"/>
    </row>
    <row r="523" spans="1:17" s="385" customFormat="1" ht="15.75" customHeight="1" x14ac:dyDescent="0.2">
      <c r="A523" s="354" t="s">
        <v>2772</v>
      </c>
      <c r="B523" s="402" t="s">
        <v>1251</v>
      </c>
      <c r="C523" s="403">
        <f ca="1">K461*Inputs!F$408</f>
        <v>9.123584885560942E-7</v>
      </c>
      <c r="D523" s="402" t="s">
        <v>1251</v>
      </c>
      <c r="E523" s="403">
        <f t="shared" ca="1" si="24"/>
        <v>4.4705565939248616E-5</v>
      </c>
      <c r="F523" s="402" t="s">
        <v>1251</v>
      </c>
      <c r="G523" s="469">
        <f t="shared" ca="1" si="26"/>
        <v>9.123584885560942E-7</v>
      </c>
      <c r="H523" s="402" t="s">
        <v>1251</v>
      </c>
      <c r="I523" s="469">
        <f t="shared" ca="1" si="25"/>
        <v>0</v>
      </c>
      <c r="J523" s="413"/>
      <c r="K523" s="413"/>
      <c r="L523" s="413"/>
      <c r="M523" s="413"/>
      <c r="N523" s="413"/>
      <c r="O523" s="413"/>
      <c r="P523" s="413"/>
      <c r="Q523" s="413"/>
    </row>
    <row r="524" spans="1:17" s="385" customFormat="1" ht="15.75" customHeight="1" x14ac:dyDescent="0.2">
      <c r="A524" s="354" t="s">
        <v>2773</v>
      </c>
      <c r="B524" s="402" t="s">
        <v>1251</v>
      </c>
      <c r="C524" s="403">
        <f ca="1">K462*Inputs!F$408</f>
        <v>13.453299040553166</v>
      </c>
      <c r="D524" s="402" t="s">
        <v>1251</v>
      </c>
      <c r="E524" s="403">
        <f t="shared" ca="1" si="24"/>
        <v>659.21165298710514</v>
      </c>
      <c r="F524" s="402" t="s">
        <v>1251</v>
      </c>
      <c r="G524" s="469">
        <f t="shared" ca="1" si="26"/>
        <v>13.453299040553166</v>
      </c>
      <c r="H524" s="402" t="s">
        <v>1251</v>
      </c>
      <c r="I524" s="469">
        <f t="shared" ca="1" si="25"/>
        <v>0</v>
      </c>
      <c r="J524" s="413"/>
      <c r="K524" s="413"/>
      <c r="L524" s="413"/>
      <c r="M524" s="413"/>
      <c r="N524" s="413"/>
      <c r="O524" s="413"/>
      <c r="P524" s="413"/>
      <c r="Q524" s="413"/>
    </row>
    <row r="525" spans="1:17" s="385" customFormat="1" ht="15.75" customHeight="1" x14ac:dyDescent="0.2">
      <c r="A525" s="354" t="s">
        <v>2734</v>
      </c>
      <c r="B525" s="402" t="s">
        <v>1251</v>
      </c>
      <c r="C525" s="403">
        <f ca="1">K463*Inputs!F$408</f>
        <v>0.61694018674161277</v>
      </c>
      <c r="D525" s="402" t="s">
        <v>1251</v>
      </c>
      <c r="E525" s="403">
        <f t="shared" ca="1" si="24"/>
        <v>30.230069150339023</v>
      </c>
      <c r="F525" s="402" t="s">
        <v>1251</v>
      </c>
      <c r="G525" s="469">
        <f t="shared" ca="1" si="26"/>
        <v>0.61694018674161277</v>
      </c>
      <c r="H525" s="402" t="s">
        <v>1251</v>
      </c>
      <c r="I525" s="469">
        <f t="shared" ca="1" si="25"/>
        <v>0</v>
      </c>
      <c r="J525" s="413"/>
      <c r="K525" s="413"/>
      <c r="L525" s="413"/>
      <c r="M525" s="413"/>
      <c r="N525" s="413"/>
      <c r="O525" s="413"/>
      <c r="P525" s="413"/>
      <c r="Q525" s="413"/>
    </row>
    <row r="526" spans="1:17" s="385" customFormat="1" ht="15.75" customHeight="1" x14ac:dyDescent="0.2">
      <c r="A526" s="354" t="s">
        <v>2735</v>
      </c>
      <c r="B526" s="402" t="s">
        <v>1251</v>
      </c>
      <c r="C526" s="403">
        <f ca="1">K464*Inputs!F$408</f>
        <v>6.8375296223487103</v>
      </c>
      <c r="D526" s="402" t="s">
        <v>1251</v>
      </c>
      <c r="E526" s="403">
        <f t="shared" ca="1" si="24"/>
        <v>335.03895149508679</v>
      </c>
      <c r="F526" s="402" t="s">
        <v>1251</v>
      </c>
      <c r="G526" s="469">
        <f t="shared" ca="1" si="26"/>
        <v>6.8375296223487103</v>
      </c>
      <c r="H526" s="402" t="s">
        <v>1251</v>
      </c>
      <c r="I526" s="469">
        <f t="shared" ca="1" si="25"/>
        <v>0</v>
      </c>
      <c r="J526" s="413"/>
      <c r="K526" s="413"/>
      <c r="L526" s="413"/>
      <c r="M526" s="413"/>
      <c r="N526" s="413"/>
      <c r="O526" s="413"/>
      <c r="P526" s="413"/>
      <c r="Q526" s="413"/>
    </row>
    <row r="527" spans="1:17" s="385" customFormat="1" ht="15.75" customHeight="1" x14ac:dyDescent="0.2">
      <c r="A527" s="354" t="s">
        <v>2736</v>
      </c>
      <c r="B527" s="402" t="s">
        <v>1251</v>
      </c>
      <c r="C527" s="403">
        <f ca="1">K465*Inputs!F$408</f>
        <v>1.2539522437601329E-7</v>
      </c>
      <c r="D527" s="402" t="s">
        <v>1251</v>
      </c>
      <c r="E527" s="403">
        <f t="shared" ca="1" si="24"/>
        <v>6.1443659944246507E-6</v>
      </c>
      <c r="F527" s="402" t="s">
        <v>1251</v>
      </c>
      <c r="G527" s="469">
        <f t="shared" ca="1" si="26"/>
        <v>1.2539522437601329E-7</v>
      </c>
      <c r="H527" s="402" t="s">
        <v>1251</v>
      </c>
      <c r="I527" s="469">
        <f t="shared" ca="1" si="25"/>
        <v>0</v>
      </c>
      <c r="J527" s="413"/>
      <c r="K527" s="413"/>
      <c r="L527" s="413"/>
      <c r="M527" s="413"/>
      <c r="N527" s="413"/>
      <c r="O527" s="413"/>
      <c r="P527" s="413"/>
      <c r="Q527" s="413"/>
    </row>
    <row r="528" spans="1:17" s="385" customFormat="1" ht="15.75" customHeight="1" x14ac:dyDescent="0.2">
      <c r="A528" s="354" t="s">
        <v>2737</v>
      </c>
      <c r="B528" s="402" t="s">
        <v>1251</v>
      </c>
      <c r="C528" s="403">
        <f ca="1">K466*Inputs!F$408</f>
        <v>2.1116624881854218</v>
      </c>
      <c r="D528" s="402" t="s">
        <v>1251</v>
      </c>
      <c r="E528" s="403">
        <f t="shared" ca="1" si="24"/>
        <v>103.47146192108566</v>
      </c>
      <c r="F528" s="402" t="s">
        <v>1251</v>
      </c>
      <c r="G528" s="469">
        <f t="shared" ca="1" si="26"/>
        <v>2.1116624881854218</v>
      </c>
      <c r="H528" s="402" t="s">
        <v>1251</v>
      </c>
      <c r="I528" s="469">
        <f t="shared" ca="1" si="25"/>
        <v>0</v>
      </c>
      <c r="J528" s="413"/>
      <c r="K528" s="413"/>
      <c r="L528" s="413"/>
      <c r="M528" s="413"/>
      <c r="N528" s="413"/>
      <c r="O528" s="413"/>
      <c r="P528" s="413"/>
      <c r="Q528" s="413"/>
    </row>
    <row r="529" spans="1:21" s="385" customFormat="1" ht="15.75" customHeight="1" x14ac:dyDescent="0.2">
      <c r="A529" s="355" t="s">
        <v>2738</v>
      </c>
      <c r="B529" s="494" t="s">
        <v>1251</v>
      </c>
      <c r="C529" s="405">
        <f ca="1">K467*Inputs!F$408</f>
        <v>1.4033733462999228E-7</v>
      </c>
      <c r="D529" s="494" t="s">
        <v>1251</v>
      </c>
      <c r="E529" s="405">
        <f t="shared" ca="1" si="24"/>
        <v>6.8765293968696221E-6</v>
      </c>
      <c r="F529" s="494" t="s">
        <v>1251</v>
      </c>
      <c r="G529" s="474">
        <f t="shared" ca="1" si="26"/>
        <v>1.4033733462999228E-7</v>
      </c>
      <c r="H529" s="494" t="s">
        <v>1251</v>
      </c>
      <c r="I529" s="474">
        <f t="shared" ca="1" si="25"/>
        <v>0</v>
      </c>
      <c r="J529" s="413"/>
      <c r="K529" s="413"/>
      <c r="L529" s="413"/>
      <c r="M529" s="413"/>
      <c r="N529" s="413"/>
      <c r="O529" s="413"/>
      <c r="P529" s="413"/>
      <c r="Q529" s="413"/>
    </row>
    <row r="530" spans="1:21" s="385" customFormat="1" ht="15.75" customHeight="1" x14ac:dyDescent="0.2">
      <c r="B530" s="496"/>
      <c r="C530" s="389"/>
      <c r="D530" s="496"/>
      <c r="E530" s="389"/>
      <c r="F530" s="496"/>
      <c r="G530" s="534"/>
      <c r="H530" s="496"/>
      <c r="I530" s="534"/>
      <c r="J530" s="496"/>
      <c r="K530" s="534"/>
      <c r="L530" s="496"/>
      <c r="M530" s="534"/>
      <c r="N530" s="496"/>
      <c r="O530" s="534"/>
      <c r="P530" s="496"/>
      <c r="Q530" s="534"/>
    </row>
    <row r="531" spans="1:21" s="385" customFormat="1" ht="15.75" customHeight="1" x14ac:dyDescent="0.2">
      <c r="B531" s="496"/>
      <c r="C531" s="389"/>
      <c r="D531" s="496"/>
      <c r="E531" s="389"/>
      <c r="F531" s="496"/>
      <c r="G531" s="534"/>
      <c r="H531" s="496"/>
      <c r="I531" s="534"/>
      <c r="J531" s="496"/>
      <c r="K531" s="534"/>
      <c r="L531" s="496"/>
      <c r="M531" s="534"/>
      <c r="N531" s="496"/>
      <c r="O531" s="534"/>
      <c r="P531" s="496"/>
      <c r="Q531" s="534"/>
    </row>
    <row r="532" spans="1:21" s="385" customFormat="1" ht="15.75" customHeight="1" x14ac:dyDescent="0.2">
      <c r="B532" s="496"/>
      <c r="C532" s="389"/>
      <c r="D532" s="496"/>
      <c r="E532" s="389"/>
      <c r="F532" s="496"/>
      <c r="G532" s="534"/>
      <c r="H532" s="496"/>
      <c r="I532" s="534"/>
      <c r="J532" s="496"/>
      <c r="K532" s="534"/>
      <c r="L532" s="496"/>
      <c r="M532" s="534"/>
      <c r="N532" s="496"/>
      <c r="O532" s="534"/>
      <c r="P532" s="496"/>
      <c r="Q532" s="534"/>
    </row>
    <row r="533" spans="1:21" s="385" customFormat="1" ht="15.75" customHeight="1" x14ac:dyDescent="0.2">
      <c r="B533" s="496"/>
      <c r="C533" s="389"/>
      <c r="D533" s="496"/>
      <c r="E533" s="389"/>
      <c r="F533" s="496"/>
      <c r="G533" s="534"/>
      <c r="H533" s="496"/>
      <c r="I533" s="534"/>
      <c r="J533" s="496"/>
      <c r="K533" s="534"/>
      <c r="L533" s="496"/>
      <c r="M533" s="534"/>
      <c r="N533" s="496"/>
      <c r="O533" s="534"/>
      <c r="P533" s="496"/>
      <c r="Q533" s="534"/>
      <c r="R533" s="496"/>
      <c r="S533" s="534"/>
      <c r="T533" s="496"/>
      <c r="U533" s="534"/>
    </row>
    <row r="534" spans="1:21" s="385" customFormat="1" ht="15.75" customHeight="1" x14ac:dyDescent="0.2">
      <c r="A534" s="505" t="s">
        <v>2293</v>
      </c>
      <c r="B534" s="506"/>
      <c r="C534" s="507"/>
      <c r="D534" s="508"/>
      <c r="E534" s="509"/>
      <c r="F534" s="496"/>
      <c r="G534" s="534"/>
      <c r="H534" s="496"/>
      <c r="I534" s="534"/>
      <c r="J534" s="496"/>
      <c r="K534" s="534"/>
      <c r="L534" s="496"/>
      <c r="M534" s="534"/>
      <c r="N534" s="496"/>
      <c r="O534" s="534"/>
      <c r="P534" s="496"/>
      <c r="Q534" s="534"/>
      <c r="R534" s="496"/>
      <c r="S534" s="534"/>
      <c r="T534" s="496"/>
      <c r="U534" s="534"/>
    </row>
    <row r="535" spans="1:21" s="385" customFormat="1" ht="15.75" customHeight="1" x14ac:dyDescent="0.2">
      <c r="A535" s="373" t="s">
        <v>580</v>
      </c>
      <c r="B535" s="373" t="s">
        <v>372</v>
      </c>
      <c r="C535" s="373" t="s">
        <v>42</v>
      </c>
      <c r="D535" s="374" t="s">
        <v>372</v>
      </c>
      <c r="E535" s="373" t="s">
        <v>42</v>
      </c>
      <c r="F535" s="496"/>
      <c r="G535" s="534"/>
      <c r="H535" s="496"/>
      <c r="I535" s="534"/>
      <c r="J535" s="496"/>
      <c r="K535" s="534"/>
      <c r="L535" s="496"/>
      <c r="M535" s="534"/>
      <c r="N535" s="496"/>
      <c r="O535" s="534"/>
      <c r="P535" s="496"/>
      <c r="Q535" s="534"/>
      <c r="R535" s="496"/>
      <c r="S535" s="534"/>
      <c r="T535" s="496"/>
      <c r="U535" s="534"/>
    </row>
    <row r="536" spans="1:21" s="385" customFormat="1" ht="15.75" customHeight="1" x14ac:dyDescent="0.2">
      <c r="A536" s="519" t="s">
        <v>2294</v>
      </c>
      <c r="B536" s="500"/>
      <c r="C536" s="501"/>
      <c r="D536" s="511"/>
      <c r="E536" s="501"/>
      <c r="F536" s="496"/>
      <c r="G536" s="534"/>
      <c r="H536" s="496"/>
      <c r="I536" s="534"/>
      <c r="J536" s="496"/>
      <c r="K536" s="534"/>
      <c r="L536" s="496"/>
      <c r="M536" s="534"/>
      <c r="N536" s="496"/>
      <c r="O536" s="534"/>
      <c r="P536" s="496"/>
      <c r="Q536" s="534"/>
      <c r="R536" s="496"/>
      <c r="S536" s="534"/>
      <c r="T536" s="496"/>
      <c r="U536" s="534"/>
    </row>
    <row r="537" spans="1:21" s="385" customFormat="1" ht="15.75" customHeight="1" x14ac:dyDescent="0.2">
      <c r="A537" s="354" t="s">
        <v>375</v>
      </c>
      <c r="B537" s="402" t="s">
        <v>902</v>
      </c>
      <c r="C537" s="403">
        <v>15</v>
      </c>
      <c r="D537" s="500" t="s">
        <v>161</v>
      </c>
      <c r="E537" s="501">
        <f>C537+Units!B75</f>
        <v>288.14999999999998</v>
      </c>
      <c r="F537" s="496"/>
      <c r="G537" s="534"/>
      <c r="H537" s="496"/>
      <c r="I537" s="534"/>
      <c r="J537" s="496"/>
      <c r="K537" s="534"/>
      <c r="L537" s="496"/>
      <c r="M537" s="534"/>
      <c r="N537" s="496"/>
      <c r="O537" s="534"/>
      <c r="P537" s="496"/>
      <c r="Q537" s="534"/>
      <c r="R537" s="496"/>
      <c r="S537" s="534"/>
      <c r="T537" s="496"/>
      <c r="U537" s="534"/>
    </row>
    <row r="538" spans="1:21" s="385" customFormat="1" ht="15.75" customHeight="1" x14ac:dyDescent="0.2">
      <c r="A538" s="354" t="s">
        <v>2296</v>
      </c>
      <c r="B538" s="402" t="s">
        <v>1978</v>
      </c>
      <c r="C538" s="403">
        <v>20000</v>
      </c>
      <c r="D538" s="496"/>
      <c r="E538" s="389"/>
      <c r="F538" s="496"/>
      <c r="G538" s="534"/>
      <c r="H538" s="496"/>
      <c r="I538" s="534"/>
      <c r="J538" s="496"/>
      <c r="K538" s="534"/>
      <c r="L538" s="496"/>
      <c r="M538" s="534"/>
      <c r="N538" s="496"/>
      <c r="O538" s="534"/>
      <c r="P538" s="496"/>
      <c r="Q538" s="534"/>
      <c r="R538" s="496"/>
      <c r="S538" s="534"/>
      <c r="T538" s="496"/>
      <c r="U538" s="534"/>
    </row>
    <row r="539" spans="1:21" s="385" customFormat="1" ht="15.75" customHeight="1" x14ac:dyDescent="0.2">
      <c r="A539" s="354" t="s">
        <v>2295</v>
      </c>
      <c r="B539" s="402" t="s">
        <v>391</v>
      </c>
      <c r="C539" s="502">
        <f ca="1">C404*C538</f>
        <v>1060713003.374823</v>
      </c>
      <c r="D539" s="496"/>
      <c r="E539" s="389"/>
      <c r="F539" s="496"/>
      <c r="G539" s="534"/>
      <c r="H539" s="496"/>
      <c r="I539" s="534"/>
      <c r="J539" s="496"/>
      <c r="K539" s="534"/>
      <c r="L539" s="496"/>
      <c r="M539" s="534"/>
      <c r="N539" s="496"/>
      <c r="O539" s="534"/>
      <c r="P539" s="496"/>
      <c r="Q539" s="534"/>
      <c r="R539" s="496"/>
      <c r="S539" s="534"/>
      <c r="T539" s="496"/>
      <c r="U539" s="534"/>
    </row>
    <row r="540" spans="1:21" s="385" customFormat="1" ht="15.75" customHeight="1" x14ac:dyDescent="0.2">
      <c r="A540" s="354" t="s">
        <v>2297</v>
      </c>
      <c r="B540" s="402" t="s">
        <v>1251</v>
      </c>
      <c r="C540" s="403">
        <f ca="1">C512</f>
        <v>17182.049500880799</v>
      </c>
      <c r="D540" s="496"/>
      <c r="E540" s="389"/>
      <c r="F540" s="496"/>
      <c r="G540" s="534"/>
      <c r="H540" s="496"/>
      <c r="I540" s="534"/>
      <c r="J540" s="496"/>
      <c r="K540" s="534"/>
      <c r="L540" s="496"/>
      <c r="M540" s="534"/>
      <c r="N540" s="496"/>
      <c r="O540" s="534"/>
      <c r="P540" s="496"/>
      <c r="Q540" s="534"/>
      <c r="R540" s="496"/>
      <c r="S540" s="534"/>
      <c r="T540" s="496"/>
      <c r="U540" s="534"/>
    </row>
    <row r="541" spans="1:21" s="385" customFormat="1" ht="15.75" customHeight="1" x14ac:dyDescent="0.2">
      <c r="A541" s="354" t="s">
        <v>2300</v>
      </c>
      <c r="B541" s="402" t="s">
        <v>953</v>
      </c>
      <c r="C541" s="502">
        <f ca="1">(C540*Units!C68*E537)/C539</f>
        <v>3.8321178272045101E-4</v>
      </c>
      <c r="D541" s="496"/>
      <c r="E541" s="389"/>
      <c r="F541" s="496"/>
      <c r="G541" s="534"/>
      <c r="H541" s="496"/>
      <c r="I541" s="534"/>
      <c r="J541" s="496"/>
      <c r="K541" s="534"/>
      <c r="L541" s="496"/>
      <c r="M541" s="534"/>
      <c r="N541" s="496"/>
      <c r="O541" s="534"/>
      <c r="P541" s="496"/>
      <c r="Q541" s="534"/>
      <c r="R541" s="496"/>
      <c r="S541" s="534"/>
      <c r="T541" s="496"/>
      <c r="U541" s="534"/>
    </row>
    <row r="542" spans="1:21" s="385" customFormat="1" ht="15.75" customHeight="1" x14ac:dyDescent="0.2">
      <c r="A542" s="354" t="s">
        <v>2301</v>
      </c>
      <c r="B542" s="402" t="s">
        <v>2302</v>
      </c>
      <c r="C542" s="403">
        <v>75</v>
      </c>
      <c r="D542" s="496"/>
      <c r="E542" s="389"/>
      <c r="F542" s="496"/>
      <c r="G542" s="534"/>
      <c r="H542" s="496"/>
      <c r="I542" s="534"/>
      <c r="J542" s="496"/>
      <c r="K542" s="534"/>
      <c r="L542" s="496"/>
      <c r="M542" s="534"/>
      <c r="N542" s="496"/>
      <c r="O542" s="534"/>
      <c r="P542" s="496"/>
      <c r="Q542" s="534"/>
      <c r="R542" s="496"/>
      <c r="S542" s="534"/>
      <c r="T542" s="496"/>
      <c r="U542" s="534"/>
    </row>
    <row r="543" spans="1:21" s="385" customFormat="1" ht="15.75" customHeight="1" x14ac:dyDescent="0.2">
      <c r="A543" s="355" t="s">
        <v>2303</v>
      </c>
      <c r="B543" s="494" t="s">
        <v>376</v>
      </c>
      <c r="C543" s="405">
        <f ca="1">C541*C542</f>
        <v>2.8740883704033826E-2</v>
      </c>
      <c r="D543" s="500" t="s">
        <v>302</v>
      </c>
      <c r="E543" s="501">
        <f ca="1">C543*Units!C121</f>
        <v>0.48948599036340007</v>
      </c>
      <c r="F543" s="496"/>
      <c r="G543" s="534"/>
      <c r="H543" s="496"/>
      <c r="I543" s="534"/>
      <c r="J543" s="496"/>
      <c r="K543" s="534"/>
      <c r="L543" s="496"/>
      <c r="M543" s="534"/>
      <c r="N543" s="496"/>
      <c r="O543" s="534"/>
      <c r="P543" s="496"/>
      <c r="Q543" s="534"/>
      <c r="R543" s="496"/>
      <c r="S543" s="534"/>
      <c r="T543" s="496"/>
      <c r="U543" s="534"/>
    </row>
    <row r="544" spans="1:21" s="385" customFormat="1" ht="15.75" customHeight="1" x14ac:dyDescent="0.2">
      <c r="B544" s="496"/>
      <c r="C544" s="389"/>
      <c r="D544" s="496"/>
      <c r="E544" s="389"/>
      <c r="F544" s="496"/>
      <c r="G544" s="534"/>
      <c r="H544" s="496"/>
      <c r="I544" s="534"/>
      <c r="J544" s="496"/>
      <c r="K544" s="534"/>
      <c r="L544" s="496"/>
      <c r="M544" s="534"/>
      <c r="N544" s="496"/>
      <c r="O544" s="534"/>
      <c r="P544" s="496"/>
      <c r="Q544" s="534"/>
      <c r="R544" s="496"/>
      <c r="S544" s="534"/>
      <c r="T544" s="496"/>
      <c r="U544" s="534"/>
    </row>
    <row r="545" spans="1:21" s="385" customFormat="1" ht="15.75" customHeight="1" x14ac:dyDescent="0.2">
      <c r="B545" s="496"/>
      <c r="C545" s="389"/>
      <c r="D545" s="496"/>
      <c r="E545" s="389"/>
      <c r="F545" s="496"/>
      <c r="G545" s="534"/>
      <c r="H545" s="496"/>
      <c r="I545" s="534"/>
      <c r="J545" s="496"/>
      <c r="K545" s="534"/>
      <c r="L545" s="496"/>
      <c r="M545" s="534"/>
      <c r="N545" s="496"/>
      <c r="O545" s="534"/>
      <c r="P545" s="496"/>
      <c r="Q545" s="534"/>
      <c r="R545" s="496"/>
      <c r="S545" s="534"/>
      <c r="T545" s="496"/>
      <c r="U545" s="534"/>
    </row>
    <row r="546" spans="1:21" s="385" customFormat="1" ht="15.75" customHeight="1" x14ac:dyDescent="0.2">
      <c r="A546" s="553" t="s">
        <v>2291</v>
      </c>
      <c r="B546" s="508"/>
      <c r="C546" s="554"/>
      <c r="D546" s="508"/>
      <c r="E546" s="554"/>
      <c r="F546" s="508"/>
      <c r="G546" s="555"/>
      <c r="H546" s="508"/>
      <c r="I546" s="556"/>
      <c r="J546" s="496"/>
      <c r="K546" s="534"/>
      <c r="L546" s="496"/>
      <c r="M546" s="534"/>
      <c r="N546" s="496"/>
      <c r="O546" s="534"/>
      <c r="P546" s="496"/>
      <c r="Q546" s="534"/>
      <c r="R546" s="496"/>
      <c r="S546" s="534"/>
      <c r="T546" s="496"/>
      <c r="U546" s="534"/>
    </row>
    <row r="547" spans="1:21" s="385" customFormat="1" ht="15.75" customHeight="1" x14ac:dyDescent="0.2">
      <c r="A547" s="301" t="s">
        <v>580</v>
      </c>
      <c r="B547" s="301" t="s">
        <v>372</v>
      </c>
      <c r="C547" s="301" t="s">
        <v>42</v>
      </c>
      <c r="D547" s="557" t="s">
        <v>372</v>
      </c>
      <c r="E547" s="301" t="s">
        <v>42</v>
      </c>
      <c r="F547" s="301" t="s">
        <v>372</v>
      </c>
      <c r="G547" s="301" t="s">
        <v>42</v>
      </c>
      <c r="H547" s="557" t="s">
        <v>372</v>
      </c>
      <c r="I547" s="301" t="s">
        <v>42</v>
      </c>
      <c r="J547" s="496"/>
      <c r="K547" s="534"/>
      <c r="L547" s="496"/>
      <c r="M547" s="534"/>
      <c r="N547" s="496"/>
      <c r="O547" s="534"/>
      <c r="P547" s="496"/>
      <c r="Q547" s="534"/>
      <c r="R547" s="496"/>
      <c r="S547" s="534"/>
      <c r="T547" s="496"/>
      <c r="U547" s="534"/>
    </row>
    <row r="548" spans="1:21" s="385" customFormat="1" ht="15.75" customHeight="1" x14ac:dyDescent="0.2">
      <c r="A548" s="558" t="s">
        <v>2292</v>
      </c>
      <c r="B548" s="1578" t="s">
        <v>2304</v>
      </c>
      <c r="C548" s="1579"/>
      <c r="D548" s="1579"/>
      <c r="E548" s="1580"/>
      <c r="J548" s="496"/>
      <c r="K548" s="534"/>
      <c r="L548" s="496"/>
      <c r="M548" s="534"/>
      <c r="N548" s="496"/>
      <c r="O548" s="534"/>
      <c r="P548" s="496"/>
      <c r="Q548" s="534"/>
      <c r="R548" s="496"/>
      <c r="S548" s="534"/>
      <c r="T548" s="496"/>
      <c r="U548" s="534"/>
    </row>
    <row r="549" spans="1:21" s="385" customFormat="1" ht="15.75" customHeight="1" x14ac:dyDescent="0.2">
      <c r="A549" s="371" t="s">
        <v>2725</v>
      </c>
      <c r="B549" s="400" t="s">
        <v>1251</v>
      </c>
      <c r="C549" s="401">
        <f ca="1">C540</f>
        <v>17182.049500880799</v>
      </c>
      <c r="D549" s="559"/>
      <c r="E549" s="401"/>
      <c r="F549" s="496"/>
      <c r="G549" s="534"/>
      <c r="J549" s="496"/>
      <c r="K549" s="534"/>
      <c r="L549" s="496"/>
      <c r="M549" s="534"/>
      <c r="N549" s="496"/>
      <c r="O549" s="534"/>
      <c r="P549" s="496"/>
      <c r="Q549" s="534"/>
      <c r="R549" s="496"/>
      <c r="S549" s="534"/>
      <c r="T549" s="496"/>
      <c r="U549" s="534"/>
    </row>
    <row r="550" spans="1:21" s="385" customFormat="1" ht="15.75" customHeight="1" x14ac:dyDescent="0.2">
      <c r="A550" s="354" t="s">
        <v>2726</v>
      </c>
      <c r="B550" s="402" t="s">
        <v>1251</v>
      </c>
      <c r="C550" s="403">
        <f ca="1">C549*1.002</f>
        <v>17216.413599882562</v>
      </c>
      <c r="D550" s="496"/>
      <c r="E550" s="403"/>
      <c r="F550" s="496"/>
      <c r="G550" s="534"/>
      <c r="J550" s="496"/>
      <c r="K550" s="534"/>
      <c r="L550" s="496"/>
      <c r="M550" s="534"/>
      <c r="N550" s="496"/>
      <c r="O550" s="534"/>
      <c r="P550" s="496"/>
      <c r="Q550" s="534"/>
      <c r="R550" s="496"/>
      <c r="S550" s="534"/>
      <c r="T550" s="496"/>
      <c r="U550" s="534"/>
    </row>
    <row r="551" spans="1:21" s="385" customFormat="1" ht="15.75" customHeight="1" x14ac:dyDescent="0.2">
      <c r="A551" s="354" t="s">
        <v>2727</v>
      </c>
      <c r="B551" s="402" t="s">
        <v>376</v>
      </c>
      <c r="C551" s="403">
        <f>(J78+(2*J79))</f>
        <v>2.5351101088722898</v>
      </c>
      <c r="D551" s="496"/>
      <c r="E551" s="403"/>
      <c r="F551" s="496"/>
      <c r="G551" s="534"/>
      <c r="J551" s="496"/>
      <c r="K551" s="534"/>
      <c r="L551" s="496"/>
      <c r="M551" s="534"/>
      <c r="N551" s="496"/>
      <c r="O551" s="534"/>
      <c r="P551" s="496"/>
      <c r="Q551" s="534"/>
      <c r="R551" s="496"/>
      <c r="S551" s="534"/>
      <c r="T551" s="496"/>
      <c r="U551" s="534"/>
    </row>
    <row r="552" spans="1:21" s="385" customFormat="1" ht="15.75" customHeight="1" x14ac:dyDescent="0.2">
      <c r="A552" s="370" t="s">
        <v>2728</v>
      </c>
      <c r="B552" s="560" t="s">
        <v>391</v>
      </c>
      <c r="C552" s="561">
        <f ca="1">C550/C551</f>
        <v>6791.1896763888717</v>
      </c>
      <c r="D552" s="496"/>
      <c r="E552" s="403"/>
      <c r="F552" s="1574" t="s">
        <v>2731</v>
      </c>
      <c r="G552" s="1575"/>
      <c r="H552" s="1574" t="s">
        <v>2745</v>
      </c>
      <c r="I552" s="1575"/>
      <c r="J552" s="496"/>
      <c r="K552" s="534"/>
      <c r="L552" s="496"/>
      <c r="M552" s="534"/>
      <c r="N552" s="496"/>
      <c r="O552" s="534"/>
      <c r="P552" s="496"/>
      <c r="Q552" s="534"/>
      <c r="R552" s="496"/>
      <c r="S552" s="534"/>
      <c r="T552" s="496"/>
      <c r="U552" s="534"/>
    </row>
    <row r="553" spans="1:21" s="385" customFormat="1" ht="15.75" customHeight="1" x14ac:dyDescent="0.2">
      <c r="A553" s="316" t="s">
        <v>2603</v>
      </c>
      <c r="B553" s="342" t="s">
        <v>376</v>
      </c>
      <c r="C553" s="401">
        <f t="shared" ref="C553:C558" si="27">J77</f>
        <v>0.18268996091261291</v>
      </c>
      <c r="D553" s="400" t="s">
        <v>1251</v>
      </c>
      <c r="E553" s="401">
        <f t="shared" ref="E553:E558" ca="1" si="28">C553*C$552</f>
        <v>1240.6821765296233</v>
      </c>
      <c r="F553" s="400" t="s">
        <v>1251</v>
      </c>
      <c r="G553" s="467">
        <f ca="1">E553-C522-C524-C525-C526-C527-C528-C529</f>
        <v>1198.3740283103702</v>
      </c>
      <c r="H553" s="400" t="s">
        <v>1251</v>
      </c>
      <c r="I553" s="467">
        <f ca="1">G553-G553</f>
        <v>0</v>
      </c>
      <c r="J553" s="496"/>
      <c r="K553" s="534"/>
      <c r="L553" s="496"/>
      <c r="M553" s="534"/>
      <c r="N553" s="496"/>
      <c r="O553" s="534"/>
      <c r="P553" s="496"/>
      <c r="Q553" s="534"/>
      <c r="R553" s="496"/>
      <c r="S553" s="534"/>
      <c r="T553" s="496"/>
      <c r="U553" s="534"/>
    </row>
    <row r="554" spans="1:21" s="385" customFormat="1" ht="15.75" customHeight="1" x14ac:dyDescent="0.2">
      <c r="A554" s="317" t="s">
        <v>1386</v>
      </c>
      <c r="B554" s="344" t="s">
        <v>376</v>
      </c>
      <c r="C554" s="403">
        <f t="shared" si="27"/>
        <v>1.9823870239774326</v>
      </c>
      <c r="D554" s="402" t="s">
        <v>1251</v>
      </c>
      <c r="E554" s="403">
        <f t="shared" ca="1" si="28"/>
        <v>13462.7662918428</v>
      </c>
      <c r="F554" s="402" t="s">
        <v>1251</v>
      </c>
      <c r="G554" s="469">
        <f ca="1">E554</f>
        <v>13462.7662918428</v>
      </c>
      <c r="H554" s="402" t="s">
        <v>1251</v>
      </c>
      <c r="I554" s="469">
        <f ca="1">G554-G558</f>
        <v>13459.46608176074</v>
      </c>
      <c r="J554" s="496"/>
      <c r="K554" s="534"/>
      <c r="L554" s="496"/>
      <c r="M554" s="534"/>
      <c r="N554" s="496"/>
      <c r="O554" s="534"/>
      <c r="P554" s="496"/>
      <c r="Q554" s="534"/>
      <c r="R554" s="496"/>
      <c r="S554" s="534"/>
      <c r="T554" s="496"/>
      <c r="U554" s="534"/>
    </row>
    <row r="555" spans="1:21" s="385" customFormat="1" ht="15.75" customHeight="1" x14ac:dyDescent="0.2">
      <c r="A555" s="354" t="s">
        <v>2604</v>
      </c>
      <c r="B555" s="344" t="s">
        <v>376</v>
      </c>
      <c r="C555" s="403">
        <f t="shared" si="27"/>
        <v>0.27636154244742867</v>
      </c>
      <c r="D555" s="402" t="s">
        <v>1251</v>
      </c>
      <c r="E555" s="403">
        <f t="shared" ca="1" si="28"/>
        <v>1876.8236540198825</v>
      </c>
      <c r="F555" s="402" t="s">
        <v>1251</v>
      </c>
      <c r="G555" s="469">
        <f ca="1">E555-G513</f>
        <v>1514.0097821363197</v>
      </c>
      <c r="H555" s="402" t="s">
        <v>1251</v>
      </c>
      <c r="I555" s="469">
        <f ca="1">G555-G556-G557-G553</f>
        <v>221.54048953309371</v>
      </c>
      <c r="J555" s="496"/>
      <c r="K555" s="534"/>
      <c r="L555" s="496"/>
      <c r="M555" s="534"/>
      <c r="N555" s="496"/>
      <c r="O555" s="534"/>
      <c r="P555" s="496"/>
      <c r="Q555" s="534"/>
      <c r="R555" s="496"/>
      <c r="S555" s="534"/>
      <c r="T555" s="496"/>
      <c r="U555" s="534"/>
    </row>
    <row r="556" spans="1:21" s="385" customFormat="1" ht="15.75" customHeight="1" x14ac:dyDescent="0.2">
      <c r="A556" s="354" t="s">
        <v>2605</v>
      </c>
      <c r="B556" s="344" t="s">
        <v>376</v>
      </c>
      <c r="C556" s="403">
        <f t="shared" si="27"/>
        <v>1.2857436741411233E-2</v>
      </c>
      <c r="D556" s="402" t="s">
        <v>1251</v>
      </c>
      <c r="E556" s="403">
        <f t="shared" ca="1" si="28"/>
        <v>87.317291663094935</v>
      </c>
      <c r="F556" s="402" t="s">
        <v>1251</v>
      </c>
      <c r="G556" s="469">
        <f ca="1">E556</f>
        <v>87.317291663094935</v>
      </c>
      <c r="H556" s="402" t="s">
        <v>1251</v>
      </c>
      <c r="I556" s="469">
        <f ca="1">G556-G556</f>
        <v>0</v>
      </c>
      <c r="J556" s="496"/>
      <c r="K556" s="534"/>
      <c r="L556" s="496"/>
      <c r="M556" s="534"/>
      <c r="N556" s="496"/>
      <c r="O556" s="534"/>
      <c r="P556" s="496"/>
      <c r="Q556" s="534"/>
      <c r="R556" s="496"/>
      <c r="S556" s="534"/>
      <c r="T556" s="496"/>
      <c r="U556" s="534"/>
    </row>
    <row r="557" spans="1:21" s="385" customFormat="1" ht="15.75" customHeight="1" x14ac:dyDescent="0.2">
      <c r="A557" s="354" t="s">
        <v>2606</v>
      </c>
      <c r="B557" s="344" t="s">
        <v>376</v>
      </c>
      <c r="C557" s="403">
        <f t="shared" si="27"/>
        <v>9.980537950995559E-4</v>
      </c>
      <c r="D557" s="402" t="s">
        <v>1251</v>
      </c>
      <c r="E557" s="403">
        <f t="shared" ca="1" si="28"/>
        <v>6.7779726297608383</v>
      </c>
      <c r="F557" s="402" t="s">
        <v>1251</v>
      </c>
      <c r="G557" s="469">
        <f ca="1">E557</f>
        <v>6.7779726297608383</v>
      </c>
      <c r="H557" s="402" t="s">
        <v>1251</v>
      </c>
      <c r="I557" s="469">
        <f ca="1">G557-G557</f>
        <v>0</v>
      </c>
      <c r="J557" s="496"/>
      <c r="K557" s="534"/>
      <c r="L557" s="496"/>
      <c r="M557" s="534"/>
      <c r="N557" s="496"/>
      <c r="O557" s="534"/>
      <c r="P557" s="496"/>
      <c r="Q557" s="534"/>
      <c r="R557" s="496"/>
      <c r="S557" s="534"/>
      <c r="T557" s="496"/>
      <c r="U557" s="534"/>
    </row>
    <row r="558" spans="1:21" s="385" customFormat="1" ht="15.75" customHeight="1" x14ac:dyDescent="0.2">
      <c r="A558" s="355" t="s">
        <v>2607</v>
      </c>
      <c r="B558" s="347" t="s">
        <v>376</v>
      </c>
      <c r="C558" s="405">
        <f t="shared" si="27"/>
        <v>4.8595463229859096E-4</v>
      </c>
      <c r="D558" s="494" t="s">
        <v>1251</v>
      </c>
      <c r="E558" s="405">
        <f t="shared" ca="1" si="28"/>
        <v>3.3002100820595413</v>
      </c>
      <c r="F558" s="494" t="s">
        <v>1251</v>
      </c>
      <c r="G558" s="474">
        <f ca="1">E558</f>
        <v>3.3002100820595413</v>
      </c>
      <c r="H558" s="494" t="s">
        <v>1251</v>
      </c>
      <c r="I558" s="474">
        <f ca="1">G558-G558</f>
        <v>0</v>
      </c>
      <c r="J558" s="496"/>
      <c r="K558" s="534"/>
      <c r="L558" s="496"/>
      <c r="M558" s="534"/>
      <c r="N558" s="496"/>
      <c r="O558" s="534"/>
      <c r="P558" s="496"/>
      <c r="Q558" s="534"/>
      <c r="R558" s="496"/>
      <c r="S558" s="534"/>
      <c r="T558" s="496"/>
      <c r="U558" s="534"/>
    </row>
    <row r="559" spans="1:21" s="385" customFormat="1" ht="15.75" customHeight="1" x14ac:dyDescent="0.2">
      <c r="A559" s="76"/>
      <c r="B559" s="496"/>
      <c r="C559" s="562"/>
      <c r="D559" s="496"/>
      <c r="E559" s="389"/>
      <c r="F559" s="496"/>
      <c r="G559" s="534"/>
      <c r="H559" s="496"/>
      <c r="I559" s="534"/>
      <c r="J559" s="496"/>
      <c r="K559" s="534"/>
      <c r="L559" s="496"/>
      <c r="M559" s="534"/>
      <c r="N559" s="496"/>
      <c r="O559" s="534"/>
      <c r="P559" s="496"/>
      <c r="Q559" s="534"/>
      <c r="R559" s="496"/>
      <c r="S559" s="534"/>
      <c r="T559" s="496"/>
      <c r="U559" s="534"/>
    </row>
    <row r="560" spans="1:21" s="385" customFormat="1" ht="15.75" customHeight="1" x14ac:dyDescent="0.2">
      <c r="A560" s="76"/>
      <c r="B560" s="496"/>
      <c r="C560" s="562"/>
      <c r="D560" s="496"/>
      <c r="E560" s="389"/>
      <c r="F560" s="496"/>
      <c r="G560" s="534"/>
      <c r="H560" s="496"/>
      <c r="I560" s="534"/>
      <c r="J560" s="496"/>
      <c r="K560" s="534"/>
      <c r="L560" s="496"/>
      <c r="M560" s="534"/>
      <c r="N560" s="496"/>
      <c r="O560" s="534"/>
      <c r="P560" s="496"/>
      <c r="Q560" s="534"/>
      <c r="R560" s="496"/>
      <c r="S560" s="534"/>
      <c r="T560" s="496"/>
      <c r="U560" s="534"/>
    </row>
    <row r="561" spans="1:21" s="385" customFormat="1" ht="15.75" customHeight="1" x14ac:dyDescent="0.2">
      <c r="A561" s="553" t="s">
        <v>2326</v>
      </c>
      <c r="B561" s="508"/>
      <c r="C561" s="554"/>
      <c r="D561" s="508"/>
      <c r="E561" s="554"/>
      <c r="F561" s="508"/>
      <c r="G561" s="555"/>
      <c r="H561" s="508"/>
      <c r="I561" s="556"/>
      <c r="J561" s="496"/>
      <c r="K561" s="534"/>
      <c r="L561" s="496"/>
      <c r="M561" s="534"/>
      <c r="N561" s="496"/>
      <c r="O561" s="534"/>
      <c r="P561" s="496"/>
      <c r="Q561" s="534"/>
      <c r="R561" s="496"/>
      <c r="S561" s="534"/>
      <c r="T561" s="496"/>
      <c r="U561" s="534"/>
    </row>
    <row r="562" spans="1:21" s="385" customFormat="1" ht="15.75" customHeight="1" x14ac:dyDescent="0.2">
      <c r="A562" s="390"/>
      <c r="B562" s="1572" t="s">
        <v>487</v>
      </c>
      <c r="C562" s="1573"/>
      <c r="D562" s="1572" t="s">
        <v>2751</v>
      </c>
      <c r="E562" s="1573"/>
      <c r="F562" s="1572" t="s">
        <v>2753</v>
      </c>
      <c r="G562" s="1573"/>
      <c r="H562" s="1572" t="s">
        <v>2754</v>
      </c>
      <c r="I562" s="1573"/>
      <c r="J562" s="496"/>
      <c r="K562" s="534"/>
      <c r="L562" s="496"/>
      <c r="M562" s="534"/>
      <c r="N562" s="496"/>
      <c r="O562" s="534"/>
      <c r="P562" s="496"/>
      <c r="Q562" s="534"/>
      <c r="R562" s="496"/>
      <c r="S562" s="534"/>
      <c r="T562" s="496"/>
      <c r="U562" s="534"/>
    </row>
    <row r="563" spans="1:21" s="385" customFormat="1" ht="15.75" customHeight="1" x14ac:dyDescent="0.2">
      <c r="A563" s="373" t="s">
        <v>580</v>
      </c>
      <c r="B563" s="301" t="s">
        <v>372</v>
      </c>
      <c r="C563" s="301" t="s">
        <v>42</v>
      </c>
      <c r="D563" s="557" t="s">
        <v>372</v>
      </c>
      <c r="E563" s="301" t="s">
        <v>42</v>
      </c>
      <c r="F563" s="301" t="s">
        <v>372</v>
      </c>
      <c r="G563" s="301" t="s">
        <v>42</v>
      </c>
      <c r="H563" s="301" t="s">
        <v>372</v>
      </c>
      <c r="I563" s="301" t="s">
        <v>42</v>
      </c>
      <c r="J563" s="496"/>
      <c r="K563" s="534"/>
      <c r="L563" s="496"/>
      <c r="M563" s="534"/>
      <c r="N563" s="496"/>
      <c r="O563" s="534"/>
      <c r="P563" s="496"/>
      <c r="Q563" s="534"/>
      <c r="R563" s="496"/>
      <c r="S563" s="534"/>
      <c r="T563" s="496"/>
      <c r="U563" s="534"/>
    </row>
    <row r="564" spans="1:21" s="385" customFormat="1" ht="15.75" customHeight="1" x14ac:dyDescent="0.2">
      <c r="A564" s="387" t="s">
        <v>2742</v>
      </c>
      <c r="B564" s="400" t="s">
        <v>376</v>
      </c>
      <c r="C564" s="401">
        <f ca="1">G513/C552</f>
        <v>5.3424199466106569E-2</v>
      </c>
      <c r="D564" s="400" t="s">
        <v>161</v>
      </c>
      <c r="E564" s="401">
        <f ca="1">C564*EXP((Units!C474/Units!C$69)*((1/C$579)-(1/C$578)))</f>
        <v>0.20195294760117405</v>
      </c>
      <c r="F564" s="400" t="s">
        <v>376</v>
      </c>
      <c r="G564" s="467">
        <f ca="1">(E564/4)^(1/3)</f>
        <v>0.36959838794907385</v>
      </c>
      <c r="H564" s="559" t="s">
        <v>376</v>
      </c>
      <c r="I564" s="467">
        <f ca="1">C564-G564</f>
        <v>-0.3161741884829673</v>
      </c>
      <c r="J564" s="496"/>
      <c r="K564" s="534"/>
      <c r="L564" s="496"/>
      <c r="M564" s="534"/>
      <c r="N564" s="496"/>
      <c r="O564" s="534"/>
      <c r="P564" s="496"/>
      <c r="Q564" s="534"/>
      <c r="R564" s="496"/>
      <c r="S564" s="534"/>
      <c r="T564" s="496"/>
      <c r="U564" s="534"/>
    </row>
    <row r="565" spans="1:21" s="385" customFormat="1" ht="15.75" customHeight="1" x14ac:dyDescent="0.2">
      <c r="A565" s="406" t="s">
        <v>2732</v>
      </c>
      <c r="B565" s="402" t="s">
        <v>376</v>
      </c>
      <c r="C565" s="502">
        <f t="shared" ref="C565:C572" ca="1" si="29">G522/C$552</f>
        <v>2.840255910205711E-3</v>
      </c>
      <c r="D565" s="402" t="s">
        <v>161</v>
      </c>
      <c r="E565" s="403">
        <f ca="1">C565*EXP((Units!C475/Units!C$69)*((1/C$579)-(1/C$578)))</f>
        <v>1.1549478813317119E-2</v>
      </c>
      <c r="F565" s="402" t="s">
        <v>376</v>
      </c>
      <c r="G565" s="469">
        <f t="shared" ref="G565:G573" ca="1" si="30">SQRT(E565)</f>
        <v>0.10746850149377314</v>
      </c>
      <c r="H565" s="496" t="s">
        <v>376</v>
      </c>
      <c r="I565" s="469">
        <f t="shared" ref="I565:I576" ca="1" si="31">C565-G565</f>
        <v>-0.10462824558356743</v>
      </c>
      <c r="J565" s="496"/>
      <c r="K565" s="534"/>
      <c r="L565" s="496"/>
      <c r="M565" s="534"/>
      <c r="N565" s="496"/>
      <c r="O565" s="534"/>
      <c r="P565" s="496"/>
      <c r="Q565" s="534"/>
      <c r="R565" s="496"/>
      <c r="S565" s="534"/>
      <c r="T565" s="496"/>
      <c r="U565" s="534"/>
    </row>
    <row r="566" spans="1:21" s="385" customFormat="1" ht="15.75" customHeight="1" x14ac:dyDescent="0.2">
      <c r="A566" s="406" t="s">
        <v>2739</v>
      </c>
      <c r="B566" s="402" t="s">
        <v>376</v>
      </c>
      <c r="C566" s="502">
        <f t="shared" ca="1" si="29"/>
        <v>1.3434442741720462E-10</v>
      </c>
      <c r="D566" s="402" t="s">
        <v>161</v>
      </c>
      <c r="E566" s="403">
        <f ca="1">C566*EXP((Units!C476/Units!C$69)*((1/C$579)-(1/C$578)))</f>
        <v>5.7819519844469774E-10</v>
      </c>
      <c r="F566" s="402" t="s">
        <v>376</v>
      </c>
      <c r="G566" s="469">
        <f t="shared" ca="1" si="30"/>
        <v>2.404568981012393E-5</v>
      </c>
      <c r="H566" s="496" t="s">
        <v>376</v>
      </c>
      <c r="I566" s="469">
        <f t="shared" ca="1" si="31"/>
        <v>-2.4045555465696511E-5</v>
      </c>
      <c r="J566" s="496"/>
      <c r="K566" s="534"/>
      <c r="L566" s="496"/>
      <c r="M566" s="534"/>
      <c r="N566" s="496"/>
      <c r="O566" s="534"/>
      <c r="P566" s="496"/>
      <c r="Q566" s="534"/>
      <c r="R566" s="496"/>
      <c r="S566" s="534"/>
      <c r="T566" s="496"/>
      <c r="U566" s="534"/>
    </row>
    <row r="567" spans="1:21" s="385" customFormat="1" ht="15.75" customHeight="1" x14ac:dyDescent="0.2">
      <c r="A567" s="406" t="s">
        <v>2733</v>
      </c>
      <c r="B567" s="402" t="s">
        <v>376</v>
      </c>
      <c r="C567" s="502">
        <f t="shared" ca="1" si="29"/>
        <v>1.9809929749608737E-3</v>
      </c>
      <c r="D567" s="402" t="s">
        <v>161</v>
      </c>
      <c r="E567" s="403">
        <f ca="1">C567*EXP((Units!C477/Units!C$69)*((1/C$579)-(1/C$578)))</f>
        <v>1.0873772193148895E-2</v>
      </c>
      <c r="F567" s="402" t="s">
        <v>376</v>
      </c>
      <c r="G567" s="469">
        <f t="shared" ca="1" si="30"/>
        <v>0.10427738102363759</v>
      </c>
      <c r="H567" s="496" t="s">
        <v>376</v>
      </c>
      <c r="I567" s="469">
        <f t="shared" ca="1" si="31"/>
        <v>-0.10229638804867672</v>
      </c>
      <c r="J567" s="496"/>
      <c r="K567" s="534"/>
      <c r="L567" s="496"/>
      <c r="M567" s="534"/>
      <c r="N567" s="496"/>
      <c r="O567" s="534"/>
      <c r="P567" s="496"/>
      <c r="Q567" s="534"/>
      <c r="R567" s="496"/>
      <c r="S567" s="534"/>
      <c r="T567" s="496"/>
      <c r="U567" s="534"/>
    </row>
    <row r="568" spans="1:21" s="385" customFormat="1" ht="15.75" customHeight="1" x14ac:dyDescent="0.2">
      <c r="A568" s="406" t="s">
        <v>2734</v>
      </c>
      <c r="B568" s="402" t="s">
        <v>376</v>
      </c>
      <c r="C568" s="502">
        <f t="shared" ca="1" si="29"/>
        <v>9.0844199049033603E-5</v>
      </c>
      <c r="D568" s="402" t="s">
        <v>161</v>
      </c>
      <c r="E568" s="403">
        <f ca="1">C568*EXP((Units!C478/Units!C$69)*((1/C$579)-(1/C$578)))</f>
        <v>4.9864847478713298E-4</v>
      </c>
      <c r="F568" s="402" t="s">
        <v>376</v>
      </c>
      <c r="G568" s="469">
        <f t="shared" ca="1" si="30"/>
        <v>2.2330438302620326E-2</v>
      </c>
      <c r="H568" s="496" t="s">
        <v>376</v>
      </c>
      <c r="I568" s="469">
        <f t="shared" ca="1" si="31"/>
        <v>-2.2239594103571292E-2</v>
      </c>
      <c r="J568" s="496"/>
      <c r="K568" s="534"/>
      <c r="L568" s="496"/>
      <c r="M568" s="534"/>
      <c r="N568" s="496"/>
      <c r="O568" s="534"/>
      <c r="P568" s="496"/>
      <c r="Q568" s="534"/>
      <c r="R568" s="496"/>
      <c r="S568" s="534"/>
      <c r="T568" s="496"/>
      <c r="U568" s="534"/>
    </row>
    <row r="569" spans="1:21" s="385" customFormat="1" ht="15.75" customHeight="1" x14ac:dyDescent="0.2">
      <c r="A569" s="406" t="s">
        <v>2735</v>
      </c>
      <c r="B569" s="402" t="s">
        <v>376</v>
      </c>
      <c r="C569" s="502">
        <f t="shared" ca="1" si="29"/>
        <v>1.0068235387565379E-3</v>
      </c>
      <c r="D569" s="402" t="s">
        <v>161</v>
      </c>
      <c r="E569" s="403">
        <f ca="1">C569*EXP((Units!C479/Units!C$69)*((1/C$579)-(1/C$578)))</f>
        <v>5.9932833698414685E-3</v>
      </c>
      <c r="F569" s="402" t="s">
        <v>376</v>
      </c>
      <c r="G569" s="469">
        <f t="shared" ca="1" si="30"/>
        <v>7.7416299122610277E-2</v>
      </c>
      <c r="H569" s="496" t="s">
        <v>376</v>
      </c>
      <c r="I569" s="469">
        <f t="shared" ca="1" si="31"/>
        <v>-7.6409475583853734E-2</v>
      </c>
      <c r="J569" s="496"/>
      <c r="K569" s="534"/>
      <c r="L569" s="496"/>
      <c r="M569" s="534"/>
      <c r="N569" s="496"/>
      <c r="O569" s="534"/>
      <c r="P569" s="496"/>
      <c r="Q569" s="534"/>
      <c r="R569" s="496"/>
      <c r="S569" s="534"/>
      <c r="T569" s="496"/>
      <c r="U569" s="534"/>
    </row>
    <row r="570" spans="1:21" s="385" customFormat="1" ht="15.75" customHeight="1" x14ac:dyDescent="0.2">
      <c r="A570" s="406" t="s">
        <v>2736</v>
      </c>
      <c r="B570" s="402" t="s">
        <v>376</v>
      </c>
      <c r="C570" s="502">
        <f t="shared" ca="1" si="29"/>
        <v>1.8464397307584935E-11</v>
      </c>
      <c r="D570" s="402" t="s">
        <v>161</v>
      </c>
      <c r="E570" s="403">
        <f ca="1">C570*EXP((Units!C480/Units!C$69)*((1/C$579)-(1/C$578)))</f>
        <v>1.0991237397405929E-10</v>
      </c>
      <c r="F570" s="402" t="s">
        <v>376</v>
      </c>
      <c r="G570" s="469">
        <f t="shared" ca="1" si="30"/>
        <v>1.0483910242560229E-5</v>
      </c>
      <c r="H570" s="496" t="s">
        <v>376</v>
      </c>
      <c r="I570" s="469">
        <f t="shared" ca="1" si="31"/>
        <v>-1.0483891778162923E-5</v>
      </c>
      <c r="J570" s="496"/>
      <c r="K570" s="534"/>
      <c r="L570" s="496"/>
      <c r="M570" s="534"/>
      <c r="N570" s="496"/>
      <c r="O570" s="534"/>
      <c r="P570" s="496"/>
      <c r="Q570" s="534"/>
      <c r="R570" s="496"/>
      <c r="S570" s="534"/>
      <c r="T570" s="496"/>
      <c r="U570" s="534"/>
    </row>
    <row r="571" spans="1:21" s="385" customFormat="1" ht="15.75" customHeight="1" x14ac:dyDescent="0.2">
      <c r="A571" s="406" t="s">
        <v>2737</v>
      </c>
      <c r="B571" s="402" t="s">
        <v>376</v>
      </c>
      <c r="C571" s="502">
        <f t="shared" ca="1" si="29"/>
        <v>3.1094146810935067E-4</v>
      </c>
      <c r="D571" s="402" t="s">
        <v>161</v>
      </c>
      <c r="E571" s="403">
        <f ca="1">C571*EXP((Units!C481/Units!C$69)*((1/C$579)-(1/C$578)))</f>
        <v>2.1767994058851455E-3</v>
      </c>
      <c r="F571" s="402" t="s">
        <v>376</v>
      </c>
      <c r="G571" s="469">
        <f t="shared" ca="1" si="30"/>
        <v>4.6656182933081283E-2</v>
      </c>
      <c r="H571" s="496" t="s">
        <v>376</v>
      </c>
      <c r="I571" s="469">
        <f ca="1">C571-G571</f>
        <v>-4.6345241464971931E-2</v>
      </c>
      <c r="J571" s="496"/>
      <c r="K571" s="534"/>
      <c r="L571" s="496"/>
      <c r="M571" s="534"/>
      <c r="N571" s="496"/>
      <c r="O571" s="534"/>
      <c r="P571" s="496"/>
      <c r="Q571" s="534"/>
      <c r="R571" s="496"/>
      <c r="S571" s="534"/>
      <c r="T571" s="496"/>
      <c r="U571" s="534"/>
    </row>
    <row r="572" spans="1:21" s="385" customFormat="1" ht="15.75" customHeight="1" x14ac:dyDescent="0.2">
      <c r="A572" s="406" t="s">
        <v>2738</v>
      </c>
      <c r="B572" s="402" t="s">
        <v>376</v>
      </c>
      <c r="C572" s="502">
        <f t="shared" ca="1" si="29"/>
        <v>2.0664617146228031E-11</v>
      </c>
      <c r="D572" s="402" t="s">
        <v>161</v>
      </c>
      <c r="E572" s="403">
        <f ca="1">C572*EXP((Units!C482/Units!C$69)*((1/C$579)-(1/C$578)))</f>
        <v>1.568849508132767E-10</v>
      </c>
      <c r="F572" s="402" t="s">
        <v>376</v>
      </c>
      <c r="G572" s="469">
        <f t="shared" ca="1" si="30"/>
        <v>1.2525372282422456E-5</v>
      </c>
      <c r="H572" s="496" t="s">
        <v>376</v>
      </c>
      <c r="I572" s="469">
        <f ca="1">C572-G572</f>
        <v>-1.2525351617805309E-5</v>
      </c>
      <c r="J572" s="496"/>
      <c r="K572" s="534"/>
      <c r="L572" s="496"/>
      <c r="M572" s="534"/>
      <c r="N572" s="496"/>
      <c r="O572" s="534"/>
      <c r="P572" s="496"/>
      <c r="Q572" s="534"/>
      <c r="R572" s="496"/>
      <c r="S572" s="534"/>
      <c r="T572" s="496"/>
      <c r="U572" s="534"/>
    </row>
    <row r="573" spans="1:21" s="385" customFormat="1" ht="15.75" customHeight="1" x14ac:dyDescent="0.2">
      <c r="A573" s="406" t="s">
        <v>2630</v>
      </c>
      <c r="B573" s="402" t="s">
        <v>376</v>
      </c>
      <c r="C573" s="403">
        <f ca="1">G556/C552</f>
        <v>1.2857436741411233E-2</v>
      </c>
      <c r="D573" s="402" t="s">
        <v>161</v>
      </c>
      <c r="E573" s="403">
        <f ca="1">C573*EXP((Units!C483/Units!C$69)*((1/C$579)-(1/C$578)))</f>
        <v>20.92596550707577</v>
      </c>
      <c r="F573" s="402" t="s">
        <v>376</v>
      </c>
      <c r="G573" s="469">
        <f t="shared" ca="1" si="30"/>
        <v>4.57449073745655</v>
      </c>
      <c r="H573" s="496" t="s">
        <v>376</v>
      </c>
      <c r="I573" s="469">
        <f t="shared" ca="1" si="31"/>
        <v>-4.5616333007151386</v>
      </c>
      <c r="J573" s="496"/>
      <c r="K573" s="534"/>
      <c r="L573" s="496"/>
      <c r="M573" s="534"/>
      <c r="N573" s="496"/>
      <c r="O573" s="534"/>
      <c r="P573" s="496"/>
      <c r="Q573" s="534"/>
      <c r="R573" s="496"/>
      <c r="S573" s="534"/>
      <c r="T573" s="496"/>
      <c r="U573" s="534"/>
    </row>
    <row r="574" spans="1:21" s="385" customFormat="1" ht="15.75" customHeight="1" x14ac:dyDescent="0.2">
      <c r="A574" s="406" t="s">
        <v>2633</v>
      </c>
      <c r="B574" s="402" t="s">
        <v>376</v>
      </c>
      <c r="C574" s="403">
        <f ca="1">G557/C552</f>
        <v>9.980537950995559E-4</v>
      </c>
      <c r="D574" s="402" t="s">
        <v>161</v>
      </c>
      <c r="E574" s="403">
        <f ca="1">C574*EXP((Units!C484/Units!C$69)*((1/C$579)-(1/C$578)))</f>
        <v>4.091478565875363E-3</v>
      </c>
      <c r="F574" s="402" t="s">
        <v>376</v>
      </c>
      <c r="G574" s="469">
        <f ca="1">SQRT(E574)</f>
        <v>6.3964666542360424E-2</v>
      </c>
      <c r="H574" s="496" t="s">
        <v>376</v>
      </c>
      <c r="I574" s="469">
        <f t="shared" ca="1" si="31"/>
        <v>-6.2966612747260869E-2</v>
      </c>
      <c r="J574" s="496"/>
      <c r="K574" s="534"/>
      <c r="L574" s="496"/>
      <c r="M574" s="534"/>
      <c r="N574" s="496"/>
      <c r="O574" s="534"/>
      <c r="P574" s="496"/>
      <c r="Q574" s="534"/>
      <c r="R574" s="496"/>
      <c r="S574" s="534"/>
      <c r="T574" s="496"/>
      <c r="U574" s="534"/>
    </row>
    <row r="575" spans="1:21" s="385" customFormat="1" ht="15.75" customHeight="1" x14ac:dyDescent="0.2">
      <c r="A575" s="406" t="s">
        <v>2632</v>
      </c>
      <c r="B575" s="402" t="s">
        <v>376</v>
      </c>
      <c r="C575" s="403">
        <f ca="1">G558/C552</f>
        <v>4.8595463229859101E-4</v>
      </c>
      <c r="D575" s="402" t="s">
        <v>161</v>
      </c>
      <c r="E575" s="403">
        <f ca="1">C575*EXP((Units!C485/Units!C$69)*((1/C$579)-(1/C$578)))</f>
        <v>1.2047924234752292E-4</v>
      </c>
      <c r="F575" s="402" t="s">
        <v>376</v>
      </c>
      <c r="G575" s="469">
        <f ca="1">SQRT(E575)</f>
        <v>1.0976303674166587E-2</v>
      </c>
      <c r="H575" s="496" t="s">
        <v>376</v>
      </c>
      <c r="I575" s="469">
        <f t="shared" ca="1" si="31"/>
        <v>-1.0490349041867996E-2</v>
      </c>
      <c r="J575" s="496"/>
      <c r="K575" s="534"/>
      <c r="L575" s="496"/>
      <c r="M575" s="534"/>
      <c r="N575" s="496"/>
      <c r="O575" s="534"/>
      <c r="P575" s="496"/>
      <c r="Q575" s="534"/>
      <c r="R575" s="496"/>
      <c r="S575" s="534"/>
      <c r="T575" s="496"/>
      <c r="U575" s="534"/>
    </row>
    <row r="576" spans="1:21" s="385" customFormat="1" ht="15.75" customHeight="1" x14ac:dyDescent="0.2">
      <c r="A576" s="404" t="s">
        <v>2746</v>
      </c>
      <c r="B576" s="494" t="s">
        <v>376</v>
      </c>
      <c r="C576" s="405">
        <f ca="1">G553/C552</f>
        <v>0.17646010278240237</v>
      </c>
      <c r="D576" s="494" t="s">
        <v>161</v>
      </c>
      <c r="E576" s="405">
        <f ca="1">C576*EXP((Units!C486/Units!C$69)*((1/C$579)-(1/C$578)))</f>
        <v>94.567887404545147</v>
      </c>
      <c r="F576" s="494" t="s">
        <v>376</v>
      </c>
      <c r="G576" s="474">
        <f ca="1">(E576/4)^(1/3)</f>
        <v>2.8700837204444727</v>
      </c>
      <c r="H576" s="495" t="s">
        <v>376</v>
      </c>
      <c r="I576" s="474">
        <f t="shared" ca="1" si="31"/>
        <v>-2.6936236176620705</v>
      </c>
      <c r="J576" s="496"/>
      <c r="K576" s="534"/>
      <c r="L576" s="496"/>
      <c r="M576" s="534"/>
      <c r="N576" s="496"/>
      <c r="O576" s="534"/>
      <c r="P576" s="496"/>
      <c r="Q576" s="534"/>
      <c r="R576" s="496"/>
      <c r="S576" s="534"/>
      <c r="T576" s="496"/>
      <c r="U576" s="534"/>
    </row>
    <row r="577" spans="1:21" s="385" customFormat="1" ht="15.75" customHeight="1" x14ac:dyDescent="0.2">
      <c r="A577" s="76"/>
      <c r="B577" s="496"/>
      <c r="C577" s="562"/>
      <c r="D577" s="496"/>
      <c r="E577" s="389"/>
      <c r="F577" s="496"/>
      <c r="G577" s="534"/>
      <c r="H577" s="496"/>
      <c r="I577" s="534"/>
      <c r="J577" s="496"/>
      <c r="K577" s="534"/>
      <c r="L577" s="496"/>
      <c r="M577" s="534"/>
      <c r="N577" s="496"/>
      <c r="O577" s="534"/>
      <c r="P577" s="496"/>
      <c r="Q577" s="534"/>
      <c r="R577" s="496"/>
      <c r="S577" s="534"/>
      <c r="T577" s="496"/>
      <c r="U577" s="534"/>
    </row>
    <row r="578" spans="1:21" s="385" customFormat="1" ht="15.75" customHeight="1" x14ac:dyDescent="0.2">
      <c r="A578" s="522" t="s">
        <v>2748</v>
      </c>
      <c r="B578" s="559" t="s">
        <v>161</v>
      </c>
      <c r="C578" s="563">
        <f>Inputs!F398+Units!B75</f>
        <v>298.14999999999998</v>
      </c>
      <c r="D578" s="496"/>
      <c r="E578" s="389"/>
      <c r="F578" s="496"/>
      <c r="G578" s="534"/>
      <c r="H578" s="496"/>
      <c r="I578" s="534"/>
      <c r="J578" s="496"/>
      <c r="K578" s="534"/>
      <c r="L578" s="496"/>
      <c r="M578" s="534"/>
      <c r="N578" s="496"/>
      <c r="O578" s="534"/>
      <c r="P578" s="496"/>
      <c r="Q578" s="534"/>
      <c r="R578" s="496"/>
      <c r="S578" s="534"/>
      <c r="T578" s="496"/>
      <c r="U578" s="534"/>
    </row>
    <row r="579" spans="1:21" s="385" customFormat="1" ht="15.75" customHeight="1" x14ac:dyDescent="0.2">
      <c r="A579" s="404" t="s">
        <v>2749</v>
      </c>
      <c r="B579" s="495" t="s">
        <v>161</v>
      </c>
      <c r="C579" s="564">
        <f>Inputs!F409+Units!B75</f>
        <v>373.15</v>
      </c>
      <c r="D579" s="496"/>
      <c r="E579" s="389"/>
      <c r="F579" s="496"/>
      <c r="G579" s="534"/>
      <c r="H579" s="496"/>
      <c r="I579" s="534"/>
      <c r="J579" s="496"/>
      <c r="K579" s="534"/>
      <c r="L579" s="496"/>
      <c r="M579" s="534"/>
      <c r="N579" s="496"/>
      <c r="O579" s="534"/>
      <c r="P579" s="496"/>
      <c r="Q579" s="534"/>
      <c r="R579" s="496"/>
      <c r="S579" s="534"/>
      <c r="T579" s="496"/>
      <c r="U579" s="534"/>
    </row>
    <row r="580" spans="1:21" s="385" customFormat="1" ht="15.75" customHeight="1" x14ac:dyDescent="0.2">
      <c r="B580" s="496"/>
      <c r="C580" s="562"/>
      <c r="D580" s="496"/>
      <c r="E580" s="389"/>
      <c r="F580" s="496"/>
      <c r="G580" s="534"/>
      <c r="H580" s="496"/>
      <c r="I580" s="534"/>
      <c r="J580" s="496"/>
      <c r="K580" s="534"/>
      <c r="L580" s="496"/>
      <c r="M580" s="534"/>
      <c r="N580" s="496"/>
      <c r="O580" s="534"/>
      <c r="P580" s="496"/>
      <c r="Q580" s="534"/>
      <c r="R580" s="496"/>
      <c r="S580" s="534"/>
      <c r="T580" s="496"/>
      <c r="U580" s="534"/>
    </row>
    <row r="581" spans="1:21" s="385" customFormat="1" ht="15.75" customHeight="1" x14ac:dyDescent="0.2">
      <c r="A581" s="553" t="s">
        <v>2755</v>
      </c>
      <c r="B581" s="508"/>
      <c r="C581" s="554"/>
      <c r="D581" s="508"/>
      <c r="E581" s="554"/>
      <c r="F581" s="496"/>
      <c r="G581" s="534"/>
      <c r="H581" s="496"/>
      <c r="I581" s="534"/>
      <c r="J581" s="496"/>
      <c r="K581" s="534"/>
      <c r="L581" s="496"/>
      <c r="M581" s="534"/>
      <c r="N581" s="496"/>
      <c r="O581" s="534"/>
      <c r="P581" s="496"/>
      <c r="Q581" s="534"/>
      <c r="R581" s="496"/>
      <c r="S581" s="534"/>
      <c r="T581" s="496"/>
      <c r="U581" s="534"/>
    </row>
    <row r="582" spans="1:21" s="385" customFormat="1" ht="15.75" customHeight="1" x14ac:dyDescent="0.2">
      <c r="A582" s="373" t="s">
        <v>580</v>
      </c>
      <c r="B582" s="301" t="s">
        <v>372</v>
      </c>
      <c r="C582" s="301" t="s">
        <v>42</v>
      </c>
      <c r="D582" s="557" t="s">
        <v>372</v>
      </c>
      <c r="E582" s="301" t="s">
        <v>42</v>
      </c>
      <c r="F582" s="496"/>
      <c r="G582" s="534"/>
      <c r="H582" s="496"/>
      <c r="I582" s="534"/>
      <c r="J582" s="496"/>
      <c r="K582" s="534"/>
      <c r="L582" s="496"/>
      <c r="M582" s="534"/>
      <c r="N582" s="496"/>
      <c r="O582" s="534"/>
      <c r="P582" s="496"/>
      <c r="Q582" s="534"/>
      <c r="R582" s="496"/>
      <c r="S582" s="534"/>
      <c r="T582" s="496"/>
      <c r="U582" s="534"/>
    </row>
    <row r="583" spans="1:21" s="385" customFormat="1" ht="15.75" customHeight="1" x14ac:dyDescent="0.2">
      <c r="A583" s="208"/>
      <c r="B583" s="1552" t="s">
        <v>2775</v>
      </c>
      <c r="C583" s="1553"/>
      <c r="D583" s="1552" t="s">
        <v>2776</v>
      </c>
      <c r="E583" s="1553"/>
      <c r="F583" s="1552" t="s">
        <v>2777</v>
      </c>
      <c r="G583" s="1553"/>
      <c r="H583" s="496"/>
      <c r="I583" s="534"/>
      <c r="J583" s="496"/>
      <c r="K583" s="534"/>
      <c r="L583" s="496"/>
      <c r="M583" s="534"/>
      <c r="N583" s="496"/>
      <c r="O583" s="534"/>
      <c r="P583" s="496"/>
      <c r="Q583" s="534"/>
      <c r="R583" s="496"/>
      <c r="S583" s="534"/>
      <c r="T583" s="496"/>
      <c r="U583" s="534"/>
    </row>
    <row r="584" spans="1:21" s="385" customFormat="1" ht="15.75" customHeight="1" x14ac:dyDescent="0.2">
      <c r="A584" s="371" t="s">
        <v>2756</v>
      </c>
      <c r="B584" s="400" t="s">
        <v>267</v>
      </c>
      <c r="C584" s="401"/>
      <c r="D584" s="400" t="s">
        <v>267</v>
      </c>
      <c r="E584" s="401"/>
      <c r="F584" s="400" t="s">
        <v>267</v>
      </c>
      <c r="G584" s="401">
        <f ca="1">C564*C$552*((Units!C122*2)+Units!C130)/Units!C$47</f>
        <v>47.942225030693983</v>
      </c>
      <c r="H584" s="496"/>
      <c r="I584" s="534"/>
      <c r="J584" s="496"/>
      <c r="K584" s="534"/>
      <c r="L584" s="496"/>
      <c r="M584" s="534"/>
      <c r="N584" s="496"/>
      <c r="O584" s="534"/>
      <c r="P584" s="496"/>
      <c r="Q584" s="534"/>
      <c r="R584" s="496"/>
      <c r="S584" s="534"/>
      <c r="T584" s="496"/>
      <c r="U584" s="534"/>
    </row>
    <row r="585" spans="1:21" s="385" customFormat="1" ht="15.75" customHeight="1" x14ac:dyDescent="0.2">
      <c r="A585" s="354" t="s">
        <v>2757</v>
      </c>
      <c r="B585" s="402" t="s">
        <v>267</v>
      </c>
      <c r="C585" s="403"/>
      <c r="D585" s="402" t="s">
        <v>267</v>
      </c>
      <c r="E585" s="403"/>
      <c r="F585" s="402" t="s">
        <v>267</v>
      </c>
      <c r="G585" s="403">
        <f ca="1">C565*C$552*Units!C244/Units!C$47</f>
        <v>2.6248085570632997</v>
      </c>
      <c r="H585" s="496"/>
      <c r="I585" s="534"/>
      <c r="J585" s="496"/>
      <c r="K585" s="534"/>
      <c r="L585" s="496"/>
      <c r="M585" s="534"/>
      <c r="N585" s="496"/>
      <c r="O585" s="534"/>
      <c r="P585" s="496"/>
      <c r="Q585" s="534"/>
      <c r="R585" s="496"/>
      <c r="S585" s="534"/>
      <c r="T585" s="496"/>
      <c r="U585" s="534"/>
    </row>
    <row r="586" spans="1:21" s="385" customFormat="1" ht="15.75" customHeight="1" x14ac:dyDescent="0.2">
      <c r="A586" s="354" t="s">
        <v>2758</v>
      </c>
      <c r="B586" s="402" t="s">
        <v>267</v>
      </c>
      <c r="C586" s="403"/>
      <c r="D586" s="402" t="s">
        <v>267</v>
      </c>
      <c r="E586" s="403"/>
      <c r="F586" s="402" t="s">
        <v>267</v>
      </c>
      <c r="G586" s="403">
        <f ca="1">C566*C$552*Units!C245/Units!C$47</f>
        <v>8.7641156410698397E-8</v>
      </c>
      <c r="H586" s="496"/>
      <c r="I586" s="534"/>
      <c r="J586" s="496"/>
      <c r="K586" s="534"/>
      <c r="L586" s="496"/>
      <c r="M586" s="534"/>
      <c r="N586" s="496"/>
      <c r="O586" s="534"/>
      <c r="P586" s="496"/>
      <c r="Q586" s="534"/>
      <c r="R586" s="496"/>
      <c r="S586" s="534"/>
      <c r="T586" s="496"/>
      <c r="U586" s="534"/>
    </row>
    <row r="587" spans="1:21" s="385" customFormat="1" ht="15.75" customHeight="1" x14ac:dyDescent="0.2">
      <c r="A587" s="354" t="s">
        <v>2759</v>
      </c>
      <c r="B587" s="402" t="s">
        <v>267</v>
      </c>
      <c r="C587" s="403"/>
      <c r="D587" s="402" t="s">
        <v>267</v>
      </c>
      <c r="E587" s="403"/>
      <c r="F587" s="402" t="s">
        <v>267</v>
      </c>
      <c r="G587" s="403">
        <f ca="1">C567*C$552*Units!C246/Units!C$47</f>
        <v>1.481073691374498</v>
      </c>
      <c r="H587" s="496"/>
      <c r="I587" s="534"/>
      <c r="J587" s="496"/>
      <c r="K587" s="534"/>
      <c r="L587" s="496"/>
      <c r="M587" s="534"/>
      <c r="N587" s="496"/>
      <c r="O587" s="534"/>
      <c r="P587" s="496"/>
      <c r="Q587" s="534"/>
      <c r="R587" s="496"/>
      <c r="S587" s="534"/>
      <c r="T587" s="496"/>
      <c r="U587" s="534"/>
    </row>
    <row r="588" spans="1:21" s="385" customFormat="1" ht="15.75" customHeight="1" x14ac:dyDescent="0.2">
      <c r="A588" s="354" t="s">
        <v>2760</v>
      </c>
      <c r="B588" s="402" t="s">
        <v>267</v>
      </c>
      <c r="C588" s="403"/>
      <c r="D588" s="402" t="s">
        <v>267</v>
      </c>
      <c r="E588" s="403"/>
      <c r="F588" s="402" t="s">
        <v>267</v>
      </c>
      <c r="G588" s="403">
        <f ca="1">C568*C$552*Units!C247/Units!C$47</f>
        <v>6.7918945158384147E-2</v>
      </c>
      <c r="H588" s="496"/>
      <c r="I588" s="534"/>
      <c r="J588" s="496"/>
      <c r="K588" s="534"/>
      <c r="L588" s="496"/>
      <c r="M588" s="534"/>
      <c r="N588" s="496"/>
      <c r="O588" s="534"/>
      <c r="P588" s="496"/>
      <c r="Q588" s="534"/>
      <c r="R588" s="496"/>
      <c r="S588" s="534"/>
      <c r="T588" s="496"/>
      <c r="U588" s="534"/>
    </row>
    <row r="589" spans="1:21" s="385" customFormat="1" ht="15.75" customHeight="1" x14ac:dyDescent="0.2">
      <c r="A589" s="354" t="s">
        <v>2761</v>
      </c>
      <c r="B589" s="402" t="s">
        <v>267</v>
      </c>
      <c r="C589" s="403"/>
      <c r="D589" s="402" t="s">
        <v>267</v>
      </c>
      <c r="E589" s="403"/>
      <c r="F589" s="402" t="s">
        <v>267</v>
      </c>
      <c r="G589" s="403">
        <f ca="1">C569*C$552*Units!C248/Units!C$47</f>
        <v>0.84867417672592205</v>
      </c>
      <c r="H589" s="496"/>
      <c r="I589" s="534"/>
      <c r="J589" s="496"/>
      <c r="K589" s="534"/>
      <c r="L589" s="496"/>
      <c r="M589" s="534"/>
      <c r="N589" s="496"/>
      <c r="O589" s="534"/>
      <c r="P589" s="496"/>
      <c r="Q589" s="534"/>
      <c r="R589" s="496"/>
      <c r="S589" s="534"/>
      <c r="T589" s="496"/>
      <c r="U589" s="534"/>
    </row>
    <row r="590" spans="1:21" s="385" customFormat="1" ht="15.75" customHeight="1" x14ac:dyDescent="0.2">
      <c r="A590" s="354" t="s">
        <v>2762</v>
      </c>
      <c r="B590" s="402" t="s">
        <v>267</v>
      </c>
      <c r="C590" s="403"/>
      <c r="D590" s="402" t="s">
        <v>267</v>
      </c>
      <c r="E590" s="403"/>
      <c r="F590" s="402" t="s">
        <v>267</v>
      </c>
      <c r="G590" s="403">
        <f ca="1">C570*C$552*Units!C249/Units!C$47</f>
        <v>1.556405524955077E-8</v>
      </c>
      <c r="H590" s="496"/>
      <c r="I590" s="534"/>
      <c r="J590" s="496"/>
      <c r="K590" s="534"/>
      <c r="L590" s="496"/>
      <c r="M590" s="534"/>
      <c r="N590" s="496"/>
      <c r="O590" s="534"/>
      <c r="P590" s="496"/>
      <c r="Q590" s="534"/>
      <c r="R590" s="496"/>
      <c r="S590" s="534"/>
      <c r="T590" s="496"/>
      <c r="U590" s="534"/>
    </row>
    <row r="591" spans="1:21" s="385" customFormat="1" ht="15.75" customHeight="1" x14ac:dyDescent="0.2">
      <c r="A591" s="354" t="s">
        <v>2763</v>
      </c>
      <c r="B591" s="402" t="s">
        <v>267</v>
      </c>
      <c r="C591" s="403"/>
      <c r="D591" s="402" t="s">
        <v>267</v>
      </c>
      <c r="E591" s="403"/>
      <c r="F591" s="402" t="s">
        <v>267</v>
      </c>
      <c r="G591" s="403">
        <f ca="1">C571*C$552*Units!C250/Units!C$47</f>
        <v>0.29172617274281604</v>
      </c>
      <c r="H591" s="496"/>
      <c r="I591" s="534"/>
      <c r="J591" s="496"/>
      <c r="K591" s="534"/>
      <c r="L591" s="496"/>
      <c r="M591" s="534"/>
      <c r="N591" s="496"/>
      <c r="O591" s="534"/>
      <c r="P591" s="496"/>
      <c r="Q591" s="534"/>
      <c r="R591" s="496"/>
      <c r="S591" s="534"/>
      <c r="T591" s="496"/>
      <c r="U591" s="534"/>
    </row>
    <row r="592" spans="1:21" s="385" customFormat="1" ht="15.75" customHeight="1" x14ac:dyDescent="0.2">
      <c r="A592" s="354" t="s">
        <v>2764</v>
      </c>
      <c r="B592" s="402" t="s">
        <v>267</v>
      </c>
      <c r="C592" s="403"/>
      <c r="D592" s="402" t="s">
        <v>267</v>
      </c>
      <c r="E592" s="403"/>
      <c r="F592" s="402" t="s">
        <v>267</v>
      </c>
      <c r="G592" s="403">
        <f ca="1">C572*C$552*Units!C251/Units!C$47</f>
        <v>2.1356535583992227E-8</v>
      </c>
      <c r="H592" s="496"/>
      <c r="I592" s="534"/>
      <c r="J592" s="496"/>
      <c r="K592" s="534"/>
      <c r="L592" s="496"/>
      <c r="M592" s="534"/>
      <c r="N592" s="496"/>
      <c r="O592" s="534"/>
      <c r="P592" s="496"/>
      <c r="Q592" s="534"/>
      <c r="R592" s="496"/>
      <c r="S592" s="534"/>
      <c r="T592" s="496"/>
      <c r="U592" s="534"/>
    </row>
    <row r="593" spans="1:21" s="385" customFormat="1" ht="15.75" customHeight="1" x14ac:dyDescent="0.2">
      <c r="A593" s="354" t="s">
        <v>2770</v>
      </c>
      <c r="B593" s="402" t="s">
        <v>267</v>
      </c>
      <c r="C593" s="648"/>
      <c r="D593" s="402" t="s">
        <v>267</v>
      </c>
      <c r="E593" s="403">
        <f ca="1">C573*C$552*Units!C252/Units!C$47</f>
        <v>21.521966049119637</v>
      </c>
      <c r="F593" s="402" t="s">
        <v>267</v>
      </c>
      <c r="G593" s="403"/>
      <c r="H593" s="496"/>
      <c r="I593" s="534"/>
      <c r="J593" s="496"/>
      <c r="K593" s="534"/>
      <c r="L593" s="496"/>
      <c r="M593" s="534"/>
      <c r="N593" s="496"/>
      <c r="O593" s="534"/>
      <c r="P593" s="496"/>
      <c r="Q593" s="534"/>
      <c r="R593" s="496"/>
      <c r="S593" s="534"/>
      <c r="T593" s="496"/>
      <c r="U593" s="534"/>
    </row>
    <row r="594" spans="1:21" s="385" customFormat="1" ht="15.75" customHeight="1" x14ac:dyDescent="0.2">
      <c r="A594" s="354" t="s">
        <v>2765</v>
      </c>
      <c r="B594" s="402" t="s">
        <v>267</v>
      </c>
      <c r="C594" s="403"/>
      <c r="D594" s="402" t="s">
        <v>267</v>
      </c>
      <c r="E594" s="403">
        <f ca="1">(C574)*C$552*Units!C253/Units!C$47</f>
        <v>1.1669635476659235</v>
      </c>
      <c r="F594" s="402" t="s">
        <v>267</v>
      </c>
      <c r="G594" s="403"/>
      <c r="H594" s="496"/>
      <c r="I594" s="534"/>
      <c r="J594" s="496"/>
      <c r="K594" s="534"/>
      <c r="L594" s="496"/>
      <c r="M594" s="534"/>
      <c r="N594" s="496"/>
      <c r="O594" s="534"/>
      <c r="P594" s="496"/>
      <c r="Q594" s="534"/>
      <c r="R594" s="496"/>
      <c r="S594" s="534"/>
      <c r="T594" s="496"/>
      <c r="U594" s="534"/>
    </row>
    <row r="595" spans="1:21" s="385" customFormat="1" ht="15.75" customHeight="1" x14ac:dyDescent="0.2">
      <c r="A595" s="354" t="s">
        <v>2766</v>
      </c>
      <c r="B595" s="402" t="s">
        <v>267</v>
      </c>
      <c r="C595" s="403"/>
      <c r="D595" s="402" t="s">
        <v>267</v>
      </c>
      <c r="E595" s="403">
        <f ca="1">(C575)*C$552*Units!C254/Units!C$47</f>
        <v>0.24603066161753878</v>
      </c>
      <c r="F595" s="402" t="s">
        <v>267</v>
      </c>
      <c r="G595" s="403"/>
      <c r="H595" s="496"/>
      <c r="I595" s="534"/>
      <c r="J595" s="496"/>
      <c r="K595" s="534"/>
      <c r="L595" s="496"/>
      <c r="M595" s="534"/>
      <c r="N595" s="496"/>
      <c r="O595" s="534"/>
      <c r="P595" s="496"/>
      <c r="Q595" s="534"/>
      <c r="R595" s="496"/>
      <c r="S595" s="534"/>
      <c r="T595" s="496"/>
      <c r="U595" s="534"/>
    </row>
    <row r="596" spans="1:21" s="385" customFormat="1" ht="15.75" customHeight="1" x14ac:dyDescent="0.2">
      <c r="A596" s="355" t="s">
        <v>2767</v>
      </c>
      <c r="B596" s="494" t="s">
        <v>267</v>
      </c>
      <c r="C596" s="405">
        <f ca="1">C576*C$552*Units!C255/Units!C$47</f>
        <v>386.11611192160132</v>
      </c>
      <c r="D596" s="494" t="s">
        <v>267</v>
      </c>
      <c r="E596" s="405"/>
      <c r="F596" s="494" t="s">
        <v>267</v>
      </c>
      <c r="G596" s="405"/>
      <c r="H596" s="496"/>
      <c r="I596" s="534"/>
      <c r="J596" s="496"/>
      <c r="K596" s="534"/>
      <c r="L596" s="496"/>
      <c r="M596" s="534"/>
      <c r="N596" s="496"/>
      <c r="O596" s="534"/>
      <c r="P596" s="496"/>
      <c r="Q596" s="534"/>
      <c r="R596" s="496"/>
      <c r="S596" s="534"/>
      <c r="T596" s="496"/>
      <c r="U596" s="534"/>
    </row>
    <row r="597" spans="1:21" s="385" customFormat="1" ht="15.75" customHeight="1" x14ac:dyDescent="0.2">
      <c r="B597" s="496"/>
      <c r="C597" s="562"/>
      <c r="D597" s="496"/>
      <c r="E597" s="389"/>
      <c r="F597" s="496"/>
      <c r="G597" s="534"/>
      <c r="H597" s="496"/>
      <c r="I597" s="534"/>
      <c r="J597" s="496"/>
      <c r="K597" s="534"/>
      <c r="L597" s="496"/>
      <c r="M597" s="534"/>
      <c r="N597" s="496"/>
      <c r="O597" s="534"/>
      <c r="P597" s="496"/>
      <c r="Q597" s="534"/>
      <c r="R597" s="496"/>
      <c r="S597" s="534"/>
      <c r="T597" s="496"/>
      <c r="U597" s="534"/>
    </row>
    <row r="598" spans="1:21" s="385" customFormat="1" ht="15.75" customHeight="1" x14ac:dyDescent="0.2">
      <c r="B598" s="496"/>
      <c r="C598" s="562"/>
      <c r="D598" s="496"/>
      <c r="E598" s="389"/>
      <c r="F598" s="496"/>
      <c r="G598" s="534"/>
      <c r="H598" s="496"/>
      <c r="I598" s="534"/>
      <c r="J598" s="496"/>
      <c r="K598" s="534"/>
      <c r="L598" s="496"/>
      <c r="M598" s="534"/>
      <c r="N598" s="496"/>
      <c r="O598" s="534"/>
      <c r="P598" s="496"/>
      <c r="Q598" s="534"/>
      <c r="R598" s="496"/>
      <c r="S598" s="534"/>
      <c r="T598" s="496"/>
      <c r="U598" s="534"/>
    </row>
    <row r="599" spans="1:21" s="385" customFormat="1" ht="15.75" customHeight="1" x14ac:dyDescent="0.2">
      <c r="B599" s="496"/>
      <c r="C599" s="562"/>
      <c r="D599" s="496"/>
      <c r="E599" s="389"/>
      <c r="F599" s="496"/>
      <c r="G599" s="534"/>
      <c r="H599" s="496"/>
      <c r="I599" s="534"/>
      <c r="J599" s="496"/>
      <c r="K599" s="534"/>
      <c r="L599" s="496"/>
      <c r="M599" s="534"/>
      <c r="N599" s="496"/>
      <c r="O599" s="534"/>
      <c r="P599" s="496"/>
      <c r="Q599" s="534"/>
      <c r="R599" s="496"/>
      <c r="S599" s="534"/>
      <c r="T599" s="496"/>
      <c r="U599" s="534"/>
    </row>
    <row r="600" spans="1:21" s="385" customFormat="1" ht="15.75" customHeight="1" x14ac:dyDescent="0.2">
      <c r="B600" s="496"/>
      <c r="C600" s="389"/>
      <c r="D600" s="496"/>
      <c r="E600" s="389"/>
      <c r="F600" s="496"/>
      <c r="G600" s="534"/>
      <c r="H600" s="496"/>
      <c r="I600" s="534"/>
      <c r="J600" s="496"/>
      <c r="K600" s="534"/>
      <c r="L600" s="496"/>
      <c r="M600" s="534"/>
      <c r="N600" s="496"/>
      <c r="O600" s="534"/>
      <c r="P600" s="496"/>
      <c r="Q600" s="534"/>
      <c r="R600" s="496"/>
      <c r="S600" s="534"/>
      <c r="T600" s="496"/>
      <c r="U600" s="534"/>
    </row>
    <row r="601" spans="1:21" s="385" customFormat="1" ht="15.75" customHeight="1" x14ac:dyDescent="0.2">
      <c r="A601" s="553" t="s">
        <v>2306</v>
      </c>
      <c r="B601" s="508"/>
      <c r="C601" s="554"/>
      <c r="D601" s="508"/>
      <c r="E601" s="554"/>
      <c r="F601" s="508"/>
      <c r="G601" s="555"/>
      <c r="H601" s="508"/>
      <c r="I601" s="555"/>
      <c r="J601" s="565"/>
      <c r="K601" s="534"/>
      <c r="L601" s="496"/>
      <c r="M601" s="534"/>
      <c r="N601" s="496"/>
      <c r="O601" s="534"/>
      <c r="P601" s="496"/>
      <c r="Q601" s="534"/>
      <c r="R601" s="496"/>
      <c r="S601" s="534"/>
      <c r="T601" s="496"/>
      <c r="U601" s="534"/>
    </row>
    <row r="602" spans="1:21" s="385" customFormat="1" ht="28.5" customHeight="1" x14ac:dyDescent="0.2">
      <c r="A602" s="522"/>
      <c r="B602" s="522" t="s">
        <v>1584</v>
      </c>
      <c r="C602" s="566" t="s">
        <v>2308</v>
      </c>
      <c r="D602" s="389"/>
      <c r="F602" s="400"/>
      <c r="G602" s="476" t="s">
        <v>1584</v>
      </c>
      <c r="H602" s="568" t="s">
        <v>2308</v>
      </c>
      <c r="I602" s="389"/>
      <c r="J602" s="496"/>
      <c r="K602" s="534"/>
      <c r="L602" s="496"/>
      <c r="M602" s="534"/>
      <c r="N602" s="496"/>
      <c r="O602" s="534"/>
      <c r="P602" s="496"/>
      <c r="Q602" s="534"/>
      <c r="R602" s="496"/>
      <c r="S602" s="534"/>
      <c r="T602" s="496"/>
      <c r="U602" s="534"/>
    </row>
    <row r="603" spans="1:21" s="385" customFormat="1" ht="15.75" customHeight="1" x14ac:dyDescent="0.2">
      <c r="A603" s="522" t="s">
        <v>393</v>
      </c>
      <c r="B603" s="465">
        <f t="shared" ref="B603:B610" ca="1" si="32">G252</f>
        <v>61.817072981695162</v>
      </c>
      <c r="C603" s="570">
        <f ca="1">E522*Units!C94/Units!C$47</f>
        <v>55.801485620530883</v>
      </c>
      <c r="D603" s="389"/>
      <c r="F603" s="371" t="s">
        <v>393</v>
      </c>
      <c r="G603" s="569">
        <f t="shared" ref="G603:G613" ca="1" si="33">B603/B$614</f>
        <v>9.4171993698658418E-2</v>
      </c>
      <c r="H603" s="570">
        <f ca="1">C603/C$614</f>
        <v>0.2410787271848103</v>
      </c>
      <c r="I603" s="534"/>
      <c r="J603" s="496"/>
      <c r="K603" s="534"/>
      <c r="L603" s="496"/>
      <c r="M603" s="534"/>
      <c r="N603" s="496"/>
      <c r="O603" s="534"/>
      <c r="P603" s="496"/>
      <c r="Q603" s="534"/>
      <c r="R603" s="496"/>
      <c r="S603" s="534"/>
      <c r="T603" s="496"/>
      <c r="U603" s="534"/>
    </row>
    <row r="604" spans="1:21" s="385" customFormat="1" ht="15.75" customHeight="1" x14ac:dyDescent="0.2">
      <c r="A604" s="406" t="s">
        <v>394</v>
      </c>
      <c r="B604" s="806">
        <f t="shared" ca="1" si="32"/>
        <v>0</v>
      </c>
      <c r="C604" s="572">
        <f ca="1">E523*Units!C95/Units!C$47</f>
        <v>3.2666357031808964E-6</v>
      </c>
      <c r="D604" s="389"/>
      <c r="F604" s="354" t="s">
        <v>394</v>
      </c>
      <c r="G604" s="571">
        <f t="shared" ca="1" si="33"/>
        <v>0</v>
      </c>
      <c r="H604" s="572">
        <f t="shared" ref="H604:H613" ca="1" si="34">C604/C$614</f>
        <v>1.411282098929566E-8</v>
      </c>
      <c r="I604" s="534"/>
      <c r="J604" s="496"/>
      <c r="K604" s="534"/>
      <c r="L604" s="496"/>
      <c r="M604" s="534"/>
      <c r="N604" s="496"/>
      <c r="O604" s="534"/>
      <c r="P604" s="496"/>
      <c r="Q604" s="534"/>
      <c r="R604" s="496"/>
      <c r="S604" s="534"/>
      <c r="T604" s="496"/>
      <c r="U604" s="534"/>
    </row>
    <row r="605" spans="1:21" s="385" customFormat="1" ht="15.75" customHeight="1" x14ac:dyDescent="0.2">
      <c r="A605" s="406" t="s">
        <v>396</v>
      </c>
      <c r="B605" s="806">
        <f t="shared" ca="1" si="32"/>
        <v>63.607112484752321</v>
      </c>
      <c r="C605" s="572">
        <f ca="1">E524*Units!C96/Units!C$47</f>
        <v>57.417334975176857</v>
      </c>
      <c r="D605" s="389"/>
      <c r="F605" s="354" t="s">
        <v>396</v>
      </c>
      <c r="G605" s="571">
        <f t="shared" ca="1" si="33"/>
        <v>9.6898935960259266E-2</v>
      </c>
      <c r="H605" s="572">
        <f t="shared" ca="1" si="34"/>
        <v>0.24805966866707654</v>
      </c>
      <c r="I605" s="534"/>
      <c r="J605" s="496"/>
      <c r="K605" s="534"/>
      <c r="L605" s="496"/>
      <c r="M605" s="534"/>
      <c r="N605" s="496"/>
      <c r="O605" s="534"/>
      <c r="P605" s="496"/>
      <c r="Q605" s="534"/>
      <c r="R605" s="496"/>
      <c r="S605" s="534"/>
      <c r="T605" s="496"/>
      <c r="U605" s="534"/>
    </row>
    <row r="606" spans="1:21" s="385" customFormat="1" ht="15.75" customHeight="1" x14ac:dyDescent="0.2">
      <c r="A606" s="406" t="s">
        <v>395</v>
      </c>
      <c r="B606" s="806">
        <f t="shared" ca="1" si="32"/>
        <v>2.9168895166133182</v>
      </c>
      <c r="C606" s="572">
        <f ca="1">E525*Units!C97/Units!C$47</f>
        <v>2.6330390229945286</v>
      </c>
      <c r="D606" s="389"/>
      <c r="F606" s="354" t="s">
        <v>395</v>
      </c>
      <c r="G606" s="571">
        <f t="shared" ca="1" si="33"/>
        <v>4.4435831062323398E-3</v>
      </c>
      <c r="H606" s="572">
        <f t="shared" ca="1" si="34"/>
        <v>1.137549814727349E-2</v>
      </c>
      <c r="I606" s="534"/>
      <c r="J606" s="496"/>
      <c r="K606" s="534"/>
      <c r="L606" s="496"/>
      <c r="M606" s="534"/>
      <c r="N606" s="496"/>
      <c r="O606" s="534"/>
      <c r="P606" s="496"/>
      <c r="Q606" s="534"/>
      <c r="R606" s="496"/>
      <c r="S606" s="534"/>
      <c r="T606" s="496"/>
      <c r="U606" s="534"/>
    </row>
    <row r="607" spans="1:21" s="385" customFormat="1" ht="15.75" customHeight="1" x14ac:dyDescent="0.2">
      <c r="A607" s="406" t="s">
        <v>397</v>
      </c>
      <c r="B607" s="806">
        <f t="shared" ca="1" si="32"/>
        <v>37.531416385688324</v>
      </c>
      <c r="C607" s="572">
        <f ca="1">E526*Units!C98/Units!C$47</f>
        <v>33.879138775183179</v>
      </c>
      <c r="D607" s="389"/>
      <c r="F607" s="354" t="s">
        <v>397</v>
      </c>
      <c r="G607" s="571">
        <f t="shared" ca="1" si="33"/>
        <v>5.7175277587493516E-2</v>
      </c>
      <c r="H607" s="572">
        <f t="shared" ca="1" si="34"/>
        <v>0.1463677814884852</v>
      </c>
      <c r="I607" s="534"/>
      <c r="J607" s="496"/>
      <c r="K607" s="534"/>
      <c r="L607" s="496"/>
      <c r="M607" s="534"/>
      <c r="N607" s="496"/>
      <c r="O607" s="534"/>
      <c r="P607" s="496"/>
      <c r="Q607" s="534"/>
      <c r="R607" s="496"/>
      <c r="S607" s="534"/>
      <c r="T607" s="496"/>
      <c r="U607" s="534"/>
    </row>
    <row r="608" spans="1:21" s="385" customFormat="1" ht="15.75" customHeight="1" x14ac:dyDescent="0.2">
      <c r="A608" s="406" t="s">
        <v>398</v>
      </c>
      <c r="B608" s="806">
        <f t="shared" ca="1" si="32"/>
        <v>0</v>
      </c>
      <c r="C608" s="572">
        <f ca="1">E527*Units!C99/Units!C$47</f>
        <v>6.2131828935622071E-7</v>
      </c>
      <c r="D608" s="389"/>
      <c r="F608" s="354" t="s">
        <v>398</v>
      </c>
      <c r="G608" s="571">
        <f t="shared" ca="1" si="33"/>
        <v>0</v>
      </c>
      <c r="H608" s="572">
        <f t="shared" ca="1" si="34"/>
        <v>2.6842766049857781E-9</v>
      </c>
      <c r="I608" s="534"/>
      <c r="J608" s="496"/>
      <c r="K608" s="534"/>
      <c r="L608" s="496"/>
      <c r="M608" s="534"/>
      <c r="N608" s="496"/>
      <c r="O608" s="534"/>
      <c r="P608" s="496"/>
      <c r="Q608" s="534"/>
      <c r="R608" s="496"/>
      <c r="S608" s="534"/>
      <c r="T608" s="496"/>
      <c r="U608" s="534"/>
    </row>
    <row r="609" spans="1:21" s="385" customFormat="1" ht="15.75" customHeight="1" x14ac:dyDescent="0.2">
      <c r="A609" s="406" t="s">
        <v>578</v>
      </c>
      <c r="B609" s="806">
        <f t="shared" ca="1" si="32"/>
        <v>13.199170076282689</v>
      </c>
      <c r="C609" s="572">
        <f ca="1">E528*Units!C100/Units!C$47</f>
        <v>11.914738840213015</v>
      </c>
      <c r="D609" s="389"/>
      <c r="F609" s="354" t="s">
        <v>578</v>
      </c>
      <c r="G609" s="571">
        <f t="shared" ca="1" si="33"/>
        <v>2.0107586808894694E-2</v>
      </c>
      <c r="H609" s="572">
        <f t="shared" ca="1" si="34"/>
        <v>5.1475154153980913E-2</v>
      </c>
      <c r="I609" s="534"/>
      <c r="J609" s="496"/>
      <c r="K609" s="534"/>
      <c r="L609" s="496"/>
      <c r="M609" s="534"/>
      <c r="N609" s="496"/>
      <c r="O609" s="534"/>
      <c r="P609" s="496"/>
      <c r="Q609" s="534"/>
      <c r="R609" s="496"/>
      <c r="S609" s="534"/>
      <c r="T609" s="496"/>
      <c r="U609" s="534"/>
    </row>
    <row r="610" spans="1:21" s="385" customFormat="1" ht="15.75" customHeight="1" x14ac:dyDescent="0.2">
      <c r="A610" s="406" t="s">
        <v>407</v>
      </c>
      <c r="B610" s="806">
        <f t="shared" ca="1" si="32"/>
        <v>0</v>
      </c>
      <c r="C610" s="572">
        <f ca="1">E529*Units!C101/Units!C$47</f>
        <v>8.8824130219364902E-7</v>
      </c>
      <c r="D610" s="389"/>
      <c r="F610" s="354" t="s">
        <v>407</v>
      </c>
      <c r="G610" s="571">
        <f t="shared" ca="1" si="33"/>
        <v>0</v>
      </c>
      <c r="H610" s="572">
        <f t="shared" ca="1" si="34"/>
        <v>3.8374620350078435E-9</v>
      </c>
      <c r="I610" s="534"/>
      <c r="J610" s="496"/>
      <c r="K610" s="534"/>
      <c r="L610" s="496"/>
      <c r="M610" s="534"/>
      <c r="N610" s="496"/>
      <c r="O610" s="534"/>
      <c r="P610" s="496"/>
      <c r="Q610" s="534"/>
      <c r="R610" s="496"/>
      <c r="S610" s="534"/>
      <c r="T610" s="496"/>
      <c r="U610" s="534"/>
    </row>
    <row r="611" spans="1:21" s="385" customFormat="1" ht="15.75" customHeight="1" x14ac:dyDescent="0.2">
      <c r="A611" s="406" t="s">
        <v>1693</v>
      </c>
      <c r="B611" s="807">
        <f ca="1">G321*G261</f>
        <v>182.85829928571425</v>
      </c>
      <c r="C611" s="572">
        <f>E530*Units!C102/Units!C$47</f>
        <v>0</v>
      </c>
      <c r="D611" s="389"/>
      <c r="F611" s="354" t="s">
        <v>1693</v>
      </c>
      <c r="G611" s="571">
        <f t="shared" ca="1" si="33"/>
        <v>0.27856593296128374</v>
      </c>
      <c r="H611" s="572">
        <f t="shared" ca="1" si="34"/>
        <v>0</v>
      </c>
      <c r="I611" s="534"/>
      <c r="J611" s="496"/>
      <c r="K611" s="534"/>
      <c r="L611" s="496"/>
      <c r="M611" s="534"/>
      <c r="N611" s="496"/>
      <c r="O611" s="534"/>
      <c r="P611" s="496"/>
      <c r="Q611" s="534"/>
      <c r="R611" s="496"/>
      <c r="S611" s="534"/>
      <c r="T611" s="496"/>
      <c r="U611" s="534"/>
    </row>
    <row r="612" spans="1:21" s="385" customFormat="1" ht="15.75" customHeight="1" x14ac:dyDescent="0.2">
      <c r="A612" s="406" t="s">
        <v>1689</v>
      </c>
      <c r="B612" s="806">
        <f ca="1">L268*L270</f>
        <v>37.82956659642138</v>
      </c>
      <c r="C612" s="572">
        <f ca="1">SUM(E477:E479)*C414/1000</f>
        <v>57.265941161396235</v>
      </c>
      <c r="D612" s="389"/>
      <c r="F612" s="354" t="s">
        <v>1689</v>
      </c>
      <c r="G612" s="571">
        <f t="shared" ca="1" si="33"/>
        <v>5.7629478966046671E-2</v>
      </c>
      <c r="H612" s="572">
        <f t="shared" ca="1" si="34"/>
        <v>0.24740560314312107</v>
      </c>
      <c r="I612" s="534"/>
      <c r="J612" s="496"/>
      <c r="K612" s="534"/>
      <c r="L612" s="496"/>
      <c r="M612" s="534"/>
      <c r="N612" s="496"/>
      <c r="O612" s="534"/>
      <c r="P612" s="496"/>
      <c r="Q612" s="534"/>
      <c r="R612" s="496"/>
      <c r="S612" s="534"/>
      <c r="T612" s="496"/>
      <c r="U612" s="534"/>
    </row>
    <row r="613" spans="1:21" s="385" customFormat="1" ht="15.75" customHeight="1" x14ac:dyDescent="0.2">
      <c r="A613" s="406" t="s">
        <v>482</v>
      </c>
      <c r="B613" s="664">
        <f ca="1">L269*L270</f>
        <v>256.66783025330403</v>
      </c>
      <c r="C613" s="577">
        <f ca="1">((E512*Units!C121)+(ExpBase!E513*Units!C122))/Units!C47</f>
        <v>12.554138272412899</v>
      </c>
      <c r="D613" s="389"/>
      <c r="F613" s="354" t="s">
        <v>482</v>
      </c>
      <c r="G613" s="571">
        <f t="shared" ca="1" si="33"/>
        <v>0.39100721091113133</v>
      </c>
      <c r="H613" s="572">
        <f t="shared" ca="1" si="34"/>
        <v>5.4237546580693005E-2</v>
      </c>
      <c r="I613" s="534"/>
      <c r="J613" s="496"/>
      <c r="K613" s="534"/>
      <c r="L613" s="496"/>
      <c r="M613" s="534"/>
      <c r="N613" s="496"/>
      <c r="O613" s="534"/>
      <c r="P613" s="496"/>
      <c r="Q613" s="534"/>
      <c r="R613" s="496"/>
      <c r="S613" s="534"/>
      <c r="T613" s="496"/>
      <c r="U613" s="534"/>
    </row>
    <row r="614" spans="1:21" s="385" customFormat="1" ht="15.75" customHeight="1" x14ac:dyDescent="0.2">
      <c r="A614" s="404" t="s">
        <v>1764</v>
      </c>
      <c r="B614" s="576">
        <f ca="1">SUM(B603:B613)</f>
        <v>656.42735758047149</v>
      </c>
      <c r="C614" s="808">
        <f ca="1">SUM(C603:C613)</f>
        <v>231.46582144410286</v>
      </c>
      <c r="D614" s="589"/>
      <c r="E614" s="389"/>
      <c r="F614" s="476" t="s">
        <v>1764</v>
      </c>
      <c r="G614" s="477">
        <f ca="1">L270*1050</f>
        <v>38338.328424458741</v>
      </c>
      <c r="H614" s="477">
        <f ca="1">E414*1000</f>
        <v>55272.474816103837</v>
      </c>
      <c r="I614" s="534"/>
      <c r="J614" s="496"/>
      <c r="K614" s="534"/>
      <c r="L614" s="496"/>
      <c r="M614" s="534"/>
      <c r="N614" s="496"/>
      <c r="O614" s="534"/>
      <c r="P614" s="496"/>
      <c r="Q614" s="534"/>
      <c r="R614" s="496"/>
      <c r="S614" s="534"/>
      <c r="T614" s="496"/>
      <c r="U614" s="534"/>
    </row>
    <row r="615" spans="1:21" s="385" customFormat="1" ht="15.75" customHeight="1" x14ac:dyDescent="0.2">
      <c r="A615" s="406"/>
      <c r="B615" s="574"/>
      <c r="C615" s="574"/>
      <c r="D615" s="389"/>
      <c r="G615" s="534"/>
      <c r="H615" s="496"/>
      <c r="I615" s="534"/>
      <c r="J615" s="496"/>
      <c r="K615" s="534"/>
      <c r="L615" s="496"/>
      <c r="M615" s="534"/>
      <c r="N615" s="496"/>
      <c r="O615" s="534"/>
      <c r="P615" s="496"/>
      <c r="Q615" s="534"/>
      <c r="R615" s="496"/>
      <c r="S615" s="534"/>
      <c r="T615" s="496"/>
      <c r="U615" s="534"/>
    </row>
    <row r="616" spans="1:21" s="385" customFormat="1" ht="15.75" customHeight="1" x14ac:dyDescent="0.2">
      <c r="B616" s="496"/>
      <c r="C616" s="389"/>
      <c r="D616" s="496"/>
      <c r="E616" s="389"/>
      <c r="F616" s="496"/>
      <c r="G616" s="534"/>
      <c r="H616" s="496"/>
      <c r="I616" s="534"/>
      <c r="J616" s="496"/>
      <c r="K616" s="534"/>
      <c r="L616" s="496"/>
      <c r="M616" s="534"/>
      <c r="N616" s="496"/>
      <c r="O616" s="534"/>
      <c r="P616" s="496"/>
      <c r="Q616" s="534"/>
      <c r="R616" s="496"/>
      <c r="S616" s="534"/>
      <c r="T616" s="496"/>
      <c r="U616" s="534"/>
    </row>
    <row r="617" spans="1:21" s="385" customFormat="1" ht="15.75" customHeight="1" x14ac:dyDescent="0.2">
      <c r="B617" s="496"/>
      <c r="C617" s="389"/>
      <c r="D617" s="496"/>
      <c r="E617" s="389"/>
      <c r="F617" s="496"/>
      <c r="G617" s="534"/>
      <c r="H617" s="496"/>
      <c r="I617" s="534"/>
      <c r="J617" s="496"/>
      <c r="K617" s="534"/>
      <c r="L617" s="496"/>
      <c r="M617" s="534"/>
      <c r="N617" s="496"/>
      <c r="O617" s="534"/>
      <c r="P617" s="496"/>
      <c r="R617" s="496"/>
      <c r="S617" s="534"/>
      <c r="T617" s="496"/>
      <c r="U617" s="534"/>
    </row>
    <row r="618" spans="1:21" s="385" customFormat="1" ht="15.75" customHeight="1" x14ac:dyDescent="0.2">
      <c r="B618" s="496"/>
      <c r="C618" s="389"/>
      <c r="D618" s="496"/>
      <c r="E618" s="389"/>
      <c r="F618" s="496"/>
      <c r="G618" s="534"/>
      <c r="H618" s="496"/>
      <c r="I618" s="534"/>
      <c r="J618" s="496"/>
      <c r="K618" s="534"/>
      <c r="L618" s="496"/>
      <c r="M618" s="534"/>
      <c r="N618" s="496"/>
      <c r="O618" s="534"/>
      <c r="P618" s="496"/>
      <c r="R618" s="496"/>
      <c r="S618" s="534"/>
      <c r="T618" s="496"/>
      <c r="U618" s="534"/>
    </row>
    <row r="619" spans="1:21" s="385" customFormat="1" ht="15.75" customHeight="1" x14ac:dyDescent="0.2">
      <c r="B619" s="496"/>
      <c r="C619" s="389"/>
      <c r="D619" s="496"/>
      <c r="E619" s="389"/>
      <c r="F619" s="496"/>
      <c r="G619" s="534"/>
      <c r="H619" s="496"/>
      <c r="I619" s="534"/>
      <c r="J619" s="496"/>
      <c r="K619" s="534"/>
      <c r="L619" s="496"/>
      <c r="M619" s="534"/>
      <c r="N619" s="496"/>
      <c r="O619" s="534"/>
      <c r="P619" s="496"/>
      <c r="R619" s="496"/>
      <c r="S619" s="534"/>
      <c r="T619" s="496"/>
      <c r="U619" s="534"/>
    </row>
    <row r="620" spans="1:21" s="385" customFormat="1" ht="15.75" customHeight="1" x14ac:dyDescent="0.2">
      <c r="B620" s="496"/>
      <c r="C620" s="389"/>
      <c r="D620" s="496"/>
      <c r="E620" s="389"/>
      <c r="F620" s="496"/>
      <c r="G620" s="534"/>
      <c r="H620" s="496"/>
      <c r="I620" s="534"/>
      <c r="J620" s="496"/>
      <c r="K620" s="534"/>
      <c r="L620" s="496"/>
      <c r="M620" s="534"/>
      <c r="N620" s="496"/>
      <c r="O620" s="534"/>
      <c r="P620" s="496"/>
      <c r="R620" s="496"/>
      <c r="S620" s="534"/>
      <c r="T620" s="496"/>
      <c r="U620" s="534"/>
    </row>
    <row r="621" spans="1:21" s="385" customFormat="1" ht="15.75" customHeight="1" x14ac:dyDescent="0.2">
      <c r="B621" s="496"/>
      <c r="C621" s="389"/>
      <c r="D621" s="496"/>
      <c r="E621" s="389"/>
      <c r="F621" s="496"/>
      <c r="G621" s="534"/>
      <c r="H621" s="496"/>
      <c r="I621" s="534"/>
      <c r="J621" s="496"/>
      <c r="K621" s="534"/>
      <c r="L621" s="496"/>
      <c r="M621" s="534"/>
      <c r="N621" s="496"/>
      <c r="O621" s="534"/>
      <c r="P621" s="496"/>
      <c r="R621" s="496"/>
      <c r="S621" s="534"/>
      <c r="T621" s="496"/>
      <c r="U621" s="534"/>
    </row>
    <row r="622" spans="1:21" s="385" customFormat="1" ht="15.75" customHeight="1" x14ac:dyDescent="0.2">
      <c r="B622" s="476" t="s">
        <v>3318</v>
      </c>
      <c r="C622" s="568" t="s">
        <v>3319</v>
      </c>
      <c r="D622" s="567" t="s">
        <v>3320</v>
      </c>
      <c r="E622" s="389"/>
      <c r="F622" s="496"/>
      <c r="G622" s="534"/>
      <c r="H622" s="496"/>
      <c r="I622" s="534"/>
      <c r="J622" s="496"/>
      <c r="K622" s="534"/>
      <c r="L622" s="496"/>
      <c r="M622" s="534"/>
      <c r="N622" s="496"/>
      <c r="O622" s="534"/>
      <c r="P622" s="496"/>
      <c r="R622" s="496"/>
      <c r="S622" s="534"/>
      <c r="T622" s="496"/>
      <c r="U622" s="534"/>
    </row>
    <row r="623" spans="1:21" s="385" customFormat="1" ht="15.75" customHeight="1" x14ac:dyDescent="0.2">
      <c r="A623" s="371" t="s">
        <v>2756</v>
      </c>
      <c r="B623" s="572">
        <f>C584</f>
        <v>0</v>
      </c>
      <c r="C623" s="575">
        <f>E584</f>
        <v>0</v>
      </c>
      <c r="D623" s="572">
        <f ca="1">G584</f>
        <v>47.942225030693983</v>
      </c>
      <c r="E623" s="389"/>
      <c r="F623" s="496"/>
      <c r="G623" s="534"/>
      <c r="H623" s="496"/>
      <c r="I623" s="534"/>
      <c r="J623" s="496"/>
      <c r="K623" s="534"/>
      <c r="L623" s="496"/>
      <c r="M623" s="534"/>
      <c r="N623" s="496"/>
      <c r="O623" s="534"/>
      <c r="P623" s="496"/>
      <c r="R623" s="496"/>
      <c r="S623" s="534"/>
      <c r="T623" s="496"/>
      <c r="U623" s="534"/>
    </row>
    <row r="624" spans="1:21" s="385" customFormat="1" ht="15.75" customHeight="1" x14ac:dyDescent="0.2">
      <c r="A624" s="354" t="s">
        <v>2757</v>
      </c>
      <c r="B624" s="572">
        <f t="shared" ref="B624:B635" si="35">C585</f>
        <v>0</v>
      </c>
      <c r="C624" s="575">
        <f t="shared" ref="C624:C635" si="36">E585</f>
        <v>0</v>
      </c>
      <c r="D624" s="572">
        <f t="shared" ref="D624:D635" ca="1" si="37">G585</f>
        <v>2.6248085570632997</v>
      </c>
      <c r="E624" s="389"/>
      <c r="F624" s="496"/>
      <c r="G624" s="534"/>
      <c r="H624" s="496"/>
      <c r="I624" s="534"/>
      <c r="J624" s="496"/>
      <c r="K624" s="534"/>
      <c r="L624" s="496"/>
      <c r="M624" s="534"/>
      <c r="N624" s="496"/>
      <c r="O624" s="534"/>
      <c r="P624" s="496"/>
      <c r="R624" s="496"/>
      <c r="S624" s="534"/>
      <c r="T624" s="496"/>
      <c r="U624" s="534"/>
    </row>
    <row r="625" spans="1:21" s="385" customFormat="1" ht="15.75" customHeight="1" x14ac:dyDescent="0.2">
      <c r="A625" s="354" t="s">
        <v>2758</v>
      </c>
      <c r="B625" s="572">
        <f t="shared" si="35"/>
        <v>0</v>
      </c>
      <c r="C625" s="575">
        <f t="shared" si="36"/>
        <v>0</v>
      </c>
      <c r="D625" s="572">
        <f t="shared" ca="1" si="37"/>
        <v>8.7641156410698397E-8</v>
      </c>
      <c r="E625" s="389"/>
      <c r="F625" s="496"/>
      <c r="G625" s="534"/>
      <c r="H625" s="496"/>
      <c r="I625" s="534"/>
      <c r="J625" s="496"/>
      <c r="K625" s="534"/>
      <c r="L625" s="496"/>
      <c r="M625" s="534"/>
      <c r="N625" s="496"/>
      <c r="O625" s="534"/>
      <c r="P625" s="496"/>
      <c r="R625" s="496"/>
      <c r="S625" s="534"/>
      <c r="T625" s="496"/>
      <c r="U625" s="534"/>
    </row>
    <row r="626" spans="1:21" s="385" customFormat="1" ht="15.75" customHeight="1" x14ac:dyDescent="0.2">
      <c r="A626" s="354" t="s">
        <v>2759</v>
      </c>
      <c r="B626" s="572">
        <f t="shared" si="35"/>
        <v>0</v>
      </c>
      <c r="C626" s="575">
        <f t="shared" si="36"/>
        <v>0</v>
      </c>
      <c r="D626" s="572">
        <f t="shared" ca="1" si="37"/>
        <v>1.481073691374498</v>
      </c>
      <c r="E626" s="389"/>
      <c r="F626" s="496"/>
      <c r="G626" s="534"/>
      <c r="H626" s="496"/>
      <c r="I626" s="534"/>
      <c r="J626" s="496"/>
      <c r="K626" s="534"/>
      <c r="L626" s="496"/>
      <c r="M626" s="534"/>
      <c r="N626" s="496"/>
      <c r="O626" s="534"/>
      <c r="P626" s="496"/>
      <c r="R626" s="496"/>
      <c r="S626" s="534"/>
      <c r="T626" s="496"/>
      <c r="U626" s="534"/>
    </row>
    <row r="627" spans="1:21" s="385" customFormat="1" ht="15.75" customHeight="1" x14ac:dyDescent="0.2">
      <c r="A627" s="354" t="s">
        <v>2760</v>
      </c>
      <c r="B627" s="572">
        <f t="shared" si="35"/>
        <v>0</v>
      </c>
      <c r="C627" s="575">
        <f t="shared" si="36"/>
        <v>0</v>
      </c>
      <c r="D627" s="572">
        <f t="shared" ca="1" si="37"/>
        <v>6.7918945158384147E-2</v>
      </c>
      <c r="E627" s="389"/>
      <c r="F627" s="496"/>
      <c r="G627" s="534"/>
      <c r="H627" s="496"/>
      <c r="I627" s="534"/>
      <c r="J627" s="496"/>
      <c r="K627" s="534"/>
      <c r="L627" s="496"/>
      <c r="M627" s="534"/>
      <c r="N627" s="496"/>
      <c r="O627" s="534"/>
      <c r="P627" s="496"/>
      <c r="R627" s="496"/>
      <c r="S627" s="534"/>
      <c r="T627" s="496"/>
      <c r="U627" s="534"/>
    </row>
    <row r="628" spans="1:21" s="385" customFormat="1" ht="15.75" customHeight="1" x14ac:dyDescent="0.2">
      <c r="A628" s="354" t="s">
        <v>2761</v>
      </c>
      <c r="B628" s="572">
        <f t="shared" si="35"/>
        <v>0</v>
      </c>
      <c r="C628" s="575">
        <f t="shared" si="36"/>
        <v>0</v>
      </c>
      <c r="D628" s="572">
        <f t="shared" ca="1" si="37"/>
        <v>0.84867417672592205</v>
      </c>
      <c r="E628" s="389"/>
      <c r="F628" s="496"/>
      <c r="G628" s="534"/>
      <c r="H628" s="496"/>
      <c r="I628" s="534"/>
      <c r="J628" s="496"/>
      <c r="K628" s="534"/>
      <c r="L628" s="496"/>
      <c r="M628" s="534"/>
      <c r="N628" s="496"/>
      <c r="O628" s="534"/>
      <c r="P628" s="496"/>
      <c r="R628" s="496"/>
      <c r="S628" s="534"/>
      <c r="T628" s="496"/>
      <c r="U628" s="534"/>
    </row>
    <row r="629" spans="1:21" s="385" customFormat="1" ht="15.75" customHeight="1" x14ac:dyDescent="0.2">
      <c r="A629" s="354" t="s">
        <v>2762</v>
      </c>
      <c r="B629" s="572">
        <f t="shared" si="35"/>
        <v>0</v>
      </c>
      <c r="C629" s="575">
        <f t="shared" si="36"/>
        <v>0</v>
      </c>
      <c r="D629" s="572">
        <f t="shared" ca="1" si="37"/>
        <v>1.556405524955077E-8</v>
      </c>
      <c r="E629" s="389"/>
      <c r="F629" s="496"/>
      <c r="G629" s="534"/>
      <c r="H629" s="496"/>
      <c r="I629" s="534"/>
      <c r="J629" s="496"/>
      <c r="K629" s="534"/>
      <c r="L629" s="496"/>
      <c r="M629" s="534"/>
      <c r="N629" s="496"/>
      <c r="O629" s="534"/>
      <c r="P629" s="496"/>
      <c r="R629" s="496"/>
      <c r="S629" s="534"/>
      <c r="T629" s="496"/>
      <c r="U629" s="534"/>
    </row>
    <row r="630" spans="1:21" s="385" customFormat="1" ht="15.75" customHeight="1" x14ac:dyDescent="0.2">
      <c r="A630" s="354" t="s">
        <v>2763</v>
      </c>
      <c r="B630" s="572">
        <f t="shared" si="35"/>
        <v>0</v>
      </c>
      <c r="C630" s="575">
        <f t="shared" si="36"/>
        <v>0</v>
      </c>
      <c r="D630" s="572">
        <f t="shared" ca="1" si="37"/>
        <v>0.29172617274281604</v>
      </c>
      <c r="E630" s="389"/>
      <c r="F630" s="496"/>
      <c r="G630" s="534"/>
      <c r="H630" s="496"/>
      <c r="I630" s="534"/>
      <c r="J630" s="496"/>
      <c r="K630" s="534"/>
      <c r="L630" s="496"/>
      <c r="M630" s="534"/>
      <c r="N630" s="496"/>
      <c r="O630" s="534"/>
      <c r="P630" s="496"/>
      <c r="R630" s="496"/>
      <c r="S630" s="534"/>
      <c r="T630" s="496"/>
      <c r="U630" s="534"/>
    </row>
    <row r="631" spans="1:21" s="385" customFormat="1" ht="15.75" customHeight="1" x14ac:dyDescent="0.2">
      <c r="A631" s="354" t="s">
        <v>2764</v>
      </c>
      <c r="B631" s="572">
        <f t="shared" si="35"/>
        <v>0</v>
      </c>
      <c r="C631" s="575">
        <f t="shared" si="36"/>
        <v>0</v>
      </c>
      <c r="D631" s="572">
        <f t="shared" ca="1" si="37"/>
        <v>2.1356535583992227E-8</v>
      </c>
      <c r="E631" s="389"/>
      <c r="F631" s="496"/>
      <c r="G631" s="534"/>
      <c r="H631" s="496"/>
      <c r="I631" s="534"/>
      <c r="J631" s="496"/>
      <c r="K631" s="534"/>
      <c r="L631" s="496"/>
      <c r="M631" s="534"/>
      <c r="N631" s="496"/>
      <c r="O631" s="534"/>
      <c r="P631" s="496"/>
      <c r="R631" s="496"/>
      <c r="S631" s="534"/>
      <c r="T631" s="496"/>
      <c r="U631" s="534"/>
    </row>
    <row r="632" spans="1:21" s="385" customFormat="1" ht="15.75" customHeight="1" x14ac:dyDescent="0.2">
      <c r="A632" s="354" t="s">
        <v>2770</v>
      </c>
      <c r="B632" s="572">
        <f t="shared" si="35"/>
        <v>0</v>
      </c>
      <c r="C632" s="575">
        <f t="shared" ca="1" si="36"/>
        <v>21.521966049119637</v>
      </c>
      <c r="D632" s="572">
        <f t="shared" si="37"/>
        <v>0</v>
      </c>
      <c r="E632" s="389"/>
      <c r="F632" s="496"/>
      <c r="G632" s="534"/>
      <c r="H632" s="496"/>
      <c r="I632" s="534"/>
      <c r="J632" s="496"/>
      <c r="K632" s="534"/>
      <c r="L632" s="496"/>
      <c r="M632" s="534"/>
      <c r="N632" s="496"/>
      <c r="O632" s="534"/>
      <c r="P632" s="496"/>
      <c r="R632" s="496"/>
      <c r="S632" s="534"/>
      <c r="T632" s="496"/>
      <c r="U632" s="534"/>
    </row>
    <row r="633" spans="1:21" s="385" customFormat="1" ht="15.75" customHeight="1" x14ac:dyDescent="0.2">
      <c r="A633" s="354" t="s">
        <v>2765</v>
      </c>
      <c r="B633" s="572">
        <f t="shared" si="35"/>
        <v>0</v>
      </c>
      <c r="C633" s="575">
        <f t="shared" ca="1" si="36"/>
        <v>1.1669635476659235</v>
      </c>
      <c r="D633" s="572">
        <f t="shared" si="37"/>
        <v>0</v>
      </c>
      <c r="E633" s="389"/>
      <c r="F633" s="496"/>
      <c r="G633" s="534"/>
      <c r="H633" s="496"/>
      <c r="I633" s="534"/>
      <c r="J633" s="496"/>
      <c r="K633" s="534"/>
      <c r="L633" s="496"/>
      <c r="M633" s="534"/>
      <c r="N633" s="496"/>
      <c r="O633" s="534"/>
      <c r="P633" s="496"/>
      <c r="R633" s="496"/>
      <c r="S633" s="534"/>
      <c r="T633" s="496"/>
      <c r="U633" s="534"/>
    </row>
    <row r="634" spans="1:21" s="385" customFormat="1" ht="15.75" customHeight="1" x14ac:dyDescent="0.2">
      <c r="A634" s="354" t="s">
        <v>2766</v>
      </c>
      <c r="B634" s="572">
        <f t="shared" si="35"/>
        <v>0</v>
      </c>
      <c r="C634" s="575">
        <f t="shared" ca="1" si="36"/>
        <v>0.24603066161753878</v>
      </c>
      <c r="D634" s="572">
        <f t="shared" si="37"/>
        <v>0</v>
      </c>
      <c r="E634" s="389"/>
      <c r="F634" s="496"/>
      <c r="G634" s="534"/>
      <c r="H634" s="496"/>
      <c r="I634" s="534"/>
      <c r="J634" s="496"/>
      <c r="K634" s="534"/>
      <c r="L634" s="496"/>
      <c r="M634" s="534"/>
      <c r="N634" s="496"/>
      <c r="O634" s="534"/>
      <c r="P634" s="496"/>
      <c r="R634" s="496"/>
      <c r="S634" s="534"/>
      <c r="T634" s="496"/>
      <c r="U634" s="534"/>
    </row>
    <row r="635" spans="1:21" s="385" customFormat="1" ht="15.75" customHeight="1" x14ac:dyDescent="0.2">
      <c r="A635" s="355" t="s">
        <v>2767</v>
      </c>
      <c r="B635" s="577">
        <f t="shared" ca="1" si="35"/>
        <v>386.11611192160132</v>
      </c>
      <c r="C635" s="578">
        <f t="shared" si="36"/>
        <v>0</v>
      </c>
      <c r="D635" s="577">
        <f t="shared" si="37"/>
        <v>0</v>
      </c>
      <c r="E635" s="389"/>
      <c r="F635" s="496"/>
      <c r="G635" s="534"/>
      <c r="H635" s="496"/>
      <c r="I635" s="534"/>
      <c r="J635" s="496"/>
      <c r="K635" s="534"/>
      <c r="L635" s="496"/>
      <c r="M635" s="534"/>
      <c r="N635" s="496"/>
      <c r="O635" s="534"/>
      <c r="P635" s="496"/>
      <c r="R635" s="496"/>
      <c r="S635" s="534"/>
      <c r="T635" s="496"/>
      <c r="U635" s="534"/>
    </row>
    <row r="636" spans="1:21" s="385" customFormat="1" ht="15.75" customHeight="1" x14ac:dyDescent="0.2">
      <c r="B636" s="496"/>
      <c r="C636" s="567" t="s">
        <v>3289</v>
      </c>
      <c r="D636" s="1079" t="s">
        <v>3290</v>
      </c>
      <c r="E636" s="389"/>
      <c r="F636" s="496"/>
      <c r="G636" s="534"/>
      <c r="H636" s="496"/>
      <c r="I636" s="534"/>
      <c r="J636" s="496"/>
      <c r="K636" s="534"/>
      <c r="L636" s="496"/>
      <c r="M636" s="534"/>
      <c r="N636" s="496"/>
      <c r="O636" s="534"/>
      <c r="P636" s="496"/>
      <c r="R636" s="496"/>
      <c r="S636" s="534"/>
      <c r="T636" s="496"/>
      <c r="U636" s="534"/>
    </row>
    <row r="637" spans="1:21" s="385" customFormat="1" ht="15.75" customHeight="1" x14ac:dyDescent="0.2">
      <c r="B637" s="496"/>
      <c r="C637" s="567">
        <f ca="1">C632/SUM(C623:C635)</f>
        <v>0.938391251026225</v>
      </c>
      <c r="D637" s="1079">
        <f ca="1">D623/SUM(D623:D635)</f>
        <v>0.90021482857402768</v>
      </c>
      <c r="E637" s="389"/>
      <c r="F637" s="496"/>
      <c r="G637" s="534"/>
      <c r="H637" s="496"/>
      <c r="I637" s="534"/>
      <c r="J637" s="496"/>
      <c r="K637" s="534"/>
      <c r="L637" s="496"/>
      <c r="M637" s="534"/>
      <c r="N637" s="496"/>
      <c r="O637" s="534"/>
      <c r="P637" s="496"/>
      <c r="R637" s="496"/>
      <c r="S637" s="534"/>
      <c r="T637" s="496"/>
      <c r="U637" s="534"/>
    </row>
    <row r="638" spans="1:21" s="385" customFormat="1" ht="15.75" customHeight="1" x14ac:dyDescent="0.2">
      <c r="B638" s="496"/>
      <c r="C638" s="389"/>
      <c r="D638" s="496"/>
      <c r="E638" s="389"/>
      <c r="F638" s="496"/>
      <c r="G638" s="534"/>
      <c r="H638" s="496"/>
      <c r="I638" s="534"/>
      <c r="J638" s="496"/>
      <c r="K638" s="534"/>
      <c r="L638" s="496"/>
      <c r="M638" s="534"/>
      <c r="N638" s="496"/>
      <c r="O638" s="534"/>
      <c r="P638" s="496"/>
      <c r="R638" s="496"/>
      <c r="S638" s="534"/>
      <c r="T638" s="496"/>
      <c r="U638" s="534"/>
    </row>
    <row r="639" spans="1:21" s="385" customFormat="1" ht="15.75" customHeight="1" x14ac:dyDescent="0.2">
      <c r="A639" s="76"/>
      <c r="B639" s="496"/>
      <c r="C639" s="389"/>
      <c r="D639" s="496"/>
      <c r="E639" s="389"/>
    </row>
    <row r="640" spans="1:21" s="385" customFormat="1" ht="15.75" customHeight="1" x14ac:dyDescent="0.2">
      <c r="A640" s="76"/>
      <c r="B640" s="496"/>
      <c r="C640" s="389"/>
      <c r="D640" s="496"/>
      <c r="E640" s="389"/>
    </row>
    <row r="641" spans="1:15" s="385" customFormat="1" ht="15.75" customHeight="1" x14ac:dyDescent="0.2">
      <c r="B641" s="496"/>
      <c r="C641" s="389"/>
      <c r="D641" s="496"/>
      <c r="E641" s="389"/>
    </row>
    <row r="642" spans="1:15" s="385" customFormat="1" ht="15.75" customHeight="1" thickBot="1" x14ac:dyDescent="0.25">
      <c r="B642" s="496"/>
      <c r="C642" s="389"/>
      <c r="D642" s="496"/>
      <c r="E642" s="389"/>
    </row>
    <row r="643" spans="1:15" s="385" customFormat="1" ht="50" customHeight="1" thickBot="1" x14ac:dyDescent="0.25">
      <c r="A643" s="2046" t="s">
        <v>317</v>
      </c>
      <c r="B643" s="579"/>
      <c r="C643" s="579"/>
      <c r="D643" s="579"/>
      <c r="E643" s="579"/>
      <c r="F643" s="579"/>
      <c r="G643" s="580"/>
      <c r="H643" s="580"/>
      <c r="I643" s="580"/>
      <c r="J643" s="580"/>
      <c r="K643" s="580"/>
      <c r="L643" s="580"/>
      <c r="M643" s="580"/>
      <c r="N643" s="580"/>
      <c r="O643" s="581"/>
    </row>
    <row r="644" spans="1:15" s="385" customFormat="1" ht="15.75" customHeight="1" x14ac:dyDescent="0.2">
      <c r="A644" s="301" t="s">
        <v>580</v>
      </c>
      <c r="B644" s="557" t="s">
        <v>372</v>
      </c>
      <c r="C644" s="301" t="s">
        <v>42</v>
      </c>
      <c r="D644" s="76"/>
      <c r="E644" s="367"/>
      <c r="F644" s="76"/>
      <c r="O644" s="386"/>
    </row>
    <row r="645" spans="1:15" s="385" customFormat="1" ht="15.75" customHeight="1" x14ac:dyDescent="0.2">
      <c r="A645" s="317" t="s">
        <v>499</v>
      </c>
      <c r="B645" s="342"/>
      <c r="C645" s="582">
        <v>0.16513761469999999</v>
      </c>
      <c r="D645" s="76"/>
      <c r="E645" s="367"/>
      <c r="F645" s="76"/>
      <c r="O645" s="386"/>
    </row>
    <row r="646" spans="1:15" s="385" customFormat="1" ht="15.75" customHeight="1" x14ac:dyDescent="0.2">
      <c r="A646" s="317" t="s">
        <v>500</v>
      </c>
      <c r="B646" s="344" t="s">
        <v>275</v>
      </c>
      <c r="C646" s="583">
        <v>0.79</v>
      </c>
      <c r="D646" s="76"/>
      <c r="E646" s="367"/>
      <c r="F646" s="76"/>
      <c r="O646" s="386"/>
    </row>
    <row r="647" spans="1:15" s="385" customFormat="1" ht="15.75" customHeight="1" x14ac:dyDescent="0.2">
      <c r="A647" s="317" t="s">
        <v>501</v>
      </c>
      <c r="B647" s="344" t="s">
        <v>275</v>
      </c>
      <c r="C647" s="583">
        <v>0.76744186046511631</v>
      </c>
      <c r="D647" s="76"/>
      <c r="E647" s="367"/>
      <c r="F647" s="76"/>
      <c r="O647" s="386"/>
    </row>
    <row r="648" spans="1:15" s="385" customFormat="1" ht="15.75" customHeight="1" x14ac:dyDescent="0.2">
      <c r="A648" s="317" t="s">
        <v>502</v>
      </c>
      <c r="B648" s="344"/>
      <c r="C648" s="583">
        <v>1.518987341772152</v>
      </c>
      <c r="D648" s="76"/>
      <c r="E648" s="367"/>
      <c r="F648" s="76"/>
      <c r="O648" s="386"/>
    </row>
    <row r="649" spans="1:15" s="385" customFormat="1" ht="15.75" customHeight="1" x14ac:dyDescent="0.2">
      <c r="A649" s="317" t="s">
        <v>503</v>
      </c>
      <c r="B649" s="344"/>
      <c r="C649" s="583">
        <v>1.2121212121212122</v>
      </c>
      <c r="D649" s="76"/>
      <c r="E649" s="367"/>
      <c r="F649" s="76"/>
      <c r="O649" s="386"/>
    </row>
    <row r="650" spans="1:15" s="385" customFormat="1" ht="15.75" customHeight="1" x14ac:dyDescent="0.2">
      <c r="A650" s="317" t="s">
        <v>504</v>
      </c>
      <c r="B650" s="344" t="s">
        <v>275</v>
      </c>
      <c r="C650" s="367">
        <v>0.96</v>
      </c>
      <c r="D650" s="76"/>
      <c r="E650" s="367"/>
      <c r="F650" s="76"/>
      <c r="O650" s="386"/>
    </row>
    <row r="651" spans="1:15" s="385" customFormat="1" ht="15.75" customHeight="1" x14ac:dyDescent="0.2">
      <c r="A651" s="317" t="s">
        <v>505</v>
      </c>
      <c r="B651" s="344"/>
      <c r="C651" s="367">
        <v>0.81818181818181823</v>
      </c>
      <c r="D651" s="76"/>
      <c r="E651" s="367"/>
      <c r="F651" s="76"/>
      <c r="O651" s="386"/>
    </row>
    <row r="652" spans="1:15" s="385" customFormat="1" ht="15.75" customHeight="1" x14ac:dyDescent="0.2">
      <c r="A652" s="317" t="s">
        <v>575</v>
      </c>
      <c r="B652" s="344" t="s">
        <v>275</v>
      </c>
      <c r="C652" s="583">
        <v>0.1</v>
      </c>
      <c r="D652" s="76"/>
      <c r="E652" s="367"/>
      <c r="F652" s="76"/>
      <c r="O652" s="386"/>
    </row>
    <row r="653" spans="1:15" s="385" customFormat="1" ht="15.75" customHeight="1" x14ac:dyDescent="0.2">
      <c r="A653" s="317" t="s">
        <v>576</v>
      </c>
      <c r="B653" s="344" t="s">
        <v>275</v>
      </c>
      <c r="C653" s="583">
        <v>0.08</v>
      </c>
      <c r="D653" s="76"/>
      <c r="E653" s="367"/>
      <c r="F653" s="76"/>
      <c r="O653" s="386"/>
    </row>
    <row r="654" spans="1:15" s="385" customFormat="1" ht="15.75" customHeight="1" x14ac:dyDescent="0.2">
      <c r="A654" s="584" t="s">
        <v>1481</v>
      </c>
      <c r="B654" s="585"/>
      <c r="C654" s="585"/>
      <c r="D654" s="585"/>
      <c r="E654" s="585"/>
      <c r="F654" s="586"/>
      <c r="G654" s="398"/>
      <c r="H654" s="398"/>
      <c r="I654" s="398"/>
      <c r="J654" s="398"/>
      <c r="K654" s="398"/>
      <c r="L654" s="398"/>
      <c r="M654" s="398"/>
      <c r="N654" s="398"/>
      <c r="O654" s="399"/>
    </row>
    <row r="655" spans="1:15" s="385" customFormat="1" ht="15.75" customHeight="1" x14ac:dyDescent="0.2">
      <c r="A655" s="429" t="s">
        <v>492</v>
      </c>
      <c r="B655" s="1555" t="s">
        <v>483</v>
      </c>
      <c r="C655" s="1555"/>
      <c r="D655" s="1557" t="s">
        <v>484</v>
      </c>
      <c r="E655" s="1562"/>
      <c r="F655" s="1558"/>
      <c r="O655" s="386"/>
    </row>
    <row r="656" spans="1:15" s="385" customFormat="1" ht="15.75" customHeight="1" x14ac:dyDescent="0.2">
      <c r="A656" s="377" t="s">
        <v>376</v>
      </c>
      <c r="B656" s="587" t="s">
        <v>485</v>
      </c>
      <c r="C656" s="587" t="s">
        <v>2618</v>
      </c>
      <c r="D656" s="351" t="s">
        <v>490</v>
      </c>
      <c r="E656" s="351" t="s">
        <v>486</v>
      </c>
      <c r="F656" s="587" t="s">
        <v>432</v>
      </c>
      <c r="O656" s="386"/>
    </row>
    <row r="657" spans="1:26" s="385" customFormat="1" ht="15.75" customHeight="1" x14ac:dyDescent="0.2">
      <c r="A657" s="375" t="s">
        <v>487</v>
      </c>
      <c r="B657" s="348">
        <f ca="1">((E514+E522)/C414)+(E252/Units!C94)</f>
        <v>0.14464206324909962</v>
      </c>
      <c r="C657" s="343" t="s">
        <v>574</v>
      </c>
      <c r="D657" s="220">
        <v>0</v>
      </c>
      <c r="E657" s="220">
        <v>0</v>
      </c>
      <c r="F657" s="366">
        <v>0</v>
      </c>
      <c r="O657" s="386"/>
    </row>
    <row r="658" spans="1:26" s="385" customFormat="1" ht="15.75" customHeight="1" x14ac:dyDescent="0.2">
      <c r="A658" s="375" t="s">
        <v>488</v>
      </c>
      <c r="B658" s="353">
        <f ca="1">B657*C646*-1</f>
        <v>-0.1142672299667887</v>
      </c>
      <c r="C658" s="363">
        <f ca="1">B658*C648</f>
        <v>-0.17357047589891955</v>
      </c>
      <c r="D658" s="436">
        <f ca="1">-1*B658</f>
        <v>0.1142672299667887</v>
      </c>
      <c r="E658" s="76">
        <f ca="1">D658</f>
        <v>0.1142672299667887</v>
      </c>
      <c r="F658" s="367">
        <f ca="1">E658</f>
        <v>0.1142672299667887</v>
      </c>
      <c r="O658" s="386"/>
      <c r="U658" s="1522" t="str">
        <f t="shared" ref="U658:U678" si="38">A654</f>
        <v>Stoichiometry Calculations</v>
      </c>
      <c r="V658" s="1522"/>
      <c r="W658" s="1522"/>
      <c r="X658" s="1522"/>
      <c r="Y658" s="1522"/>
      <c r="Z658" s="1522"/>
    </row>
    <row r="659" spans="1:26" s="385" customFormat="1" ht="15.75" customHeight="1" x14ac:dyDescent="0.2">
      <c r="A659" s="375" t="s">
        <v>489</v>
      </c>
      <c r="B659" s="356">
        <f ca="1">SUM(B657:B658)</f>
        <v>3.0374833282310915E-2</v>
      </c>
      <c r="C659" s="369"/>
      <c r="D659" s="248">
        <f ca="1">SUM(D657:D658)</f>
        <v>0.1142672299667887</v>
      </c>
      <c r="E659" s="248">
        <f ca="1">SUM(E657:E658)</f>
        <v>0.1142672299667887</v>
      </c>
      <c r="F659" s="369">
        <f ca="1">SUM(F657:F658)</f>
        <v>0.1142672299667887</v>
      </c>
      <c r="O659" s="386"/>
      <c r="U659" s="588" t="str">
        <f t="shared" si="38"/>
        <v>Even Reaction 1</v>
      </c>
      <c r="V659" s="1521" t="str">
        <f t="shared" ref="V659:V678" si="39">B655</f>
        <v>Reactant</v>
      </c>
      <c r="W659" s="1521"/>
      <c r="X659" s="1521" t="str">
        <f t="shared" ref="X659:X678" si="40">D655</f>
        <v>Product</v>
      </c>
      <c r="Y659" s="1521"/>
      <c r="Z659" s="1521"/>
    </row>
    <row r="660" spans="1:26" s="385" customFormat="1" ht="15.75" customHeight="1" x14ac:dyDescent="0.2">
      <c r="A660" s="373" t="s">
        <v>493</v>
      </c>
      <c r="B660" s="1557" t="s">
        <v>483</v>
      </c>
      <c r="C660" s="1558"/>
      <c r="D660" s="1557" t="s">
        <v>484</v>
      </c>
      <c r="E660" s="1562"/>
      <c r="F660" s="1558"/>
      <c r="O660" s="386"/>
      <c r="U660" s="590" t="str">
        <f t="shared" si="38"/>
        <v>mol/L</v>
      </c>
      <c r="V660" s="590" t="str">
        <f t="shared" si="39"/>
        <v>C2H3O2-</v>
      </c>
      <c r="W660" s="590" t="str">
        <f>C656</f>
        <v>C3H6O3</v>
      </c>
      <c r="X660" s="590" t="str">
        <f t="shared" si="40"/>
        <v>C4H7O2-</v>
      </c>
      <c r="Y660" s="590" t="str">
        <f t="shared" ref="Y660:Y678" si="41">E656</f>
        <v>H2O</v>
      </c>
      <c r="Z660" s="590" t="str">
        <f t="shared" ref="Z660:Z678" si="42">F656</f>
        <v>CO2</v>
      </c>
    </row>
    <row r="661" spans="1:26" s="385" customFormat="1" ht="15.75" customHeight="1" x14ac:dyDescent="0.2">
      <c r="A661" s="377" t="s">
        <v>376</v>
      </c>
      <c r="B661" s="587" t="s">
        <v>490</v>
      </c>
      <c r="C661" s="587" t="s">
        <v>2618</v>
      </c>
      <c r="D661" s="351" t="s">
        <v>491</v>
      </c>
      <c r="E661" s="351" t="s">
        <v>486</v>
      </c>
      <c r="F661" s="587" t="s">
        <v>432</v>
      </c>
      <c r="O661" s="386"/>
      <c r="U661" s="590" t="str">
        <f t="shared" si="38"/>
        <v xml:space="preserve">Initial </v>
      </c>
      <c r="V661" s="590">
        <f t="shared" ca="1" si="39"/>
        <v>0.14464206324909962</v>
      </c>
      <c r="W661" s="589" t="str">
        <f t="shared" ref="W661:W677" si="43">C657</f>
        <v>unk</v>
      </c>
      <c r="X661" s="590">
        <f t="shared" si="40"/>
        <v>0</v>
      </c>
      <c r="Y661" s="590">
        <f t="shared" si="41"/>
        <v>0</v>
      </c>
      <c r="Z661" s="590">
        <f t="shared" si="42"/>
        <v>0</v>
      </c>
    </row>
    <row r="662" spans="1:26" s="385" customFormat="1" ht="15.75" customHeight="1" x14ac:dyDescent="0.2">
      <c r="A662" s="375" t="s">
        <v>487</v>
      </c>
      <c r="B662" s="981">
        <f ca="1">D659+((E516+E524)/C414)+(E254/Units!C95)</f>
        <v>0.39197004734410978</v>
      </c>
      <c r="C662" s="343" t="s">
        <v>574</v>
      </c>
      <c r="D662" s="387">
        <v>0</v>
      </c>
      <c r="E662" s="220">
        <v>0</v>
      </c>
      <c r="F662" s="366">
        <v>0</v>
      </c>
      <c r="O662" s="386"/>
      <c r="U662" s="590" t="str">
        <f t="shared" si="38"/>
        <v>Change</v>
      </c>
      <c r="V662" s="590">
        <f t="shared" ca="1" si="39"/>
        <v>-0.1142672299667887</v>
      </c>
      <c r="W662" s="590">
        <f t="shared" ca="1" si="43"/>
        <v>-0.17357047589891955</v>
      </c>
      <c r="X662" s="590">
        <f t="shared" ca="1" si="40"/>
        <v>0.1142672299667887</v>
      </c>
      <c r="Y662" s="590">
        <f t="shared" ca="1" si="41"/>
        <v>0.1142672299667887</v>
      </c>
      <c r="Z662" s="590">
        <f t="shared" ca="1" si="42"/>
        <v>0.1142672299667887</v>
      </c>
    </row>
    <row r="663" spans="1:26" s="385" customFormat="1" ht="15.75" customHeight="1" x14ac:dyDescent="0.2">
      <c r="A663" s="375" t="s">
        <v>488</v>
      </c>
      <c r="B663" s="1060">
        <f ca="1">B662*C647*-1</f>
        <v>-0.30081422238036332</v>
      </c>
      <c r="C663" s="367">
        <f ca="1">C649*B663</f>
        <v>-0.36462329985498587</v>
      </c>
      <c r="D663" s="1060">
        <f ca="1">B663*C651*-1</f>
        <v>0.24612072740211546</v>
      </c>
      <c r="E663" s="1062">
        <f ca="1">D663</f>
        <v>0.24612072740211546</v>
      </c>
      <c r="F663" s="1063">
        <f ca="1">E663</f>
        <v>0.24612072740211546</v>
      </c>
      <c r="O663" s="386"/>
      <c r="U663" s="590" t="str">
        <f t="shared" si="38"/>
        <v>Equilibrium</v>
      </c>
      <c r="V663" s="590">
        <f t="shared" ca="1" si="39"/>
        <v>3.0374833282310915E-2</v>
      </c>
      <c r="W663" s="590"/>
      <c r="X663" s="590">
        <f t="shared" ca="1" si="40"/>
        <v>0.1142672299667887</v>
      </c>
      <c r="Y663" s="590">
        <f t="shared" ca="1" si="41"/>
        <v>0.1142672299667887</v>
      </c>
      <c r="Z663" s="590">
        <f t="shared" ca="1" si="42"/>
        <v>0.1142672299667887</v>
      </c>
    </row>
    <row r="664" spans="1:26" s="385" customFormat="1" ht="15.75" customHeight="1" x14ac:dyDescent="0.2">
      <c r="A664" s="375" t="s">
        <v>489</v>
      </c>
      <c r="B664" s="1061">
        <f ca="1">SUM(B662:B663)</f>
        <v>9.1155824963746468E-2</v>
      </c>
      <c r="C664" s="369"/>
      <c r="D664" s="376">
        <f ca="1">SUM(D662:D663)</f>
        <v>0.24612072740211546</v>
      </c>
      <c r="E664" s="248">
        <f ca="1">SUM(E662:E663)</f>
        <v>0.24612072740211546</v>
      </c>
      <c r="F664" s="369">
        <f ca="1">SUM(F662:F663)</f>
        <v>0.24612072740211546</v>
      </c>
      <c r="O664" s="386"/>
      <c r="U664" s="588" t="str">
        <f t="shared" si="38"/>
        <v>Even Reaction 2</v>
      </c>
      <c r="V664" s="1521" t="str">
        <f t="shared" si="39"/>
        <v>Reactant</v>
      </c>
      <c r="W664" s="1521"/>
      <c r="X664" s="1521" t="str">
        <f t="shared" si="40"/>
        <v>Product</v>
      </c>
      <c r="Y664" s="1521"/>
      <c r="Z664" s="1521"/>
    </row>
    <row r="665" spans="1:26" s="385" customFormat="1" ht="15.75" customHeight="1" x14ac:dyDescent="0.2">
      <c r="A665" s="372" t="s">
        <v>494</v>
      </c>
      <c r="B665" s="1557" t="s">
        <v>483</v>
      </c>
      <c r="C665" s="1558"/>
      <c r="D665" s="1557" t="s">
        <v>484</v>
      </c>
      <c r="E665" s="1562"/>
      <c r="F665" s="1558"/>
      <c r="O665" s="386"/>
      <c r="U665" s="590" t="str">
        <f t="shared" si="38"/>
        <v>mol/L</v>
      </c>
      <c r="V665" s="590" t="str">
        <f t="shared" si="39"/>
        <v>C4H7O2-</v>
      </c>
      <c r="W665" s="590" t="str">
        <f t="shared" si="43"/>
        <v>C3H6O3</v>
      </c>
      <c r="X665" s="590" t="str">
        <f t="shared" si="40"/>
        <v>C6H11O2-</v>
      </c>
      <c r="Y665" s="590" t="str">
        <f t="shared" si="41"/>
        <v>H2O</v>
      </c>
      <c r="Z665" s="590" t="str">
        <f t="shared" si="42"/>
        <v>CO2</v>
      </c>
    </row>
    <row r="666" spans="1:26" s="385" customFormat="1" ht="15.75" customHeight="1" x14ac:dyDescent="0.2">
      <c r="A666" s="377" t="s">
        <v>376</v>
      </c>
      <c r="B666" s="587" t="s">
        <v>496</v>
      </c>
      <c r="C666" s="587" t="s">
        <v>2618</v>
      </c>
      <c r="D666" s="351" t="s">
        <v>497</v>
      </c>
      <c r="E666" s="351" t="s">
        <v>486</v>
      </c>
      <c r="F666" s="587" t="s">
        <v>432</v>
      </c>
      <c r="O666" s="386"/>
      <c r="U666" s="590" t="str">
        <f t="shared" si="38"/>
        <v xml:space="preserve">Initial </v>
      </c>
      <c r="V666" s="590">
        <f t="shared" ca="1" si="39"/>
        <v>0.39197004734410978</v>
      </c>
      <c r="W666" s="589" t="str">
        <f t="shared" si="43"/>
        <v>unk</v>
      </c>
      <c r="X666" s="590">
        <f t="shared" si="40"/>
        <v>0</v>
      </c>
      <c r="Y666" s="590">
        <f t="shared" si="41"/>
        <v>0</v>
      </c>
      <c r="Z666" s="590">
        <f t="shared" si="42"/>
        <v>0</v>
      </c>
    </row>
    <row r="667" spans="1:26" s="385" customFormat="1" ht="15.75" customHeight="1" x14ac:dyDescent="0.2">
      <c r="A667" s="375" t="s">
        <v>487</v>
      </c>
      <c r="B667" s="348">
        <f ca="1" xml:space="preserve"> ((E523+E515)/C414)+(E253/Units!C95)</f>
        <v>8.7490661008496326E-2</v>
      </c>
      <c r="C667" s="343" t="s">
        <v>574</v>
      </c>
      <c r="D667" s="387">
        <v>0</v>
      </c>
      <c r="E667" s="220">
        <v>0</v>
      </c>
      <c r="F667" s="366">
        <v>0</v>
      </c>
      <c r="O667" s="386"/>
      <c r="U667" s="590" t="str">
        <f t="shared" si="38"/>
        <v>Change</v>
      </c>
      <c r="V667" s="590">
        <f t="shared" ca="1" si="39"/>
        <v>-0.30081422238036332</v>
      </c>
      <c r="W667" s="590">
        <f t="shared" ca="1" si="43"/>
        <v>-0.36462329985498587</v>
      </c>
      <c r="X667" s="590">
        <f t="shared" ca="1" si="40"/>
        <v>0.24612072740211546</v>
      </c>
      <c r="Y667" s="590">
        <f t="shared" ca="1" si="41"/>
        <v>0.24612072740211546</v>
      </c>
      <c r="Z667" s="590">
        <f t="shared" ca="1" si="42"/>
        <v>0.24612072740211546</v>
      </c>
    </row>
    <row r="668" spans="1:26" s="385" customFormat="1" ht="15.75" customHeight="1" x14ac:dyDescent="0.2">
      <c r="A668" s="375" t="s">
        <v>488</v>
      </c>
      <c r="B668" s="353">
        <f ca="1">B667*C652*-1</f>
        <v>-8.7490661008496323E-3</v>
      </c>
      <c r="C668" s="363">
        <f ca="1">B668</f>
        <v>-8.7490661008496323E-3</v>
      </c>
      <c r="D668" s="353">
        <f ca="1">B668*-1</f>
        <v>8.7490661008496323E-3</v>
      </c>
      <c r="E668" s="436">
        <f ca="1">D668</f>
        <v>8.7490661008496323E-3</v>
      </c>
      <c r="F668" s="363">
        <f ca="1">E668</f>
        <v>8.7490661008496323E-3</v>
      </c>
      <c r="O668" s="386"/>
      <c r="U668" s="590" t="str">
        <f t="shared" si="38"/>
        <v>Equilibrium</v>
      </c>
      <c r="V668" s="590">
        <f t="shared" ca="1" si="39"/>
        <v>9.1155824963746468E-2</v>
      </c>
      <c r="W668" s="590"/>
      <c r="X668" s="590">
        <f t="shared" ca="1" si="40"/>
        <v>0.24612072740211546</v>
      </c>
      <c r="Y668" s="590">
        <f t="shared" ca="1" si="41"/>
        <v>0.24612072740211546</v>
      </c>
      <c r="Z668" s="590">
        <f t="shared" ca="1" si="42"/>
        <v>0.24612072740211546</v>
      </c>
    </row>
    <row r="669" spans="1:26" s="385" customFormat="1" ht="15.75" customHeight="1" x14ac:dyDescent="0.2">
      <c r="A669" s="375" t="s">
        <v>489</v>
      </c>
      <c r="B669" s="356">
        <f ca="1">SUM(B667:B668)</f>
        <v>7.8741594907646692E-2</v>
      </c>
      <c r="C669" s="369"/>
      <c r="D669" s="376">
        <f ca="1">SUM(D667:D668)</f>
        <v>8.7490661008496323E-3</v>
      </c>
      <c r="E669" s="248">
        <f ca="1">SUM(E667:E668)</f>
        <v>8.7490661008496323E-3</v>
      </c>
      <c r="F669" s="369">
        <f ca="1">SUM(F667:F668)</f>
        <v>8.7490661008496323E-3</v>
      </c>
      <c r="O669" s="386"/>
      <c r="U669" s="588" t="str">
        <f t="shared" si="38"/>
        <v>Odd Reaction 1</v>
      </c>
      <c r="V669" s="1521" t="str">
        <f t="shared" si="39"/>
        <v>Reactant</v>
      </c>
      <c r="W669" s="1521"/>
      <c r="X669" s="1521" t="str">
        <f t="shared" si="40"/>
        <v>Product</v>
      </c>
      <c r="Y669" s="1521"/>
      <c r="Z669" s="1521"/>
    </row>
    <row r="670" spans="1:26" s="385" customFormat="1" ht="15.75" customHeight="1" x14ac:dyDescent="0.2">
      <c r="A670" s="372" t="s">
        <v>495</v>
      </c>
      <c r="B670" s="1557" t="s">
        <v>483</v>
      </c>
      <c r="C670" s="1558"/>
      <c r="D670" s="1557" t="s">
        <v>484</v>
      </c>
      <c r="E670" s="1562"/>
      <c r="F670" s="1558"/>
      <c r="O670" s="386"/>
      <c r="U670" s="590" t="str">
        <f t="shared" si="38"/>
        <v>mol/L</v>
      </c>
      <c r="V670" s="590" t="str">
        <f t="shared" si="39"/>
        <v>C3H5O2-</v>
      </c>
      <c r="W670" s="590" t="str">
        <f t="shared" si="43"/>
        <v>C3H6O3</v>
      </c>
      <c r="X670" s="590" t="str">
        <f t="shared" si="40"/>
        <v>C5H9O2-</v>
      </c>
      <c r="Y670" s="590" t="str">
        <f t="shared" si="41"/>
        <v>H2O</v>
      </c>
      <c r="Z670" s="590" t="str">
        <f t="shared" si="42"/>
        <v>CO2</v>
      </c>
    </row>
    <row r="671" spans="1:26" s="385" customFormat="1" ht="15.75" customHeight="1" x14ac:dyDescent="0.2">
      <c r="A671" s="377" t="s">
        <v>376</v>
      </c>
      <c r="B671" s="587" t="s">
        <v>497</v>
      </c>
      <c r="C671" s="587" t="s">
        <v>2618</v>
      </c>
      <c r="D671" s="351" t="s">
        <v>498</v>
      </c>
      <c r="E671" s="351" t="s">
        <v>486</v>
      </c>
      <c r="F671" s="587" t="s">
        <v>432</v>
      </c>
      <c r="O671" s="386"/>
      <c r="U671" s="590" t="str">
        <f t="shared" si="38"/>
        <v xml:space="preserve">Initial </v>
      </c>
      <c r="V671" s="590">
        <f t="shared" ca="1" si="39"/>
        <v>8.7490661008496326E-2</v>
      </c>
      <c r="W671" s="589" t="str">
        <f t="shared" si="43"/>
        <v>unk</v>
      </c>
      <c r="X671" s="590">
        <f t="shared" si="40"/>
        <v>0</v>
      </c>
      <c r="Y671" s="590">
        <f t="shared" si="41"/>
        <v>0</v>
      </c>
      <c r="Z671" s="590">
        <f t="shared" si="42"/>
        <v>0</v>
      </c>
    </row>
    <row r="672" spans="1:26" s="385" customFormat="1" ht="15.75" customHeight="1" x14ac:dyDescent="0.2">
      <c r="A672" s="375" t="s">
        <v>487</v>
      </c>
      <c r="B672" s="348">
        <f ca="1">D669+((E518+E526)/C414)+(E256/Units!C98)</f>
        <v>0.13496594805586995</v>
      </c>
      <c r="C672" s="341" t="s">
        <v>574</v>
      </c>
      <c r="D672" s="387">
        <v>0</v>
      </c>
      <c r="E672" s="220">
        <v>0</v>
      </c>
      <c r="F672" s="366">
        <v>0</v>
      </c>
      <c r="O672" s="386"/>
      <c r="U672" s="590" t="str">
        <f t="shared" si="38"/>
        <v>Change</v>
      </c>
      <c r="V672" s="590">
        <f t="shared" ca="1" si="39"/>
        <v>-8.7490661008496323E-3</v>
      </c>
      <c r="W672" s="590">
        <f t="shared" ca="1" si="43"/>
        <v>-8.7490661008496323E-3</v>
      </c>
      <c r="X672" s="590">
        <f t="shared" ca="1" si="40"/>
        <v>8.7490661008496323E-3</v>
      </c>
      <c r="Y672" s="590">
        <f t="shared" ca="1" si="41"/>
        <v>8.7490661008496323E-3</v>
      </c>
      <c r="Z672" s="590">
        <f t="shared" ca="1" si="42"/>
        <v>8.7490661008496323E-3</v>
      </c>
    </row>
    <row r="673" spans="1:26" s="385" customFormat="1" ht="15.75" customHeight="1" x14ac:dyDescent="0.2">
      <c r="A673" s="375" t="s">
        <v>488</v>
      </c>
      <c r="B673" s="353">
        <f ca="1">B672*C653*-1</f>
        <v>-1.0797275844469597E-2</v>
      </c>
      <c r="C673" s="436">
        <f ca="1">B673</f>
        <v>-1.0797275844469597E-2</v>
      </c>
      <c r="D673" s="353">
        <f ca="1">C673*-1</f>
        <v>1.0797275844469597E-2</v>
      </c>
      <c r="E673" s="436">
        <f ca="1">C673*-1</f>
        <v>1.0797275844469597E-2</v>
      </c>
      <c r="F673" s="363">
        <f ca="1">E673</f>
        <v>1.0797275844469597E-2</v>
      </c>
      <c r="O673" s="386"/>
      <c r="U673" s="590" t="str">
        <f t="shared" si="38"/>
        <v>Equilibrium</v>
      </c>
      <c r="V673" s="590">
        <f t="shared" ca="1" si="39"/>
        <v>7.8741594907646692E-2</v>
      </c>
      <c r="W673" s="590"/>
      <c r="X673" s="590">
        <f t="shared" ca="1" si="40"/>
        <v>8.7490661008496323E-3</v>
      </c>
      <c r="Y673" s="590">
        <f t="shared" ca="1" si="41"/>
        <v>8.7490661008496323E-3</v>
      </c>
      <c r="Z673" s="590">
        <f t="shared" ca="1" si="42"/>
        <v>8.7490661008496323E-3</v>
      </c>
    </row>
    <row r="674" spans="1:26" s="385" customFormat="1" ht="15.75" customHeight="1" x14ac:dyDescent="0.2">
      <c r="A674" s="376" t="s">
        <v>489</v>
      </c>
      <c r="B674" s="356">
        <f ca="1">SUM(B672:B673)</f>
        <v>0.12416867221140035</v>
      </c>
      <c r="C674" s="248"/>
      <c r="D674" s="376">
        <f ca="1">SUM(D672:D673)</f>
        <v>1.0797275844469597E-2</v>
      </c>
      <c r="E674" s="248">
        <f ca="1">SUM(E672:E673)</f>
        <v>1.0797275844469597E-2</v>
      </c>
      <c r="F674" s="369">
        <f ca="1">SUM(F672:F673)</f>
        <v>1.0797275844469597E-2</v>
      </c>
      <c r="O674" s="386"/>
      <c r="U674" s="588" t="str">
        <f t="shared" si="38"/>
        <v>Odd Reaction 2</v>
      </c>
      <c r="V674" s="1521" t="str">
        <f t="shared" si="39"/>
        <v>Reactant</v>
      </c>
      <c r="W674" s="1521"/>
      <c r="X674" s="1521" t="str">
        <f t="shared" si="40"/>
        <v>Product</v>
      </c>
      <c r="Y674" s="1521"/>
      <c r="Z674" s="1521"/>
    </row>
    <row r="675" spans="1:26" s="385" customFormat="1" ht="15.75" customHeight="1" x14ac:dyDescent="0.2">
      <c r="A675" s="375"/>
      <c r="B675" s="76"/>
      <c r="C675" s="76"/>
      <c r="D675" s="76"/>
      <c r="E675" s="367"/>
      <c r="F675" s="76"/>
      <c r="O675" s="386"/>
      <c r="U675" s="590" t="str">
        <f t="shared" si="38"/>
        <v>mol/L</v>
      </c>
      <c r="V675" s="590" t="str">
        <f t="shared" si="39"/>
        <v>C5H9O2-</v>
      </c>
      <c r="W675" s="590" t="str">
        <f t="shared" si="43"/>
        <v>C3H6O3</v>
      </c>
      <c r="X675" s="590" t="str">
        <f t="shared" si="40"/>
        <v>C7H13O2-</v>
      </c>
      <c r="Y675" s="590" t="str">
        <f t="shared" si="41"/>
        <v>H2O</v>
      </c>
      <c r="Z675" s="590" t="str">
        <f t="shared" si="42"/>
        <v>CO2</v>
      </c>
    </row>
    <row r="676" spans="1:26" s="385" customFormat="1" ht="15.75" customHeight="1" x14ac:dyDescent="0.2">
      <c r="A676" s="373" t="s">
        <v>580</v>
      </c>
      <c r="B676" s="374" t="s">
        <v>372</v>
      </c>
      <c r="C676" s="373" t="s">
        <v>42</v>
      </c>
      <c r="D676" s="374" t="s">
        <v>372</v>
      </c>
      <c r="E676" s="373" t="s">
        <v>42</v>
      </c>
      <c r="F676" s="374" t="s">
        <v>372</v>
      </c>
      <c r="G676" s="373" t="s">
        <v>42</v>
      </c>
      <c r="O676" s="386"/>
      <c r="U676" s="590" t="str">
        <f t="shared" si="38"/>
        <v xml:space="preserve">Initial </v>
      </c>
      <c r="V676" s="590">
        <f t="shared" ca="1" si="39"/>
        <v>0.13496594805586995</v>
      </c>
      <c r="W676" s="589" t="str">
        <f t="shared" si="43"/>
        <v>unk</v>
      </c>
      <c r="X676" s="590">
        <f t="shared" si="40"/>
        <v>0</v>
      </c>
      <c r="Y676" s="590">
        <f t="shared" si="41"/>
        <v>0</v>
      </c>
      <c r="Z676" s="590">
        <f t="shared" si="42"/>
        <v>0</v>
      </c>
    </row>
    <row r="677" spans="1:26" s="385" customFormat="1" ht="15.75" customHeight="1" x14ac:dyDescent="0.2">
      <c r="A677" s="316" t="s">
        <v>2311</v>
      </c>
      <c r="B677" s="342" t="s">
        <v>376</v>
      </c>
      <c r="C677" s="361">
        <f ca="1">-1*SUM(C$658,C$663,C$668,C$673)/C$650</f>
        <v>0.58097928927002562</v>
      </c>
      <c r="D677" s="342" t="s">
        <v>302</v>
      </c>
      <c r="E677" s="361">
        <f ca="1">C677*Units!C112</f>
        <v>26.765715856670081</v>
      </c>
      <c r="F677" s="433" t="s">
        <v>1044</v>
      </c>
      <c r="G677" s="591">
        <f ca="1">E677*C678</f>
        <v>1671192.6964052955</v>
      </c>
      <c r="O677" s="386"/>
      <c r="U677" s="590" t="str">
        <f t="shared" si="38"/>
        <v>Change</v>
      </c>
      <c r="V677" s="590">
        <f t="shared" ca="1" si="39"/>
        <v>-1.0797275844469597E-2</v>
      </c>
      <c r="W677" s="590">
        <f t="shared" ca="1" si="43"/>
        <v>-1.0797275844469597E-2</v>
      </c>
      <c r="X677" s="590">
        <f t="shared" ca="1" si="40"/>
        <v>1.0797275844469597E-2</v>
      </c>
      <c r="Y677" s="590">
        <f t="shared" ca="1" si="41"/>
        <v>1.0797275844469597E-2</v>
      </c>
      <c r="Z677" s="590">
        <f t="shared" ca="1" si="42"/>
        <v>1.0797275844469597E-2</v>
      </c>
    </row>
    <row r="678" spans="1:26" s="385" customFormat="1" ht="15.75" customHeight="1" x14ac:dyDescent="0.2">
      <c r="A678" s="318" t="s">
        <v>1482</v>
      </c>
      <c r="B678" s="347" t="s">
        <v>391</v>
      </c>
      <c r="C678" s="474">
        <f ca="1">((C404)+(C261*Units!C17)+((E674+E669+E664+E659)*Units!C137/1000)/Inputs!F466)+C182</f>
        <v>62437.810569106456</v>
      </c>
      <c r="D678" s="347" t="s">
        <v>444</v>
      </c>
      <c r="E678" s="474">
        <f ca="1">C678/Units!C17</f>
        <v>59.464581494387097</v>
      </c>
      <c r="F678" s="485"/>
      <c r="O678" s="386"/>
      <c r="U678" s="590" t="str">
        <f t="shared" si="38"/>
        <v>Equilibrium</v>
      </c>
      <c r="V678" s="590">
        <f t="shared" ca="1" si="39"/>
        <v>0.12416867221140035</v>
      </c>
      <c r="W678" s="590"/>
      <c r="X678" s="590">
        <f t="shared" ca="1" si="40"/>
        <v>1.0797275844469597E-2</v>
      </c>
      <c r="Y678" s="590">
        <f t="shared" ca="1" si="41"/>
        <v>1.0797275844469597E-2</v>
      </c>
      <c r="Z678" s="590">
        <f t="shared" ca="1" si="42"/>
        <v>1.0797275844469597E-2</v>
      </c>
    </row>
    <row r="679" spans="1:26" s="385" customFormat="1" ht="15.75" customHeight="1" x14ac:dyDescent="0.2">
      <c r="A679" s="316" t="s">
        <v>1434</v>
      </c>
      <c r="B679" s="342"/>
      <c r="C679" s="361">
        <v>5</v>
      </c>
      <c r="D679" s="342"/>
      <c r="E679" s="361"/>
      <c r="F679" s="76"/>
      <c r="O679" s="386"/>
    </row>
    <row r="680" spans="1:26" s="385" customFormat="1" ht="15.75" customHeight="1" x14ac:dyDescent="0.2">
      <c r="A680" s="318" t="s">
        <v>1552</v>
      </c>
      <c r="B680" s="347" t="s">
        <v>461</v>
      </c>
      <c r="C680" s="365">
        <f>10^(C679-Units!C371)</f>
        <v>1.8197008586099825</v>
      </c>
      <c r="D680" s="347"/>
      <c r="E680" s="365"/>
      <c r="F680" s="984">
        <f ca="1">SUM(C681:C688)</f>
        <v>0.59218123156039604</v>
      </c>
      <c r="O680" s="386"/>
    </row>
    <row r="681" spans="1:26" s="385" customFormat="1" ht="15.75" customHeight="1" x14ac:dyDescent="0.2">
      <c r="A681" s="317" t="s">
        <v>1553</v>
      </c>
      <c r="B681" s="344" t="s">
        <v>376</v>
      </c>
      <c r="C681" s="982">
        <f ca="1">B659</f>
        <v>3.0374833282310915E-2</v>
      </c>
      <c r="D681" s="344" t="s">
        <v>302</v>
      </c>
      <c r="E681" s="446">
        <f ca="1">Units!C94*C681</f>
        <v>1.7933301569876363</v>
      </c>
      <c r="F681" s="76"/>
      <c r="O681" s="386"/>
    </row>
    <row r="682" spans="1:26" s="385" customFormat="1" ht="15.75" customHeight="1" x14ac:dyDescent="0.2">
      <c r="A682" s="317" t="s">
        <v>1554</v>
      </c>
      <c r="B682" s="344" t="s">
        <v>376</v>
      </c>
      <c r="C682" s="982">
        <f ca="1">B669</f>
        <v>7.8741594907646692E-2</v>
      </c>
      <c r="D682" s="344" t="s">
        <v>302</v>
      </c>
      <c r="E682" s="446">
        <f ca="1">Units!C95*C682</f>
        <v>5.7536483399017433</v>
      </c>
      <c r="F682" s="76"/>
      <c r="O682" s="386"/>
    </row>
    <row r="683" spans="1:26" s="385" customFormat="1" ht="15.75" customHeight="1" x14ac:dyDescent="0.2">
      <c r="A683" s="317" t="s">
        <v>1555</v>
      </c>
      <c r="B683" s="344" t="s">
        <v>376</v>
      </c>
      <c r="C683" s="982">
        <f ca="1">B664</f>
        <v>9.1155824963746468E-2</v>
      </c>
      <c r="D683" s="344" t="s">
        <v>302</v>
      </c>
      <c r="E683" s="446">
        <f ca="1">Units!C96*C683</f>
        <v>7.9396723543423171</v>
      </c>
      <c r="F683" s="76"/>
      <c r="O683" s="386"/>
    </row>
    <row r="684" spans="1:26" s="385" customFormat="1" ht="15.75" customHeight="1" x14ac:dyDescent="0.2">
      <c r="A684" s="317" t="s">
        <v>1556</v>
      </c>
      <c r="B684" s="344" t="s">
        <v>376</v>
      </c>
      <c r="C684" s="982">
        <f>(C287+C296)/Units!C$17</f>
        <v>0</v>
      </c>
      <c r="D684" s="344" t="s">
        <v>302</v>
      </c>
      <c r="E684" s="446">
        <f>Units!C97*C684</f>
        <v>0</v>
      </c>
      <c r="F684" s="76"/>
      <c r="O684" s="386"/>
    </row>
    <row r="685" spans="1:26" s="385" customFormat="1" ht="15.75" customHeight="1" x14ac:dyDescent="0.2">
      <c r="A685" s="317" t="s">
        <v>1557</v>
      </c>
      <c r="B685" s="344" t="s">
        <v>376</v>
      </c>
      <c r="C685" s="982">
        <f ca="1">B674</f>
        <v>0.12416867221140035</v>
      </c>
      <c r="D685" s="344" t="s">
        <v>302</v>
      </c>
      <c r="E685" s="446">
        <f ca="1">Units!C98*C685</f>
        <v>12.555936134016804</v>
      </c>
      <c r="F685" s="76"/>
      <c r="O685" s="386"/>
    </row>
    <row r="686" spans="1:26" s="385" customFormat="1" ht="15.75" customHeight="1" x14ac:dyDescent="0.2">
      <c r="A686" s="317" t="s">
        <v>1558</v>
      </c>
      <c r="B686" s="344" t="s">
        <v>376</v>
      </c>
      <c r="C686" s="982">
        <f>(C289+C298)/Units!C$17</f>
        <v>1.0822302948706647E-2</v>
      </c>
      <c r="D686" s="344" t="s">
        <v>302</v>
      </c>
      <c r="E686" s="446">
        <f>Units!C99*C686</f>
        <v>1.0943512741732162</v>
      </c>
      <c r="F686" s="76"/>
      <c r="G686" s="1546" t="s">
        <v>1801</v>
      </c>
      <c r="H686" s="1547"/>
      <c r="I686" s="1547"/>
      <c r="J686" s="1548"/>
      <c r="O686" s="386"/>
    </row>
    <row r="687" spans="1:26" s="385" customFormat="1" ht="30" customHeight="1" x14ac:dyDescent="0.2">
      <c r="A687" s="317" t="s">
        <v>1559</v>
      </c>
      <c r="B687" s="344" t="s">
        <v>376</v>
      </c>
      <c r="C687" s="982">
        <f ca="1">D664</f>
        <v>0.24612072740211546</v>
      </c>
      <c r="D687" s="344" t="s">
        <v>302</v>
      </c>
      <c r="E687" s="446">
        <f ca="1">Units!C100*C687</f>
        <v>28.340801760353596</v>
      </c>
      <c r="F687" s="76"/>
      <c r="G687" s="462" t="s">
        <v>1800</v>
      </c>
      <c r="H687" s="592" t="s">
        <v>2309</v>
      </c>
      <c r="I687" s="592" t="s">
        <v>1585</v>
      </c>
      <c r="J687" s="592" t="s">
        <v>1802</v>
      </c>
      <c r="O687" s="386"/>
    </row>
    <row r="688" spans="1:26" s="385" customFormat="1" ht="15.75" customHeight="1" x14ac:dyDescent="0.2">
      <c r="A688" s="318" t="s">
        <v>1560</v>
      </c>
      <c r="B688" s="347" t="s">
        <v>376</v>
      </c>
      <c r="C688" s="983">
        <f ca="1">D674</f>
        <v>1.0797275844469597E-2</v>
      </c>
      <c r="D688" s="344" t="s">
        <v>302</v>
      </c>
      <c r="E688" s="446">
        <f ca="1">Units!C101*C688</f>
        <v>1.3946841208301377</v>
      </c>
      <c r="F688" s="76"/>
      <c r="G688" s="522" t="str">
        <f t="shared" ref="G688:G695" si="44">A689</f>
        <v>Acetate</v>
      </c>
      <c r="H688" s="466">
        <f ca="1">E522*Units!C94/C$414</f>
        <v>1.0095709628741449</v>
      </c>
      <c r="I688" s="467">
        <f t="shared" ref="I688:I695" si="45">E252</f>
        <v>7.5300949920786744</v>
      </c>
      <c r="J688" s="466">
        <f t="shared" ref="J688:J695" ca="1" si="46">E681</f>
        <v>1.7933301569876363</v>
      </c>
      <c r="O688" s="386"/>
    </row>
    <row r="689" spans="1:15" s="385" customFormat="1" ht="15.75" customHeight="1" x14ac:dyDescent="0.2">
      <c r="A689" s="316" t="s">
        <v>393</v>
      </c>
      <c r="B689" s="344" t="s">
        <v>376</v>
      </c>
      <c r="C689" s="531">
        <f t="shared" ref="C689:C696" ca="1" si="47">C$680*C697</f>
        <v>1.9484262615301257E-2</v>
      </c>
      <c r="D689" s="342" t="s">
        <v>267</v>
      </c>
      <c r="E689" s="461">
        <f ca="1">(C689*Units!C94*C678)/Units!C$84</f>
        <v>71.825389384851363</v>
      </c>
      <c r="F689" s="76"/>
      <c r="G689" s="406" t="str">
        <f t="shared" si="44"/>
        <v>Propionate</v>
      </c>
      <c r="H689" s="468">
        <f ca="1">E523*Units!C95/C$414</f>
        <v>5.910058693860312E-8</v>
      </c>
      <c r="I689" s="469">
        <f t="shared" si="45"/>
        <v>6.3929425407901537</v>
      </c>
      <c r="J689" s="468">
        <f t="shared" ca="1" si="46"/>
        <v>5.7536483399017433</v>
      </c>
      <c r="O689" s="386"/>
    </row>
    <row r="690" spans="1:15" s="385" customFormat="1" ht="15.75" customHeight="1" x14ac:dyDescent="0.2">
      <c r="A690" s="317" t="s">
        <v>394</v>
      </c>
      <c r="B690" s="344" t="s">
        <v>376</v>
      </c>
      <c r="C690" s="531">
        <f t="shared" ca="1" si="47"/>
        <v>5.0568192564494047E-2</v>
      </c>
      <c r="D690" s="344" t="s">
        <v>267</v>
      </c>
      <c r="E690" s="446">
        <f ca="1">(C690*Units!C95*C$678)/Units!C$84</f>
        <v>230.70882336194177</v>
      </c>
      <c r="F690" s="76"/>
      <c r="G690" s="406" t="str">
        <f t="shared" si="44"/>
        <v>Butyrate</v>
      </c>
      <c r="H690" s="468">
        <f ca="1">E524*Units!C96/C$414</f>
        <v>1.038805213014419</v>
      </c>
      <c r="I690" s="469">
        <f t="shared" si="45"/>
        <v>19.420268325786253</v>
      </c>
      <c r="J690" s="468">
        <f t="shared" ca="1" si="46"/>
        <v>7.9396723543423171</v>
      </c>
      <c r="O690" s="386"/>
    </row>
    <row r="691" spans="1:15" s="385" customFormat="1" ht="15.75" customHeight="1" x14ac:dyDescent="0.2">
      <c r="A691" s="317" t="s">
        <v>396</v>
      </c>
      <c r="B691" s="344" t="s">
        <v>376</v>
      </c>
      <c r="C691" s="531">
        <f t="shared" ca="1" si="47"/>
        <v>5.8586700385016788E-2</v>
      </c>
      <c r="D691" s="344" t="s">
        <v>267</v>
      </c>
      <c r="E691" s="446">
        <f ca="1">(C691*Units!C96*C$678)/Units!C$84</f>
        <v>318.61400367430554</v>
      </c>
      <c r="F691" s="76"/>
      <c r="G691" s="406" t="str">
        <f t="shared" si="44"/>
        <v>Isobutyrate</v>
      </c>
      <c r="H691" s="468">
        <f ca="1">E525*Units!C97/C$414</f>
        <v>4.7637436748668674E-2</v>
      </c>
      <c r="I691" s="469">
        <f t="shared" si="45"/>
        <v>0</v>
      </c>
      <c r="J691" s="468">
        <f t="shared" si="46"/>
        <v>0</v>
      </c>
      <c r="O691" s="386"/>
    </row>
    <row r="692" spans="1:15" s="385" customFormat="1" ht="15.75" customHeight="1" x14ac:dyDescent="0.2">
      <c r="A692" s="317" t="s">
        <v>395</v>
      </c>
      <c r="B692" s="344" t="s">
        <v>376</v>
      </c>
      <c r="C692" s="531">
        <f t="shared" si="47"/>
        <v>0</v>
      </c>
      <c r="D692" s="344" t="s">
        <v>267</v>
      </c>
      <c r="E692" s="446">
        <f ca="1">(C692*Units!C97*C$678)/Units!C$84</f>
        <v>0</v>
      </c>
      <c r="F692" s="76"/>
      <c r="G692" s="406" t="str">
        <f t="shared" si="44"/>
        <v>Valerate</v>
      </c>
      <c r="H692" s="468">
        <f ca="1">E526*Units!C98/C$414</f>
        <v>0.61294774456728995</v>
      </c>
      <c r="I692" s="469">
        <f t="shared" si="45"/>
        <v>12.150102472745317</v>
      </c>
      <c r="J692" s="468">
        <f t="shared" ca="1" si="46"/>
        <v>12.555936134016804</v>
      </c>
      <c r="O692" s="386"/>
    </row>
    <row r="693" spans="1:15" s="385" customFormat="1" ht="15.75" customHeight="1" x14ac:dyDescent="0.2">
      <c r="A693" s="317" t="s">
        <v>397</v>
      </c>
      <c r="B693" s="344" t="s">
        <v>376</v>
      </c>
      <c r="C693" s="531">
        <f t="shared" ca="1" si="47"/>
        <v>7.9849707905201739E-2</v>
      </c>
      <c r="D693" s="344" t="s">
        <v>267</v>
      </c>
      <c r="E693" s="446">
        <f ca="1">(C693*Units!C98*C$678)/Units!C$84</f>
        <v>504.14801146687228</v>
      </c>
      <c r="F693" s="76"/>
      <c r="G693" s="406" t="str">
        <f t="shared" si="44"/>
        <v>Isovalerate</v>
      </c>
      <c r="H693" s="468">
        <f ca="1">E527*Units!C99/C$414</f>
        <v>1.1241007235941557E-8</v>
      </c>
      <c r="I693" s="469">
        <f t="shared" si="45"/>
        <v>1.149068837881877</v>
      </c>
      <c r="J693" s="468">
        <f t="shared" si="46"/>
        <v>1.0943512741732162</v>
      </c>
      <c r="O693" s="386"/>
    </row>
    <row r="694" spans="1:15" s="385" customFormat="1" ht="15.75" customHeight="1" x14ac:dyDescent="0.2">
      <c r="A694" s="317" t="s">
        <v>398</v>
      </c>
      <c r="B694" s="344" t="s">
        <v>376</v>
      </c>
      <c r="C694" s="531">
        <f t="shared" si="47"/>
        <v>6.9595471540887426E-3</v>
      </c>
      <c r="D694" s="344" t="s">
        <v>267</v>
      </c>
      <c r="E694" s="446">
        <f ca="1">(C694*Units!C99*C$678)/Units!C$84</f>
        <v>43.940572238651896</v>
      </c>
      <c r="F694" s="76"/>
      <c r="G694" s="406" t="str">
        <f t="shared" si="44"/>
        <v>Caproate</v>
      </c>
      <c r="H694" s="468">
        <f ca="1">E528*Units!C100/C$414</f>
        <v>0.2155636938612637</v>
      </c>
      <c r="I694" s="469">
        <f t="shared" si="45"/>
        <v>7.3236173081712614</v>
      </c>
      <c r="J694" s="468">
        <f t="shared" ca="1" si="46"/>
        <v>28.340801760353596</v>
      </c>
      <c r="O694" s="386"/>
    </row>
    <row r="695" spans="1:15" s="385" customFormat="1" ht="15.75" customHeight="1" x14ac:dyDescent="0.2">
      <c r="A695" s="317" t="s">
        <v>578</v>
      </c>
      <c r="B695" s="344" t="s">
        <v>376</v>
      </c>
      <c r="C695" s="531">
        <f t="shared" ca="1" si="47"/>
        <v>0.15834206410926571</v>
      </c>
      <c r="D695" s="344" t="s">
        <v>267</v>
      </c>
      <c r="E695" s="446">
        <f ca="1">(C695*Units!C100*C$678)/Units!C$84</f>
        <v>1138.4341372277954</v>
      </c>
      <c r="F695" s="76"/>
      <c r="G695" s="404" t="str">
        <f t="shared" si="44"/>
        <v>Heptanoate</v>
      </c>
      <c r="H695" s="473">
        <f ca="1">E529*Units!C101/C$414</f>
        <v>1.60702285386877E-8</v>
      </c>
      <c r="I695" s="474">
        <f t="shared" si="45"/>
        <v>0</v>
      </c>
      <c r="J695" s="473">
        <f t="shared" ca="1" si="46"/>
        <v>1.3946841208301377</v>
      </c>
      <c r="O695" s="386"/>
    </row>
    <row r="696" spans="1:15" s="385" customFormat="1" ht="15.75" customHeight="1" x14ac:dyDescent="0.2">
      <c r="A696" s="317" t="s">
        <v>407</v>
      </c>
      <c r="B696" s="344" t="s">
        <v>376</v>
      </c>
      <c r="C696" s="531">
        <f t="shared" ca="1" si="47"/>
        <v>6.9487791576289164E-3</v>
      </c>
      <c r="D696" s="344" t="s">
        <v>267</v>
      </c>
      <c r="E696" s="446">
        <f ca="1">(C696*Units!C101*C$678)/Units!C$84</f>
        <v>56.042543132890223</v>
      </c>
      <c r="F696" s="76"/>
      <c r="G696" s="387" t="s">
        <v>1693</v>
      </c>
      <c r="H696" s="466">
        <f ca="1">E530*Units!C102/C$414</f>
        <v>0</v>
      </c>
      <c r="I696" s="461">
        <f>C322</f>
        <v>2.949856</v>
      </c>
      <c r="J696" s="493">
        <f ca="1">SUM(E471:E474)+C322</f>
        <v>3.3137086593421605</v>
      </c>
      <c r="O696" s="386"/>
    </row>
    <row r="697" spans="1:15" s="385" customFormat="1" ht="15.75" customHeight="1" x14ac:dyDescent="0.2">
      <c r="A697" s="316" t="s">
        <v>453</v>
      </c>
      <c r="B697" s="342" t="s">
        <v>376</v>
      </c>
      <c r="C697" s="593">
        <f ca="1">E681/((C$680*Units!C94)+(Units!C103))</f>
        <v>1.0707398704084103E-2</v>
      </c>
      <c r="D697" s="342" t="s">
        <v>267</v>
      </c>
      <c r="E697" s="461">
        <f ca="1">(C697*Units!C103*C$678)/Units!C$84</f>
        <v>40.146219245008631</v>
      </c>
      <c r="F697" s="76"/>
      <c r="G697" s="375" t="s">
        <v>1689</v>
      </c>
      <c r="H697" s="468">
        <f ca="1">E531*Units!C103/C$414</f>
        <v>0</v>
      </c>
      <c r="I697" s="367"/>
      <c r="J697" s="386">
        <f ca="1">H697</f>
        <v>0</v>
      </c>
      <c r="O697" s="386"/>
    </row>
    <row r="698" spans="1:15" s="385" customFormat="1" ht="15.75" customHeight="1" x14ac:dyDescent="0.2">
      <c r="A698" s="317" t="s">
        <v>454</v>
      </c>
      <c r="B698" s="344" t="s">
        <v>376</v>
      </c>
      <c r="C698" s="594">
        <f ca="1">E682/((C$680*Units!C95)+(Units!C104))</f>
        <v>2.7789288731292706E-2</v>
      </c>
      <c r="D698" s="344" t="s">
        <v>267</v>
      </c>
      <c r="E698" s="446">
        <f ca="1">(C698*Units!C104*C$678)/Units!C$84</f>
        <v>128.53638176609712</v>
      </c>
      <c r="F698" s="76"/>
      <c r="G698" s="376" t="s">
        <v>482</v>
      </c>
      <c r="H698" s="473">
        <f ca="1">E532*Units!C104/C$414</f>
        <v>0</v>
      </c>
      <c r="I698" s="464">
        <f>C350</f>
        <v>0.54026666666666678</v>
      </c>
      <c r="J698" s="474">
        <f ca="1">E488+E489</f>
        <v>2.3295506570399991</v>
      </c>
      <c r="O698" s="386"/>
    </row>
    <row r="699" spans="1:15" s="385" customFormat="1" ht="15.75" customHeight="1" x14ac:dyDescent="0.2">
      <c r="A699" s="317" t="s">
        <v>455</v>
      </c>
      <c r="B699" s="344" t="s">
        <v>376</v>
      </c>
      <c r="C699" s="594">
        <f ca="1">E683/((C$680*Units!C96)+(Units!C105))</f>
        <v>3.219578652601697E-2</v>
      </c>
      <c r="D699" s="344" t="s">
        <v>267</v>
      </c>
      <c r="E699" s="446">
        <f ca="1">(C699*Units!C105*C$678)/Units!C$84</f>
        <v>177.12175476689157</v>
      </c>
      <c r="F699" s="76"/>
      <c r="G699" s="595" t="s">
        <v>1764</v>
      </c>
      <c r="H699" s="1474">
        <f ca="1">E414</f>
        <v>55.272474816103838</v>
      </c>
      <c r="I699" s="474">
        <f>C261-I700</f>
        <v>2.8155770997694836</v>
      </c>
      <c r="J699" s="1473">
        <f ca="1">E678-J700</f>
        <v>55.788716228151884</v>
      </c>
      <c r="O699" s="386"/>
    </row>
    <row r="700" spans="1:15" s="385" customFormat="1" ht="15.75" customHeight="1" x14ac:dyDescent="0.2">
      <c r="A700" s="317" t="s">
        <v>456</v>
      </c>
      <c r="B700" s="344" t="s">
        <v>376</v>
      </c>
      <c r="C700" s="594">
        <f>E684/((C$680*Units!C97)+(Units!C106))</f>
        <v>0</v>
      </c>
      <c r="D700" s="344" t="s">
        <v>267</v>
      </c>
      <c r="E700" s="446">
        <f ca="1">(C700*Units!C106*C$678)/Units!C$84</f>
        <v>0</v>
      </c>
      <c r="F700" s="76"/>
      <c r="G700" s="596" t="s">
        <v>1897</v>
      </c>
      <c r="H700" s="462">
        <f ca="1">SUM(G251:G259)/Units!C15</f>
        <v>0.18006555791926931</v>
      </c>
      <c r="I700" s="591">
        <f>SUM(C251:C259)/Units!C15</f>
        <v>0.16061337642099269</v>
      </c>
      <c r="J700" s="462">
        <f ca="1">SUM(E689:E704)/Units!C15</f>
        <v>3.6758652662352134</v>
      </c>
      <c r="O700" s="386"/>
    </row>
    <row r="701" spans="1:15" s="385" customFormat="1" ht="15.75" customHeight="1" x14ac:dyDescent="0.2">
      <c r="A701" s="317" t="s">
        <v>1441</v>
      </c>
      <c r="B701" s="344" t="s">
        <v>376</v>
      </c>
      <c r="C701" s="594">
        <f ca="1">E685/((C$680*Units!C98)+(Units!C107))</f>
        <v>4.3880678259500656E-2</v>
      </c>
      <c r="D701" s="344" t="s">
        <v>267</v>
      </c>
      <c r="E701" s="446">
        <f ca="1">(C701*Units!C107*C$678)/Units!C$84</f>
        <v>279.81715038666755</v>
      </c>
      <c r="F701" s="76"/>
      <c r="G701" s="596" t="s">
        <v>2314</v>
      </c>
      <c r="H701" s="478">
        <f ca="1">(H700/(H699+H700))*(1000/1050)</f>
        <v>3.0925726104785753E-3</v>
      </c>
      <c r="I701" s="597">
        <f>(I700/(I699+I700))*(1000/1050)</f>
        <v>5.1396280454717655E-2</v>
      </c>
      <c r="J701" s="478">
        <f ca="1">(J700/(J699+J700))*(1000/1050)</f>
        <v>5.8872424140605457E-2</v>
      </c>
      <c r="O701" s="386"/>
    </row>
    <row r="702" spans="1:15" s="385" customFormat="1" ht="15.75" customHeight="1" x14ac:dyDescent="0.2">
      <c r="A702" s="317" t="s">
        <v>457</v>
      </c>
      <c r="B702" s="344" t="s">
        <v>376</v>
      </c>
      <c r="C702" s="594">
        <f>E686/((C$680*Units!C99)+(Units!C108))</f>
        <v>3.8245556247112735E-3</v>
      </c>
      <c r="D702" s="344" t="s">
        <v>267</v>
      </c>
      <c r="E702" s="446">
        <f ca="1">(C702*Units!C108*C$678)/Units!C$84</f>
        <v>24.388325314235647</v>
      </c>
      <c r="F702" s="76"/>
      <c r="O702" s="386"/>
    </row>
    <row r="703" spans="1:15" s="385" customFormat="1" ht="15.75" customHeight="1" x14ac:dyDescent="0.2">
      <c r="A703" s="317" t="s">
        <v>458</v>
      </c>
      <c r="B703" s="344" t="s">
        <v>376</v>
      </c>
      <c r="C703" s="594">
        <f ca="1">E687/((C$680*Units!C100)+(Units!C109))</f>
        <v>8.7015436279025929E-2</v>
      </c>
      <c r="D703" s="344" t="s">
        <v>267</v>
      </c>
      <c r="E703" s="446">
        <f ca="1">(C703*Units!C109*C$678)/Units!C$84</f>
        <v>631.10347446176138</v>
      </c>
      <c r="F703" s="76"/>
      <c r="O703" s="386"/>
    </row>
    <row r="704" spans="1:15" s="385" customFormat="1" ht="15.75" customHeight="1" x14ac:dyDescent="0.2">
      <c r="A704" s="318" t="s">
        <v>1442</v>
      </c>
      <c r="B704" s="347" t="s">
        <v>376</v>
      </c>
      <c r="C704" s="415">
        <f ca="1">E688/((C$680*Units!C101)+(Units!C110))</f>
        <v>3.8186381705270448E-3</v>
      </c>
      <c r="D704" s="347" t="s">
        <v>267</v>
      </c>
      <c r="E704" s="464">
        <f ca="1">(C704*Units!C110*C$678)/Units!C$84</f>
        <v>31.038479807242695</v>
      </c>
      <c r="O704" s="386"/>
    </row>
    <row r="705" spans="1:15" s="385" customFormat="1" ht="15.75" customHeight="1" thickBot="1" x14ac:dyDescent="0.25">
      <c r="A705" s="406"/>
      <c r="C705" s="389"/>
      <c r="E705" s="386"/>
      <c r="O705" s="386"/>
    </row>
    <row r="706" spans="1:15" s="385" customFormat="1" ht="15.75" customHeight="1" thickBot="1" x14ac:dyDescent="0.25">
      <c r="A706" s="1549" t="s">
        <v>2313</v>
      </c>
      <c r="B706" s="1550"/>
      <c r="C706" s="1551"/>
      <c r="E706" s="386"/>
      <c r="O706" s="386"/>
    </row>
    <row r="707" spans="1:15" s="385" customFormat="1" ht="15.75" customHeight="1" x14ac:dyDescent="0.2">
      <c r="A707" s="598" t="s">
        <v>580</v>
      </c>
      <c r="B707" s="598" t="s">
        <v>372</v>
      </c>
      <c r="C707" s="599" t="s">
        <v>42</v>
      </c>
      <c r="O707" s="386"/>
    </row>
    <row r="708" spans="1:15" s="385" customFormat="1" ht="15.75" customHeight="1" x14ac:dyDescent="0.2">
      <c r="A708" s="371" t="s">
        <v>393</v>
      </c>
      <c r="B708" s="600" t="s">
        <v>302</v>
      </c>
      <c r="C708" s="601">
        <f ca="1">J688</f>
        <v>1.7933301569876363</v>
      </c>
      <c r="D708" s="208"/>
      <c r="E708" s="208"/>
      <c r="O708" s="386"/>
    </row>
    <row r="709" spans="1:15" s="385" customFormat="1" ht="15.75" customHeight="1" x14ac:dyDescent="0.2">
      <c r="A709" s="354" t="s">
        <v>394</v>
      </c>
      <c r="B709" s="573" t="s">
        <v>302</v>
      </c>
      <c r="C709" s="602">
        <f ca="1">J689</f>
        <v>5.7536483399017433</v>
      </c>
      <c r="D709" s="496"/>
      <c r="E709" s="534"/>
      <c r="O709" s="386"/>
    </row>
    <row r="710" spans="1:15" s="385" customFormat="1" ht="15.75" customHeight="1" x14ac:dyDescent="0.2">
      <c r="A710" s="354" t="s">
        <v>396</v>
      </c>
      <c r="B710" s="573" t="s">
        <v>302</v>
      </c>
      <c r="C710" s="602">
        <f ca="1">J690</f>
        <v>7.9396723543423171</v>
      </c>
      <c r="D710" s="496"/>
      <c r="O710" s="386"/>
    </row>
    <row r="711" spans="1:15" s="385" customFormat="1" ht="15.75" customHeight="1" x14ac:dyDescent="0.2">
      <c r="A711" s="354" t="s">
        <v>395</v>
      </c>
      <c r="B711" s="573" t="s">
        <v>302</v>
      </c>
      <c r="C711" s="602">
        <f t="shared" ref="C711:C718" si="48">J691</f>
        <v>0</v>
      </c>
      <c r="D711" s="496"/>
      <c r="O711" s="386"/>
    </row>
    <row r="712" spans="1:15" s="385" customFormat="1" ht="15.75" customHeight="1" x14ac:dyDescent="0.2">
      <c r="A712" s="354" t="s">
        <v>397</v>
      </c>
      <c r="B712" s="573" t="s">
        <v>302</v>
      </c>
      <c r="C712" s="602">
        <f ca="1">J692</f>
        <v>12.555936134016804</v>
      </c>
      <c r="D712" s="496"/>
      <c r="O712" s="386"/>
    </row>
    <row r="713" spans="1:15" s="385" customFormat="1" ht="15.75" customHeight="1" x14ac:dyDescent="0.2">
      <c r="A713" s="354" t="s">
        <v>398</v>
      </c>
      <c r="B713" s="573" t="s">
        <v>302</v>
      </c>
      <c r="C713" s="602">
        <f t="shared" si="48"/>
        <v>1.0943512741732162</v>
      </c>
      <c r="D713" s="496"/>
      <c r="O713" s="386"/>
    </row>
    <row r="714" spans="1:15" s="385" customFormat="1" ht="15.75" customHeight="1" x14ac:dyDescent="0.2">
      <c r="A714" s="354" t="s">
        <v>578</v>
      </c>
      <c r="B714" s="573" t="s">
        <v>302</v>
      </c>
      <c r="C714" s="602">
        <f ca="1">J694</f>
        <v>28.340801760353596</v>
      </c>
      <c r="D714" s="496"/>
      <c r="E714" s="534"/>
      <c r="O714" s="386"/>
    </row>
    <row r="715" spans="1:15" s="385" customFormat="1" ht="15.75" customHeight="1" x14ac:dyDescent="0.2">
      <c r="A715" s="354" t="s">
        <v>407</v>
      </c>
      <c r="B715" s="573" t="s">
        <v>302</v>
      </c>
      <c r="C715" s="602">
        <f ca="1">J695</f>
        <v>1.3946841208301377</v>
      </c>
      <c r="D715" s="496"/>
      <c r="O715" s="386"/>
    </row>
    <row r="716" spans="1:15" s="385" customFormat="1" ht="15.75" customHeight="1" x14ac:dyDescent="0.2">
      <c r="A716" s="354" t="s">
        <v>1693</v>
      </c>
      <c r="B716" s="573" t="s">
        <v>302</v>
      </c>
      <c r="C716" s="602">
        <f ca="1">J696</f>
        <v>3.3137086593421605</v>
      </c>
      <c r="D716" s="496"/>
      <c r="O716" s="386"/>
    </row>
    <row r="717" spans="1:15" s="385" customFormat="1" ht="15.75" customHeight="1" x14ac:dyDescent="0.2">
      <c r="A717" s="354" t="s">
        <v>1689</v>
      </c>
      <c r="B717" s="573" t="s">
        <v>302</v>
      </c>
      <c r="C717" s="602">
        <f t="shared" ca="1" si="48"/>
        <v>0</v>
      </c>
      <c r="D717" s="496"/>
      <c r="O717" s="386"/>
    </row>
    <row r="718" spans="1:15" s="385" customFormat="1" ht="15.75" customHeight="1" x14ac:dyDescent="0.2">
      <c r="A718" s="354" t="s">
        <v>482</v>
      </c>
      <c r="B718" s="573" t="s">
        <v>302</v>
      </c>
      <c r="C718" s="602">
        <f t="shared" ca="1" si="48"/>
        <v>2.3295506570399991</v>
      </c>
      <c r="D718" s="496"/>
      <c r="O718" s="386"/>
    </row>
    <row r="719" spans="1:15" s="385" customFormat="1" ht="15.75" customHeight="1" thickBot="1" x14ac:dyDescent="0.25">
      <c r="A719" s="798" t="s">
        <v>1764</v>
      </c>
      <c r="B719" s="603" t="s">
        <v>444</v>
      </c>
      <c r="C719" s="604">
        <f ca="1">J699</f>
        <v>55.788716228151884</v>
      </c>
      <c r="D719" s="496"/>
      <c r="O719" s="386"/>
    </row>
    <row r="720" spans="1:15" s="385" customFormat="1" ht="15.75" customHeight="1" x14ac:dyDescent="0.2">
      <c r="A720" s="404"/>
      <c r="B720" s="495"/>
      <c r="C720" s="392"/>
      <c r="D720" s="495"/>
      <c r="E720" s="391"/>
      <c r="F720" s="391"/>
      <c r="G720" s="391"/>
      <c r="H720" s="391"/>
      <c r="I720" s="391"/>
      <c r="J720" s="391"/>
      <c r="K720" s="391"/>
      <c r="L720" s="391"/>
      <c r="M720" s="391"/>
      <c r="N720" s="391"/>
      <c r="O720" s="393"/>
    </row>
    <row r="721" spans="1:23" s="385" customFormat="1" ht="15.75" customHeight="1" x14ac:dyDescent="0.2">
      <c r="B721" s="496"/>
      <c r="C721" s="389"/>
      <c r="D721" s="496"/>
      <c r="O721" s="386"/>
    </row>
    <row r="722" spans="1:23" s="385" customFormat="1" ht="15.75" customHeight="1" x14ac:dyDescent="0.2">
      <c r="A722" s="406"/>
      <c r="B722" s="496"/>
      <c r="C722" s="389"/>
      <c r="D722" s="496"/>
      <c r="O722" s="386"/>
    </row>
    <row r="723" spans="1:23" s="385" customFormat="1" ht="15.75" customHeight="1" x14ac:dyDescent="0.2">
      <c r="A723" s="406"/>
      <c r="B723" s="496"/>
      <c r="C723" s="389"/>
      <c r="D723" s="496"/>
      <c r="O723" s="386"/>
    </row>
    <row r="724" spans="1:23" s="385" customFormat="1" ht="15.75" customHeight="1" x14ac:dyDescent="0.2">
      <c r="A724" s="406"/>
      <c r="B724" s="496"/>
      <c r="C724" s="2048"/>
      <c r="D724" s="496"/>
      <c r="O724" s="386"/>
    </row>
    <row r="725" spans="1:23" s="385" customFormat="1" ht="15.75" customHeight="1" thickBot="1" x14ac:dyDescent="0.25">
      <c r="A725" s="406"/>
      <c r="C725" s="389"/>
      <c r="O725" s="386"/>
    </row>
    <row r="726" spans="1:23" s="385" customFormat="1" ht="34" customHeight="1" thickBot="1" x14ac:dyDescent="0.25">
      <c r="A726" s="2047" t="s">
        <v>716</v>
      </c>
      <c r="B726" s="605"/>
      <c r="C726" s="605"/>
      <c r="D726" s="605"/>
      <c r="E726" s="605"/>
      <c r="F726" s="605"/>
      <c r="G726" s="605"/>
      <c r="H726" s="605"/>
      <c r="I726" s="606"/>
      <c r="O726" s="386"/>
    </row>
    <row r="727" spans="1:23" s="385" customFormat="1" ht="15.75" customHeight="1" x14ac:dyDescent="0.2">
      <c r="A727" s="301" t="s">
        <v>580</v>
      </c>
      <c r="B727" s="301" t="s">
        <v>372</v>
      </c>
      <c r="C727" s="301" t="s">
        <v>42</v>
      </c>
      <c r="D727" s="557" t="s">
        <v>372</v>
      </c>
      <c r="E727" s="301" t="s">
        <v>42</v>
      </c>
      <c r="O727" s="386"/>
    </row>
    <row r="728" spans="1:23" s="385" customFormat="1" ht="15.75" customHeight="1" x14ac:dyDescent="0.2">
      <c r="A728" s="371" t="s">
        <v>1682</v>
      </c>
      <c r="B728" s="400" t="s">
        <v>444</v>
      </c>
      <c r="C728" s="401">
        <f ca="1">E678</f>
        <v>59.464581494387097</v>
      </c>
      <c r="E728" s="386"/>
      <c r="F728" s="998">
        <f>(Inputs!J15*0.8)*24*365</f>
        <v>193124.88632417869</v>
      </c>
      <c r="G728" s="607" t="s">
        <v>1522</v>
      </c>
      <c r="I728" s="534" t="e">
        <f>Inputs!L13-ExpBase!F728</f>
        <v>#VALUE!</v>
      </c>
      <c r="J728" s="385" t="s">
        <v>1522</v>
      </c>
      <c r="K728" s="385" t="s">
        <v>3175</v>
      </c>
      <c r="O728" s="386"/>
    </row>
    <row r="729" spans="1:23" s="385" customFormat="1" ht="15.75" customHeight="1" x14ac:dyDescent="0.2">
      <c r="A729" s="354" t="s">
        <v>1683</v>
      </c>
      <c r="B729" s="402" t="s">
        <v>267</v>
      </c>
      <c r="C729" s="403">
        <f ca="1">C305*C728</f>
        <v>20239.840674081548</v>
      </c>
      <c r="D729" s="500" t="s">
        <v>444</v>
      </c>
      <c r="E729" s="607">
        <f ca="1">C729/Units!C34</f>
        <v>11.370697007910982</v>
      </c>
      <c r="F729" s="997">
        <f ca="1">E729*24*365</f>
        <v>99607.305789300197</v>
      </c>
      <c r="G729" s="607" t="s">
        <v>1522</v>
      </c>
      <c r="I729" s="534" t="e">
        <f ca="1">Inputs!L13-ExpBase!F729</f>
        <v>#VALUE!</v>
      </c>
      <c r="J729" s="385" t="s">
        <v>1522</v>
      </c>
      <c r="K729" s="385" t="s">
        <v>3174</v>
      </c>
      <c r="O729" s="386"/>
    </row>
    <row r="730" spans="1:23" s="385" customFormat="1" ht="15.75" customHeight="1" x14ac:dyDescent="0.2">
      <c r="A730" s="355" t="s">
        <v>1685</v>
      </c>
      <c r="B730" s="494" t="s">
        <v>444</v>
      </c>
      <c r="C730" s="405">
        <f ca="1">C728-E729</f>
        <v>48.093884486476114</v>
      </c>
      <c r="E730" s="386"/>
      <c r="O730" s="386"/>
    </row>
    <row r="731" spans="1:23" s="385" customFormat="1" ht="15.75" customHeight="1" x14ac:dyDescent="0.2">
      <c r="A731" s="404"/>
      <c r="B731" s="391"/>
      <c r="C731" s="392"/>
      <c r="D731" s="391"/>
      <c r="E731" s="393"/>
      <c r="O731" s="386"/>
    </row>
    <row r="732" spans="1:23" s="385" customFormat="1" ht="15.75" customHeight="1" x14ac:dyDescent="0.2">
      <c r="A732" s="406"/>
      <c r="C732" s="389"/>
      <c r="E732" s="386"/>
      <c r="O732" s="386"/>
    </row>
    <row r="733" spans="1:23" s="385" customFormat="1" ht="15.75" customHeight="1" x14ac:dyDescent="0.2">
      <c r="A733" s="406"/>
      <c r="C733" s="389"/>
      <c r="E733" s="386"/>
      <c r="O733" s="386"/>
    </row>
    <row r="734" spans="1:23" s="385" customFormat="1" ht="15.75" customHeight="1" x14ac:dyDescent="0.2">
      <c r="A734" s="2050" t="s">
        <v>1418</v>
      </c>
      <c r="B734" s="2051"/>
      <c r="C734" s="2051"/>
      <c r="D734" s="2051"/>
      <c r="E734" s="2051"/>
      <c r="F734" s="2051"/>
      <c r="G734" s="2051"/>
      <c r="H734" s="2051"/>
      <c r="I734" s="2051"/>
      <c r="J734" s="2051"/>
      <c r="K734" s="2051"/>
      <c r="L734" s="2051"/>
      <c r="M734" s="2051"/>
      <c r="N734" s="2051"/>
      <c r="O734" s="2051"/>
      <c r="P734" s="2051"/>
      <c r="Q734" s="2051"/>
      <c r="R734" s="2051"/>
      <c r="S734" s="2051"/>
      <c r="T734" s="2051"/>
      <c r="U734" s="2051"/>
      <c r="V734" s="2051"/>
      <c r="W734" s="2051"/>
    </row>
    <row r="735" spans="1:23" s="385" customFormat="1" ht="48" customHeight="1" x14ac:dyDescent="0.2">
      <c r="A735" s="2052"/>
      <c r="B735" s="2051"/>
      <c r="C735" s="2051"/>
      <c r="D735" s="2051"/>
      <c r="E735" s="2051"/>
      <c r="F735" s="2051"/>
      <c r="G735" s="2051"/>
      <c r="H735" s="2051"/>
      <c r="I735" s="2051"/>
      <c r="J735" s="2051"/>
      <c r="K735" s="2051"/>
      <c r="L735" s="2051"/>
      <c r="M735" s="2051"/>
      <c r="N735" s="2051"/>
      <c r="O735" s="2051"/>
      <c r="P735" s="2051"/>
      <c r="Q735" s="2051"/>
      <c r="R735" s="2051"/>
      <c r="S735" s="2051"/>
      <c r="T735" s="2051"/>
      <c r="U735" s="2051"/>
      <c r="V735" s="2051"/>
      <c r="W735" s="2051"/>
    </row>
    <row r="736" spans="1:23" s="385" customFormat="1" ht="15.75" customHeight="1" thickBot="1" x14ac:dyDescent="0.25">
      <c r="A736" s="406"/>
      <c r="C736" s="389"/>
      <c r="E736" s="386"/>
      <c r="O736" s="386"/>
    </row>
    <row r="737" spans="1:15" s="385" customFormat="1" ht="52" customHeight="1" thickBot="1" x14ac:dyDescent="0.25">
      <c r="A737" s="2049" t="s">
        <v>286</v>
      </c>
      <c r="B737" s="609"/>
      <c r="C737" s="610"/>
      <c r="D737" s="609"/>
      <c r="E737" s="609"/>
      <c r="F737" s="609"/>
      <c r="G737" s="609"/>
      <c r="H737" s="609"/>
      <c r="I737" s="609"/>
      <c r="J737" s="609"/>
      <c r="K737" s="609"/>
      <c r="L737" s="609"/>
      <c r="M737" s="609"/>
      <c r="N737" s="609"/>
      <c r="O737" s="611"/>
    </row>
    <row r="738" spans="1:15" s="385" customFormat="1" ht="15.75" customHeight="1" x14ac:dyDescent="0.2">
      <c r="A738" s="612" t="s">
        <v>868</v>
      </c>
      <c r="B738" s="613"/>
      <c r="C738" s="614"/>
      <c r="D738" s="613"/>
      <c r="E738" s="615"/>
      <c r="O738" s="386"/>
    </row>
    <row r="739" spans="1:15" s="385" customFormat="1" ht="15.75" customHeight="1" x14ac:dyDescent="0.2">
      <c r="A739" s="301" t="s">
        <v>580</v>
      </c>
      <c r="B739" s="301" t="s">
        <v>372</v>
      </c>
      <c r="C739" s="301" t="s">
        <v>42</v>
      </c>
      <c r="E739" s="386"/>
      <c r="O739" s="386"/>
    </row>
    <row r="740" spans="1:15" s="385" customFormat="1" ht="15.75" customHeight="1" x14ac:dyDescent="0.2">
      <c r="A740" s="387" t="s">
        <v>288</v>
      </c>
      <c r="B740" s="341" t="s">
        <v>23</v>
      </c>
      <c r="C740" s="366">
        <v>6</v>
      </c>
      <c r="E740" s="386"/>
      <c r="O740" s="386"/>
    </row>
    <row r="741" spans="1:15" s="385" customFormat="1" ht="15.75" customHeight="1" x14ac:dyDescent="0.2">
      <c r="A741" s="375" t="s">
        <v>312</v>
      </c>
      <c r="B741" s="172" t="s">
        <v>161</v>
      </c>
      <c r="C741" s="367">
        <v>298.14999999999998</v>
      </c>
      <c r="E741" s="386"/>
      <c r="O741" s="386"/>
    </row>
    <row r="742" spans="1:15" s="385" customFormat="1" ht="15.75" customHeight="1" x14ac:dyDescent="0.2">
      <c r="A742" s="375" t="s">
        <v>814</v>
      </c>
      <c r="B742" s="172" t="s">
        <v>391</v>
      </c>
      <c r="C742" s="367">
        <v>18</v>
      </c>
      <c r="E742" s="386"/>
      <c r="O742" s="386"/>
    </row>
    <row r="743" spans="1:15" s="385" customFormat="1" ht="15.75" customHeight="1" x14ac:dyDescent="0.2">
      <c r="A743" s="375" t="s">
        <v>1084</v>
      </c>
      <c r="B743" s="172" t="s">
        <v>769</v>
      </c>
      <c r="C743" s="367">
        <v>0.3</v>
      </c>
      <c r="E743" s="386"/>
      <c r="O743" s="386"/>
    </row>
    <row r="744" spans="1:15" s="385" customFormat="1" ht="15.75" customHeight="1" x14ac:dyDescent="0.2">
      <c r="A744" s="375" t="s">
        <v>1085</v>
      </c>
      <c r="B744" s="172" t="s">
        <v>764</v>
      </c>
      <c r="C744" s="367">
        <v>2</v>
      </c>
      <c r="E744" s="386"/>
      <c r="O744" s="386"/>
    </row>
    <row r="745" spans="1:15" s="385" customFormat="1" ht="15.75" customHeight="1" x14ac:dyDescent="0.2">
      <c r="A745" s="375" t="s">
        <v>1086</v>
      </c>
      <c r="B745" s="172" t="s">
        <v>764</v>
      </c>
      <c r="C745" s="367">
        <v>1</v>
      </c>
      <c r="E745" s="386"/>
      <c r="O745" s="386"/>
    </row>
    <row r="746" spans="1:15" s="385" customFormat="1" ht="15.75" customHeight="1" x14ac:dyDescent="0.2">
      <c r="A746" s="375" t="s">
        <v>301</v>
      </c>
      <c r="B746" s="172" t="s">
        <v>302</v>
      </c>
      <c r="C746" s="367">
        <v>10</v>
      </c>
      <c r="E746" s="386"/>
      <c r="O746" s="386"/>
    </row>
    <row r="747" spans="1:15" s="385" customFormat="1" ht="15.75" customHeight="1" x14ac:dyDescent="0.2">
      <c r="A747" s="375" t="s">
        <v>304</v>
      </c>
      <c r="B747" s="172" t="s">
        <v>305</v>
      </c>
      <c r="C747" s="367">
        <v>5</v>
      </c>
      <c r="E747" s="386"/>
      <c r="O747" s="386"/>
    </row>
    <row r="748" spans="1:15" s="385" customFormat="1" ht="15.75" customHeight="1" x14ac:dyDescent="0.2">
      <c r="A748" s="375" t="s">
        <v>307</v>
      </c>
      <c r="B748" s="172" t="s">
        <v>305</v>
      </c>
      <c r="C748" s="367">
        <v>5</v>
      </c>
      <c r="E748" s="386"/>
      <c r="O748" s="386"/>
    </row>
    <row r="749" spans="1:15" s="385" customFormat="1" ht="15.75" customHeight="1" x14ac:dyDescent="0.2">
      <c r="A749" s="375" t="s">
        <v>309</v>
      </c>
      <c r="B749" s="172" t="s">
        <v>7</v>
      </c>
      <c r="C749" s="367">
        <v>1</v>
      </c>
      <c r="E749" s="386"/>
      <c r="O749" s="386"/>
    </row>
    <row r="750" spans="1:15" s="385" customFormat="1" ht="15.75" customHeight="1" x14ac:dyDescent="0.2">
      <c r="A750" s="375" t="s">
        <v>311</v>
      </c>
      <c r="B750" s="172" t="s">
        <v>10</v>
      </c>
      <c r="C750" s="367">
        <v>0.01</v>
      </c>
      <c r="E750" s="386"/>
      <c r="O750" s="386"/>
    </row>
    <row r="751" spans="1:15" s="385" customFormat="1" ht="15.75" customHeight="1" x14ac:dyDescent="0.2">
      <c r="A751" s="375" t="s">
        <v>314</v>
      </c>
      <c r="B751" s="172" t="s">
        <v>10</v>
      </c>
      <c r="C751" s="367">
        <v>4.5</v>
      </c>
      <c r="E751" s="386"/>
      <c r="O751" s="386"/>
    </row>
    <row r="752" spans="1:15" s="385" customFormat="1" ht="15.75" customHeight="1" x14ac:dyDescent="0.2">
      <c r="A752" s="375" t="s">
        <v>759</v>
      </c>
      <c r="B752" s="172" t="s">
        <v>760</v>
      </c>
      <c r="C752" s="367">
        <v>500</v>
      </c>
      <c r="E752" s="386"/>
      <c r="O752" s="386"/>
    </row>
    <row r="753" spans="1:15" s="385" customFormat="1" ht="15.75" customHeight="1" x14ac:dyDescent="0.2">
      <c r="A753" s="375" t="s">
        <v>762</v>
      </c>
      <c r="B753" s="172" t="s">
        <v>787</v>
      </c>
      <c r="C753" s="367">
        <v>100</v>
      </c>
      <c r="E753" s="386"/>
      <c r="O753" s="386"/>
    </row>
    <row r="754" spans="1:15" s="385" customFormat="1" ht="15.75" customHeight="1" x14ac:dyDescent="0.2">
      <c r="A754" s="375" t="s">
        <v>772</v>
      </c>
      <c r="B754" s="172" t="s">
        <v>10</v>
      </c>
      <c r="C754" s="367">
        <v>1E-3</v>
      </c>
      <c r="E754" s="386"/>
      <c r="O754" s="386"/>
    </row>
    <row r="755" spans="1:15" s="385" customFormat="1" ht="15.75" customHeight="1" x14ac:dyDescent="0.2">
      <c r="A755" s="375" t="s">
        <v>775</v>
      </c>
      <c r="B755" s="172" t="s">
        <v>788</v>
      </c>
      <c r="C755" s="367">
        <v>3</v>
      </c>
      <c r="E755" s="386"/>
      <c r="O755" s="386"/>
    </row>
    <row r="756" spans="1:15" s="385" customFormat="1" ht="15.75" customHeight="1" x14ac:dyDescent="0.2">
      <c r="A756" s="375" t="s">
        <v>780</v>
      </c>
      <c r="B756" s="172" t="s">
        <v>788</v>
      </c>
      <c r="C756" s="367">
        <v>1</v>
      </c>
      <c r="E756" s="386"/>
      <c r="O756" s="386"/>
    </row>
    <row r="757" spans="1:15" s="385" customFormat="1" ht="15.75" customHeight="1" x14ac:dyDescent="0.2">
      <c r="A757" s="375" t="s">
        <v>781</v>
      </c>
      <c r="B757" s="172" t="s">
        <v>788</v>
      </c>
      <c r="C757" s="367">
        <v>1</v>
      </c>
      <c r="E757" s="386"/>
      <c r="O757" s="386"/>
    </row>
    <row r="758" spans="1:15" s="385" customFormat="1" ht="15.75" customHeight="1" x14ac:dyDescent="0.2">
      <c r="A758" s="375" t="s">
        <v>782</v>
      </c>
      <c r="B758" s="172" t="s">
        <v>788</v>
      </c>
      <c r="C758" s="367">
        <v>1</v>
      </c>
      <c r="E758" s="386"/>
      <c r="O758" s="386"/>
    </row>
    <row r="759" spans="1:15" s="385" customFormat="1" ht="15.75" customHeight="1" x14ac:dyDescent="0.2">
      <c r="A759" s="375" t="s">
        <v>794</v>
      </c>
      <c r="B759" s="172" t="s">
        <v>7</v>
      </c>
      <c r="C759" s="367">
        <v>1.44</v>
      </c>
      <c r="E759" s="386"/>
      <c r="O759" s="386"/>
    </row>
    <row r="760" spans="1:15" s="385" customFormat="1" ht="15.75" customHeight="1" x14ac:dyDescent="0.2">
      <c r="A760" s="375" t="s">
        <v>796</v>
      </c>
      <c r="B760" s="172" t="s">
        <v>10</v>
      </c>
      <c r="C760" s="367">
        <v>0.25</v>
      </c>
      <c r="E760" s="386"/>
      <c r="O760" s="386"/>
    </row>
    <row r="761" spans="1:15" s="385" customFormat="1" ht="15.75" customHeight="1" x14ac:dyDescent="0.2">
      <c r="A761" s="375" t="s">
        <v>819</v>
      </c>
      <c r="B761" s="172" t="s">
        <v>820</v>
      </c>
      <c r="C761" s="367">
        <v>4</v>
      </c>
      <c r="E761" s="386"/>
      <c r="O761" s="386"/>
    </row>
    <row r="762" spans="1:15" s="385" customFormat="1" ht="15.75" customHeight="1" x14ac:dyDescent="0.2">
      <c r="A762" s="375" t="s">
        <v>826</v>
      </c>
      <c r="B762" s="172" t="s">
        <v>1</v>
      </c>
      <c r="C762" s="367">
        <v>1</v>
      </c>
      <c r="E762" s="386"/>
      <c r="O762" s="386"/>
    </row>
    <row r="763" spans="1:15" s="385" customFormat="1" ht="15.75" customHeight="1" x14ac:dyDescent="0.2">
      <c r="A763" s="376" t="s">
        <v>831</v>
      </c>
      <c r="B763" s="178" t="s">
        <v>824</v>
      </c>
      <c r="C763" s="369">
        <v>1.2</v>
      </c>
      <c r="E763" s="386"/>
      <c r="O763" s="386"/>
    </row>
    <row r="764" spans="1:15" s="385" customFormat="1" ht="15.75" customHeight="1" x14ac:dyDescent="0.2">
      <c r="A764" s="388"/>
      <c r="C764" s="389"/>
      <c r="E764" s="386"/>
      <c r="O764" s="386"/>
    </row>
    <row r="765" spans="1:15" s="385" customFormat="1" ht="15.75" customHeight="1" x14ac:dyDescent="0.2">
      <c r="A765" s="390"/>
      <c r="B765" s="391"/>
      <c r="C765" s="392"/>
      <c r="D765" s="391"/>
      <c r="E765" s="393"/>
      <c r="O765" s="386"/>
    </row>
    <row r="766" spans="1:15" s="385" customFormat="1" ht="15.75" customHeight="1" x14ac:dyDescent="0.2">
      <c r="A766" s="616" t="s">
        <v>1087</v>
      </c>
      <c r="B766" s="617"/>
      <c r="C766" s="618"/>
      <c r="D766" s="617"/>
      <c r="E766" s="619"/>
      <c r="O766" s="386"/>
    </row>
    <row r="767" spans="1:15" s="385" customFormat="1" ht="15.75" customHeight="1" x14ac:dyDescent="0.2">
      <c r="A767" s="373" t="s">
        <v>580</v>
      </c>
      <c r="B767" s="373" t="s">
        <v>372</v>
      </c>
      <c r="C767" s="373" t="s">
        <v>42</v>
      </c>
      <c r="D767" s="398"/>
      <c r="E767" s="399"/>
      <c r="O767" s="386"/>
    </row>
    <row r="768" spans="1:15" s="385" customFormat="1" ht="15.75" customHeight="1" x14ac:dyDescent="0.2">
      <c r="A768" s="371" t="s">
        <v>1050</v>
      </c>
      <c r="B768" s="400" t="s">
        <v>1081</v>
      </c>
      <c r="C768" s="401">
        <v>0.23339499999999999</v>
      </c>
      <c r="E768" s="386"/>
      <c r="O768" s="386"/>
    </row>
    <row r="769" spans="1:15" s="385" customFormat="1" ht="15.75" customHeight="1" x14ac:dyDescent="0.2">
      <c r="A769" s="354" t="s">
        <v>1053</v>
      </c>
      <c r="B769" s="402" t="s">
        <v>1081</v>
      </c>
      <c r="C769" s="403">
        <v>0.11033900000000001</v>
      </c>
      <c r="E769" s="386"/>
      <c r="O769" s="386"/>
    </row>
    <row r="770" spans="1:15" s="385" customFormat="1" ht="15.75" customHeight="1" x14ac:dyDescent="0.2">
      <c r="A770" s="354" t="s">
        <v>1052</v>
      </c>
      <c r="B770" s="402" t="s">
        <v>1081</v>
      </c>
      <c r="C770" s="403">
        <v>0.14627599999999999</v>
      </c>
      <c r="E770" s="386"/>
      <c r="O770" s="386"/>
    </row>
    <row r="771" spans="1:15" s="385" customFormat="1" ht="15.75" customHeight="1" x14ac:dyDescent="0.2">
      <c r="A771" s="354" t="s">
        <v>1051</v>
      </c>
      <c r="B771" s="402" t="s">
        <v>1081</v>
      </c>
      <c r="C771" s="403">
        <v>0.124358</v>
      </c>
      <c r="E771" s="386"/>
      <c r="O771" s="386"/>
    </row>
    <row r="772" spans="1:15" s="385" customFormat="1" ht="15.75" customHeight="1" x14ac:dyDescent="0.2">
      <c r="A772" s="354" t="s">
        <v>1054</v>
      </c>
      <c r="B772" s="402" t="s">
        <v>1081</v>
      </c>
      <c r="C772" s="403">
        <v>0.12723200000000001</v>
      </c>
      <c r="E772" s="386"/>
      <c r="O772" s="386"/>
    </row>
    <row r="773" spans="1:15" s="385" customFormat="1" ht="15.75" customHeight="1" x14ac:dyDescent="0.2">
      <c r="A773" s="355" t="s">
        <v>1060</v>
      </c>
      <c r="B773" s="404"/>
      <c r="C773" s="405">
        <f>C740</f>
        <v>6</v>
      </c>
      <c r="E773" s="386"/>
      <c r="O773" s="386"/>
    </row>
    <row r="774" spans="1:15" s="385" customFormat="1" ht="15.75" customHeight="1" x14ac:dyDescent="0.2">
      <c r="A774" s="371" t="s">
        <v>1055</v>
      </c>
      <c r="B774" s="400" t="s">
        <v>1081</v>
      </c>
      <c r="C774" s="518">
        <v>2.0197599999999999E-15</v>
      </c>
      <c r="E774" s="386"/>
      <c r="O774" s="386"/>
    </row>
    <row r="775" spans="1:15" s="385" customFormat="1" ht="15.75" customHeight="1" x14ac:dyDescent="0.2">
      <c r="A775" s="354" t="s">
        <v>1058</v>
      </c>
      <c r="B775" s="402" t="s">
        <v>1081</v>
      </c>
      <c r="C775" s="403">
        <v>0.53056300000000001</v>
      </c>
      <c r="E775" s="386"/>
      <c r="O775" s="386"/>
    </row>
    <row r="776" spans="1:15" s="385" customFormat="1" ht="15.75" customHeight="1" x14ac:dyDescent="0.2">
      <c r="A776" s="354" t="s">
        <v>1057</v>
      </c>
      <c r="B776" s="402" t="s">
        <v>1081</v>
      </c>
      <c r="C776" s="403">
        <v>0.70004999999999995</v>
      </c>
      <c r="E776" s="386"/>
      <c r="O776" s="386"/>
    </row>
    <row r="777" spans="1:15" s="385" customFormat="1" ht="15.75" customHeight="1" x14ac:dyDescent="0.2">
      <c r="A777" s="354" t="s">
        <v>1056</v>
      </c>
      <c r="B777" s="402" t="s">
        <v>1081</v>
      </c>
      <c r="C777" s="403">
        <v>0</v>
      </c>
      <c r="E777" s="386"/>
      <c r="O777" s="386"/>
    </row>
    <row r="778" spans="1:15" s="385" customFormat="1" ht="15.75" customHeight="1" x14ac:dyDescent="0.2">
      <c r="A778" s="354" t="s">
        <v>1059</v>
      </c>
      <c r="B778" s="402" t="s">
        <v>1081</v>
      </c>
      <c r="C778" s="403">
        <v>1.1113700000000001E-2</v>
      </c>
      <c r="E778" s="386"/>
      <c r="O778" s="386"/>
    </row>
    <row r="779" spans="1:15" s="385" customFormat="1" ht="15.75" customHeight="1" x14ac:dyDescent="0.2">
      <c r="A779" s="355" t="s">
        <v>1061</v>
      </c>
      <c r="B779" s="404"/>
      <c r="C779" s="405">
        <f>2</f>
        <v>2</v>
      </c>
      <c r="E779" s="386"/>
      <c r="O779" s="386"/>
    </row>
    <row r="780" spans="1:15" s="385" customFormat="1" ht="15.75" customHeight="1" x14ac:dyDescent="0.2">
      <c r="A780" s="371" t="s">
        <v>1045</v>
      </c>
      <c r="B780" s="400" t="s">
        <v>1081</v>
      </c>
      <c r="C780" s="401">
        <v>0.73713200000000001</v>
      </c>
      <c r="E780" s="386"/>
      <c r="F780" s="76"/>
      <c r="O780" s="386"/>
    </row>
    <row r="781" spans="1:15" s="385" customFormat="1" ht="15.75" customHeight="1" x14ac:dyDescent="0.2">
      <c r="A781" s="354" t="s">
        <v>1048</v>
      </c>
      <c r="B781" s="402" t="s">
        <v>1081</v>
      </c>
      <c r="C781" s="403">
        <v>0.16624059999999999</v>
      </c>
      <c r="E781" s="386"/>
      <c r="F781" s="76"/>
      <c r="O781" s="386"/>
    </row>
    <row r="782" spans="1:15" s="385" customFormat="1" ht="15.75" customHeight="1" x14ac:dyDescent="0.2">
      <c r="A782" s="354" t="s">
        <v>1047</v>
      </c>
      <c r="B782" s="402" t="s">
        <v>1081</v>
      </c>
      <c r="C782" s="403">
        <v>0.197906</v>
      </c>
      <c r="E782" s="386"/>
      <c r="O782" s="386"/>
    </row>
    <row r="783" spans="1:15" s="385" customFormat="1" ht="15.75" customHeight="1" x14ac:dyDescent="0.2">
      <c r="A783" s="354" t="s">
        <v>1046</v>
      </c>
      <c r="B783" s="402" t="s">
        <v>1081</v>
      </c>
      <c r="C783" s="403">
        <v>0.68925999999999998</v>
      </c>
      <c r="E783" s="469"/>
      <c r="O783" s="386"/>
    </row>
    <row r="784" spans="1:15" s="385" customFormat="1" ht="15.75" customHeight="1" x14ac:dyDescent="0.2">
      <c r="A784" s="354" t="s">
        <v>1049</v>
      </c>
      <c r="B784" s="402" t="s">
        <v>1081</v>
      </c>
      <c r="C784" s="403">
        <v>1.28067E-3</v>
      </c>
      <c r="E784" s="386"/>
      <c r="O784" s="386"/>
    </row>
    <row r="785" spans="1:15" s="385" customFormat="1" ht="15.75" customHeight="1" x14ac:dyDescent="0.2">
      <c r="A785" s="355" t="s">
        <v>1062</v>
      </c>
      <c r="B785" s="404"/>
      <c r="C785" s="405">
        <f>1</f>
        <v>1</v>
      </c>
      <c r="E785" s="386"/>
      <c r="O785" s="386"/>
    </row>
    <row r="786" spans="1:15" s="385" customFormat="1" ht="15.75" customHeight="1" x14ac:dyDescent="0.2">
      <c r="A786" s="371" t="s">
        <v>1063</v>
      </c>
      <c r="B786" s="400" t="s">
        <v>1081</v>
      </c>
      <c r="C786" s="401">
        <v>1.5505700000000001E-2</v>
      </c>
      <c r="E786" s="386"/>
      <c r="O786" s="386"/>
    </row>
    <row r="787" spans="1:15" s="385" customFormat="1" ht="15.75" customHeight="1" x14ac:dyDescent="0.2">
      <c r="A787" s="354" t="s">
        <v>1066</v>
      </c>
      <c r="B787" s="402" t="s">
        <v>1081</v>
      </c>
      <c r="C787" s="403">
        <v>6.1340800000000001E-2</v>
      </c>
      <c r="E787" s="386"/>
      <c r="O787" s="386"/>
    </row>
    <row r="788" spans="1:15" s="385" customFormat="1" ht="15.75" customHeight="1" x14ac:dyDescent="0.2">
      <c r="A788" s="354" t="s">
        <v>1065</v>
      </c>
      <c r="B788" s="402" t="s">
        <v>1081</v>
      </c>
      <c r="C788" s="403">
        <v>7.4852399999999999E-2</v>
      </c>
      <c r="E788" s="386"/>
      <c r="O788" s="386"/>
    </row>
    <row r="789" spans="1:15" s="385" customFormat="1" ht="15.75" customHeight="1" x14ac:dyDescent="0.2">
      <c r="A789" s="354" t="s">
        <v>1064</v>
      </c>
      <c r="B789" s="402" t="s">
        <v>1081</v>
      </c>
      <c r="C789" s="403">
        <v>0</v>
      </c>
      <c r="E789" s="386"/>
      <c r="O789" s="386"/>
    </row>
    <row r="790" spans="1:15" s="385" customFormat="1" ht="15.75" customHeight="1" x14ac:dyDescent="0.2">
      <c r="A790" s="354" t="s">
        <v>1067</v>
      </c>
      <c r="B790" s="402" t="s">
        <v>1081</v>
      </c>
      <c r="C790" s="403">
        <v>0.60058299999999998</v>
      </c>
      <c r="E790" s="386"/>
      <c r="O790" s="386"/>
    </row>
    <row r="791" spans="1:15" s="385" customFormat="1" ht="15.75" customHeight="1" x14ac:dyDescent="0.2">
      <c r="A791" s="355" t="s">
        <v>1068</v>
      </c>
      <c r="B791" s="404"/>
      <c r="C791" s="405">
        <f>13</f>
        <v>13</v>
      </c>
      <c r="E791" s="386"/>
      <c r="O791" s="386"/>
    </row>
    <row r="792" spans="1:15" s="385" customFormat="1" ht="15.75" customHeight="1" x14ac:dyDescent="0.2">
      <c r="A792" s="371" t="s">
        <v>1069</v>
      </c>
      <c r="B792" s="400" t="s">
        <v>1081</v>
      </c>
      <c r="C792" s="401">
        <v>1.6354399999999999E-3</v>
      </c>
      <c r="E792" s="386"/>
      <c r="O792" s="386"/>
    </row>
    <row r="793" spans="1:15" s="385" customFormat="1" ht="15.75" customHeight="1" x14ac:dyDescent="0.2">
      <c r="A793" s="354" t="s">
        <v>1072</v>
      </c>
      <c r="B793" s="402" t="s">
        <v>1081</v>
      </c>
      <c r="C793" s="403">
        <v>4.4211899999999998E-2</v>
      </c>
      <c r="E793" s="386"/>
      <c r="O793" s="386"/>
    </row>
    <row r="794" spans="1:15" s="385" customFormat="1" ht="15.75" customHeight="1" x14ac:dyDescent="0.2">
      <c r="A794" s="354" t="s">
        <v>1071</v>
      </c>
      <c r="B794" s="402" t="s">
        <v>1081</v>
      </c>
      <c r="C794" s="403">
        <v>3.9060299999999999E-2</v>
      </c>
      <c r="E794" s="386"/>
      <c r="O794" s="386"/>
    </row>
    <row r="795" spans="1:15" s="385" customFormat="1" ht="15.75" customHeight="1" x14ac:dyDescent="0.2">
      <c r="A795" s="354" t="s">
        <v>1070</v>
      </c>
      <c r="B795" s="402" t="s">
        <v>1081</v>
      </c>
      <c r="C795" s="403">
        <v>4.5289999999999997E-2</v>
      </c>
      <c r="E795" s="386"/>
      <c r="O795" s="386"/>
    </row>
    <row r="796" spans="1:15" s="385" customFormat="1" ht="15.75" customHeight="1" x14ac:dyDescent="0.2">
      <c r="A796" s="354" t="s">
        <v>1073</v>
      </c>
      <c r="B796" s="402" t="s">
        <v>1081</v>
      </c>
      <c r="C796" s="403">
        <v>0.15373800000000001</v>
      </c>
      <c r="E796" s="386"/>
      <c r="O796" s="386"/>
    </row>
    <row r="797" spans="1:15" s="385" customFormat="1" ht="15.75" customHeight="1" x14ac:dyDescent="0.2">
      <c r="A797" s="355" t="s">
        <v>1074</v>
      </c>
      <c r="B797" s="404"/>
      <c r="C797" s="405">
        <v>13.8</v>
      </c>
      <c r="E797" s="386"/>
      <c r="O797" s="386"/>
    </row>
    <row r="798" spans="1:15" s="385" customFormat="1" ht="15.75" customHeight="1" x14ac:dyDescent="0.2">
      <c r="A798" s="354" t="s">
        <v>1075</v>
      </c>
      <c r="B798" s="402" t="s">
        <v>1081</v>
      </c>
      <c r="C798" s="403">
        <f>1-SUM(C768,C774,C780,C786,C792)</f>
        <v>1.2331859999997974E-2</v>
      </c>
      <c r="E798" s="386"/>
      <c r="O798" s="386"/>
    </row>
    <row r="799" spans="1:15" s="385" customFormat="1" ht="15.75" customHeight="1" x14ac:dyDescent="0.2">
      <c r="A799" s="354" t="s">
        <v>1078</v>
      </c>
      <c r="B799" s="402" t="s">
        <v>1081</v>
      </c>
      <c r="C799" s="403">
        <v>9.1139200000000004E-2</v>
      </c>
      <c r="E799" s="386"/>
      <c r="O799" s="386"/>
    </row>
    <row r="800" spans="1:15" s="385" customFormat="1" ht="15.75" customHeight="1" x14ac:dyDescent="0.2">
      <c r="A800" s="354" t="s">
        <v>1077</v>
      </c>
      <c r="B800" s="402" t="s">
        <v>1081</v>
      </c>
      <c r="C800" s="403">
        <v>0.10853500000000001</v>
      </c>
      <c r="E800" s="386"/>
      <c r="O800" s="386"/>
    </row>
    <row r="801" spans="1:15" s="385" customFormat="1" ht="15.75" customHeight="1" x14ac:dyDescent="0.2">
      <c r="A801" s="354" t="s">
        <v>1076</v>
      </c>
      <c r="B801" s="402" t="s">
        <v>1081</v>
      </c>
      <c r="C801" s="403">
        <f>1-SUM(C771,C777,C783,C789,C795)</f>
        <v>0.141092</v>
      </c>
      <c r="E801" s="386"/>
      <c r="O801" s="386"/>
    </row>
    <row r="802" spans="1:15" s="385" customFormat="1" ht="15.75" customHeight="1" x14ac:dyDescent="0.2">
      <c r="A802" s="354" t="s">
        <v>1079</v>
      </c>
      <c r="B802" s="402" t="s">
        <v>1081</v>
      </c>
      <c r="C802" s="386">
        <v>0.10605299999999999</v>
      </c>
      <c r="E802" s="386"/>
      <c r="O802" s="386"/>
    </row>
    <row r="803" spans="1:15" s="385" customFormat="1" ht="15.75" customHeight="1" x14ac:dyDescent="0.2">
      <c r="A803" s="355" t="s">
        <v>1080</v>
      </c>
      <c r="B803" s="404"/>
      <c r="C803" s="393">
        <v>6.5</v>
      </c>
      <c r="E803" s="386"/>
      <c r="O803" s="386"/>
    </row>
    <row r="804" spans="1:15" s="385" customFormat="1" ht="15.75" customHeight="1" x14ac:dyDescent="0.2">
      <c r="A804" s="406"/>
      <c r="E804" s="386"/>
      <c r="O804" s="386"/>
    </row>
    <row r="805" spans="1:15" s="385" customFormat="1" ht="15.75" customHeight="1" x14ac:dyDescent="0.2">
      <c r="A805" s="404"/>
      <c r="B805" s="391"/>
      <c r="C805" s="391"/>
      <c r="D805" s="391"/>
      <c r="E805" s="393"/>
      <c r="O805" s="386"/>
    </row>
    <row r="806" spans="1:15" s="385" customFormat="1" ht="15.75" customHeight="1" x14ac:dyDescent="0.2">
      <c r="A806" s="616" t="s">
        <v>1377</v>
      </c>
      <c r="B806" s="617"/>
      <c r="C806" s="617"/>
      <c r="D806" s="617"/>
      <c r="E806" s="619"/>
      <c r="O806" s="386"/>
    </row>
    <row r="807" spans="1:15" s="385" customFormat="1" ht="15.75" customHeight="1" x14ac:dyDescent="0.2">
      <c r="A807" s="373" t="s">
        <v>580</v>
      </c>
      <c r="B807" s="430" t="s">
        <v>372</v>
      </c>
      <c r="C807" s="430" t="s">
        <v>42</v>
      </c>
      <c r="D807" s="398"/>
      <c r="E807" s="399"/>
      <c r="O807" s="386"/>
    </row>
    <row r="808" spans="1:15" s="385" customFormat="1" ht="15.75" customHeight="1" x14ac:dyDescent="0.2">
      <c r="A808" s="316" t="s">
        <v>1378</v>
      </c>
      <c r="B808" s="342" t="s">
        <v>302</v>
      </c>
      <c r="C808" s="466">
        <f ca="1">C708</f>
        <v>1.7933301569876363</v>
      </c>
      <c r="E808" s="386"/>
      <c r="G808" s="590"/>
      <c r="O808" s="386"/>
    </row>
    <row r="809" spans="1:15" s="385" customFormat="1" ht="15.75" customHeight="1" x14ac:dyDescent="0.2">
      <c r="A809" s="317" t="s">
        <v>1379</v>
      </c>
      <c r="B809" s="344" t="s">
        <v>302</v>
      </c>
      <c r="C809" s="468">
        <f t="shared" ref="C809:C815" ca="1" si="49">C709</f>
        <v>5.7536483399017433</v>
      </c>
      <c r="D809" s="590"/>
      <c r="E809" s="386"/>
      <c r="G809" s="590"/>
      <c r="O809" s="386"/>
    </row>
    <row r="810" spans="1:15" s="385" customFormat="1" ht="15.75" customHeight="1" x14ac:dyDescent="0.2">
      <c r="A810" s="317" t="s">
        <v>1380</v>
      </c>
      <c r="B810" s="344" t="s">
        <v>302</v>
      </c>
      <c r="C810" s="468">
        <f t="shared" ca="1" si="49"/>
        <v>7.9396723543423171</v>
      </c>
      <c r="D810" s="590"/>
      <c r="E810" s="386"/>
      <c r="G810" s="590"/>
      <c r="O810" s="386"/>
    </row>
    <row r="811" spans="1:15" s="385" customFormat="1" ht="15.75" customHeight="1" x14ac:dyDescent="0.2">
      <c r="A811" s="317" t="s">
        <v>1381</v>
      </c>
      <c r="B811" s="344" t="s">
        <v>302</v>
      </c>
      <c r="C811" s="468">
        <f t="shared" si="49"/>
        <v>0</v>
      </c>
      <c r="D811" s="590"/>
      <c r="E811" s="386"/>
      <c r="G811" s="590"/>
      <c r="O811" s="386"/>
    </row>
    <row r="812" spans="1:15" s="385" customFormat="1" ht="15.75" customHeight="1" x14ac:dyDescent="0.2">
      <c r="A812" s="317" t="s">
        <v>1382</v>
      </c>
      <c r="B812" s="344" t="s">
        <v>302</v>
      </c>
      <c r="C812" s="468">
        <f t="shared" ca="1" si="49"/>
        <v>12.555936134016804</v>
      </c>
      <c r="D812" s="590"/>
      <c r="E812" s="386"/>
      <c r="G812" s="590"/>
      <c r="O812" s="386"/>
    </row>
    <row r="813" spans="1:15" s="385" customFormat="1" ht="15.75" customHeight="1" x14ac:dyDescent="0.2">
      <c r="A813" s="317" t="s">
        <v>1383</v>
      </c>
      <c r="B813" s="344" t="s">
        <v>302</v>
      </c>
      <c r="C813" s="468">
        <f t="shared" si="49"/>
        <v>1.0943512741732162</v>
      </c>
      <c r="D813" s="590"/>
      <c r="E813" s="386"/>
      <c r="G813" s="590"/>
      <c r="O813" s="386"/>
    </row>
    <row r="814" spans="1:15" s="385" customFormat="1" ht="15.75" customHeight="1" x14ac:dyDescent="0.2">
      <c r="A814" s="317" t="s">
        <v>1384</v>
      </c>
      <c r="B814" s="344" t="s">
        <v>302</v>
      </c>
      <c r="C814" s="468">
        <f t="shared" ca="1" si="49"/>
        <v>28.340801760353596</v>
      </c>
      <c r="D814" s="590"/>
      <c r="E814" s="386"/>
      <c r="G814" s="590"/>
      <c r="O814" s="386"/>
    </row>
    <row r="815" spans="1:15" s="385" customFormat="1" ht="15.75" customHeight="1" x14ac:dyDescent="0.2">
      <c r="A815" s="317" t="s">
        <v>1385</v>
      </c>
      <c r="B815" s="344" t="s">
        <v>302</v>
      </c>
      <c r="C815" s="468">
        <f t="shared" ca="1" si="49"/>
        <v>1.3946841208301377</v>
      </c>
      <c r="D815" s="590"/>
      <c r="E815" s="386"/>
      <c r="G815" s="590"/>
      <c r="O815" s="386"/>
    </row>
    <row r="816" spans="1:15" s="385" customFormat="1" ht="15.75" customHeight="1" x14ac:dyDescent="0.2">
      <c r="A816" s="354" t="s">
        <v>1386</v>
      </c>
      <c r="B816" s="344" t="s">
        <v>302</v>
      </c>
      <c r="C816" s="354">
        <v>1.5</v>
      </c>
      <c r="D816" s="590"/>
      <c r="E816" s="386"/>
      <c r="G816" s="590"/>
      <c r="O816" s="386"/>
    </row>
    <row r="817" spans="1:15" s="385" customFormat="1" ht="15.75" customHeight="1" x14ac:dyDescent="0.2">
      <c r="A817" s="354" t="s">
        <v>1387</v>
      </c>
      <c r="B817" s="344" t="s">
        <v>302</v>
      </c>
      <c r="C817" s="571">
        <f ca="1">C717</f>
        <v>0</v>
      </c>
      <c r="E817" s="386"/>
      <c r="G817" s="590"/>
      <c r="O817" s="386"/>
    </row>
    <row r="818" spans="1:15" s="385" customFormat="1" ht="15.75" customHeight="1" x14ac:dyDescent="0.2">
      <c r="A818" s="354" t="s">
        <v>1388</v>
      </c>
      <c r="B818" s="344" t="s">
        <v>302</v>
      </c>
      <c r="C818" s="571">
        <f ca="1">C716</f>
        <v>3.3137086593421605</v>
      </c>
      <c r="D818" s="534"/>
      <c r="E818" s="386"/>
      <c r="G818" s="590"/>
      <c r="O818" s="386"/>
    </row>
    <row r="819" spans="1:15" s="385" customFormat="1" ht="15.75" customHeight="1" x14ac:dyDescent="0.2">
      <c r="A819" s="354" t="s">
        <v>1389</v>
      </c>
      <c r="B819" s="344" t="s">
        <v>302</v>
      </c>
      <c r="C819" s="571">
        <f ca="1">C718</f>
        <v>2.3295506570399991</v>
      </c>
      <c r="D819" s="534"/>
      <c r="E819" s="386"/>
      <c r="O819" s="386"/>
    </row>
    <row r="820" spans="1:15" s="385" customFormat="1" ht="15.75" customHeight="1" x14ac:dyDescent="0.2">
      <c r="A820" s="354" t="s">
        <v>1390</v>
      </c>
      <c r="B820" s="344" t="s">
        <v>376</v>
      </c>
      <c r="C820" s="354">
        <v>1</v>
      </c>
      <c r="E820" s="386"/>
      <c r="O820" s="386"/>
    </row>
    <row r="821" spans="1:15" s="385" customFormat="1" ht="15.75" customHeight="1" x14ac:dyDescent="0.2">
      <c r="A821" s="355" t="s">
        <v>1391</v>
      </c>
      <c r="B821" s="347" t="s">
        <v>376</v>
      </c>
      <c r="C821" s="355">
        <v>1</v>
      </c>
      <c r="E821" s="386"/>
      <c r="O821" s="386"/>
    </row>
    <row r="822" spans="1:15" s="385" customFormat="1" ht="15.75" customHeight="1" x14ac:dyDescent="0.2">
      <c r="A822" s="388"/>
      <c r="B822" s="76"/>
      <c r="E822" s="386"/>
      <c r="O822" s="386"/>
    </row>
    <row r="823" spans="1:15" s="385" customFormat="1" ht="15.75" customHeight="1" x14ac:dyDescent="0.2">
      <c r="A823" s="390"/>
      <c r="B823" s="248"/>
      <c r="C823" s="391"/>
      <c r="D823" s="391"/>
      <c r="E823" s="393"/>
      <c r="O823" s="386"/>
    </row>
    <row r="824" spans="1:15" s="385" customFormat="1" ht="15.75" customHeight="1" x14ac:dyDescent="0.2">
      <c r="A824" s="616" t="s">
        <v>1445</v>
      </c>
      <c r="B824" s="617"/>
      <c r="C824" s="617"/>
      <c r="D824" s="617"/>
      <c r="E824" s="617"/>
      <c r="F824" s="617"/>
      <c r="G824" s="617"/>
      <c r="H824" s="619"/>
      <c r="O824" s="386"/>
    </row>
    <row r="825" spans="1:15" s="385" customFormat="1" ht="15.75" customHeight="1" x14ac:dyDescent="0.2">
      <c r="A825" s="388"/>
      <c r="B825" s="1556" t="s">
        <v>1446</v>
      </c>
      <c r="C825" s="1556"/>
      <c r="D825" s="409" t="s">
        <v>1447</v>
      </c>
      <c r="E825" s="621" t="s">
        <v>1448</v>
      </c>
      <c r="F825" s="410" t="s">
        <v>1449</v>
      </c>
      <c r="G825" s="622" t="s">
        <v>1450</v>
      </c>
      <c r="H825" s="412" t="s">
        <v>1451</v>
      </c>
      <c r="I825" s="413"/>
      <c r="K825" s="413"/>
      <c r="M825" s="413"/>
      <c r="O825" s="386"/>
    </row>
    <row r="826" spans="1:15" s="385" customFormat="1" ht="15.75" customHeight="1" x14ac:dyDescent="0.2">
      <c r="A826" s="372" t="s">
        <v>580</v>
      </c>
      <c r="B826" s="373" t="s">
        <v>372</v>
      </c>
      <c r="C826" s="373" t="s">
        <v>42</v>
      </c>
      <c r="D826" s="373" t="s">
        <v>42</v>
      </c>
      <c r="E826" s="373" t="s">
        <v>42</v>
      </c>
      <c r="F826" s="373" t="s">
        <v>42</v>
      </c>
      <c r="G826" s="373" t="s">
        <v>42</v>
      </c>
      <c r="H826" s="373" t="s">
        <v>42</v>
      </c>
      <c r="J826" s="208"/>
      <c r="L826" s="208"/>
      <c r="O826" s="386"/>
    </row>
    <row r="827" spans="1:15" ht="15.75" customHeight="1" x14ac:dyDescent="0.2">
      <c r="A827" s="316" t="s">
        <v>1378</v>
      </c>
      <c r="B827" s="344" t="s">
        <v>302</v>
      </c>
      <c r="C827" s="363">
        <f t="shared" ref="C827:C834" ca="1" si="50">C808*C$768</f>
        <v>0.41855429199012933</v>
      </c>
      <c r="D827" s="363">
        <f t="shared" ref="D827:D834" ca="1" si="51">C808*C$786</f>
        <v>2.7806839415203195E-2</v>
      </c>
      <c r="E827" s="363">
        <f t="shared" ref="E827:E834" ca="1" si="52">C808*C$792</f>
        <v>2.9328838719438598E-3</v>
      </c>
      <c r="F827" s="438">
        <f t="shared" ref="F827:F834" ca="1" si="53">C808*C$774</f>
        <v>3.6220965178773481E-15</v>
      </c>
      <c r="G827" s="363">
        <f t="shared" ref="G827:G834" ca="1" si="54">C808*C$780</f>
        <v>1.3219210452806103</v>
      </c>
      <c r="H827" s="363">
        <f t="shared" ref="H827:H834" ca="1" si="55">C808*C$798</f>
        <v>2.211509642974592E-2</v>
      </c>
      <c r="J827" s="172"/>
      <c r="L827" s="172"/>
      <c r="O827" s="367"/>
    </row>
    <row r="828" spans="1:15" ht="15.75" customHeight="1" x14ac:dyDescent="0.2">
      <c r="A828" s="317" t="s">
        <v>1379</v>
      </c>
      <c r="B828" s="344" t="s">
        <v>302</v>
      </c>
      <c r="C828" s="363">
        <f t="shared" ca="1" si="50"/>
        <v>1.3428727542913674</v>
      </c>
      <c r="D828" s="363">
        <f t="shared" ca="1" si="51"/>
        <v>8.9214345064014461E-2</v>
      </c>
      <c r="E828" s="363">
        <f t="shared" ca="1" si="52"/>
        <v>9.4097466410089075E-3</v>
      </c>
      <c r="F828" s="438">
        <f t="shared" ca="1" si="53"/>
        <v>1.1620988770999945E-14</v>
      </c>
      <c r="G828" s="363">
        <f t="shared" ca="1" si="54"/>
        <v>4.2411983080884523</v>
      </c>
      <c r="H828" s="363">
        <f t="shared" ca="1" si="55"/>
        <v>7.0953185816889058E-2</v>
      </c>
      <c r="J828" s="172"/>
      <c r="L828" s="172"/>
      <c r="O828" s="367"/>
    </row>
    <row r="829" spans="1:15" ht="15.75" customHeight="1" x14ac:dyDescent="0.2">
      <c r="A829" s="317" t="s">
        <v>1380</v>
      </c>
      <c r="B829" s="344" t="s">
        <v>302</v>
      </c>
      <c r="C829" s="363">
        <f t="shared" ca="1" si="50"/>
        <v>1.853079829141725</v>
      </c>
      <c r="D829" s="363">
        <f t="shared" ca="1" si="51"/>
        <v>0.12311017762472568</v>
      </c>
      <c r="E829" s="363">
        <f t="shared" ca="1" si="52"/>
        <v>1.2984857755185599E-2</v>
      </c>
      <c r="F829" s="438">
        <f t="shared" ca="1" si="53"/>
        <v>1.6036232634406437E-14</v>
      </c>
      <c r="G829" s="363">
        <f t="shared" ca="1" si="54"/>
        <v>5.8525865619010613</v>
      </c>
      <c r="H829" s="363">
        <f t="shared" ca="1" si="55"/>
        <v>9.7910927919603763E-2</v>
      </c>
      <c r="J829" s="172"/>
      <c r="L829" s="172"/>
      <c r="O829" s="367"/>
    </row>
    <row r="830" spans="1:15" ht="15.75" customHeight="1" x14ac:dyDescent="0.2">
      <c r="A830" s="317" t="s">
        <v>1381</v>
      </c>
      <c r="B830" s="344" t="s">
        <v>302</v>
      </c>
      <c r="C830" s="363">
        <f t="shared" si="50"/>
        <v>0</v>
      </c>
      <c r="D830" s="363">
        <f t="shared" si="51"/>
        <v>0</v>
      </c>
      <c r="E830" s="363">
        <f t="shared" si="52"/>
        <v>0</v>
      </c>
      <c r="F830" s="438">
        <f t="shared" si="53"/>
        <v>0</v>
      </c>
      <c r="G830" s="363">
        <f t="shared" si="54"/>
        <v>0</v>
      </c>
      <c r="H830" s="363">
        <f t="shared" si="55"/>
        <v>0</v>
      </c>
      <c r="J830" s="172"/>
      <c r="L830" s="172"/>
      <c r="O830" s="367"/>
    </row>
    <row r="831" spans="1:15" ht="15.75" customHeight="1" x14ac:dyDescent="0.2">
      <c r="A831" s="317" t="s">
        <v>1382</v>
      </c>
      <c r="B831" s="344" t="s">
        <v>302</v>
      </c>
      <c r="C831" s="363">
        <f t="shared" ca="1" si="50"/>
        <v>2.9304927139988517</v>
      </c>
      <c r="D831" s="363">
        <f t="shared" ca="1" si="51"/>
        <v>0.19468857891322436</v>
      </c>
      <c r="E831" s="363">
        <f t="shared" ca="1" si="52"/>
        <v>2.053448019101644E-2</v>
      </c>
      <c r="F831" s="438">
        <f t="shared" ca="1" si="53"/>
        <v>2.5359977566041778E-14</v>
      </c>
      <c r="G831" s="363">
        <f t="shared" ca="1" si="54"/>
        <v>9.2553823143400749</v>
      </c>
      <c r="H831" s="363">
        <f t="shared" ca="1" si="55"/>
        <v>0.15483804657361103</v>
      </c>
      <c r="J831" s="172"/>
      <c r="L831" s="172"/>
      <c r="O831" s="367"/>
    </row>
    <row r="832" spans="1:15" ht="15.75" customHeight="1" x14ac:dyDescent="0.2">
      <c r="A832" s="317" t="s">
        <v>1383</v>
      </c>
      <c r="B832" s="344" t="s">
        <v>302</v>
      </c>
      <c r="C832" s="363">
        <f t="shared" si="50"/>
        <v>0.2554161156356578</v>
      </c>
      <c r="D832" s="363">
        <f t="shared" si="51"/>
        <v>1.6968682551947639E-2</v>
      </c>
      <c r="E832" s="363">
        <f t="shared" si="52"/>
        <v>1.7897458478338447E-3</v>
      </c>
      <c r="F832" s="438">
        <f t="shared" si="53"/>
        <v>2.2103269295240951E-15</v>
      </c>
      <c r="G832" s="363">
        <f t="shared" si="54"/>
        <v>0.80668134343385123</v>
      </c>
      <c r="H832" s="363">
        <f t="shared" si="55"/>
        <v>1.3495386703923501E-2</v>
      </c>
      <c r="J832" s="172"/>
      <c r="L832" s="172"/>
      <c r="O832" s="367"/>
    </row>
    <row r="833" spans="1:15" ht="15.75" customHeight="1" x14ac:dyDescent="0.2">
      <c r="A833" s="317" t="s">
        <v>1384</v>
      </c>
      <c r="B833" s="344" t="s">
        <v>302</v>
      </c>
      <c r="C833" s="363">
        <f t="shared" ca="1" si="50"/>
        <v>6.6146014268577273</v>
      </c>
      <c r="D833" s="363">
        <f t="shared" ca="1" si="51"/>
        <v>0.43944396985551476</v>
      </c>
      <c r="E833" s="363">
        <f t="shared" ca="1" si="52"/>
        <v>4.6349680830952686E-2</v>
      </c>
      <c r="F833" s="438">
        <f t="shared" ca="1" si="53"/>
        <v>5.7241617763491779E-14</v>
      </c>
      <c r="G833" s="363">
        <f t="shared" ca="1" si="54"/>
        <v>20.890911883212969</v>
      </c>
      <c r="H833" s="363">
        <f t="shared" ca="1" si="55"/>
        <v>0.34949479959637669</v>
      </c>
      <c r="J833" s="623"/>
      <c r="L833" s="172"/>
      <c r="O833" s="367"/>
    </row>
    <row r="834" spans="1:15" ht="15.75" customHeight="1" x14ac:dyDescent="0.2">
      <c r="A834" s="317" t="s">
        <v>1385</v>
      </c>
      <c r="B834" s="344" t="s">
        <v>302</v>
      </c>
      <c r="C834" s="363">
        <f t="shared" ca="1" si="50"/>
        <v>0.32551230038114998</v>
      </c>
      <c r="D834" s="363">
        <f t="shared" ca="1" si="51"/>
        <v>2.1625553572355866E-2</v>
      </c>
      <c r="E834" s="363">
        <f t="shared" ca="1" si="52"/>
        <v>2.2809221985704404E-3</v>
      </c>
      <c r="F834" s="438">
        <f t="shared" ca="1" si="53"/>
        <v>2.8169271998878787E-15</v>
      </c>
      <c r="G834" s="363">
        <f t="shared" ca="1" si="54"/>
        <v>1.0280662953557611</v>
      </c>
      <c r="H834" s="363">
        <f t="shared" ca="1" si="55"/>
        <v>1.7199049322297516E-2</v>
      </c>
      <c r="J834" s="172"/>
      <c r="L834" s="172"/>
      <c r="O834" s="367"/>
    </row>
    <row r="835" spans="1:15" ht="15.75" customHeight="1" x14ac:dyDescent="0.2">
      <c r="A835" s="354" t="s">
        <v>1386</v>
      </c>
      <c r="B835" s="344" t="s">
        <v>302</v>
      </c>
      <c r="C835" s="363">
        <f>C816*C769</f>
        <v>0.1655085</v>
      </c>
      <c r="D835" s="363">
        <f>C816*C787</f>
        <v>9.2011200000000001E-2</v>
      </c>
      <c r="E835" s="363">
        <f>C816*C793</f>
        <v>6.6317849999999998E-2</v>
      </c>
      <c r="F835" s="363">
        <f>C816*C775</f>
        <v>0.79584450000000007</v>
      </c>
      <c r="G835" s="363">
        <f>C816*C781</f>
        <v>0.2493609</v>
      </c>
      <c r="H835" s="363">
        <f>C816*C799</f>
        <v>0.13670880000000002</v>
      </c>
      <c r="J835" s="172"/>
      <c r="L835" s="172"/>
      <c r="O835" s="367"/>
    </row>
    <row r="836" spans="1:15" ht="15.75" customHeight="1" x14ac:dyDescent="0.2">
      <c r="A836" s="354" t="s">
        <v>1387</v>
      </c>
      <c r="B836" s="344" t="s">
        <v>302</v>
      </c>
      <c r="C836" s="363">
        <f ca="1">C817*C770</f>
        <v>0</v>
      </c>
      <c r="D836" s="363">
        <f ca="1">C817*C788</f>
        <v>0</v>
      </c>
      <c r="E836" s="363">
        <f ca="1">C817*C794</f>
        <v>0</v>
      </c>
      <c r="F836" s="363">
        <f ca="1">C817*C776</f>
        <v>0</v>
      </c>
      <c r="G836" s="363">
        <f ca="1">C817*C782</f>
        <v>0</v>
      </c>
      <c r="H836" s="363">
        <f ca="1">C817*C800</f>
        <v>0</v>
      </c>
      <c r="J836" s="172"/>
      <c r="L836" s="172"/>
      <c r="O836" s="367"/>
    </row>
    <row r="837" spans="1:15" ht="15.75" customHeight="1" x14ac:dyDescent="0.2">
      <c r="A837" s="354" t="s">
        <v>1388</v>
      </c>
      <c r="B837" s="344" t="s">
        <v>302</v>
      </c>
      <c r="C837" s="363">
        <f ca="1">C818*C771</f>
        <v>0.41208618145847237</v>
      </c>
      <c r="D837" s="363">
        <f ca="1">C818*C789</f>
        <v>0</v>
      </c>
      <c r="E837" s="363">
        <f ca="1">C818*C795</f>
        <v>0.15007786518160643</v>
      </c>
      <c r="F837" s="363">
        <f ca="1">C818*C777</f>
        <v>0</v>
      </c>
      <c r="G837" s="363">
        <f ca="1">C818*C783</f>
        <v>2.2840068305381775</v>
      </c>
      <c r="H837" s="363">
        <f ca="1">C818*C801</f>
        <v>0.46753778216390407</v>
      </c>
      <c r="J837" s="172"/>
      <c r="L837" s="172"/>
      <c r="O837" s="367"/>
    </row>
    <row r="838" spans="1:15" ht="15.75" customHeight="1" x14ac:dyDescent="0.2">
      <c r="A838" s="355" t="s">
        <v>1389</v>
      </c>
      <c r="B838" s="347" t="s">
        <v>302</v>
      </c>
      <c r="C838" s="365">
        <f ca="1">C819*C772</f>
        <v>0.2963933891965132</v>
      </c>
      <c r="D838" s="365">
        <f ca="1">C819*C790</f>
        <v>1.3990885222570537</v>
      </c>
      <c r="E838" s="365">
        <f ca="1">C819*C796</f>
        <v>0.3581404589120154</v>
      </c>
      <c r="F838" s="365">
        <f ca="1">C819*C778</f>
        <v>2.5889927137145441E-2</v>
      </c>
      <c r="G838" s="365">
        <f ca="1">C819*C784</f>
        <v>2.9833856399514155E-3</v>
      </c>
      <c r="H838" s="365">
        <f ca="1">C819*C802</f>
        <v>0.247055835831063</v>
      </c>
      <c r="J838" s="172"/>
      <c r="L838" s="172"/>
      <c r="O838" s="367"/>
    </row>
    <row r="839" spans="1:15" ht="15.75" customHeight="1" x14ac:dyDescent="0.2">
      <c r="A839" s="375"/>
      <c r="B839" s="172"/>
      <c r="H839" s="367"/>
      <c r="O839" s="367"/>
    </row>
    <row r="840" spans="1:15" ht="15.75" customHeight="1" x14ac:dyDescent="0.2">
      <c r="A840" s="376"/>
      <c r="B840" s="248"/>
      <c r="C840" s="248"/>
      <c r="D840" s="248"/>
      <c r="E840" s="248"/>
      <c r="F840" s="248"/>
      <c r="G840" s="248"/>
      <c r="H840" s="369"/>
      <c r="O840" s="367"/>
    </row>
    <row r="841" spans="1:15" ht="15.75" customHeight="1" x14ac:dyDescent="0.2">
      <c r="A841" s="624" t="s">
        <v>1452</v>
      </c>
      <c r="B841" s="625"/>
      <c r="C841" s="625"/>
      <c r="D841" s="625"/>
      <c r="E841" s="625"/>
      <c r="F841" s="625"/>
      <c r="G841" s="625"/>
      <c r="H841" s="626"/>
      <c r="O841" s="367"/>
    </row>
    <row r="842" spans="1:15" ht="15.75" customHeight="1" x14ac:dyDescent="0.2">
      <c r="A842" s="414"/>
      <c r="B842" s="1554" t="s">
        <v>1446</v>
      </c>
      <c r="C842" s="1554"/>
      <c r="D842" s="628" t="s">
        <v>1447</v>
      </c>
      <c r="E842" s="629" t="s">
        <v>1448</v>
      </c>
      <c r="F842" s="630" t="s">
        <v>1449</v>
      </c>
      <c r="G842" s="631" t="s">
        <v>1450</v>
      </c>
      <c r="H842" s="632" t="s">
        <v>1451</v>
      </c>
      <c r="I842" s="413"/>
      <c r="K842" s="413"/>
      <c r="M842" s="413"/>
      <c r="O842" s="367"/>
    </row>
    <row r="843" spans="1:15" ht="15.75" customHeight="1" x14ac:dyDescent="0.2">
      <c r="A843" s="373" t="s">
        <v>580</v>
      </c>
      <c r="B843" s="373" t="s">
        <v>372</v>
      </c>
      <c r="C843" s="373" t="s">
        <v>42</v>
      </c>
      <c r="D843" s="373" t="s">
        <v>42</v>
      </c>
      <c r="E843" s="373" t="s">
        <v>42</v>
      </c>
      <c r="F843" s="373" t="s">
        <v>42</v>
      </c>
      <c r="G843" s="373" t="s">
        <v>42</v>
      </c>
      <c r="H843" s="373" t="s">
        <v>42</v>
      </c>
      <c r="J843" s="208"/>
      <c r="L843" s="208"/>
      <c r="O843" s="367"/>
    </row>
    <row r="844" spans="1:15" ht="15.75" customHeight="1" x14ac:dyDescent="0.2">
      <c r="A844" s="316" t="s">
        <v>1393</v>
      </c>
      <c r="B844" s="342" t="s">
        <v>1394</v>
      </c>
      <c r="C844" s="426">
        <f>10^(C$773-Units!C$371)</f>
        <v>18.197008586099834</v>
      </c>
      <c r="D844" s="426">
        <f>10^(ExpBase!C$791-Units!C$371)</f>
        <v>181970085.86099887</v>
      </c>
      <c r="E844" s="426">
        <f>10^(C$797-Units!C$371)</f>
        <v>1148153621.4968853</v>
      </c>
      <c r="F844" s="426">
        <f>10^(C$779-Units!C$371)</f>
        <v>1.8197008586099809E-3</v>
      </c>
      <c r="G844" s="426">
        <f>10^(C$785-Units!C$371)</f>
        <v>1.8197008586099805E-4</v>
      </c>
      <c r="H844" s="426">
        <f>10^(C$803-Units!C$371)</f>
        <v>57.543993733715695</v>
      </c>
      <c r="J844" s="172"/>
      <c r="L844" s="172"/>
      <c r="O844" s="367"/>
    </row>
    <row r="845" spans="1:15" ht="15.75" customHeight="1" x14ac:dyDescent="0.2">
      <c r="A845" s="317" t="s">
        <v>1395</v>
      </c>
      <c r="B845" s="344" t="s">
        <v>1394</v>
      </c>
      <c r="C845" s="438">
        <f>10^(C$773-Units!C$372)</f>
        <v>1995262314968.8862</v>
      </c>
      <c r="D845" s="438">
        <f>10^(ExpBase!C$791-Units!C$372)</f>
        <v>1.9952623149688947E+19</v>
      </c>
      <c r="E845" s="438">
        <f>10^(C$797-Units!C$372)</f>
        <v>1.2589254117941759E+20</v>
      </c>
      <c r="F845" s="438">
        <f>10^(C$779-Units!C$372)</f>
        <v>199526231.49688843</v>
      </c>
      <c r="G845" s="438">
        <f>10^(C$785-Units!C$372)</f>
        <v>19952623.149688821</v>
      </c>
      <c r="H845" s="438">
        <f>10^(C$803-Units!C$372)</f>
        <v>6309573444801.9678</v>
      </c>
      <c r="J845" s="172"/>
      <c r="L845" s="172"/>
      <c r="O845" s="367"/>
    </row>
    <row r="846" spans="1:15" ht="15.75" customHeight="1" x14ac:dyDescent="0.2">
      <c r="A846" s="317" t="s">
        <v>1404</v>
      </c>
      <c r="B846" s="344" t="s">
        <v>1394</v>
      </c>
      <c r="C846" s="438">
        <f>10^(C$773-Units!C$373)</f>
        <v>1000000000</v>
      </c>
      <c r="D846" s="438">
        <f>10^(ExpBase!C$791-Units!C$373)</f>
        <v>1E+16</v>
      </c>
      <c r="E846" s="438">
        <f>10^(C$797-Units!C$373)</f>
        <v>6.3095734448019512E+16</v>
      </c>
      <c r="F846" s="438">
        <f>10^(C$779-Units!C$373)</f>
        <v>100000</v>
      </c>
      <c r="G846" s="438">
        <f>10^(C$785-Units!C$373)</f>
        <v>10000</v>
      </c>
      <c r="H846" s="438">
        <f>10^(C$803-Units!C$373)</f>
        <v>3162277660.1683846</v>
      </c>
      <c r="J846" s="172"/>
      <c r="L846" s="172"/>
      <c r="O846" s="367"/>
    </row>
    <row r="847" spans="1:15" ht="15.75" customHeight="1" x14ac:dyDescent="0.2">
      <c r="A847" s="317" t="s">
        <v>1405</v>
      </c>
      <c r="B847" s="344" t="s">
        <v>1394</v>
      </c>
      <c r="C847" s="438">
        <f>10^(C$773-Units!C$374)</f>
        <v>12022.644346174151</v>
      </c>
      <c r="D847" s="438">
        <f>10^(ExpBase!C$791-Units!C$374)</f>
        <v>120226443461.74181</v>
      </c>
      <c r="E847" s="438">
        <f>10^(C$797-Units!C$374)</f>
        <v>758577575029.18665</v>
      </c>
      <c r="F847" s="438">
        <f>10^(C$779-Units!C$374)</f>
        <v>1.2022644346174132</v>
      </c>
      <c r="G847" s="438">
        <f>10^(C$785-Units!C$374)</f>
        <v>0.12022644346174129</v>
      </c>
      <c r="H847" s="438">
        <f>10^(C$803-Units!C$374)</f>
        <v>38018.939632056143</v>
      </c>
      <c r="J847" s="172"/>
      <c r="L847" s="172"/>
      <c r="O847" s="367"/>
    </row>
    <row r="848" spans="1:15" ht="15.75" customHeight="1" x14ac:dyDescent="0.2">
      <c r="A848" s="317" t="s">
        <v>1406</v>
      </c>
      <c r="B848" s="344" t="s">
        <v>1394</v>
      </c>
      <c r="C848" s="438">
        <f>10^(C$773-Units!C$375)</f>
        <v>7244.3596007499036</v>
      </c>
      <c r="D848" s="438">
        <f>10^(ExpBase!C$791-Units!C$375)</f>
        <v>72443596007.498947</v>
      </c>
      <c r="E848" s="438">
        <f>10^(C$797-Units!C$375)</f>
        <v>457088189614.8761</v>
      </c>
      <c r="F848" s="438">
        <f>10^(C$779-Units!C$375)</f>
        <v>0.72443596007498989</v>
      </c>
      <c r="G848" s="438">
        <f>10^(C$785-Units!C$375)</f>
        <v>7.2443596007498959E-2</v>
      </c>
      <c r="H848" s="438">
        <f>10^(C$803-Units!C$375)</f>
        <v>22908.676527677711</v>
      </c>
      <c r="J848" s="172"/>
      <c r="L848" s="172"/>
      <c r="O848" s="367"/>
    </row>
    <row r="849" spans="1:25" ht="15.75" customHeight="1" x14ac:dyDescent="0.2">
      <c r="A849" s="317" t="s">
        <v>1407</v>
      </c>
      <c r="B849" s="344" t="s">
        <v>1394</v>
      </c>
      <c r="C849" s="438">
        <f>10^(C$773-Units!C$376)</f>
        <v>6.1659500186148221E-2</v>
      </c>
      <c r="D849" s="438">
        <f>10^(ExpBase!C$791-Units!C$376)</f>
        <v>616595.00186148309</v>
      </c>
      <c r="E849" s="438">
        <f>10^(C$797-Units!C$376)</f>
        <v>3890451.449942817</v>
      </c>
      <c r="F849" s="438">
        <f>10^(C$779-Units!C$376)</f>
        <v>6.1659500186148109E-6</v>
      </c>
      <c r="G849" s="438">
        <f>10^(C$785-Units!C$376)</f>
        <v>6.1659500186148145E-7</v>
      </c>
      <c r="H849" s="438">
        <f>10^(C$803-Units!C$376)</f>
        <v>0.19498445997580449</v>
      </c>
      <c r="J849" s="172"/>
      <c r="L849" s="172"/>
      <c r="O849" s="367"/>
    </row>
    <row r="850" spans="1:25" ht="15.75" customHeight="1" x14ac:dyDescent="0.2">
      <c r="A850" s="317" t="s">
        <v>1408</v>
      </c>
      <c r="B850" s="344" t="s">
        <v>1394</v>
      </c>
      <c r="C850" s="438">
        <f>10^(C$773-Units!C$377)</f>
        <v>2.089296130854039E-7</v>
      </c>
      <c r="D850" s="438">
        <f>10^(ExpBase!C$791-Units!C$377)</f>
        <v>2.089296130854041</v>
      </c>
      <c r="E850" s="438">
        <f>10^(C$797-Units!C$377)</f>
        <v>13.182567385564106</v>
      </c>
      <c r="F850" s="438">
        <f>10^(C$779-Units!C$377)</f>
        <v>2.0892961308540373E-11</v>
      </c>
      <c r="G850" s="438">
        <f>10^(C$785-Units!C$377)</f>
        <v>2.0892961308540349E-12</v>
      </c>
      <c r="H850" s="438">
        <f>10^(C$803-Units!C$377)</f>
        <v>6.6069344800759506E-7</v>
      </c>
      <c r="J850" s="172"/>
      <c r="L850" s="172"/>
      <c r="O850" s="367"/>
    </row>
    <row r="851" spans="1:25" ht="15.75" customHeight="1" x14ac:dyDescent="0.2">
      <c r="A851" s="318" t="s">
        <v>1409</v>
      </c>
      <c r="B851" s="347" t="s">
        <v>1394</v>
      </c>
      <c r="C851" s="487">
        <f>10^(C$773-Units!C$378)</f>
        <v>5.4954087385762466E-4</v>
      </c>
      <c r="D851" s="487">
        <f>10^(ExpBase!C$791-Units!C$378)</f>
        <v>5495.4087385762541</v>
      </c>
      <c r="E851" s="487">
        <f>10^(C$797-Units!C$378)</f>
        <v>34673.68504525326</v>
      </c>
      <c r="F851" s="487">
        <f>10^(C$779-Units!C$378)</f>
        <v>5.4954087385762357E-8</v>
      </c>
      <c r="G851" s="487">
        <f>10^(C$785-Units!C$378)</f>
        <v>5.4954087385762298E-9</v>
      </c>
      <c r="H851" s="487">
        <f>10^(C$803-Units!C$378)</f>
        <v>1.737800828749375E-3</v>
      </c>
      <c r="J851" s="172"/>
      <c r="L851" s="172"/>
      <c r="O851" s="367"/>
    </row>
    <row r="852" spans="1:25" ht="15.75" customHeight="1" x14ac:dyDescent="0.2">
      <c r="A852" s="375"/>
      <c r="C852" s="594"/>
      <c r="H852" s="367"/>
      <c r="O852" s="367"/>
    </row>
    <row r="853" spans="1:25" ht="15.75" customHeight="1" x14ac:dyDescent="0.2">
      <c r="A853" s="376"/>
      <c r="B853" s="248"/>
      <c r="C853" s="415"/>
      <c r="D853" s="248"/>
      <c r="E853" s="248"/>
      <c r="F853" s="248"/>
      <c r="G853" s="248"/>
      <c r="H853" s="369"/>
      <c r="O853" s="367"/>
    </row>
    <row r="854" spans="1:25" ht="15.75" customHeight="1" x14ac:dyDescent="0.2">
      <c r="A854" s="624" t="s">
        <v>1410</v>
      </c>
      <c r="B854" s="625"/>
      <c r="C854" s="625"/>
      <c r="D854" s="625"/>
      <c r="E854" s="625"/>
      <c r="F854" s="625"/>
      <c r="G854" s="625"/>
      <c r="H854" s="625"/>
      <c r="I854" s="625"/>
      <c r="J854" s="625"/>
      <c r="K854" s="625"/>
      <c r="L854" s="625"/>
      <c r="M854" s="625"/>
      <c r="N854" s="625"/>
      <c r="O854" s="626"/>
    </row>
    <row r="855" spans="1:25" ht="15.75" customHeight="1" x14ac:dyDescent="0.2">
      <c r="A855" s="414"/>
      <c r="B855" s="390"/>
      <c r="C855" s="627" t="s">
        <v>1479</v>
      </c>
      <c r="D855" s="551" t="s">
        <v>1447</v>
      </c>
      <c r="E855" s="633" t="s">
        <v>1448</v>
      </c>
      <c r="F855" s="634" t="s">
        <v>1449</v>
      </c>
      <c r="G855" s="635" t="s">
        <v>1450</v>
      </c>
      <c r="H855" s="483" t="s">
        <v>1451</v>
      </c>
      <c r="I855" s="413"/>
      <c r="J855" s="627" t="s">
        <v>1479</v>
      </c>
      <c r="K855" s="551" t="s">
        <v>1447</v>
      </c>
      <c r="L855" s="633" t="s">
        <v>1448</v>
      </c>
      <c r="M855" s="634" t="s">
        <v>1449</v>
      </c>
      <c r="N855" s="635" t="s">
        <v>1450</v>
      </c>
      <c r="O855" s="483" t="s">
        <v>1451</v>
      </c>
      <c r="P855" s="413"/>
      <c r="Q855" s="413"/>
      <c r="S855" s="413"/>
      <c r="T855" s="413"/>
      <c r="U855" s="413"/>
      <c r="W855" s="413"/>
      <c r="X855" s="413"/>
      <c r="Y855" s="413"/>
    </row>
    <row r="856" spans="1:25" ht="15.75" customHeight="1" x14ac:dyDescent="0.2">
      <c r="A856" s="373" t="s">
        <v>580</v>
      </c>
      <c r="B856" s="430" t="s">
        <v>372</v>
      </c>
      <c r="C856" s="430" t="s">
        <v>42</v>
      </c>
      <c r="D856" s="430" t="s">
        <v>42</v>
      </c>
      <c r="E856" s="430" t="s">
        <v>42</v>
      </c>
      <c r="F856" s="430" t="s">
        <v>42</v>
      </c>
      <c r="G856" s="430" t="s">
        <v>42</v>
      </c>
      <c r="H856" s="430" t="s">
        <v>42</v>
      </c>
      <c r="I856" s="636" t="s">
        <v>372</v>
      </c>
      <c r="J856" s="430" t="s">
        <v>42</v>
      </c>
      <c r="K856" s="430" t="s">
        <v>42</v>
      </c>
      <c r="L856" s="430" t="s">
        <v>42</v>
      </c>
      <c r="M856" s="430" t="s">
        <v>42</v>
      </c>
      <c r="N856" s="430" t="s">
        <v>42</v>
      </c>
      <c r="O856" s="430" t="s">
        <v>42</v>
      </c>
      <c r="P856" s="208"/>
      <c r="Q856" s="208"/>
      <c r="R856" s="208"/>
      <c r="S856" s="208"/>
      <c r="T856" s="208"/>
      <c r="U856" s="208"/>
      <c r="V856" s="208"/>
      <c r="W856" s="208"/>
      <c r="X856" s="208"/>
      <c r="Y856" s="208"/>
    </row>
    <row r="857" spans="1:25" ht="15.75" customHeight="1" x14ac:dyDescent="0.2">
      <c r="A857" s="316" t="s">
        <v>1453</v>
      </c>
      <c r="B857" s="342" t="s">
        <v>376</v>
      </c>
      <c r="C857" s="593">
        <f t="shared" ref="C857:H857" ca="1" si="56">C844*C858</f>
        <v>6.7140574164407827E-3</v>
      </c>
      <c r="D857" s="593">
        <f t="shared" ca="1" si="56"/>
        <v>4.7098304979300681E-4</v>
      </c>
      <c r="E857" s="593">
        <f t="shared" ca="1" si="56"/>
        <v>4.9676217299216222E-5</v>
      </c>
      <c r="F857" s="593">
        <f t="shared" ca="1" si="56"/>
        <v>1.095647134615006E-19</v>
      </c>
      <c r="G857" s="593">
        <f t="shared" ca="1" si="56"/>
        <v>4.0051133575398557E-6</v>
      </c>
      <c r="H857" s="593">
        <f t="shared" ca="1" si="56"/>
        <v>3.6807240336912813E-4</v>
      </c>
      <c r="I857" s="342" t="s">
        <v>302</v>
      </c>
      <c r="J857" s="471">
        <f ca="1">C857*Units!$C$94</f>
        <v>0.39639794986666382</v>
      </c>
      <c r="K857" s="471">
        <f ca="1">D857*Units!$C$94</f>
        <v>2.7806839259779122E-2</v>
      </c>
      <c r="L857" s="471">
        <f ca="1">E857*Units!$C$94</f>
        <v>2.9328838693457259E-3</v>
      </c>
      <c r="M857" s="471">
        <f ca="1">F857*Units!$C$94</f>
        <v>6.4687006827669952E-18</v>
      </c>
      <c r="N857" s="471">
        <f ca="1">G857*Units!$C$94</f>
        <v>2.3646189262915309E-4</v>
      </c>
      <c r="O857" s="461">
        <f ca="1">H857*Units!$C$94</f>
        <v>2.1730994694913325E-2</v>
      </c>
      <c r="P857" s="172"/>
      <c r="R857" s="172"/>
      <c r="T857" s="172"/>
      <c r="V857" s="172"/>
      <c r="X857" s="172"/>
    </row>
    <row r="858" spans="1:25" ht="15.75" customHeight="1" x14ac:dyDescent="0.2">
      <c r="A858" s="317" t="s">
        <v>1454</v>
      </c>
      <c r="B858" s="344" t="s">
        <v>376</v>
      </c>
      <c r="C858" s="594">
        <f ca="1">(C827/((C844*Units!$C$94)+Units!$C$103))</f>
        <v>3.6896489797611328E-4</v>
      </c>
      <c r="D858" s="594">
        <f ca="1">(D827/((D844*Units!$C$94)+Units!$C$103))</f>
        <v>2.588244367553773E-12</v>
      </c>
      <c r="E858" s="594">
        <f ca="1">(E827/((E844*Units!$C$94)+Units!$C$103))</f>
        <v>4.3266176554363622E-14</v>
      </c>
      <c r="F858" s="594">
        <f ca="1">(F827/((F844*Units!$C$94)+Units!$C$103))</f>
        <v>6.0210288379593363E-17</v>
      </c>
      <c r="G858" s="594">
        <f ca="1">(G827/((G844*Units!$C$94)+Units!$C$103))</f>
        <v>2.2009734944013006E-2</v>
      </c>
      <c r="H858" s="594">
        <f ca="1">(H827/((H844*Units!$C$94)+Units!$C$103))</f>
        <v>6.396365276146453E-6</v>
      </c>
      <c r="I858" s="344" t="s">
        <v>302</v>
      </c>
      <c r="J858" s="472">
        <f ca="1">C858*Units!$C$103</f>
        <v>2.2156342123465601E-2</v>
      </c>
      <c r="K858" s="472">
        <f ca="1">D858*Units!$C$103</f>
        <v>1.5542407427160406E-10</v>
      </c>
      <c r="L858" s="472">
        <f ca="1">E858*Units!$C$103</f>
        <v>2.5981339020895356E-12</v>
      </c>
      <c r="M858" s="472">
        <f ca="1">F858*Units!$C$103</f>
        <v>3.6156278171945814E-15</v>
      </c>
      <c r="N858" s="472">
        <f ca="1">G858*Units!$C$103</f>
        <v>1.3216845833879809</v>
      </c>
      <c r="O858" s="446">
        <f ca="1">H858*Units!$C$103</f>
        <v>3.8410173483259449E-4</v>
      </c>
      <c r="P858" s="172"/>
      <c r="R858" s="172"/>
      <c r="T858" s="172"/>
      <c r="V858" s="172"/>
      <c r="X858" s="172"/>
    </row>
    <row r="859" spans="1:25" ht="15.75" customHeight="1" x14ac:dyDescent="0.2">
      <c r="A859" s="317" t="s">
        <v>1455</v>
      </c>
      <c r="B859" s="344" t="s">
        <v>376</v>
      </c>
      <c r="C859" s="594">
        <f t="shared" ref="C859:H859" ca="1" si="57">C844*C860</f>
        <v>1.7408029132283814E-2</v>
      </c>
      <c r="D859" s="594">
        <f t="shared" ca="1" si="57"/>
        <v>1.2209435413571713E-3</v>
      </c>
      <c r="E859" s="594">
        <f t="shared" ca="1" si="57"/>
        <v>1.2877715386205117E-4</v>
      </c>
      <c r="F859" s="594">
        <f t="shared" ca="1" si="57"/>
        <v>2.8494647923201871E-19</v>
      </c>
      <c r="G859" s="594">
        <f t="shared" ca="1" si="57"/>
        <v>1.0416208431380686E-5</v>
      </c>
      <c r="H859" s="594">
        <f t="shared" ca="1" si="57"/>
        <v>9.5421869595166528E-4</v>
      </c>
      <c r="I859" s="344" t="s">
        <v>302</v>
      </c>
      <c r="J859" s="472">
        <f ca="1">C859*Units!$C$95</f>
        <v>1.2720046886959782</v>
      </c>
      <c r="K859" s="472">
        <f ca="1">D859*Units!$C$95</f>
        <v>8.9214344566968501E-2</v>
      </c>
      <c r="L859" s="472">
        <f ca="1">E859*Units!$C$95</f>
        <v>9.4097466327000782E-3</v>
      </c>
      <c r="M859" s="472">
        <f ca="1">F859*Units!$C$95</f>
        <v>2.0821039237483606E-17</v>
      </c>
      <c r="N859" s="472">
        <f ca="1">G859*Units!$C$95</f>
        <v>7.6111235008098665E-4</v>
      </c>
      <c r="O859" s="446">
        <f ca="1">H859*Units!$C$95</f>
        <v>6.9724760113188178E-2</v>
      </c>
      <c r="P859" s="172"/>
      <c r="R859" s="172"/>
      <c r="T859" s="172"/>
      <c r="V859" s="172"/>
      <c r="X859" s="172"/>
    </row>
    <row r="860" spans="1:25" ht="15.75" customHeight="1" x14ac:dyDescent="0.2">
      <c r="A860" s="317" t="s">
        <v>1456</v>
      </c>
      <c r="B860" s="344" t="s">
        <v>376</v>
      </c>
      <c r="C860" s="594">
        <f ca="1">C828/((C844*Units!$C$95)+Units!$C$104)</f>
        <v>9.5664235414942339E-4</v>
      </c>
      <c r="D860" s="594">
        <f ca="1">D828/((D844*Units!$C$95)+Units!$C$104)</f>
        <v>6.7095838064824068E-12</v>
      </c>
      <c r="E860" s="594">
        <f ca="1">E828/((E844*Units!$C$95)+Units!$C$104)</f>
        <v>1.1216021223201839E-13</v>
      </c>
      <c r="F860" s="594">
        <f ca="1">F828/((F844*Units!$C$95)+Units!$C$104)</f>
        <v>1.5658973719981724E-16</v>
      </c>
      <c r="G860" s="594">
        <f ca="1">G828/((G844*Units!$C$95)+Units!$C$104)</f>
        <v>5.724132283664108E-2</v>
      </c>
      <c r="H860" s="594">
        <f ca="1">H828/((H844*Units!$C$95)+Units!$C$104)</f>
        <v>1.6582420406329522E-5</v>
      </c>
      <c r="I860" s="344" t="s">
        <v>302</v>
      </c>
      <c r="J860" s="472">
        <f ca="1">C860*Units!$C$104</f>
        <v>7.0868065595389287E-2</v>
      </c>
      <c r="K860" s="472">
        <f ca="1">D860*Units!$C$104</f>
        <v>4.9704596838421671E-10</v>
      </c>
      <c r="L860" s="472">
        <f ca="1">E860*Units!$C$104</f>
        <v>8.3088285221479231E-12</v>
      </c>
      <c r="M860" s="472">
        <f ca="1">F860*Units!$C$104</f>
        <v>1.1600167731762461E-14</v>
      </c>
      <c r="N860" s="472">
        <f ca="1">G860*Units!$C$104</f>
        <v>4.2404371957383713</v>
      </c>
      <c r="O860" s="446">
        <f ca="1">H860*Units!$C$104</f>
        <v>1.228425703700891E-3</v>
      </c>
      <c r="P860" s="172"/>
      <c r="R860" s="172"/>
      <c r="T860" s="172"/>
      <c r="V860" s="172"/>
      <c r="X860" s="172"/>
    </row>
    <row r="861" spans="1:25" ht="15.75" customHeight="1" x14ac:dyDescent="0.2">
      <c r="A861" s="317" t="s">
        <v>1457</v>
      </c>
      <c r="B861" s="344" t="s">
        <v>376</v>
      </c>
      <c r="C861" s="594">
        <f t="shared" ref="C861:H861" ca="1" si="58">C844*C862</f>
        <v>2.0154877375214503E-2</v>
      </c>
      <c r="D861" s="594">
        <f t="shared" ca="1" si="58"/>
        <v>1.4134348672828914E-3</v>
      </c>
      <c r="E861" s="594">
        <f t="shared" ca="1" si="58"/>
        <v>1.4907988224736071E-4</v>
      </c>
      <c r="F861" s="594">
        <f t="shared" ca="1" si="58"/>
        <v>3.3059525917324603E-19</v>
      </c>
      <c r="G861" s="594">
        <f t="shared" ca="1" si="58"/>
        <v>1.2084940844017537E-5</v>
      </c>
      <c r="H861" s="594">
        <f t="shared" ca="1" si="58"/>
        <v>1.1047007610156653E-3</v>
      </c>
      <c r="I861" s="344" t="s">
        <v>302</v>
      </c>
      <c r="J861" s="472">
        <f ca="1">C861*Units!$C$96</f>
        <v>1.7554898193811832</v>
      </c>
      <c r="K861" s="472">
        <f ca="1">D861*Units!$C$96</f>
        <v>0.12311017694033984</v>
      </c>
      <c r="L861" s="472">
        <f ca="1">E861*Units!$C$96</f>
        <v>1.2984857743745117E-2</v>
      </c>
      <c r="M861" s="472">
        <f ca="1">F861*Units!$C$96</f>
        <v>2.879484707398973E-17</v>
      </c>
      <c r="N861" s="472">
        <f ca="1">G861*Units!$C$96</f>
        <v>1.0525983475139274E-3</v>
      </c>
      <c r="O861" s="446">
        <f ca="1">H861*Units!$C$96</f>
        <v>9.6219436284464444E-2</v>
      </c>
      <c r="P861" s="172"/>
      <c r="R861" s="172"/>
      <c r="T861" s="172"/>
      <c r="V861" s="172"/>
      <c r="X861" s="172"/>
    </row>
    <row r="862" spans="1:25" ht="15.75" customHeight="1" x14ac:dyDescent="0.2">
      <c r="A862" s="317" t="s">
        <v>1458</v>
      </c>
      <c r="B862" s="344" t="s">
        <v>376</v>
      </c>
      <c r="C862" s="594">
        <f ca="1">C829/((C844*Units!$C$96)+Units!$C$105)</f>
        <v>1.1075928925268644E-3</v>
      </c>
      <c r="D862" s="594">
        <f ca="1">D829/((D844*Units!$C$96)+Units!$C$105)</f>
        <v>7.7674023210747355E-12</v>
      </c>
      <c r="E862" s="594">
        <f ca="1">E829/((E844*Units!$C$96)+Units!$C$105)</f>
        <v>1.2984314943239078E-13</v>
      </c>
      <c r="F862" s="594">
        <f ca="1">F829/((F844*Units!$C$96)+Units!$C$105)</f>
        <v>1.8167560761925373E-16</v>
      </c>
      <c r="G862" s="594">
        <f ca="1">G829/((G844*Units!$C$96)+Units!$C$105)</f>
        <v>6.6411689519391068E-2</v>
      </c>
      <c r="H862" s="594">
        <f ca="1">H829/((H844*Units!$C$96)+Units!$C$105)</f>
        <v>1.9197498980130888E-5</v>
      </c>
      <c r="I862" s="344" t="s">
        <v>302</v>
      </c>
      <c r="J862" s="472">
        <f ca="1">Units!$C$105*C862</f>
        <v>9.7590009760542024E-2</v>
      </c>
      <c r="K862" s="472">
        <f ca="1">Units!$C$105*D862</f>
        <v>6.8438581850989497E-10</v>
      </c>
      <c r="L862" s="472">
        <f ca="1">Units!$C$105*E862</f>
        <v>1.1440479896487952E-11</v>
      </c>
      <c r="M862" s="472">
        <f ca="1">Units!$C$105*F862</f>
        <v>1.6007437787332446E-14</v>
      </c>
      <c r="N862" s="472">
        <f ca="1">Units!$C$105*G862</f>
        <v>5.851533963553547</v>
      </c>
      <c r="O862" s="446">
        <f ca="1">Units!$C$105*H862</f>
        <v>1.6914916351393327E-3</v>
      </c>
      <c r="P862" s="172"/>
      <c r="R862" s="172"/>
      <c r="T862" s="172"/>
      <c r="V862" s="172"/>
      <c r="X862" s="172"/>
    </row>
    <row r="863" spans="1:25" ht="15.75" customHeight="1" x14ac:dyDescent="0.2">
      <c r="A863" s="317" t="s">
        <v>1459</v>
      </c>
      <c r="B863" s="344" t="s">
        <v>376</v>
      </c>
      <c r="C863" s="594">
        <f t="shared" ref="C863:H863" si="59">C864*C844</f>
        <v>0</v>
      </c>
      <c r="D863" s="594">
        <f t="shared" si="59"/>
        <v>0</v>
      </c>
      <c r="E863" s="594">
        <f t="shared" si="59"/>
        <v>0</v>
      </c>
      <c r="F863" s="594">
        <f t="shared" si="59"/>
        <v>0</v>
      </c>
      <c r="G863" s="594">
        <f t="shared" si="59"/>
        <v>0</v>
      </c>
      <c r="H863" s="594">
        <f t="shared" si="59"/>
        <v>0</v>
      </c>
      <c r="I863" s="344" t="s">
        <v>302</v>
      </c>
      <c r="J863" s="472">
        <f>C863*Units!$C$97</f>
        <v>0</v>
      </c>
      <c r="K863" s="472">
        <f>D863*Units!$C$97</f>
        <v>0</v>
      </c>
      <c r="L863" s="472">
        <f>E863*Units!$C$97</f>
        <v>0</v>
      </c>
      <c r="M863" s="472">
        <f>F863*Units!$C$97</f>
        <v>0</v>
      </c>
      <c r="N863" s="472">
        <f>G863*Units!$C$97</f>
        <v>0</v>
      </c>
      <c r="O863" s="446">
        <f>H863*Units!$C$97</f>
        <v>0</v>
      </c>
      <c r="P863" s="172"/>
      <c r="R863" s="172"/>
      <c r="T863" s="172"/>
      <c r="V863" s="172"/>
      <c r="X863" s="172"/>
    </row>
    <row r="864" spans="1:25" ht="15.75" customHeight="1" x14ac:dyDescent="0.2">
      <c r="A864" s="317" t="s">
        <v>1460</v>
      </c>
      <c r="B864" s="344" t="s">
        <v>376</v>
      </c>
      <c r="C864" s="594">
        <f>C830/((C844*Units!$C$97)+Units!$C106)</f>
        <v>0</v>
      </c>
      <c r="D864" s="594">
        <f>D830/((D844*Units!$C$97)+Units!$C106)</f>
        <v>0</v>
      </c>
      <c r="E864" s="594">
        <f>E830/((E844*Units!$C$97)+Units!$C106)</f>
        <v>0</v>
      </c>
      <c r="F864" s="594">
        <f>F830/((F844*Units!$C$97)+Units!$C106)</f>
        <v>0</v>
      </c>
      <c r="G864" s="594">
        <f>G830/((G844*Units!$C$97)+Units!$C106)</f>
        <v>0</v>
      </c>
      <c r="H864" s="594">
        <f>H830/((H844*Units!$C$97)+Units!$C106)</f>
        <v>0</v>
      </c>
      <c r="I864" s="344" t="s">
        <v>302</v>
      </c>
      <c r="J864" s="472">
        <f>C864*Units!$C$106</f>
        <v>0</v>
      </c>
      <c r="K864" s="472">
        <f>D864*Units!$C$106</f>
        <v>0</v>
      </c>
      <c r="L864" s="472">
        <f>E864*Units!$C$106</f>
        <v>0</v>
      </c>
      <c r="M864" s="472">
        <f>F864*Units!$C$106</f>
        <v>0</v>
      </c>
      <c r="N864" s="472">
        <f>G864*Units!$C$106</f>
        <v>0</v>
      </c>
      <c r="O864" s="446">
        <f>H864*Units!$C$106</f>
        <v>0</v>
      </c>
      <c r="P864" s="172"/>
      <c r="R864" s="172"/>
      <c r="T864" s="172"/>
      <c r="V864" s="172"/>
      <c r="X864" s="172"/>
    </row>
    <row r="865" spans="1:24" ht="15.75" customHeight="1" x14ac:dyDescent="0.2">
      <c r="A865" s="317" t="s">
        <v>1461</v>
      </c>
      <c r="B865" s="344" t="s">
        <v>376</v>
      </c>
      <c r="C865" s="594">
        <f t="shared" ref="C865:H865" ca="1" si="60">C866*C844</f>
        <v>2.7456433479192192E-2</v>
      </c>
      <c r="D865" s="594">
        <f t="shared" ca="1" si="60"/>
        <v>1.9253221700221994E-3</v>
      </c>
      <c r="E865" s="594">
        <f t="shared" ca="1" si="60"/>
        <v>2.0307041310277905E-4</v>
      </c>
      <c r="F865" s="594">
        <f t="shared" ca="1" si="60"/>
        <v>4.5103865819848673E-19</v>
      </c>
      <c r="G865" s="594">
        <f t="shared" ca="1" si="60"/>
        <v>1.6487803049072823E-5</v>
      </c>
      <c r="H865" s="594">
        <f t="shared" ca="1" si="60"/>
        <v>1.5048187325012949E-3</v>
      </c>
      <c r="I865" s="344" t="s">
        <v>302</v>
      </c>
      <c r="J865" s="472">
        <f ca="1">C865*Units!$C$98</f>
        <v>2.7763945534159147</v>
      </c>
      <c r="K865" s="472">
        <f ca="1">D865*Units!$C$98</f>
        <v>0.19468857783264482</v>
      </c>
      <c r="L865" s="472">
        <f ca="1">E865*Units!$C$98</f>
        <v>2.0534480172953017E-2</v>
      </c>
      <c r="M865" s="472">
        <f ca="1">F865*Units!$C$98</f>
        <v>4.5609029117030977E-17</v>
      </c>
      <c r="N865" s="472">
        <f ca="1">G865*Units!$C$98</f>
        <v>1.667246644322244E-3</v>
      </c>
      <c r="O865" s="446">
        <f ca="1">H865*Units!$C$98</f>
        <v>0.15216727023053095</v>
      </c>
      <c r="P865" s="172"/>
      <c r="R865" s="172"/>
      <c r="T865" s="172"/>
      <c r="V865" s="172"/>
      <c r="X865" s="172"/>
    </row>
    <row r="866" spans="1:24" ht="15.75" customHeight="1" x14ac:dyDescent="0.2">
      <c r="A866" s="317" t="s">
        <v>1462</v>
      </c>
      <c r="B866" s="344" t="s">
        <v>376</v>
      </c>
      <c r="C866" s="594">
        <f ca="1">C831/((C844*Units!$C$98)+Units!$C$107)</f>
        <v>1.5088432447169016E-3</v>
      </c>
      <c r="D866" s="594">
        <f ca="1">D831/((D844*Units!$C$98)+Units!$C$107)</f>
        <v>1.0580432277714544E-11</v>
      </c>
      <c r="E866" s="594">
        <f ca="1">E831/((E844*Units!$C$98)+Units!$C$107)</f>
        <v>1.7686693600986036E-13</v>
      </c>
      <c r="F866" s="594">
        <f ca="1">F831/((F844*Units!$C$98)+Units!$C$107)</f>
        <v>2.4786417836996718E-16</v>
      </c>
      <c r="G866" s="594">
        <f ca="1">G831/((G844*Units!$C$98)+Units!$C$107)</f>
        <v>9.0607216955799014E-2</v>
      </c>
      <c r="H866" s="594">
        <f ca="1">H831/((H844*Units!$C$98)+Units!$C$107)</f>
        <v>2.6150752404583348E-5</v>
      </c>
      <c r="I866" s="344" t="s">
        <v>302</v>
      </c>
      <c r="J866" s="472">
        <f ca="1">C866*Units!$C$107</f>
        <v>0.15409816058293715</v>
      </c>
      <c r="K866" s="472">
        <f ca="1">D866*Units!$C$107</f>
        <v>1.0805795485229864E-9</v>
      </c>
      <c r="L866" s="472">
        <f ca="1">E866*Units!$C$107</f>
        <v>1.8063420174687039E-11</v>
      </c>
      <c r="M866" s="472">
        <f ca="1">F866*Units!$C$107</f>
        <v>2.5314368536924746E-14</v>
      </c>
      <c r="N866" s="472">
        <f ca="1">G866*Units!$C$107</f>
        <v>9.2537150676957527</v>
      </c>
      <c r="O866" s="446">
        <f ca="1">H866*Units!$C$107</f>
        <v>2.6707763430800975E-3</v>
      </c>
      <c r="P866" s="172"/>
      <c r="R866" s="172"/>
      <c r="T866" s="172"/>
      <c r="V866" s="172"/>
      <c r="X866" s="172"/>
    </row>
    <row r="867" spans="1:24" ht="15.75" customHeight="1" x14ac:dyDescent="0.2">
      <c r="A867" s="317" t="s">
        <v>1463</v>
      </c>
      <c r="B867" s="344" t="s">
        <v>376</v>
      </c>
      <c r="C867" s="594">
        <f t="shared" ref="C867:H867" si="61">C868*C844</f>
        <v>2.3930499997369546E-3</v>
      </c>
      <c r="D867" s="594">
        <f t="shared" si="61"/>
        <v>1.6780738190037974E-4</v>
      </c>
      <c r="E867" s="594">
        <f t="shared" si="61"/>
        <v>1.7699227118863444E-5</v>
      </c>
      <c r="F867" s="594">
        <f t="shared" si="61"/>
        <v>3.931166302794697E-20</v>
      </c>
      <c r="G867" s="594">
        <f t="shared" si="61"/>
        <v>1.4370452415878575E-6</v>
      </c>
      <c r="H867" s="594">
        <f t="shared" si="61"/>
        <v>1.3115711005019933E-4</v>
      </c>
      <c r="I867" s="344" t="s">
        <v>302</v>
      </c>
      <c r="J867" s="472">
        <f>C867*Units!$C$99</f>
        <v>0.24198521597340086</v>
      </c>
      <c r="K867" s="472">
        <f>D867*Units!$C$99</f>
        <v>1.69686824577664E-2</v>
      </c>
      <c r="L867" s="472">
        <f>E867*Units!$C$99</f>
        <v>1.7897458462594715E-3</v>
      </c>
      <c r="M867" s="472">
        <f>F867*Units!$C$99</f>
        <v>3.9751953653859981E-18</v>
      </c>
      <c r="N867" s="472">
        <f>G867*Units!$C$99</f>
        <v>1.4531401482936415E-4</v>
      </c>
      <c r="O867" s="446">
        <f>H867*Units!$C$99</f>
        <v>1.3262606968276157E-2</v>
      </c>
      <c r="P867" s="172"/>
      <c r="R867" s="172"/>
      <c r="T867" s="172"/>
      <c r="V867" s="172"/>
      <c r="X867" s="172"/>
    </row>
    <row r="868" spans="1:24" ht="15.75" customHeight="1" x14ac:dyDescent="0.2">
      <c r="A868" s="317" t="s">
        <v>1464</v>
      </c>
      <c r="B868" s="344" t="s">
        <v>376</v>
      </c>
      <c r="C868" s="594">
        <f>C832/((C844*Units!$C$99)+Units!$C$108)</f>
        <v>1.3150787880404342E-4</v>
      </c>
      <c r="D868" s="594">
        <f>D832/((D844*Units!$C$99)+Units!$C$108)</f>
        <v>9.2217015289294543E-13</v>
      </c>
      <c r="E868" s="594">
        <f>E832/((E844*Units!$C$99)+Units!$C$108)</f>
        <v>1.5415382390893289E-14</v>
      </c>
      <c r="F868" s="594">
        <f>F832/((F844*Units!$C$99)+Units!$C$108)</f>
        <v>2.1603365653174479E-17</v>
      </c>
      <c r="G868" s="594">
        <f>G832/((G844*Units!$C$99)+Units!$C$108)</f>
        <v>7.8971509783513361E-3</v>
      </c>
      <c r="H868" s="594">
        <f>H832/((H844*Units!$C$99)+Units!$C$108)</f>
        <v>2.2792493454160942E-6</v>
      </c>
      <c r="I868" s="344" t="s">
        <v>302</v>
      </c>
      <c r="J868" s="472">
        <f>C868*Units!$C$108</f>
        <v>1.3430899662256954E-2</v>
      </c>
      <c r="K868" s="472">
        <f>D868*Units!$C$108</f>
        <v>9.4181237714956516E-11</v>
      </c>
      <c r="L868" s="472">
        <f>E868*Units!$C$108</f>
        <v>1.5743730035819316E-12</v>
      </c>
      <c r="M868" s="472">
        <f>F868*Units!$C$108</f>
        <v>2.2063517341587096E-15</v>
      </c>
      <c r="N868" s="472">
        <f>G868*Units!$C$108</f>
        <v>0.80653602941902192</v>
      </c>
      <c r="O868" s="446">
        <f>H868*Units!$C$108</f>
        <v>2.3277973564734568E-4</v>
      </c>
      <c r="P868" s="172"/>
      <c r="R868" s="172"/>
      <c r="T868" s="172"/>
      <c r="V868" s="172"/>
      <c r="X868" s="172"/>
    </row>
    <row r="869" spans="1:24" ht="15.75" customHeight="1" x14ac:dyDescent="0.2">
      <c r="A869" s="317" t="s">
        <v>1465</v>
      </c>
      <c r="B869" s="344" t="s">
        <v>376</v>
      </c>
      <c r="C869" s="594">
        <f t="shared" ref="C869:H869" ca="1" si="62">C870*C844</f>
        <v>5.4426172489981571E-2</v>
      </c>
      <c r="D869" s="594">
        <f t="shared" ca="1" si="62"/>
        <v>3.8162741417230471E-3</v>
      </c>
      <c r="E869" s="594">
        <f t="shared" ca="1" si="62"/>
        <v>4.0251568206886427E-4</v>
      </c>
      <c r="F869" s="594">
        <f t="shared" ca="1" si="62"/>
        <v>8.951021228311576E-19</v>
      </c>
      <c r="G869" s="594">
        <f t="shared" ca="1" si="62"/>
        <v>3.2720690465621837E-5</v>
      </c>
      <c r="H869" s="594">
        <f t="shared" ca="1" si="62"/>
        <v>2.9828359455835998E-3</v>
      </c>
      <c r="I869" s="344" t="s">
        <v>302</v>
      </c>
      <c r="J869" s="472">
        <f ca="1">C869*Units!$C$100</f>
        <v>6.2671737622213781</v>
      </c>
      <c r="K869" s="472">
        <f ca="1">D869*Units!$C$100</f>
        <v>0.43944396741940889</v>
      </c>
      <c r="L869" s="472">
        <f ca="1">E869*Units!$C$100</f>
        <v>4.6349680790229726E-2</v>
      </c>
      <c r="M869" s="472">
        <f ca="1">F869*Units!$C$100</f>
        <v>1.030710094440078E-16</v>
      </c>
      <c r="N869" s="472">
        <f ca="1">G869*Units!$C$100</f>
        <v>3.7677875071163549E-3</v>
      </c>
      <c r="O869" s="446">
        <f ca="1">H869*Units!$C$100</f>
        <v>0.34347355913395156</v>
      </c>
      <c r="P869" s="172"/>
      <c r="R869" s="172"/>
      <c r="T869" s="172"/>
      <c r="V869" s="172"/>
      <c r="X869" s="172"/>
    </row>
    <row r="870" spans="1:24" ht="15.75" customHeight="1" x14ac:dyDescent="0.2">
      <c r="A870" s="317" t="s">
        <v>1465</v>
      </c>
      <c r="B870" s="344" t="s">
        <v>376</v>
      </c>
      <c r="C870" s="594">
        <f ca="1">C833/((C844*Units!$C$100)+Units!$C$109)</f>
        <v>2.9909406390870277E-3</v>
      </c>
      <c r="D870" s="594">
        <f ca="1">D833/((D844*Units!$C$100)+Units!$C$109)</f>
        <v>2.0971986267227333E-11</v>
      </c>
      <c r="E870" s="594">
        <f ca="1">E833/((E844*Units!$C$100)+Units!$C$109)</f>
        <v>3.5057650346831763E-13</v>
      </c>
      <c r="F870" s="594">
        <f ca="1">F833/((F844*Units!$C$100)+Units!$C$109)</f>
        <v>4.9189520277244982E-16</v>
      </c>
      <c r="G870" s="594">
        <f ca="1">G833/((G844*Units!$C$100)+Units!$C$109)</f>
        <v>0.17981356831702697</v>
      </c>
      <c r="H870" s="594">
        <f ca="1">H833/((H844*Units!$C$100)+Units!$C$109)</f>
        <v>5.1835747782586064E-5</v>
      </c>
      <c r="I870" s="344" t="s">
        <v>302</v>
      </c>
      <c r="J870" s="472">
        <f ca="1">C870*Units!$C$109</f>
        <v>0.34742766463634911</v>
      </c>
      <c r="K870" s="472">
        <f ca="1">D870*Units!$C$109</f>
        <v>2.4361059248011269E-9</v>
      </c>
      <c r="L870" s="472">
        <f ca="1">E870*Units!$C$109</f>
        <v>4.0722966642879772E-11</v>
      </c>
      <c r="M870" s="472">
        <f ca="1">F870*Units!$C$109</f>
        <v>5.7138546754047773E-14</v>
      </c>
      <c r="N870" s="472">
        <f ca="1">G870*Units!$C$109</f>
        <v>20.887144095705853</v>
      </c>
      <c r="O870" s="446">
        <f ca="1">H870*Units!$C$109</f>
        <v>6.0212404624251968E-3</v>
      </c>
      <c r="P870" s="172"/>
      <c r="R870" s="172"/>
      <c r="T870" s="172"/>
      <c r="V870" s="172"/>
      <c r="X870" s="172"/>
    </row>
    <row r="871" spans="1:24" ht="15.75" customHeight="1" x14ac:dyDescent="0.2">
      <c r="A871" s="317" t="s">
        <v>1466</v>
      </c>
      <c r="B871" s="344" t="s">
        <v>376</v>
      </c>
      <c r="C871" s="594">
        <f t="shared" ref="C871:H871" ca="1" si="63">C872*C844</f>
        <v>2.3877855990999657E-3</v>
      </c>
      <c r="D871" s="594">
        <f t="shared" ca="1" si="63"/>
        <v>1.8780333002581186E-4</v>
      </c>
      <c r="E871" s="594">
        <f t="shared" ca="1" si="63"/>
        <v>1.9808269184250242E-5</v>
      </c>
      <c r="F871" s="594">
        <f t="shared" ca="1" si="63"/>
        <v>4.4049026128129813E-20</v>
      </c>
      <c r="G871" s="594">
        <f t="shared" ca="1" si="63"/>
        <v>1.6102235850942097E-6</v>
      </c>
      <c r="H871" s="594">
        <f t="shared" ca="1" si="63"/>
        <v>1.4678885811079788E-4</v>
      </c>
      <c r="I871" s="344" t="s">
        <v>302</v>
      </c>
      <c r="J871" s="472">
        <f ca="1">C871*Units!$C$101</f>
        <v>0.30843026583574257</v>
      </c>
      <c r="K871" s="472">
        <f ca="1">D871*Units!$C$101</f>
        <v>2.4258556139434114E-2</v>
      </c>
      <c r="L871" s="472">
        <f ca="1">E871*Units!$C$101</f>
        <v>2.5586341305296034E-3</v>
      </c>
      <c r="M871" s="472">
        <f ca="1">F871*Units!$C$101</f>
        <v>5.6898127049705275E-18</v>
      </c>
      <c r="N871" s="472">
        <f ca="1">G871*Units!$C$101</f>
        <v>2.0799258048661906E-4</v>
      </c>
      <c r="O871" s="446">
        <f ca="1">H871*Units!$C$101</f>
        <v>1.8960716802171759E-2</v>
      </c>
      <c r="P871" s="172"/>
      <c r="R871" s="172"/>
      <c r="T871" s="172"/>
      <c r="V871" s="172"/>
      <c r="X871" s="172"/>
    </row>
    <row r="872" spans="1:24" ht="15.75" customHeight="1" x14ac:dyDescent="0.2">
      <c r="A872" s="317" t="s">
        <v>1467</v>
      </c>
      <c r="B872" s="344" t="s">
        <v>376</v>
      </c>
      <c r="C872" s="594">
        <f ca="1">C834/((C844*Units!$C$101)+Units!$C$110)</f>
        <v>1.3121857847140468E-4</v>
      </c>
      <c r="D872" s="531">
        <f ca="1">D834/((D844*Units!$C$100)+Units!$C$109)</f>
        <v>1.0320560609575621E-12</v>
      </c>
      <c r="E872" s="594">
        <f ca="1">E834/((E844*Units!$C$100)+Units!$C$109)</f>
        <v>1.7252281239530958E-14</v>
      </c>
      <c r="F872" s="594">
        <f ca="1">F834/((F844*Units!$C$100)+Units!$C$109)</f>
        <v>2.4206740311029826E-17</v>
      </c>
      <c r="G872" s="594">
        <f ca="1">G834/((G844*Units!$C$100)+Units!$C$109)</f>
        <v>8.8488367605883047E-3</v>
      </c>
      <c r="H872" s="594">
        <f ca="1">H834/((H844*Units!$C$100)+Units!$C$109)</f>
        <v>2.5508979927611903E-6</v>
      </c>
      <c r="I872" s="344" t="s">
        <v>302</v>
      </c>
      <c r="J872" s="472">
        <f ca="1">C872*Units!$C$110</f>
        <v>1.7082034545407462E-2</v>
      </c>
      <c r="K872" s="472">
        <f ca="1">D872*Units!$C$110</f>
        <v>1.3435305801545543E-10</v>
      </c>
      <c r="L872" s="472">
        <f ca="1">E872*Units!$C$110</f>
        <v>2.2459019717621403E-12</v>
      </c>
      <c r="M872" s="472">
        <f ca="1">F872*Units!$C$110</f>
        <v>3.1512334536898629E-15</v>
      </c>
      <c r="N872" s="472">
        <f ca="1">G872*Units!$C$110</f>
        <v>1.1519415694933857</v>
      </c>
      <c r="O872" s="446">
        <f ca="1">H872*Units!$C$110</f>
        <v>3.3207590069765175E-4</v>
      </c>
      <c r="P872" s="172"/>
      <c r="R872" s="172"/>
      <c r="T872" s="172"/>
      <c r="V872" s="172"/>
      <c r="X872" s="172"/>
    </row>
    <row r="873" spans="1:24" ht="15.75" customHeight="1" x14ac:dyDescent="0.2">
      <c r="A873" s="317" t="s">
        <v>1468</v>
      </c>
      <c r="B873" s="344" t="s">
        <v>376</v>
      </c>
      <c r="C873" s="594">
        <f t="shared" ref="C873:H873" si="64">C845*C874</f>
        <v>4.6687870239750275E-3</v>
      </c>
      <c r="D873" s="594">
        <f t="shared" si="64"/>
        <v>2.5955204513399156E-3</v>
      </c>
      <c r="E873" s="594">
        <f t="shared" si="64"/>
        <v>1.870743300423131E-3</v>
      </c>
      <c r="F873" s="594">
        <f t="shared" si="64"/>
        <v>2.24497742143276E-2</v>
      </c>
      <c r="G873" s="594">
        <f t="shared" si="64"/>
        <v>7.0341576064030277E-3</v>
      </c>
      <c r="H873" s="594">
        <f t="shared" si="64"/>
        <v>3.8563836389274389E-3</v>
      </c>
      <c r="I873" s="344" t="s">
        <v>302</v>
      </c>
      <c r="J873" s="472">
        <f>C873*Units!$C$140</f>
        <v>0.16550849999991474</v>
      </c>
      <c r="K873" s="472">
        <f>D873*Units!$C$140</f>
        <v>9.2011200000000015E-2</v>
      </c>
      <c r="L873" s="472">
        <f>E873*Units!$C$140</f>
        <v>6.6317849999999998E-2</v>
      </c>
      <c r="M873" s="472">
        <f>F873*Units!$C$140</f>
        <v>0.79584449589791351</v>
      </c>
      <c r="N873" s="472">
        <f>G873*Units!$C$140</f>
        <v>0.24936088714698734</v>
      </c>
      <c r="O873" s="446">
        <f>H873*Units!$C$140</f>
        <v>0.13670879999997773</v>
      </c>
      <c r="P873" s="172"/>
      <c r="R873" s="172"/>
      <c r="T873" s="172"/>
      <c r="V873" s="172"/>
      <c r="X873" s="172"/>
    </row>
    <row r="874" spans="1:24" ht="15.75" customHeight="1" x14ac:dyDescent="0.2">
      <c r="A874" s="317" t="s">
        <v>1469</v>
      </c>
      <c r="B874" s="344" t="s">
        <v>376</v>
      </c>
      <c r="C874" s="594">
        <f>C835/((C845*Units!$C$140)+Units!$C$141)</f>
        <v>2.3399364529409415E-15</v>
      </c>
      <c r="D874" s="594">
        <f>D835/((D845*Units!$C$140)+Units!$C$141)</f>
        <v>1.3008417148300516E-22</v>
      </c>
      <c r="E874" s="594">
        <f>E835/((E845*Units!$C$140)+Units!$C$141)</f>
        <v>1.4859842234473716E-23</v>
      </c>
      <c r="F874" s="594">
        <f>F835/((F845*Units!$C$140)+Units!$C$141)</f>
        <v>1.1251540234035694E-10</v>
      </c>
      <c r="G874" s="594">
        <f>G835/((G845*Units!$C$140)+Units!$C$141)</f>
        <v>3.5254299916513641E-10</v>
      </c>
      <c r="H874" s="594">
        <f>H835/((H845*Units!$C$140)+Units!$C$141)</f>
        <v>6.1119561768544804E-16</v>
      </c>
      <c r="I874" s="344" t="s">
        <v>302</v>
      </c>
      <c r="J874" s="472">
        <f>C874*Units!$C$141</f>
        <v>8.5309403201320842E-14</v>
      </c>
      <c r="K874" s="472">
        <f>D874*Units!$C$141</f>
        <v>4.742608723927402E-21</v>
      </c>
      <c r="L874" s="472">
        <f>E874*Units!$C$141</f>
        <v>5.4176012818444269E-22</v>
      </c>
      <c r="M874" s="472">
        <f>F874*Units!$C$141</f>
        <v>4.102086538524733E-9</v>
      </c>
      <c r="N874" s="472">
        <f>G874*Units!$C$141</f>
        <v>1.2853012663562542E-8</v>
      </c>
      <c r="O874" s="446">
        <f>H874*Units!$C$141</f>
        <v>2.2282969829576064E-14</v>
      </c>
      <c r="P874" s="172"/>
      <c r="R874" s="172"/>
      <c r="T874" s="172"/>
      <c r="V874" s="172"/>
      <c r="X874" s="172"/>
    </row>
    <row r="875" spans="1:24" ht="15.75" customHeight="1" x14ac:dyDescent="0.2">
      <c r="A875" s="317" t="s">
        <v>1470</v>
      </c>
      <c r="B875" s="344" t="s">
        <v>376</v>
      </c>
      <c r="C875" s="594">
        <f ca="1">C836/((C847*C846*Units!$C$130)+(C846*Units!$C$129)+(Units!$C$128))</f>
        <v>0</v>
      </c>
      <c r="D875" s="594">
        <f ca="1">D836/((D847*D846*Units!$C$130)+(D846*Units!$C$129)+(Units!$C$128))</f>
        <v>0</v>
      </c>
      <c r="E875" s="594">
        <f ca="1">E836/((E847*E846*Units!$C$130)+(E846*Units!$C$129)+(Units!$C$128))</f>
        <v>0</v>
      </c>
      <c r="F875" s="594">
        <f ca="1">F836/((F847*F846*Units!$C$130)+(F846*Units!$C$129)+(Units!$C$128))</f>
        <v>0</v>
      </c>
      <c r="G875" s="594">
        <f ca="1">G836/((G847*G846*Units!$C$130)+(G846*Units!$C$129)+(Units!$C$128))</f>
        <v>0</v>
      </c>
      <c r="H875" s="594">
        <f ca="1">H836/((H847*H846*Units!$C$130)+(H846*Units!$C$129)+(Units!$C$128))</f>
        <v>0</v>
      </c>
      <c r="I875" s="344" t="s">
        <v>302</v>
      </c>
      <c r="J875" s="472">
        <f ca="1">C875*Units!$C$128</f>
        <v>0</v>
      </c>
      <c r="K875" s="472">
        <f ca="1">D875*Units!$C$128</f>
        <v>0</v>
      </c>
      <c r="L875" s="472">
        <f ca="1">E875*Units!$C$128</f>
        <v>0</v>
      </c>
      <c r="M875" s="472">
        <f ca="1">F875*Units!$C$128</f>
        <v>0</v>
      </c>
      <c r="N875" s="472">
        <f ca="1">G875*Units!$C$128</f>
        <v>0</v>
      </c>
      <c r="O875" s="446">
        <f ca="1">H875*Units!$C$128</f>
        <v>0</v>
      </c>
      <c r="P875" s="172"/>
      <c r="R875" s="172"/>
      <c r="T875" s="172"/>
      <c r="V875" s="172"/>
      <c r="X875" s="172"/>
    </row>
    <row r="876" spans="1:24" ht="15.75" customHeight="1" x14ac:dyDescent="0.2">
      <c r="A876" s="317" t="s">
        <v>1471</v>
      </c>
      <c r="B876" s="344" t="s">
        <v>376</v>
      </c>
      <c r="C876" s="594">
        <f t="shared" ref="C876:H877" ca="1" si="65">C846*C875</f>
        <v>0</v>
      </c>
      <c r="D876" s="594">
        <f t="shared" ca="1" si="65"/>
        <v>0</v>
      </c>
      <c r="E876" s="594">
        <f t="shared" ca="1" si="65"/>
        <v>0</v>
      </c>
      <c r="F876" s="594">
        <f t="shared" ca="1" si="65"/>
        <v>0</v>
      </c>
      <c r="G876" s="594">
        <f t="shared" ca="1" si="65"/>
        <v>0</v>
      </c>
      <c r="H876" s="594">
        <f t="shared" ca="1" si="65"/>
        <v>0</v>
      </c>
      <c r="I876" s="344" t="s">
        <v>302</v>
      </c>
      <c r="J876" s="472">
        <f ca="1">C876*Units!$C$129</f>
        <v>0</v>
      </c>
      <c r="K876" s="472">
        <f ca="1">D876*Units!$C$129</f>
        <v>0</v>
      </c>
      <c r="L876" s="472">
        <f ca="1">E876*Units!$C$129</f>
        <v>0</v>
      </c>
      <c r="M876" s="472">
        <f ca="1">F876*Units!$C$129</f>
        <v>0</v>
      </c>
      <c r="N876" s="472">
        <f ca="1">G876*Units!$C$129</f>
        <v>0</v>
      </c>
      <c r="O876" s="446">
        <f ca="1">H876*Units!$C$129</f>
        <v>0</v>
      </c>
      <c r="P876" s="172"/>
      <c r="R876" s="172"/>
      <c r="T876" s="172"/>
      <c r="V876" s="172"/>
      <c r="X876" s="172"/>
    </row>
    <row r="877" spans="1:24" ht="15.75" customHeight="1" x14ac:dyDescent="0.2">
      <c r="A877" s="317" t="s">
        <v>1472</v>
      </c>
      <c r="B877" s="344" t="s">
        <v>376</v>
      </c>
      <c r="C877" s="594">
        <f t="shared" ca="1" si="65"/>
        <v>0</v>
      </c>
      <c r="D877" s="594">
        <f t="shared" ca="1" si="65"/>
        <v>0</v>
      </c>
      <c r="E877" s="594">
        <f t="shared" ca="1" si="65"/>
        <v>0</v>
      </c>
      <c r="F877" s="594">
        <f t="shared" ca="1" si="65"/>
        <v>0</v>
      </c>
      <c r="G877" s="594">
        <f t="shared" ca="1" si="65"/>
        <v>0</v>
      </c>
      <c r="H877" s="594">
        <f t="shared" ca="1" si="65"/>
        <v>0</v>
      </c>
      <c r="I877" s="344" t="s">
        <v>302</v>
      </c>
      <c r="J877" s="472">
        <f ca="1">C877*Units!$C$130</f>
        <v>0</v>
      </c>
      <c r="K877" s="472">
        <f ca="1">D877*Units!$C$130</f>
        <v>0</v>
      </c>
      <c r="L877" s="472">
        <f ca="1">E877*Units!$C$130</f>
        <v>0</v>
      </c>
      <c r="M877" s="472">
        <f ca="1">F877*Units!$C$130</f>
        <v>0</v>
      </c>
      <c r="N877" s="472">
        <f ca="1">G877*Units!$C$130</f>
        <v>0</v>
      </c>
      <c r="O877" s="446">
        <f ca="1">H877*Units!$C$130</f>
        <v>0</v>
      </c>
      <c r="P877" s="172"/>
      <c r="R877" s="172"/>
      <c r="T877" s="172"/>
      <c r="V877" s="172"/>
      <c r="X877" s="172"/>
    </row>
    <row r="878" spans="1:24" ht="15.75" customHeight="1" x14ac:dyDescent="0.2">
      <c r="A878" s="317" t="s">
        <v>1473</v>
      </c>
      <c r="B878" s="344" t="s">
        <v>376</v>
      </c>
      <c r="C878" s="594">
        <f ca="1">C837/((C848*C849*C850*Units!$C$127)+(C849*C848*Units!$C$126)+(C848*Units!$C$125+(Units!$C$124)))</f>
        <v>5.5268985511178925E-7</v>
      </c>
      <c r="D878" s="594">
        <f ca="1">D837/((D848*D849*D850*Units!$C$127)+(D849*D848*Units!$C$126)+(D848*Units!$C$125+(Units!$C$124)))</f>
        <v>0</v>
      </c>
      <c r="E878" s="594">
        <f ca="1">E837/((E848*E849*E850*Units!$C$127)+(E849*E848*Units!$C$126)+(E848*Units!$C$125+(Units!$C$124)))</f>
        <v>6.2610879395663215E-23</v>
      </c>
      <c r="F878" s="594">
        <f ca="1">F837/((F848*F849*F850*Units!$C$127)+(F849*F848*Units!$C$126)+(F848*Units!$C$125+(Units!$C$124)))</f>
        <v>0</v>
      </c>
      <c r="G878" s="594">
        <f ca="1">G837/((G848*G849*G850*Units!$C$127)+(G849*G848*Units!$C$126)+(G848*Units!$C$125+(Units!$C$124)))</f>
        <v>2.1748239550930984E-2</v>
      </c>
      <c r="H878" s="594">
        <f ca="1">H837/((H848*H849*H850*Units!$C$127)+(H849*H848*Units!$C$126)+(H848*Units!$C$125+(Units!$C$124)))</f>
        <v>1.7638024999815199E-7</v>
      </c>
      <c r="I878" s="344" t="s">
        <v>302</v>
      </c>
      <c r="J878" s="472">
        <f ca="1">C878*Units!$C$124</f>
        <v>5.4160289661824674E-5</v>
      </c>
      <c r="K878" s="472">
        <f ca="1">D878*Units!$C$124</f>
        <v>0</v>
      </c>
      <c r="L878" s="472">
        <f ca="1">E878*Units!$C$124</f>
        <v>6.1354905154986208E-21</v>
      </c>
      <c r="M878" s="472">
        <f ca="1">F878*Units!$C$124</f>
        <v>0</v>
      </c>
      <c r="N878" s="472">
        <f ca="1">G878*Units!$C$124</f>
        <v>2.1311969865539306</v>
      </c>
      <c r="O878" s="446">
        <f ca="1">H878*Units!$C$124</f>
        <v>1.7284206218318906E-5</v>
      </c>
      <c r="P878" s="172"/>
      <c r="R878" s="172"/>
      <c r="T878" s="172"/>
      <c r="V878" s="172"/>
      <c r="X878" s="172"/>
    </row>
    <row r="879" spans="1:24" ht="15.75" customHeight="1" x14ac:dyDescent="0.2">
      <c r="A879" s="317" t="s">
        <v>1474</v>
      </c>
      <c r="B879" s="344" t="s">
        <v>376</v>
      </c>
      <c r="C879" s="594">
        <f t="shared" ref="C879:H881" ca="1" si="66">C878*C848</f>
        <v>4.0038840581161639E-3</v>
      </c>
      <c r="D879" s="594">
        <f t="shared" ca="1" si="66"/>
        <v>0</v>
      </c>
      <c r="E879" s="594">
        <f t="shared" ca="1" si="66"/>
        <v>2.8618693513159047E-11</v>
      </c>
      <c r="F879" s="594">
        <f t="shared" ca="1" si="66"/>
        <v>0</v>
      </c>
      <c r="G879" s="594">
        <f t="shared" ca="1" si="66"/>
        <v>1.5755206799019548E-3</v>
      </c>
      <c r="H879" s="594">
        <f t="shared" ca="1" si="66"/>
        <v>4.0406380930785909E-3</v>
      </c>
      <c r="I879" s="344" t="s">
        <v>302</v>
      </c>
      <c r="J879" s="472">
        <f ca="1">C879*Units!$C$125</f>
        <v>0.38833671479668669</v>
      </c>
      <c r="K879" s="472">
        <f ca="1">D879*Units!$C$125</f>
        <v>0</v>
      </c>
      <c r="L879" s="472">
        <f ca="1">E879*Units!$C$125</f>
        <v>2.7757270838412958E-9</v>
      </c>
      <c r="M879" s="472">
        <f ca="1">F879*Units!$C$125</f>
        <v>0</v>
      </c>
      <c r="N879" s="472">
        <f ca="1">G879*Units!$C$125</f>
        <v>0.15280975074369058</v>
      </c>
      <c r="O879" s="446">
        <f ca="1">H879*Units!$C$125</f>
        <v>0.39190148864769253</v>
      </c>
      <c r="P879" s="172"/>
      <c r="R879" s="172"/>
      <c r="T879" s="172"/>
      <c r="V879" s="172"/>
      <c r="X879" s="172"/>
    </row>
    <row r="880" spans="1:24" ht="15.75" customHeight="1" x14ac:dyDescent="0.2">
      <c r="A880" s="317" t="s">
        <v>1475</v>
      </c>
      <c r="B880" s="344" t="s">
        <v>376</v>
      </c>
      <c r="C880" s="594">
        <f t="shared" ca="1" si="66"/>
        <v>2.4687748982672953E-4</v>
      </c>
      <c r="D880" s="594">
        <f t="shared" ca="1" si="66"/>
        <v>0</v>
      </c>
      <c r="E880" s="594">
        <f t="shared" ca="1" si="66"/>
        <v>1.1133963767373871E-4</v>
      </c>
      <c r="F880" s="594">
        <f t="shared" ca="1" si="66"/>
        <v>0</v>
      </c>
      <c r="G880" s="594">
        <f t="shared" ca="1" si="66"/>
        <v>9.7145817655694841E-10</v>
      </c>
      <c r="H880" s="594">
        <f t="shared" ca="1" si="66"/>
        <v>7.8786163653659345E-4</v>
      </c>
      <c r="I880" s="344" t="s">
        <v>302</v>
      </c>
      <c r="J880" s="472">
        <f ca="1">C880*Units!$C$126</f>
        <v>2.3695301473569502E-2</v>
      </c>
      <c r="K880" s="472">
        <f ca="1">D880*Units!$C$126</f>
        <v>0</v>
      </c>
      <c r="L880" s="472">
        <f ca="1">E880*Units!$C$126</f>
        <v>1.0686378423925441E-2</v>
      </c>
      <c r="M880" s="472">
        <f ca="1">F880*Units!$C$126</f>
        <v>0</v>
      </c>
      <c r="N880" s="472">
        <f ca="1">G880*Units!$C$126</f>
        <v>9.3240555785935913E-8</v>
      </c>
      <c r="O880" s="446">
        <f ca="1">H880*Units!$C$126</f>
        <v>7.5618959874782246E-2</v>
      </c>
      <c r="P880" s="172"/>
      <c r="R880" s="172"/>
      <c r="T880" s="172"/>
      <c r="V880" s="172"/>
      <c r="X880" s="172"/>
    </row>
    <row r="881" spans="1:24" ht="15.75" customHeight="1" x14ac:dyDescent="0.2">
      <c r="A881" s="317" t="s">
        <v>1476</v>
      </c>
      <c r="B881" s="344" t="s">
        <v>376</v>
      </c>
      <c r="C881" s="594">
        <f t="shared" ca="1" si="66"/>
        <v>5.1580018428994337E-11</v>
      </c>
      <c r="D881" s="594">
        <f t="shared" ca="1" si="66"/>
        <v>0</v>
      </c>
      <c r="E881" s="594">
        <f t="shared" ca="1" si="66"/>
        <v>1.4677422763183525E-3</v>
      </c>
      <c r="F881" s="594">
        <f t="shared" ca="1" si="66"/>
        <v>0</v>
      </c>
      <c r="G881" s="594">
        <f t="shared" ca="1" si="66"/>
        <v>2.0296638095669484E-21</v>
      </c>
      <c r="H881" s="594">
        <f t="shared" ca="1" si="66"/>
        <v>5.2053502119626859E-10</v>
      </c>
      <c r="I881" s="344" t="s">
        <v>302</v>
      </c>
      <c r="J881" s="472">
        <f ca="1">C881*Units!$C$127</f>
        <v>4.8985543502015921E-9</v>
      </c>
      <c r="K881" s="472">
        <f ca="1">D881*Units!$C$127</f>
        <v>0</v>
      </c>
      <c r="L881" s="472">
        <f ca="1">E881*Units!$C$127</f>
        <v>0.13939148398195395</v>
      </c>
      <c r="M881" s="472">
        <f ca="1">F881*Units!$C$127</f>
        <v>0</v>
      </c>
      <c r="N881" s="472">
        <f ca="1">G881*Units!$C$127</f>
        <v>1.9275717199457308E-19</v>
      </c>
      <c r="O881" s="446">
        <f ca="1">H881*Units!$C$127</f>
        <v>4.9435210963009625E-8</v>
      </c>
      <c r="P881" s="172"/>
      <c r="R881" s="172"/>
      <c r="T881" s="172"/>
      <c r="V881" s="172"/>
      <c r="X881" s="172"/>
    </row>
    <row r="882" spans="1:24" ht="15.75" customHeight="1" x14ac:dyDescent="0.2">
      <c r="A882" s="317" t="s">
        <v>1477</v>
      </c>
      <c r="B882" s="344" t="s">
        <v>376</v>
      </c>
      <c r="C882" s="594">
        <f ca="1">C838/((C851*Units!$C$121+Units!$C$122))</f>
        <v>1.6421269332024271E-2</v>
      </c>
      <c r="D882" s="594">
        <f ca="1">D838/((D851*Units!$C$121+Units!$C$122))</f>
        <v>1.4945874880848543E-5</v>
      </c>
      <c r="E882" s="594">
        <f ca="1">E838/((E851*Units!$C$121+Units!$C$122))</f>
        <v>6.0645693931554445E-7</v>
      </c>
      <c r="F882" s="594">
        <f ca="1">F838/((F851*Units!$C$121+Units!$C$122))</f>
        <v>1.4351400107519296E-3</v>
      </c>
      <c r="G882" s="594">
        <f ca="1">G838/((G851*Units!$C$121+Units!$C$122))</f>
        <v>1.6537614326349673E-4</v>
      </c>
      <c r="H882" s="594">
        <f ca="1">H838/((H851*Units!$C$121+Units!$C$122))</f>
        <v>1.3672460036595026E-2</v>
      </c>
      <c r="I882" s="344" t="s">
        <v>302</v>
      </c>
      <c r="J882" s="472">
        <f ca="1">C882*Units!$C$122</f>
        <v>0.29623969874971784</v>
      </c>
      <c r="K882" s="472">
        <f ca="1">D882*Units!$C$122</f>
        <v>2.6962358285050769E-4</v>
      </c>
      <c r="L882" s="472">
        <f ca="1">E882*Units!$C$122</f>
        <v>1.0940483185252421E-5</v>
      </c>
      <c r="M882" s="472">
        <f ca="1">F882*Units!$C$122</f>
        <v>2.5889925793964808E-2</v>
      </c>
      <c r="N882" s="472">
        <f ca="1">G882*Units!$C$122</f>
        <v>2.9833856244734806E-3</v>
      </c>
      <c r="O882" s="446">
        <f ca="1">H882*Units!$C$122</f>
        <v>0.24665117906017425</v>
      </c>
      <c r="P882" s="172"/>
      <c r="R882" s="172"/>
      <c r="T882" s="172"/>
      <c r="V882" s="172"/>
      <c r="X882" s="172"/>
    </row>
    <row r="883" spans="1:24" ht="15.75" customHeight="1" x14ac:dyDescent="0.2">
      <c r="A883" s="318" t="s">
        <v>1478</v>
      </c>
      <c r="B883" s="347" t="s">
        <v>376</v>
      </c>
      <c r="C883" s="415">
        <f t="shared" ref="C883:H883" ca="1" si="67">C882*C851</f>
        <v>9.02415869857203E-6</v>
      </c>
      <c r="D883" s="415">
        <f t="shared" ca="1" si="67"/>
        <v>8.2133691425882407E-2</v>
      </c>
      <c r="E883" s="415">
        <f t="shared" ca="1" si="67"/>
        <v>2.1028096907335456E-2</v>
      </c>
      <c r="F883" s="415">
        <f t="shared" ca="1" si="67"/>
        <v>7.8866809561665466E-11</v>
      </c>
      <c r="G883" s="415">
        <f t="shared" ca="1" si="67"/>
        <v>9.0880950284225444E-13</v>
      </c>
      <c r="H883" s="415">
        <f t="shared" ca="1" si="67"/>
        <v>2.3760012382637548E-5</v>
      </c>
      <c r="I883" s="347" t="s">
        <v>302</v>
      </c>
      <c r="J883" s="416">
        <f ca="1">C883*Units!$C$121</f>
        <v>1.5369044679538024E-4</v>
      </c>
      <c r="K883" s="416">
        <f ca="1">D883*Units!$C$121</f>
        <v>1.3988188986742032</v>
      </c>
      <c r="L883" s="416">
        <f ca="1">E883*Units!$C$121</f>
        <v>0.35812951842883012</v>
      </c>
      <c r="M883" s="416">
        <f ca="1">F883*Units!$C$121</f>
        <v>1.3431806336447245E-9</v>
      </c>
      <c r="N883" s="416">
        <f ca="1">G883*Units!$C$121</f>
        <v>1.5477934642906435E-11</v>
      </c>
      <c r="O883" s="464">
        <f ca="1">H883*Units!$C$121</f>
        <v>4.0465677088870003E-4</v>
      </c>
      <c r="P883" s="172"/>
      <c r="R883" s="172"/>
      <c r="T883" s="172"/>
      <c r="V883" s="172"/>
      <c r="X883" s="172"/>
    </row>
    <row r="884" spans="1:24" ht="15.75" customHeight="1" x14ac:dyDescent="0.2">
      <c r="A884" s="637"/>
      <c r="B884" s="172"/>
      <c r="C884" s="594"/>
      <c r="D884" s="172"/>
      <c r="E884" s="472"/>
      <c r="O884" s="367"/>
    </row>
    <row r="885" spans="1:24" ht="15.75" customHeight="1" x14ac:dyDescent="0.2">
      <c r="A885" s="616" t="s">
        <v>1684</v>
      </c>
      <c r="B885" s="617"/>
      <c r="C885" s="618"/>
      <c r="D885" s="617"/>
      <c r="E885" s="619"/>
      <c r="O885" s="367"/>
    </row>
    <row r="886" spans="1:24" ht="15.75" customHeight="1" x14ac:dyDescent="0.2">
      <c r="A886" s="373" t="s">
        <v>580</v>
      </c>
      <c r="B886" s="373" t="s">
        <v>372</v>
      </c>
      <c r="C886" s="373" t="s">
        <v>42</v>
      </c>
      <c r="D886" s="374" t="s">
        <v>372</v>
      </c>
      <c r="E886" s="373" t="s">
        <v>42</v>
      </c>
      <c r="O886" s="367"/>
    </row>
    <row r="887" spans="1:24" ht="15.75" customHeight="1" x14ac:dyDescent="0.2">
      <c r="A887" s="430" t="s">
        <v>536</v>
      </c>
      <c r="B887" s="342" t="s">
        <v>391</v>
      </c>
      <c r="C887" s="361">
        <f ca="1">(C730*Units!C$14)/C747</f>
        <v>9618.7768972952217</v>
      </c>
      <c r="D887" s="433" t="s">
        <v>444</v>
      </c>
      <c r="E887" s="434">
        <f ca="1">C887/Units!C$14</f>
        <v>9.6187768972952217</v>
      </c>
      <c r="G887" s="385"/>
      <c r="H887" s="1516" t="s">
        <v>1803</v>
      </c>
      <c r="I887" s="1516"/>
      <c r="J887" s="1516"/>
      <c r="O887" s="367"/>
    </row>
    <row r="888" spans="1:24" ht="15.75" customHeight="1" x14ac:dyDescent="0.2">
      <c r="A888" s="316" t="s">
        <v>393</v>
      </c>
      <c r="B888" s="342" t="s">
        <v>267</v>
      </c>
      <c r="C888" s="493">
        <f ca="1">(N857*Inputs!F$13/1050*Units!C$14)/Units!C$84</f>
        <v>5.6300450625988829E-3</v>
      </c>
      <c r="D888" s="341" t="s">
        <v>435</v>
      </c>
      <c r="E888" s="461">
        <f t="shared" ref="E888:E914" ca="1" si="68">C888/E$887</f>
        <v>5.8531818782303169E-4</v>
      </c>
      <c r="H888" s="377"/>
      <c r="I888" s="286" t="s">
        <v>534</v>
      </c>
      <c r="J888" s="286" t="s">
        <v>910</v>
      </c>
      <c r="O888" s="367"/>
    </row>
    <row r="889" spans="1:24" ht="15.75" customHeight="1" x14ac:dyDescent="0.2">
      <c r="A889" s="317" t="s">
        <v>400</v>
      </c>
      <c r="B889" s="344" t="s">
        <v>267</v>
      </c>
      <c r="C889" s="446">
        <f ca="1">(N858*Inputs!F$13/1050*Units!C$14)/Units!C$84</f>
        <v>31.468680556856686</v>
      </c>
      <c r="D889" s="344" t="s">
        <v>435</v>
      </c>
      <c r="E889" s="446">
        <f t="shared" ca="1" si="68"/>
        <v>3.2715885702376162</v>
      </c>
      <c r="H889" s="317" t="str">
        <f>A889</f>
        <v>Acetic Acid</v>
      </c>
      <c r="I889" s="638">
        <f ca="1">E889</f>
        <v>3.2715885702376162</v>
      </c>
      <c r="J889" s="349">
        <f ca="1">I970/(C1000/1000)</f>
        <v>2.666007961363805</v>
      </c>
      <c r="O889" s="367"/>
    </row>
    <row r="890" spans="1:24" ht="15.75" customHeight="1" x14ac:dyDescent="0.2">
      <c r="A890" s="317" t="s">
        <v>394</v>
      </c>
      <c r="B890" s="344" t="s">
        <v>267</v>
      </c>
      <c r="C890" s="446">
        <f ca="1">(N859*Inputs!F$13/1050*Units!C$14)/Units!C$84</f>
        <v>1.8121722620975871E-2</v>
      </c>
      <c r="D890" s="344" t="s">
        <v>435</v>
      </c>
      <c r="E890" s="446">
        <f t="shared" ca="1" si="68"/>
        <v>1.8839944843789503E-3</v>
      </c>
      <c r="H890" s="317" t="str">
        <f>A891</f>
        <v>Propionic Acid</v>
      </c>
      <c r="I890" s="638">
        <f ca="1">E891</f>
        <v>10.496427087638724</v>
      </c>
      <c r="J890" s="349">
        <f ca="1">I972/(C1000/1000)</f>
        <v>48.315844554559305</v>
      </c>
      <c r="O890" s="367"/>
    </row>
    <row r="891" spans="1:24" ht="15.75" customHeight="1" x14ac:dyDescent="0.2">
      <c r="A891" s="317" t="s">
        <v>401</v>
      </c>
      <c r="B891" s="344" t="s">
        <v>267</v>
      </c>
      <c r="C891" s="446">
        <f ca="1">(N860*Inputs!F$13/1050*Units!C$14)/Units!C$84</f>
        <v>100.96279037472313</v>
      </c>
      <c r="D891" s="344" t="s">
        <v>435</v>
      </c>
      <c r="E891" s="446">
        <f t="shared" ca="1" si="68"/>
        <v>10.496427087638724</v>
      </c>
      <c r="H891" s="317" t="str">
        <f>A893</f>
        <v>Butyric Acid</v>
      </c>
      <c r="I891" s="638">
        <f ca="1">E893</f>
        <v>14.484402613251431</v>
      </c>
      <c r="J891" s="349">
        <f ca="1">I974/(C1000/1000)</f>
        <v>145.18927312765371</v>
      </c>
      <c r="O891" s="367"/>
    </row>
    <row r="892" spans="1:24" ht="15.75" customHeight="1" x14ac:dyDescent="0.2">
      <c r="A892" s="317" t="s">
        <v>396</v>
      </c>
      <c r="B892" s="344" t="s">
        <v>267</v>
      </c>
      <c r="C892" s="446">
        <f ca="1">(N861*Inputs!F$13/1050*Units!C$14)/Units!C$84</f>
        <v>2.5061865416998272E-2</v>
      </c>
      <c r="D892" s="344" t="s">
        <v>435</v>
      </c>
      <c r="E892" s="446">
        <f t="shared" ca="1" si="68"/>
        <v>2.6055147847379237E-3</v>
      </c>
      <c r="H892" s="317" t="str">
        <f>A895</f>
        <v>Isobutyric Acid</v>
      </c>
      <c r="I892" s="638">
        <f ca="1">E895</f>
        <v>0</v>
      </c>
      <c r="J892" s="349">
        <f ca="1">I976/(C1000/1000)</f>
        <v>0</v>
      </c>
      <c r="O892" s="367"/>
    </row>
    <row r="893" spans="1:24" ht="15.75" customHeight="1" x14ac:dyDescent="0.2">
      <c r="A893" s="317" t="s">
        <v>402</v>
      </c>
      <c r="B893" s="344" t="s">
        <v>267</v>
      </c>
      <c r="C893" s="446">
        <f ca="1">(N862*Inputs!F$13/1050*Units!C$14)/Units!C$84</f>
        <v>139.32223722746539</v>
      </c>
      <c r="D893" s="344" t="s">
        <v>435</v>
      </c>
      <c r="E893" s="446">
        <f t="shared" ca="1" si="68"/>
        <v>14.484402613251431</v>
      </c>
      <c r="H893" s="317" t="str">
        <f>A897</f>
        <v>Valeric Acid</v>
      </c>
      <c r="I893" s="638">
        <f ca="1">E897</f>
        <v>22.905879986966596</v>
      </c>
      <c r="J893" s="349">
        <f ca="1">I978/(C1000/1000)</f>
        <v>231.73074950302254</v>
      </c>
      <c r="O893" s="367"/>
    </row>
    <row r="894" spans="1:24" ht="15.75" customHeight="1" x14ac:dyDescent="0.2">
      <c r="A894" s="317" t="s">
        <v>395</v>
      </c>
      <c r="B894" s="344" t="s">
        <v>267</v>
      </c>
      <c r="C894" s="446">
        <f>(N863*Inputs!F$13/1050*Units!C$14)/Units!C$84</f>
        <v>0</v>
      </c>
      <c r="D894" s="344" t="s">
        <v>435</v>
      </c>
      <c r="E894" s="446">
        <f t="shared" ca="1" si="68"/>
        <v>0</v>
      </c>
      <c r="H894" s="317" t="str">
        <f>A899</f>
        <v>Isovaleric Acid</v>
      </c>
      <c r="I894" s="638">
        <f ca="1">E899</f>
        <v>1.9964324987193443</v>
      </c>
      <c r="J894" s="349">
        <f ca="1">I980/(C1000/1000)</f>
        <v>20.197206984567458</v>
      </c>
      <c r="O894" s="367"/>
    </row>
    <row r="895" spans="1:24" ht="15.75" customHeight="1" x14ac:dyDescent="0.2">
      <c r="A895" s="317" t="s">
        <v>403</v>
      </c>
      <c r="B895" s="344" t="s">
        <v>267</v>
      </c>
      <c r="C895" s="446">
        <f>(N864*Inputs!F$13/1050*Units!C$14)/Units!C$84</f>
        <v>0</v>
      </c>
      <c r="D895" s="344" t="s">
        <v>435</v>
      </c>
      <c r="E895" s="446">
        <f t="shared" ca="1" si="68"/>
        <v>0</v>
      </c>
      <c r="H895" s="317" t="str">
        <f>A901</f>
        <v>Caproic Acid</v>
      </c>
      <c r="I895" s="638">
        <f ca="1">E901</f>
        <v>51.702306849377742</v>
      </c>
      <c r="J895" s="349">
        <f ca="1">I982/(C1000/1000)</f>
        <v>523.05409458439203</v>
      </c>
      <c r="O895" s="367"/>
    </row>
    <row r="896" spans="1:24" ht="15.75" customHeight="1" x14ac:dyDescent="0.2">
      <c r="A896" s="317" t="s">
        <v>397</v>
      </c>
      <c r="B896" s="344" t="s">
        <v>267</v>
      </c>
      <c r="C896" s="446">
        <f ca="1">(N865*Inputs!F$13/1050*Units!C$14)/Units!C$84</f>
        <v>3.9696348674339146E-2</v>
      </c>
      <c r="D896" s="344" t="s">
        <v>435</v>
      </c>
      <c r="E896" s="446">
        <f t="shared" ca="1" si="68"/>
        <v>4.1269642801988341E-3</v>
      </c>
      <c r="H896" s="317" t="str">
        <f>A903</f>
        <v>Heptanoic Acid</v>
      </c>
      <c r="I896" s="638">
        <f ca="1">E903</f>
        <v>2.8514207699053142</v>
      </c>
      <c r="J896" s="349">
        <f ca="1">I984/(C1000/1000)</f>
        <v>28.846823284441214</v>
      </c>
      <c r="O896" s="367"/>
    </row>
    <row r="897" spans="1:15" ht="15.75" customHeight="1" x14ac:dyDescent="0.2">
      <c r="A897" s="317" t="s">
        <v>404</v>
      </c>
      <c r="B897" s="344" t="s">
        <v>267</v>
      </c>
      <c r="C897" s="446">
        <f ca="1">(N866*Inputs!F$13/1050*Units!C$14)/Units!C$84</f>
        <v>220.32654923085127</v>
      </c>
      <c r="D897" s="344" t="s">
        <v>435</v>
      </c>
      <c r="E897" s="446">
        <f t="shared" ca="1" si="68"/>
        <v>22.905879986966596</v>
      </c>
      <c r="H897" s="317" t="s">
        <v>482</v>
      </c>
      <c r="I897" s="638">
        <f ca="1">SUM(E913:E914)</f>
        <v>7.3848257617232975E-3</v>
      </c>
      <c r="J897" s="317"/>
      <c r="O897" s="367"/>
    </row>
    <row r="898" spans="1:15" ht="15.75" customHeight="1" x14ac:dyDescent="0.2">
      <c r="A898" s="317" t="s">
        <v>398</v>
      </c>
      <c r="B898" s="344" t="s">
        <v>267</v>
      </c>
      <c r="C898" s="446">
        <f>(N867*Inputs!F$13/1050*Units!C$14)/Units!C$84</f>
        <v>3.4598574959372416E-3</v>
      </c>
      <c r="D898" s="344" t="s">
        <v>435</v>
      </c>
      <c r="E898" s="446">
        <f t="shared" ca="1" si="68"/>
        <v>3.5969827898910367E-4</v>
      </c>
      <c r="H898" s="317" t="s">
        <v>1689</v>
      </c>
      <c r="I898" s="638">
        <f ca="1">SUM(E907:E908)</f>
        <v>0</v>
      </c>
      <c r="J898" s="317"/>
      <c r="O898" s="367"/>
    </row>
    <row r="899" spans="1:15" ht="15.75" customHeight="1" x14ac:dyDescent="0.2">
      <c r="A899" s="317" t="s">
        <v>405</v>
      </c>
      <c r="B899" s="344" t="s">
        <v>267</v>
      </c>
      <c r="C899" s="446">
        <f>(N868*Inputs!F$13/1050*Units!C$14)/Units!C$84</f>
        <v>19.203238795691</v>
      </c>
      <c r="D899" s="344" t="s">
        <v>435</v>
      </c>
      <c r="E899" s="446">
        <f t="shared" ca="1" si="68"/>
        <v>1.9964324987193443</v>
      </c>
      <c r="H899" s="318" t="s">
        <v>1693</v>
      </c>
      <c r="I899" s="639">
        <f ca="1">SUM(E909:E910)</f>
        <v>5.6536411410157932</v>
      </c>
      <c r="J899" s="318"/>
      <c r="O899" s="367"/>
    </row>
    <row r="900" spans="1:15" ht="15.75" customHeight="1" x14ac:dyDescent="0.2">
      <c r="A900" s="317" t="s">
        <v>578</v>
      </c>
      <c r="B900" s="344" t="s">
        <v>267</v>
      </c>
      <c r="C900" s="446">
        <f ca="1">(N869*Inputs!F$13/1050*Units!C$14)/Units!C$84</f>
        <v>8.9709226359913213E-2</v>
      </c>
      <c r="D900" s="344" t="s">
        <v>435</v>
      </c>
      <c r="E900" s="446">
        <f t="shared" ca="1" si="68"/>
        <v>9.3264691881084424E-3</v>
      </c>
      <c r="H900" s="377" t="s">
        <v>1764</v>
      </c>
      <c r="I900" s="440">
        <f ca="1">E887-I901</f>
        <v>8.5825666349540093</v>
      </c>
      <c r="J900" s="440"/>
      <c r="O900" s="367"/>
    </row>
    <row r="901" spans="1:15" ht="15.75" customHeight="1" x14ac:dyDescent="0.2">
      <c r="A901" s="317" t="s">
        <v>420</v>
      </c>
      <c r="B901" s="344" t="s">
        <v>267</v>
      </c>
      <c r="C901" s="446">
        <f ca="1">(N870*Inputs!F$13/1050*Units!C$14)/Units!C$84</f>
        <v>497.31295465966315</v>
      </c>
      <c r="D901" s="344" t="s">
        <v>435</v>
      </c>
      <c r="E901" s="446">
        <f t="shared" ca="1" si="68"/>
        <v>51.702306849377742</v>
      </c>
      <c r="H901" s="377" t="s">
        <v>1897</v>
      </c>
      <c r="I901" s="640">
        <f ca="1">SUM(C888:C903)/Units!C15</f>
        <v>1.0362102623412117</v>
      </c>
      <c r="J901" s="440">
        <f ca="1">SUM(C1001:C1008)/Units!C15</f>
        <v>0.95078684940764624</v>
      </c>
      <c r="O901" s="367"/>
    </row>
    <row r="902" spans="1:15" ht="15.75" customHeight="1" x14ac:dyDescent="0.2">
      <c r="A902" s="317" t="s">
        <v>407</v>
      </c>
      <c r="B902" s="344" t="s">
        <v>267</v>
      </c>
      <c r="C902" s="446">
        <f ca="1">(N871*Inputs!F$13/1050*Units!C$14)/Units!C$84</f>
        <v>4.9522042973004533E-3</v>
      </c>
      <c r="D902" s="344" t="s">
        <v>435</v>
      </c>
      <c r="E902" s="446">
        <f t="shared" ca="1" si="68"/>
        <v>5.1484761006287633E-4</v>
      </c>
      <c r="H902" s="377" t="s">
        <v>2315</v>
      </c>
      <c r="I902" s="641">
        <f ca="1">(I901/(I900+I901))*(1000/1050)</f>
        <v>0.10259796303134387</v>
      </c>
      <c r="J902" s="642">
        <f ca="1">J901/(J900+J901)</f>
        <v>1</v>
      </c>
      <c r="O902" s="367"/>
    </row>
    <row r="903" spans="1:15" ht="15.75" customHeight="1" x14ac:dyDescent="0.2">
      <c r="A903" s="317" t="s">
        <v>421</v>
      </c>
      <c r="B903" s="344" t="s">
        <v>267</v>
      </c>
      <c r="C903" s="446">
        <f ca="1">(N872*Inputs!F$13/1050*Units!C$14)/Units!C$84</f>
        <v>27.427180226032991</v>
      </c>
      <c r="D903" s="344" t="s">
        <v>435</v>
      </c>
      <c r="E903" s="446">
        <f t="shared" ca="1" si="68"/>
        <v>2.8514207699053142</v>
      </c>
      <c r="I903" s="472"/>
      <c r="J903" s="436"/>
      <c r="O903" s="367"/>
    </row>
    <row r="904" spans="1:15" ht="15.75" customHeight="1" x14ac:dyDescent="0.2">
      <c r="A904" s="317" t="s">
        <v>1686</v>
      </c>
      <c r="B904" s="344" t="s">
        <v>267</v>
      </c>
      <c r="C904" s="446">
        <f>(N873*Inputs!F$13/1050*Units!C$14)/Units!C$84</f>
        <v>5.9371639796901743</v>
      </c>
      <c r="D904" s="344" t="s">
        <v>435</v>
      </c>
      <c r="E904" s="446">
        <f t="shared" ca="1" si="68"/>
        <v>0.61724729069864293</v>
      </c>
      <c r="O904" s="367"/>
    </row>
    <row r="905" spans="1:15" ht="15.75" customHeight="1" x14ac:dyDescent="0.2">
      <c r="A905" s="317" t="s">
        <v>1687</v>
      </c>
      <c r="B905" s="344" t="s">
        <v>267</v>
      </c>
      <c r="C905" s="446">
        <f>(N874*Inputs!F$13/1050*Units!C$14)/Units!C$84</f>
        <v>3.0602411103720335E-7</v>
      </c>
      <c r="D905" s="344" t="s">
        <v>435</v>
      </c>
      <c r="E905" s="446">
        <f t="shared" ca="1" si="68"/>
        <v>3.1815283201261962E-8</v>
      </c>
      <c r="O905" s="367"/>
    </row>
    <row r="906" spans="1:15" ht="15.75" customHeight="1" x14ac:dyDescent="0.2">
      <c r="A906" s="317" t="s">
        <v>1164</v>
      </c>
      <c r="B906" s="344" t="s">
        <v>267</v>
      </c>
      <c r="C906" s="446">
        <f ca="1">(N875*Inputs!F$13/1050*Units!C$14)/Units!C$84</f>
        <v>0</v>
      </c>
      <c r="D906" s="344" t="s">
        <v>435</v>
      </c>
      <c r="E906" s="446">
        <f t="shared" ca="1" si="68"/>
        <v>0</v>
      </c>
      <c r="O906" s="367"/>
    </row>
    <row r="907" spans="1:15" ht="15.75" customHeight="1" x14ac:dyDescent="0.2">
      <c r="A907" s="317" t="s">
        <v>1688</v>
      </c>
      <c r="B907" s="344" t="s">
        <v>267</v>
      </c>
      <c r="C907" s="446">
        <f ca="1">(N876*Inputs!F$13/1050*Units!C$14)/Units!C$84</f>
        <v>0</v>
      </c>
      <c r="D907" s="344" t="s">
        <v>435</v>
      </c>
      <c r="E907" s="446">
        <f t="shared" ca="1" si="68"/>
        <v>0</v>
      </c>
      <c r="G907" s="472"/>
      <c r="O907" s="367"/>
    </row>
    <row r="908" spans="1:15" ht="15.75" customHeight="1" x14ac:dyDescent="0.2">
      <c r="A908" s="317" t="s">
        <v>1689</v>
      </c>
      <c r="B908" s="344" t="s">
        <v>267</v>
      </c>
      <c r="C908" s="446">
        <f ca="1">(N877*Inputs!F$13/1050*Units!C$14)/Units!C$84</f>
        <v>0</v>
      </c>
      <c r="D908" s="344" t="s">
        <v>435</v>
      </c>
      <c r="E908" s="446">
        <f t="shared" ca="1" si="68"/>
        <v>0</v>
      </c>
      <c r="O908" s="367"/>
    </row>
    <row r="909" spans="1:15" ht="15.75" customHeight="1" x14ac:dyDescent="0.2">
      <c r="A909" s="317" t="s">
        <v>1690</v>
      </c>
      <c r="B909" s="344" t="s">
        <v>267</v>
      </c>
      <c r="C909" s="446">
        <f ca="1">(N878*Inputs!F$13/1050*Units!C$14)/Units!C$84</f>
        <v>50.742785394141208</v>
      </c>
      <c r="D909" s="344" t="s">
        <v>435</v>
      </c>
      <c r="E909" s="446">
        <f t="shared" ca="1" si="68"/>
        <v>5.2753885380593415</v>
      </c>
      <c r="O909" s="367"/>
    </row>
    <row r="910" spans="1:15" ht="15.75" customHeight="1" x14ac:dyDescent="0.2">
      <c r="A910" s="317" t="s">
        <v>1691</v>
      </c>
      <c r="B910" s="344" t="s">
        <v>267</v>
      </c>
      <c r="C910" s="446">
        <f ca="1">(N879*Inputs!F$13/1050*Units!C$14)/Units!C$84</f>
        <v>3.6383273986592992</v>
      </c>
      <c r="D910" s="344" t="s">
        <v>435</v>
      </c>
      <c r="E910" s="446">
        <f t="shared" ca="1" si="68"/>
        <v>0.37825260295645163</v>
      </c>
      <c r="O910" s="367"/>
    </row>
    <row r="911" spans="1:15" ht="15.75" customHeight="1" x14ac:dyDescent="0.2">
      <c r="A911" s="317" t="s">
        <v>1692</v>
      </c>
      <c r="B911" s="344" t="s">
        <v>267</v>
      </c>
      <c r="C911" s="446">
        <f ca="1">(N880*Inputs!F$13/1050*Units!C$14)/Units!C$84</f>
        <v>2.220013232998474E-6</v>
      </c>
      <c r="D911" s="344" t="s">
        <v>435</v>
      </c>
      <c r="E911" s="446">
        <f t="shared" ca="1" si="68"/>
        <v>2.3079995062810291E-7</v>
      </c>
      <c r="O911" s="367"/>
    </row>
    <row r="912" spans="1:15" ht="15.75" customHeight="1" x14ac:dyDescent="0.2">
      <c r="A912" s="317" t="s">
        <v>1693</v>
      </c>
      <c r="B912" s="344" t="s">
        <v>267</v>
      </c>
      <c r="C912" s="446">
        <f ca="1">(N881*Inputs!F$13/1050*Units!C$14)/Units!C$84</f>
        <v>4.5894564760612645E-18</v>
      </c>
      <c r="D912" s="344" t="s">
        <v>435</v>
      </c>
      <c r="E912" s="446">
        <f t="shared" ca="1" si="68"/>
        <v>4.7713514151178718E-19</v>
      </c>
      <c r="O912" s="367"/>
    </row>
    <row r="913" spans="1:15" ht="15.75" customHeight="1" x14ac:dyDescent="0.2">
      <c r="A913" s="317" t="s">
        <v>1678</v>
      </c>
      <c r="B913" s="344" t="s">
        <v>267</v>
      </c>
      <c r="C913" s="446">
        <f ca="1">(N882*Inputs!F$13/1050*Units!C$14)/Units!C$84</f>
        <v>7.1032991058892395E-2</v>
      </c>
      <c r="D913" s="344" t="s">
        <v>435</v>
      </c>
      <c r="E913" s="446">
        <f t="shared" ca="1" si="68"/>
        <v>7.3848257234105001E-3</v>
      </c>
      <c r="O913" s="367"/>
    </row>
    <row r="914" spans="1:15" ht="15.75" customHeight="1" x14ac:dyDescent="0.2">
      <c r="A914" s="318" t="s">
        <v>482</v>
      </c>
      <c r="B914" s="347" t="s">
        <v>267</v>
      </c>
      <c r="C914" s="464">
        <f ca="1">(N883*Inputs!F$13/1050*Units!C$14)/Units!C$84</f>
        <v>3.6852225340253417E-10</v>
      </c>
      <c r="D914" s="347" t="s">
        <v>435</v>
      </c>
      <c r="E914" s="464">
        <f t="shared" ca="1" si="68"/>
        <v>3.8312797701562432E-11</v>
      </c>
      <c r="O914" s="367"/>
    </row>
    <row r="915" spans="1:15" ht="15.75" customHeight="1" x14ac:dyDescent="0.2">
      <c r="A915" s="375"/>
      <c r="B915" s="172"/>
      <c r="C915" s="472"/>
      <c r="D915" s="172"/>
      <c r="E915" s="472"/>
      <c r="O915" s="367"/>
    </row>
    <row r="916" spans="1:15" ht="15.75" customHeight="1" x14ac:dyDescent="0.2">
      <c r="A916" s="1516" t="s">
        <v>2778</v>
      </c>
      <c r="B916" s="1516"/>
      <c r="C916" s="472"/>
      <c r="D916" s="172"/>
      <c r="E916" s="472"/>
      <c r="O916" s="367"/>
    </row>
    <row r="917" spans="1:15" ht="15.75" customHeight="1" x14ac:dyDescent="0.2">
      <c r="A917" s="440">
        <f ca="1">E887*C746</f>
        <v>96.187768972952213</v>
      </c>
      <c r="B917" s="368" t="s">
        <v>267</v>
      </c>
      <c r="C917" s="472"/>
      <c r="D917" s="172"/>
      <c r="E917" s="472"/>
      <c r="O917" s="367"/>
    </row>
    <row r="918" spans="1:15" ht="15.75" customHeight="1" x14ac:dyDescent="0.2">
      <c r="A918" s="414"/>
      <c r="B918" s="178"/>
      <c r="C918" s="415"/>
      <c r="D918" s="178"/>
      <c r="E918" s="416"/>
      <c r="F918" s="248"/>
      <c r="G918" s="248"/>
      <c r="H918" s="248"/>
      <c r="I918" s="248"/>
      <c r="J918" s="248"/>
      <c r="K918" s="248"/>
      <c r="L918" s="248"/>
      <c r="M918" s="248"/>
      <c r="N918" s="248"/>
      <c r="O918" s="369"/>
    </row>
    <row r="919" spans="1:15" ht="15.75" customHeight="1" x14ac:dyDescent="0.2"/>
    <row r="920" spans="1:15" s="385" customFormat="1" ht="15.75" customHeight="1" thickBot="1" x14ac:dyDescent="0.25"/>
    <row r="921" spans="1:15" s="385" customFormat="1" ht="53" customHeight="1" thickBot="1" x14ac:dyDescent="0.25">
      <c r="A921" s="2053" t="s">
        <v>1725</v>
      </c>
      <c r="B921" s="2054"/>
      <c r="C921" s="644"/>
      <c r="D921" s="644"/>
      <c r="E921" s="645"/>
      <c r="F921" s="645"/>
      <c r="G921" s="645"/>
      <c r="H921" s="645"/>
      <c r="I921" s="646"/>
    </row>
    <row r="922" spans="1:15" s="385" customFormat="1" ht="15.75" customHeight="1" x14ac:dyDescent="0.2">
      <c r="A922" s="373" t="s">
        <v>580</v>
      </c>
      <c r="B922" s="373" t="s">
        <v>372</v>
      </c>
      <c r="C922" s="373" t="s">
        <v>42</v>
      </c>
      <c r="D922" s="374" t="s">
        <v>372</v>
      </c>
      <c r="E922" s="373" t="s">
        <v>42</v>
      </c>
      <c r="F922" s="374" t="s">
        <v>372</v>
      </c>
      <c r="G922" s="373" t="s">
        <v>42</v>
      </c>
      <c r="H922" s="374" t="s">
        <v>372</v>
      </c>
      <c r="I922" s="373" t="s">
        <v>42</v>
      </c>
    </row>
    <row r="923" spans="1:15" s="385" customFormat="1" ht="15.75" customHeight="1" x14ac:dyDescent="0.2">
      <c r="A923" s="647" t="s">
        <v>1701</v>
      </c>
      <c r="B923" s="432"/>
      <c r="C923" s="432"/>
      <c r="D923" s="432"/>
      <c r="E923" s="432"/>
      <c r="F923" s="432"/>
      <c r="G923" s="432"/>
      <c r="H923" s="398"/>
      <c r="I923" s="399"/>
      <c r="J923" s="485"/>
    </row>
    <row r="924" spans="1:15" s="385" customFormat="1" ht="15.75" customHeight="1" x14ac:dyDescent="0.2">
      <c r="A924" s="519" t="s">
        <v>1694</v>
      </c>
      <c r="B924" s="1543" t="s">
        <v>1695</v>
      </c>
      <c r="C924" s="1544"/>
      <c r="D924" s="1540" t="s">
        <v>1711</v>
      </c>
      <c r="E924" s="1541"/>
      <c r="I924" s="386"/>
    </row>
    <row r="925" spans="1:15" s="385" customFormat="1" ht="15.75" customHeight="1" x14ac:dyDescent="0.2">
      <c r="A925" s="316" t="s">
        <v>447</v>
      </c>
      <c r="B925" s="400" t="s">
        <v>267</v>
      </c>
      <c r="C925" s="401">
        <v>50.9</v>
      </c>
      <c r="D925" s="500" t="s">
        <v>1713</v>
      </c>
      <c r="E925" s="607">
        <f>C925/C930</f>
        <v>5.1403756816804681E-3</v>
      </c>
      <c r="I925" s="386"/>
    </row>
    <row r="926" spans="1:15" s="385" customFormat="1" ht="15.75" customHeight="1" x14ac:dyDescent="0.2">
      <c r="A926" s="317" t="s">
        <v>448</v>
      </c>
      <c r="B926" s="402" t="s">
        <v>267</v>
      </c>
      <c r="C926" s="403">
        <v>20</v>
      </c>
      <c r="D926" s="496"/>
      <c r="I926" s="386"/>
    </row>
    <row r="927" spans="1:15" s="385" customFormat="1" ht="15.75" customHeight="1" x14ac:dyDescent="0.2">
      <c r="A927" s="317" t="s">
        <v>449</v>
      </c>
      <c r="B927" s="402" t="s">
        <v>267</v>
      </c>
      <c r="C927" s="403">
        <v>10.9</v>
      </c>
      <c r="D927" s="496"/>
      <c r="I927" s="386"/>
    </row>
    <row r="928" spans="1:15" s="385" customFormat="1" ht="15.75" customHeight="1" x14ac:dyDescent="0.2">
      <c r="A928" s="317" t="s">
        <v>1438</v>
      </c>
      <c r="B928" s="402" t="s">
        <v>267</v>
      </c>
      <c r="C928" s="403">
        <v>11.4</v>
      </c>
      <c r="D928" s="496"/>
      <c r="I928" s="386"/>
    </row>
    <row r="929" spans="1:9" s="385" customFormat="1" ht="15.75" customHeight="1" x14ac:dyDescent="0.2">
      <c r="A929" s="317" t="s">
        <v>452</v>
      </c>
      <c r="B929" s="402" t="s">
        <v>267</v>
      </c>
      <c r="C929" s="403">
        <v>4.9000000000000004</v>
      </c>
      <c r="D929" s="496"/>
      <c r="I929" s="386"/>
    </row>
    <row r="930" spans="1:9" s="385" customFormat="1" ht="15.75" customHeight="1" x14ac:dyDescent="0.2">
      <c r="A930" s="317" t="s">
        <v>721</v>
      </c>
      <c r="B930" s="402" t="s">
        <v>267</v>
      </c>
      <c r="C930" s="403">
        <v>9902</v>
      </c>
      <c r="D930" s="500" t="s">
        <v>1710</v>
      </c>
      <c r="E930" s="607">
        <f>C931/C930</f>
        <v>9.2910523126641081E-2</v>
      </c>
      <c r="I930" s="386"/>
    </row>
    <row r="931" spans="1:9" s="385" customFormat="1" ht="15.75" customHeight="1" x14ac:dyDescent="0.2">
      <c r="A931" s="354" t="s">
        <v>1567</v>
      </c>
      <c r="B931" s="402" t="s">
        <v>267</v>
      </c>
      <c r="C931" s="403">
        <v>920</v>
      </c>
      <c r="I931" s="386"/>
    </row>
    <row r="932" spans="1:9" s="385" customFormat="1" ht="15.75" customHeight="1" x14ac:dyDescent="0.2">
      <c r="A932" s="371" t="s">
        <v>1702</v>
      </c>
      <c r="B932" s="400" t="s">
        <v>902</v>
      </c>
      <c r="C932" s="401">
        <v>104</v>
      </c>
      <c r="I932" s="386"/>
    </row>
    <row r="933" spans="1:9" s="385" customFormat="1" ht="15.75" customHeight="1" x14ac:dyDescent="0.2">
      <c r="A933" s="354" t="s">
        <v>1703</v>
      </c>
      <c r="B933" s="402" t="s">
        <v>902</v>
      </c>
      <c r="C933" s="403">
        <v>30</v>
      </c>
      <c r="I933" s="386"/>
    </row>
    <row r="934" spans="1:9" s="385" customFormat="1" ht="15.75" customHeight="1" x14ac:dyDescent="0.2">
      <c r="A934" s="355" t="s">
        <v>385</v>
      </c>
      <c r="B934" s="494" t="s">
        <v>1708</v>
      </c>
      <c r="C934" s="405">
        <v>0.12</v>
      </c>
      <c r="I934" s="386"/>
    </row>
    <row r="935" spans="1:9" s="385" customFormat="1" ht="15.75" customHeight="1" x14ac:dyDescent="0.2">
      <c r="A935" s="519" t="s">
        <v>1698</v>
      </c>
      <c r="B935" s="1545" t="s">
        <v>1695</v>
      </c>
      <c r="C935" s="1545"/>
      <c r="D935" s="1537" t="s">
        <v>1696</v>
      </c>
      <c r="E935" s="1537"/>
      <c r="F935" s="413"/>
      <c r="I935" s="386"/>
    </row>
    <row r="936" spans="1:9" s="385" customFormat="1" ht="15.75" customHeight="1" x14ac:dyDescent="0.2">
      <c r="A936" s="317" t="s">
        <v>447</v>
      </c>
      <c r="B936" s="400" t="s">
        <v>267</v>
      </c>
      <c r="C936" s="401">
        <f>4.1+0.1</f>
        <v>4.1999999999999993</v>
      </c>
      <c r="D936" s="400" t="s">
        <v>1712</v>
      </c>
      <c r="E936" s="399">
        <f t="shared" ref="E936:E941" si="69">C936/C925</f>
        <v>8.2514734774066789E-2</v>
      </c>
      <c r="I936" s="386"/>
    </row>
    <row r="937" spans="1:9" s="385" customFormat="1" ht="15.75" customHeight="1" x14ac:dyDescent="0.2">
      <c r="A937" s="317" t="s">
        <v>448</v>
      </c>
      <c r="B937" s="402" t="s">
        <v>267</v>
      </c>
      <c r="C937" s="403">
        <f>9.1+0.2</f>
        <v>9.2999999999999989</v>
      </c>
      <c r="D937" s="402" t="s">
        <v>1712</v>
      </c>
      <c r="E937" s="386">
        <f t="shared" si="69"/>
        <v>0.46499999999999997</v>
      </c>
      <c r="I937" s="386"/>
    </row>
    <row r="938" spans="1:9" s="385" customFormat="1" ht="15.75" customHeight="1" x14ac:dyDescent="0.2">
      <c r="A938" s="317" t="s">
        <v>449</v>
      </c>
      <c r="B938" s="402" t="s">
        <v>267</v>
      </c>
      <c r="C938" s="403">
        <v>10.8</v>
      </c>
      <c r="D938" s="402" t="s">
        <v>1712</v>
      </c>
      <c r="E938" s="386">
        <f t="shared" si="69"/>
        <v>0.99082568807339455</v>
      </c>
      <c r="I938" s="386"/>
    </row>
    <row r="939" spans="1:9" s="385" customFormat="1" ht="15.75" customHeight="1" x14ac:dyDescent="0.2">
      <c r="A939" s="317" t="s">
        <v>1438</v>
      </c>
      <c r="B939" s="402" t="s">
        <v>267</v>
      </c>
      <c r="C939" s="403">
        <v>11.4</v>
      </c>
      <c r="D939" s="402" t="s">
        <v>1712</v>
      </c>
      <c r="E939" s="386">
        <f t="shared" si="69"/>
        <v>1</v>
      </c>
      <c r="I939" s="386"/>
    </row>
    <row r="940" spans="1:9" s="385" customFormat="1" ht="15.75" customHeight="1" x14ac:dyDescent="0.2">
      <c r="A940" s="317" t="s">
        <v>452</v>
      </c>
      <c r="B940" s="402" t="s">
        <v>267</v>
      </c>
      <c r="C940" s="403">
        <v>4.9000000000000004</v>
      </c>
      <c r="D940" s="402" t="s">
        <v>1712</v>
      </c>
      <c r="E940" s="386">
        <f t="shared" si="69"/>
        <v>1</v>
      </c>
      <c r="I940" s="386"/>
    </row>
    <row r="941" spans="1:9" s="385" customFormat="1" ht="15.75" customHeight="1" x14ac:dyDescent="0.2">
      <c r="A941" s="317" t="s">
        <v>721</v>
      </c>
      <c r="B941" s="402" t="s">
        <v>267</v>
      </c>
      <c r="C941" s="403">
        <v>1.7</v>
      </c>
      <c r="D941" s="494" t="s">
        <v>1712</v>
      </c>
      <c r="E941" s="393">
        <f t="shared" si="69"/>
        <v>1.7168248838618462E-4</v>
      </c>
      <c r="I941" s="386"/>
    </row>
    <row r="942" spans="1:9" s="385" customFormat="1" ht="15.75" customHeight="1" x14ac:dyDescent="0.2">
      <c r="A942" s="355" t="s">
        <v>1567</v>
      </c>
      <c r="B942" s="494" t="s">
        <v>267</v>
      </c>
      <c r="C942" s="405">
        <v>920</v>
      </c>
      <c r="D942" s="500" t="s">
        <v>267</v>
      </c>
      <c r="E942" s="591">
        <f>C942</f>
        <v>920</v>
      </c>
      <c r="I942" s="386"/>
    </row>
    <row r="943" spans="1:9" s="385" customFormat="1" ht="15.75" customHeight="1" x14ac:dyDescent="0.2">
      <c r="A943" s="371" t="s">
        <v>1702</v>
      </c>
      <c r="B943" s="400" t="s">
        <v>902</v>
      </c>
      <c r="C943" s="401">
        <v>123</v>
      </c>
      <c r="D943" s="496"/>
      <c r="E943" s="534"/>
      <c r="I943" s="386"/>
    </row>
    <row r="944" spans="1:9" s="385" customFormat="1" ht="15.75" customHeight="1" x14ac:dyDescent="0.2">
      <c r="A944" s="354" t="s">
        <v>1703</v>
      </c>
      <c r="B944" s="402" t="s">
        <v>902</v>
      </c>
      <c r="C944" s="403">
        <v>234</v>
      </c>
      <c r="D944" s="496"/>
      <c r="E944" s="534"/>
      <c r="I944" s="386"/>
    </row>
    <row r="945" spans="1:9" s="385" customFormat="1" ht="15.75" customHeight="1" x14ac:dyDescent="0.2">
      <c r="A945" s="354" t="s">
        <v>1704</v>
      </c>
      <c r="B945" s="402" t="s">
        <v>267</v>
      </c>
      <c r="C945" s="403">
        <v>130</v>
      </c>
      <c r="D945" s="496"/>
      <c r="E945" s="534"/>
      <c r="I945" s="386"/>
    </row>
    <row r="946" spans="1:9" s="385" customFormat="1" ht="15.75" customHeight="1" x14ac:dyDescent="0.2">
      <c r="A946" s="354" t="s">
        <v>1705</v>
      </c>
      <c r="B946" s="402" t="s">
        <v>267</v>
      </c>
      <c r="C946" s="403">
        <v>1657</v>
      </c>
      <c r="D946" s="496"/>
      <c r="E946" s="534"/>
      <c r="I946" s="386"/>
    </row>
    <row r="947" spans="1:9" s="385" customFormat="1" ht="15.75" customHeight="1" x14ac:dyDescent="0.2">
      <c r="A947" s="354" t="s">
        <v>1707</v>
      </c>
      <c r="B947" s="402" t="s">
        <v>550</v>
      </c>
      <c r="C947" s="403">
        <v>0.03</v>
      </c>
      <c r="D947" s="496"/>
      <c r="E947" s="534"/>
      <c r="I947" s="386"/>
    </row>
    <row r="948" spans="1:9" s="385" customFormat="1" ht="15.75" customHeight="1" x14ac:dyDescent="0.2">
      <c r="A948" s="354" t="s">
        <v>1706</v>
      </c>
      <c r="B948" s="402" t="s">
        <v>550</v>
      </c>
      <c r="C948" s="403">
        <v>0.12</v>
      </c>
      <c r="D948" s="496"/>
      <c r="E948" s="534"/>
      <c r="I948" s="386"/>
    </row>
    <row r="949" spans="1:9" s="385" customFormat="1" ht="15.75" customHeight="1" x14ac:dyDescent="0.2">
      <c r="A949" s="355" t="s">
        <v>385</v>
      </c>
      <c r="B949" s="494" t="s">
        <v>1708</v>
      </c>
      <c r="C949" s="405">
        <v>0.12</v>
      </c>
      <c r="D949" s="496"/>
      <c r="E949" s="534"/>
      <c r="I949" s="386"/>
    </row>
    <row r="950" spans="1:9" s="385" customFormat="1" ht="15.75" customHeight="1" x14ac:dyDescent="0.2">
      <c r="A950" s="519" t="s">
        <v>1697</v>
      </c>
      <c r="B950" s="1545" t="s">
        <v>1695</v>
      </c>
      <c r="C950" s="1545"/>
      <c r="D950" s="1537" t="s">
        <v>1699</v>
      </c>
      <c r="E950" s="1537"/>
      <c r="F950" s="1542" t="s">
        <v>1700</v>
      </c>
      <c r="G950" s="1542"/>
      <c r="H950" s="1540" t="s">
        <v>1711</v>
      </c>
      <c r="I950" s="1541"/>
    </row>
    <row r="951" spans="1:9" s="385" customFormat="1" ht="15.75" customHeight="1" x14ac:dyDescent="0.2">
      <c r="A951" s="317" t="s">
        <v>447</v>
      </c>
      <c r="B951" s="400" t="s">
        <v>267</v>
      </c>
      <c r="C951" s="401">
        <f t="shared" ref="C951:C956" si="70">C936</f>
        <v>4.1999999999999993</v>
      </c>
      <c r="D951" s="400" t="s">
        <v>267</v>
      </c>
      <c r="E951" s="399">
        <v>0.1</v>
      </c>
      <c r="F951" s="400" t="s">
        <v>267</v>
      </c>
      <c r="G951" s="467">
        <f>C951-E951</f>
        <v>4.0999999999999996</v>
      </c>
      <c r="H951" s="522" t="s">
        <v>1722</v>
      </c>
      <c r="I951" s="399">
        <f t="shared" ref="I951:I956" si="71">G951/C951</f>
        <v>0.97619047619047628</v>
      </c>
    </row>
    <row r="952" spans="1:9" s="385" customFormat="1" ht="15.75" customHeight="1" x14ac:dyDescent="0.2">
      <c r="A952" s="317" t="s">
        <v>448</v>
      </c>
      <c r="B952" s="402" t="s">
        <v>267</v>
      </c>
      <c r="C952" s="403">
        <f t="shared" si="70"/>
        <v>9.2999999999999989</v>
      </c>
      <c r="D952" s="402" t="s">
        <v>267</v>
      </c>
      <c r="E952" s="386">
        <v>0.2</v>
      </c>
      <c r="F952" s="402" t="s">
        <v>267</v>
      </c>
      <c r="G952" s="469">
        <f t="shared" ref="G952:G957" si="72">C952-E952</f>
        <v>9.1</v>
      </c>
      <c r="H952" s="406" t="s">
        <v>1722</v>
      </c>
      <c r="I952" s="386">
        <f t="shared" si="71"/>
        <v>0.978494623655914</v>
      </c>
    </row>
    <row r="953" spans="1:9" s="385" customFormat="1" ht="15.75" customHeight="1" x14ac:dyDescent="0.2">
      <c r="A953" s="317" t="s">
        <v>449</v>
      </c>
      <c r="B953" s="402" t="s">
        <v>267</v>
      </c>
      <c r="C953" s="403">
        <f t="shared" si="70"/>
        <v>10.8</v>
      </c>
      <c r="D953" s="402" t="s">
        <v>267</v>
      </c>
      <c r="E953" s="386">
        <v>0</v>
      </c>
      <c r="F953" s="402" t="s">
        <v>267</v>
      </c>
      <c r="G953" s="469">
        <f t="shared" si="72"/>
        <v>10.8</v>
      </c>
      <c r="H953" s="406" t="s">
        <v>1722</v>
      </c>
      <c r="I953" s="386">
        <f t="shared" si="71"/>
        <v>1</v>
      </c>
    </row>
    <row r="954" spans="1:9" s="385" customFormat="1" ht="15.75" customHeight="1" x14ac:dyDescent="0.2">
      <c r="A954" s="317" t="s">
        <v>1438</v>
      </c>
      <c r="B954" s="402" t="s">
        <v>267</v>
      </c>
      <c r="C954" s="403">
        <f t="shared" si="70"/>
        <v>11.4</v>
      </c>
      <c r="D954" s="402" t="s">
        <v>267</v>
      </c>
      <c r="E954" s="386">
        <v>0</v>
      </c>
      <c r="F954" s="402" t="s">
        <v>267</v>
      </c>
      <c r="G954" s="469">
        <f t="shared" si="72"/>
        <v>11.4</v>
      </c>
      <c r="H954" s="406" t="s">
        <v>1722</v>
      </c>
      <c r="I954" s="386">
        <f t="shared" si="71"/>
        <v>1</v>
      </c>
    </row>
    <row r="955" spans="1:9" s="385" customFormat="1" ht="15.75" customHeight="1" x14ac:dyDescent="0.2">
      <c r="A955" s="317" t="s">
        <v>452</v>
      </c>
      <c r="B955" s="402" t="s">
        <v>267</v>
      </c>
      <c r="C955" s="403">
        <f t="shared" si="70"/>
        <v>4.9000000000000004</v>
      </c>
      <c r="D955" s="402" t="s">
        <v>267</v>
      </c>
      <c r="E955" s="386">
        <v>0</v>
      </c>
      <c r="F955" s="402" t="s">
        <v>267</v>
      </c>
      <c r="G955" s="469">
        <f t="shared" si="72"/>
        <v>4.9000000000000004</v>
      </c>
      <c r="H955" s="406" t="s">
        <v>1722</v>
      </c>
      <c r="I955" s="386">
        <f t="shared" si="71"/>
        <v>1</v>
      </c>
    </row>
    <row r="956" spans="1:9" s="385" customFormat="1" ht="15.75" customHeight="1" x14ac:dyDescent="0.2">
      <c r="A956" s="317" t="s">
        <v>721</v>
      </c>
      <c r="B956" s="402" t="s">
        <v>267</v>
      </c>
      <c r="C956" s="403">
        <f t="shared" si="70"/>
        <v>1.7</v>
      </c>
      <c r="D956" s="402" t="s">
        <v>267</v>
      </c>
      <c r="E956" s="386">
        <v>1.7</v>
      </c>
      <c r="F956" s="402" t="s">
        <v>267</v>
      </c>
      <c r="G956" s="469">
        <f t="shared" si="72"/>
        <v>0</v>
      </c>
      <c r="H956" s="404" t="s">
        <v>1722</v>
      </c>
      <c r="I956" s="393">
        <f t="shared" si="71"/>
        <v>0</v>
      </c>
    </row>
    <row r="957" spans="1:9" s="385" customFormat="1" ht="15.75" customHeight="1" x14ac:dyDescent="0.2">
      <c r="A957" s="355" t="s">
        <v>1567</v>
      </c>
      <c r="B957" s="494" t="s">
        <v>267</v>
      </c>
      <c r="C957" s="405">
        <v>0</v>
      </c>
      <c r="D957" s="494" t="s">
        <v>267</v>
      </c>
      <c r="E957" s="393">
        <v>0</v>
      </c>
      <c r="F957" s="494" t="s">
        <v>267</v>
      </c>
      <c r="G957" s="474">
        <f t="shared" si="72"/>
        <v>0</v>
      </c>
      <c r="I957" s="386"/>
    </row>
    <row r="958" spans="1:9" s="385" customFormat="1" ht="15.75" customHeight="1" x14ac:dyDescent="0.2">
      <c r="A958" s="371" t="s">
        <v>1702</v>
      </c>
      <c r="B958" s="400" t="s">
        <v>902</v>
      </c>
      <c r="C958" s="401">
        <v>104</v>
      </c>
      <c r="I958" s="386"/>
    </row>
    <row r="959" spans="1:9" s="385" customFormat="1" ht="15.75" customHeight="1" x14ac:dyDescent="0.2">
      <c r="A959" s="354" t="s">
        <v>1703</v>
      </c>
      <c r="B959" s="402" t="s">
        <v>902</v>
      </c>
      <c r="C959" s="386">
        <v>160</v>
      </c>
      <c r="I959" s="386"/>
    </row>
    <row r="960" spans="1:9" s="385" customFormat="1" ht="15.75" customHeight="1" x14ac:dyDescent="0.2">
      <c r="A960" s="354" t="s">
        <v>385</v>
      </c>
      <c r="B960" s="402" t="s">
        <v>1708</v>
      </c>
      <c r="C960" s="386">
        <v>0.12</v>
      </c>
      <c r="I960" s="386"/>
    </row>
    <row r="961" spans="1:9" s="385" customFormat="1" ht="15.75" customHeight="1" x14ac:dyDescent="0.2">
      <c r="A961" s="354" t="s">
        <v>1704</v>
      </c>
      <c r="B961" s="402" t="s">
        <v>267</v>
      </c>
      <c r="C961" s="386">
        <v>10</v>
      </c>
      <c r="I961" s="386"/>
    </row>
    <row r="962" spans="1:9" s="385" customFormat="1" ht="15.75" customHeight="1" x14ac:dyDescent="0.2">
      <c r="A962" s="354" t="s">
        <v>1705</v>
      </c>
      <c r="B962" s="402" t="s">
        <v>267</v>
      </c>
      <c r="C962" s="386">
        <v>53.1</v>
      </c>
      <c r="I962" s="386"/>
    </row>
    <row r="963" spans="1:9" s="385" customFormat="1" ht="15.75" customHeight="1" x14ac:dyDescent="0.2">
      <c r="A963" s="354" t="s">
        <v>1709</v>
      </c>
      <c r="B963" s="402" t="s">
        <v>550</v>
      </c>
      <c r="C963" s="648">
        <v>6.0000000000000001E-3</v>
      </c>
      <c r="I963" s="386"/>
    </row>
    <row r="964" spans="1:9" s="385" customFormat="1" ht="15.75" customHeight="1" x14ac:dyDescent="0.2">
      <c r="A964" s="355" t="s">
        <v>1706</v>
      </c>
      <c r="B964" s="494" t="s">
        <v>550</v>
      </c>
      <c r="C964" s="649">
        <v>7.0000000000000001E-3</v>
      </c>
      <c r="D964" s="391"/>
      <c r="E964" s="391"/>
      <c r="F964" s="391"/>
      <c r="G964" s="391"/>
      <c r="H964" s="391"/>
      <c r="I964" s="393"/>
    </row>
    <row r="965" spans="1:9" s="385" customFormat="1" ht="15.75" customHeight="1" x14ac:dyDescent="0.2">
      <c r="A965" s="650" t="s">
        <v>1714</v>
      </c>
      <c r="B965" s="559"/>
      <c r="C965" s="651"/>
      <c r="D965" s="398"/>
      <c r="E965" s="398"/>
      <c r="F965" s="398"/>
      <c r="G965" s="398"/>
      <c r="H965" s="398"/>
      <c r="I965" s="399"/>
    </row>
    <row r="966" spans="1:9" s="385" customFormat="1" ht="15.75" customHeight="1" x14ac:dyDescent="0.2">
      <c r="A966" s="373" t="s">
        <v>580</v>
      </c>
      <c r="B966" s="373" t="s">
        <v>372</v>
      </c>
      <c r="C966" s="652" t="s">
        <v>1715</v>
      </c>
      <c r="D966" s="653" t="s">
        <v>1716</v>
      </c>
      <c r="E966" s="654" t="s">
        <v>1717</v>
      </c>
      <c r="F966" s="655" t="s">
        <v>1718</v>
      </c>
      <c r="G966" s="656" t="s">
        <v>1719</v>
      </c>
      <c r="H966" s="657" t="s">
        <v>1720</v>
      </c>
      <c r="I966" s="658" t="s">
        <v>1721</v>
      </c>
    </row>
    <row r="967" spans="1:9" s="385" customFormat="1" ht="15.75" customHeight="1" x14ac:dyDescent="0.2">
      <c r="A967" s="371" t="s">
        <v>1567</v>
      </c>
      <c r="B967" s="659" t="s">
        <v>267</v>
      </c>
      <c r="C967" s="660">
        <f ca="1">C887*E930</f>
        <v>893.68559336614862</v>
      </c>
      <c r="D967" s="467">
        <v>0</v>
      </c>
      <c r="E967" s="661">
        <f ca="1">C967</f>
        <v>893.68559336614862</v>
      </c>
      <c r="F967" s="467">
        <f ca="1">E967</f>
        <v>893.68559336614862</v>
      </c>
      <c r="G967" s="661">
        <f ca="1">E967-F967</f>
        <v>0</v>
      </c>
      <c r="H967" s="398"/>
      <c r="I967" s="371"/>
    </row>
    <row r="968" spans="1:9" s="385" customFormat="1" ht="15.75" customHeight="1" x14ac:dyDescent="0.2">
      <c r="A968" s="355" t="s">
        <v>721</v>
      </c>
      <c r="B968" s="662" t="s">
        <v>267</v>
      </c>
      <c r="C968" s="663">
        <f t="shared" ref="C968:C995" ca="1" si="73">C887</f>
        <v>9618.7768972952217</v>
      </c>
      <c r="D968" s="474">
        <f ca="1">C968-E968</f>
        <v>9617.1255217422622</v>
      </c>
      <c r="E968" s="664">
        <f ca="1">C968*E941</f>
        <v>1.6513755529591878</v>
      </c>
      <c r="F968" s="393"/>
      <c r="G968" s="664">
        <f ca="1">E968</f>
        <v>1.6513755529591878</v>
      </c>
      <c r="H968" s="535">
        <f ca="1">G968-I968</f>
        <v>1.6513755529591878</v>
      </c>
      <c r="I968" s="475">
        <f ca="1">G968*I956</f>
        <v>0</v>
      </c>
    </row>
    <row r="969" spans="1:9" s="385" customFormat="1" ht="15.75" customHeight="1" x14ac:dyDescent="0.2">
      <c r="A969" s="316" t="s">
        <v>393</v>
      </c>
      <c r="B969" s="659" t="s">
        <v>267</v>
      </c>
      <c r="C969" s="660">
        <f t="shared" ca="1" si="73"/>
        <v>5.6300450625988829E-3</v>
      </c>
      <c r="D969" s="467">
        <f ca="1">C969</f>
        <v>5.6300450625988829E-3</v>
      </c>
      <c r="E969" s="661">
        <f ca="1">C969-D969</f>
        <v>0</v>
      </c>
      <c r="F969" s="399"/>
      <c r="G969" s="661">
        <f t="shared" ref="G969:G984" ca="1" si="74">E969</f>
        <v>0</v>
      </c>
      <c r="H969" s="533">
        <f t="shared" ref="H969:H984" ca="1" si="75">G969-I969</f>
        <v>0</v>
      </c>
      <c r="I969" s="569">
        <f ca="1">G969*I951</f>
        <v>0</v>
      </c>
    </row>
    <row r="970" spans="1:9" s="385" customFormat="1" ht="15.75" customHeight="1" x14ac:dyDescent="0.2">
      <c r="A970" s="317" t="s">
        <v>400</v>
      </c>
      <c r="B970" s="665" t="s">
        <v>267</v>
      </c>
      <c r="C970" s="666">
        <f t="shared" ca="1" si="73"/>
        <v>31.468680556856686</v>
      </c>
      <c r="D970" s="469">
        <f ca="1">C970-E970</f>
        <v>28.872050727017825</v>
      </c>
      <c r="E970" s="667">
        <f ca="1">C970*E936</f>
        <v>2.5966298298388617</v>
      </c>
      <c r="F970" s="469"/>
      <c r="G970" s="667">
        <f t="shared" ca="1" si="74"/>
        <v>2.5966298298388617</v>
      </c>
      <c r="H970" s="534">
        <f t="shared" ca="1" si="75"/>
        <v>6.1824519758067797E-2</v>
      </c>
      <c r="I970" s="571">
        <f ca="1">G970*I951</f>
        <v>2.5348053100807939</v>
      </c>
    </row>
    <row r="971" spans="1:9" s="385" customFormat="1" ht="15.75" customHeight="1" x14ac:dyDescent="0.2">
      <c r="A971" s="317" t="s">
        <v>394</v>
      </c>
      <c r="B971" s="665" t="s">
        <v>267</v>
      </c>
      <c r="C971" s="666">
        <f t="shared" ca="1" si="73"/>
        <v>1.8121722620975871E-2</v>
      </c>
      <c r="D971" s="469">
        <f ca="1">C971</f>
        <v>1.8121722620975871E-2</v>
      </c>
      <c r="E971" s="667">
        <f ca="1">C971-D971</f>
        <v>0</v>
      </c>
      <c r="F971" s="386"/>
      <c r="G971" s="667">
        <f t="shared" ca="1" si="74"/>
        <v>0</v>
      </c>
      <c r="H971" s="534">
        <f t="shared" ca="1" si="75"/>
        <v>0</v>
      </c>
      <c r="I971" s="571">
        <f ca="1">G971*I952</f>
        <v>0</v>
      </c>
    </row>
    <row r="972" spans="1:9" s="385" customFormat="1" ht="15.75" customHeight="1" x14ac:dyDescent="0.2">
      <c r="A972" s="317" t="s">
        <v>401</v>
      </c>
      <c r="B972" s="665" t="s">
        <v>267</v>
      </c>
      <c r="C972" s="666">
        <f t="shared" ca="1" si="73"/>
        <v>100.96279037472313</v>
      </c>
      <c r="D972" s="469">
        <f ca="1">C972-E972</f>
        <v>54.015092850476876</v>
      </c>
      <c r="E972" s="667">
        <f ca="1">C972*E937</f>
        <v>46.947697524246252</v>
      </c>
      <c r="F972" s="386"/>
      <c r="G972" s="667">
        <f t="shared" ca="1" si="74"/>
        <v>46.947697524246252</v>
      </c>
      <c r="H972" s="534">
        <f t="shared" ca="1" si="75"/>
        <v>1.00962790374723</v>
      </c>
      <c r="I972" s="571">
        <f ca="1">G972*I952</f>
        <v>45.938069620499022</v>
      </c>
    </row>
    <row r="973" spans="1:9" s="385" customFormat="1" ht="15.75" customHeight="1" x14ac:dyDescent="0.2">
      <c r="A973" s="317" t="s">
        <v>396</v>
      </c>
      <c r="B973" s="665" t="s">
        <v>267</v>
      </c>
      <c r="C973" s="666">
        <f t="shared" ca="1" si="73"/>
        <v>2.5061865416998272E-2</v>
      </c>
      <c r="D973" s="469">
        <f ca="1">C973</f>
        <v>2.5061865416998272E-2</v>
      </c>
      <c r="E973" s="667">
        <f ca="1">C973-D973</f>
        <v>0</v>
      </c>
      <c r="F973" s="386"/>
      <c r="G973" s="667">
        <f t="shared" ca="1" si="74"/>
        <v>0</v>
      </c>
      <c r="H973" s="534">
        <f t="shared" ca="1" si="75"/>
        <v>0</v>
      </c>
      <c r="I973" s="571">
        <f ca="1">G973*I953</f>
        <v>0</v>
      </c>
    </row>
    <row r="974" spans="1:9" s="385" customFormat="1" ht="15.75" customHeight="1" x14ac:dyDescent="0.2">
      <c r="A974" s="317" t="s">
        <v>402</v>
      </c>
      <c r="B974" s="665" t="s">
        <v>267</v>
      </c>
      <c r="C974" s="666">
        <f t="shared" ca="1" si="73"/>
        <v>139.32223722746539</v>
      </c>
      <c r="D974" s="469">
        <f ca="1">C974-E974</f>
        <v>1.2781856626372985</v>
      </c>
      <c r="E974" s="667">
        <f ca="1">C974*E938</f>
        <v>138.0440515648281</v>
      </c>
      <c r="F974" s="386"/>
      <c r="G974" s="667">
        <f t="shared" ca="1" si="74"/>
        <v>138.0440515648281</v>
      </c>
      <c r="H974" s="534">
        <f t="shared" ca="1" si="75"/>
        <v>0</v>
      </c>
      <c r="I974" s="571">
        <f ca="1">G974*I953</f>
        <v>138.0440515648281</v>
      </c>
    </row>
    <row r="975" spans="1:9" s="385" customFormat="1" ht="15.75" customHeight="1" x14ac:dyDescent="0.2">
      <c r="A975" s="317" t="s">
        <v>395</v>
      </c>
      <c r="B975" s="665" t="s">
        <v>267</v>
      </c>
      <c r="C975" s="666">
        <f t="shared" si="73"/>
        <v>0</v>
      </c>
      <c r="D975" s="469">
        <f>C975</f>
        <v>0</v>
      </c>
      <c r="E975" s="667">
        <f>C975-D975</f>
        <v>0</v>
      </c>
      <c r="F975" s="386"/>
      <c r="G975" s="667">
        <f t="shared" si="74"/>
        <v>0</v>
      </c>
      <c r="H975" s="534">
        <f t="shared" si="75"/>
        <v>0</v>
      </c>
      <c r="I975" s="571">
        <f>G975*I953</f>
        <v>0</v>
      </c>
    </row>
    <row r="976" spans="1:9" s="385" customFormat="1" ht="15.75" customHeight="1" x14ac:dyDescent="0.2">
      <c r="A976" s="317" t="s">
        <v>403</v>
      </c>
      <c r="B976" s="665" t="s">
        <v>267</v>
      </c>
      <c r="C976" s="666">
        <f t="shared" si="73"/>
        <v>0</v>
      </c>
      <c r="D976" s="469">
        <f>C976-E976</f>
        <v>0</v>
      </c>
      <c r="E976" s="667">
        <f>C976*E938</f>
        <v>0</v>
      </c>
      <c r="F976" s="386"/>
      <c r="G976" s="667">
        <f t="shared" si="74"/>
        <v>0</v>
      </c>
      <c r="H976" s="534">
        <f t="shared" si="75"/>
        <v>0</v>
      </c>
      <c r="I976" s="571">
        <f>G976*I953</f>
        <v>0</v>
      </c>
    </row>
    <row r="977" spans="1:9" s="385" customFormat="1" ht="15.75" customHeight="1" x14ac:dyDescent="0.2">
      <c r="A977" s="317" t="s">
        <v>397</v>
      </c>
      <c r="B977" s="665" t="s">
        <v>267</v>
      </c>
      <c r="C977" s="666">
        <f t="shared" ca="1" si="73"/>
        <v>3.9696348674339146E-2</v>
      </c>
      <c r="D977" s="469">
        <f ca="1">C977</f>
        <v>3.9696348674339146E-2</v>
      </c>
      <c r="E977" s="667">
        <f ca="1">C977-D977</f>
        <v>0</v>
      </c>
      <c r="F977" s="386"/>
      <c r="G977" s="667">
        <f t="shared" ca="1" si="74"/>
        <v>0</v>
      </c>
      <c r="H977" s="534">
        <f t="shared" ca="1" si="75"/>
        <v>0</v>
      </c>
      <c r="I977" s="571">
        <f ca="1">G977*I954</f>
        <v>0</v>
      </c>
    </row>
    <row r="978" spans="1:9" s="385" customFormat="1" ht="15.75" customHeight="1" x14ac:dyDescent="0.2">
      <c r="A978" s="317" t="s">
        <v>404</v>
      </c>
      <c r="B978" s="665" t="s">
        <v>267</v>
      </c>
      <c r="C978" s="666">
        <f t="shared" ca="1" si="73"/>
        <v>220.32654923085127</v>
      </c>
      <c r="D978" s="469">
        <f ca="1">C978-E978</f>
        <v>0</v>
      </c>
      <c r="E978" s="667">
        <f ca="1">C978*E939</f>
        <v>220.32654923085127</v>
      </c>
      <c r="F978" s="386"/>
      <c r="G978" s="667">
        <f t="shared" ca="1" si="74"/>
        <v>220.32654923085127</v>
      </c>
      <c r="H978" s="534">
        <f t="shared" ca="1" si="75"/>
        <v>0</v>
      </c>
      <c r="I978" s="571">
        <f ca="1">G978*I954</f>
        <v>220.32654923085127</v>
      </c>
    </row>
    <row r="979" spans="1:9" s="385" customFormat="1" ht="15.75" customHeight="1" x14ac:dyDescent="0.2">
      <c r="A979" s="317" t="s">
        <v>398</v>
      </c>
      <c r="B979" s="665" t="s">
        <v>267</v>
      </c>
      <c r="C979" s="666">
        <f t="shared" si="73"/>
        <v>3.4598574959372416E-3</v>
      </c>
      <c r="D979" s="469">
        <f>C979</f>
        <v>3.4598574959372416E-3</v>
      </c>
      <c r="E979" s="667">
        <f>C979-D979</f>
        <v>0</v>
      </c>
      <c r="F979" s="386"/>
      <c r="G979" s="667">
        <f t="shared" si="74"/>
        <v>0</v>
      </c>
      <c r="H979" s="534">
        <f t="shared" si="75"/>
        <v>0</v>
      </c>
      <c r="I979" s="571">
        <f>G979*I954</f>
        <v>0</v>
      </c>
    </row>
    <row r="980" spans="1:9" s="385" customFormat="1" ht="15.75" customHeight="1" x14ac:dyDescent="0.2">
      <c r="A980" s="317" t="s">
        <v>405</v>
      </c>
      <c r="B980" s="665" t="s">
        <v>267</v>
      </c>
      <c r="C980" s="666">
        <f t="shared" si="73"/>
        <v>19.203238795691</v>
      </c>
      <c r="D980" s="469">
        <f>C980-E980</f>
        <v>0</v>
      </c>
      <c r="E980" s="667">
        <f>C980*E939</f>
        <v>19.203238795691</v>
      </c>
      <c r="F980" s="386"/>
      <c r="G980" s="667">
        <f t="shared" si="74"/>
        <v>19.203238795691</v>
      </c>
      <c r="H980" s="534">
        <f t="shared" si="75"/>
        <v>0</v>
      </c>
      <c r="I980" s="571">
        <f>G980*I954</f>
        <v>19.203238795691</v>
      </c>
    </row>
    <row r="981" spans="1:9" s="385" customFormat="1" ht="15.75" customHeight="1" x14ac:dyDescent="0.2">
      <c r="A981" s="317" t="s">
        <v>578</v>
      </c>
      <c r="B981" s="665" t="s">
        <v>267</v>
      </c>
      <c r="C981" s="666">
        <f t="shared" ca="1" si="73"/>
        <v>8.9709226359913213E-2</v>
      </c>
      <c r="D981" s="469">
        <f ca="1">C981</f>
        <v>8.9709226359913213E-2</v>
      </c>
      <c r="E981" s="667">
        <f ca="1">C981-D981</f>
        <v>0</v>
      </c>
      <c r="F981" s="386"/>
      <c r="G981" s="667">
        <f t="shared" ca="1" si="74"/>
        <v>0</v>
      </c>
      <c r="H981" s="534">
        <f t="shared" ca="1" si="75"/>
        <v>0</v>
      </c>
      <c r="I981" s="571">
        <f ca="1">G981*I955</f>
        <v>0</v>
      </c>
    </row>
    <row r="982" spans="1:9" s="385" customFormat="1" ht="15.75" customHeight="1" x14ac:dyDescent="0.2">
      <c r="A982" s="317" t="s">
        <v>420</v>
      </c>
      <c r="B982" s="665" t="s">
        <v>267</v>
      </c>
      <c r="C982" s="666">
        <f t="shared" ca="1" si="73"/>
        <v>497.31295465966315</v>
      </c>
      <c r="D982" s="469">
        <f ca="1">C982-E982</f>
        <v>0</v>
      </c>
      <c r="E982" s="667">
        <f ca="1">C982*E940</f>
        <v>497.31295465966315</v>
      </c>
      <c r="F982" s="386"/>
      <c r="G982" s="667">
        <f t="shared" ca="1" si="74"/>
        <v>497.31295465966315</v>
      </c>
      <c r="H982" s="534">
        <f t="shared" ca="1" si="75"/>
        <v>0</v>
      </c>
      <c r="I982" s="571">
        <f ca="1">G982*I955</f>
        <v>497.31295465966315</v>
      </c>
    </row>
    <row r="983" spans="1:9" s="385" customFormat="1" ht="15.75" customHeight="1" x14ac:dyDescent="0.2">
      <c r="A983" s="317" t="s">
        <v>407</v>
      </c>
      <c r="B983" s="665" t="s">
        <v>267</v>
      </c>
      <c r="C983" s="666">
        <f t="shared" ca="1" si="73"/>
        <v>4.9522042973004533E-3</v>
      </c>
      <c r="D983" s="469">
        <f ca="1">C983</f>
        <v>4.9522042973004533E-3</v>
      </c>
      <c r="E983" s="667">
        <f ca="1">C983-D983</f>
        <v>0</v>
      </c>
      <c r="F983" s="386"/>
      <c r="G983" s="667">
        <f t="shared" ca="1" si="74"/>
        <v>0</v>
      </c>
      <c r="H983" s="534">
        <f t="shared" ca="1" si="75"/>
        <v>0</v>
      </c>
      <c r="I983" s="571">
        <f ca="1">G983*I955</f>
        <v>0</v>
      </c>
    </row>
    <row r="984" spans="1:9" s="385" customFormat="1" ht="15.75" customHeight="1" x14ac:dyDescent="0.2">
      <c r="A984" s="318" t="s">
        <v>421</v>
      </c>
      <c r="B984" s="662" t="s">
        <v>267</v>
      </c>
      <c r="C984" s="663">
        <f t="shared" ca="1" si="73"/>
        <v>27.427180226032991</v>
      </c>
      <c r="D984" s="474">
        <f ca="1">C984-E984</f>
        <v>0</v>
      </c>
      <c r="E984" s="664">
        <f ca="1">C984*E940</f>
        <v>27.427180226032991</v>
      </c>
      <c r="F984" s="393"/>
      <c r="G984" s="664">
        <f t="shared" ca="1" si="74"/>
        <v>27.427180226032991</v>
      </c>
      <c r="H984" s="535">
        <f t="shared" ca="1" si="75"/>
        <v>0</v>
      </c>
      <c r="I984" s="475">
        <f ca="1">G984*I955</f>
        <v>27.427180226032991</v>
      </c>
    </row>
    <row r="985" spans="1:9" s="385" customFormat="1" ht="15.75" customHeight="1" x14ac:dyDescent="0.2">
      <c r="A985" s="316" t="s">
        <v>1686</v>
      </c>
      <c r="B985" s="659" t="s">
        <v>267</v>
      </c>
      <c r="C985" s="660">
        <f t="shared" si="73"/>
        <v>5.9371639796901743</v>
      </c>
      <c r="D985" s="467">
        <f>C985</f>
        <v>5.9371639796901743</v>
      </c>
      <c r="E985" s="661">
        <f>C985-D985</f>
        <v>0</v>
      </c>
      <c r="F985" s="399"/>
      <c r="G985" s="534"/>
      <c r="I985" s="386"/>
    </row>
    <row r="986" spans="1:9" s="385" customFormat="1" ht="15.75" customHeight="1" x14ac:dyDescent="0.2">
      <c r="A986" s="317" t="s">
        <v>1687</v>
      </c>
      <c r="B986" s="665" t="s">
        <v>267</v>
      </c>
      <c r="C986" s="666">
        <f t="shared" si="73"/>
        <v>3.0602411103720335E-7</v>
      </c>
      <c r="D986" s="469">
        <f t="shared" ref="D986:D995" si="76">C986</f>
        <v>3.0602411103720335E-7</v>
      </c>
      <c r="E986" s="667">
        <f t="shared" ref="E986:E995" si="77">C986-D986</f>
        <v>0</v>
      </c>
      <c r="F986" s="386"/>
      <c r="G986" s="534"/>
      <c r="I986" s="386"/>
    </row>
    <row r="987" spans="1:9" s="385" customFormat="1" ht="15.75" customHeight="1" x14ac:dyDescent="0.2">
      <c r="A987" s="317" t="s">
        <v>1164</v>
      </c>
      <c r="B987" s="665" t="s">
        <v>267</v>
      </c>
      <c r="C987" s="666">
        <f t="shared" ca="1" si="73"/>
        <v>0</v>
      </c>
      <c r="D987" s="469">
        <f t="shared" ca="1" si="76"/>
        <v>0</v>
      </c>
      <c r="E987" s="667">
        <f t="shared" ca="1" si="77"/>
        <v>0</v>
      </c>
      <c r="F987" s="386"/>
      <c r="G987" s="534"/>
      <c r="H987" s="385">
        <f ca="1">D970/(D968/1000)</f>
        <v>3.0021497236096484</v>
      </c>
      <c r="I987" s="386" t="s">
        <v>1933</v>
      </c>
    </row>
    <row r="988" spans="1:9" s="385" customFormat="1" ht="15.75" customHeight="1" x14ac:dyDescent="0.2">
      <c r="A988" s="317" t="s">
        <v>1688</v>
      </c>
      <c r="B988" s="665" t="s">
        <v>267</v>
      </c>
      <c r="C988" s="666">
        <f t="shared" ca="1" si="73"/>
        <v>0</v>
      </c>
      <c r="D988" s="469">
        <f t="shared" ca="1" si="76"/>
        <v>0</v>
      </c>
      <c r="E988" s="667">
        <f t="shared" ca="1" si="77"/>
        <v>0</v>
      </c>
      <c r="F988" s="386"/>
      <c r="G988" s="534"/>
      <c r="H988" s="385">
        <f ca="1">D972/(D968/1000)</f>
        <v>5.616552755639959</v>
      </c>
      <c r="I988" s="386" t="s">
        <v>1932</v>
      </c>
    </row>
    <row r="989" spans="1:9" s="385" customFormat="1" ht="15.75" customHeight="1" x14ac:dyDescent="0.2">
      <c r="A989" s="317" t="s">
        <v>1689</v>
      </c>
      <c r="B989" s="665" t="s">
        <v>267</v>
      </c>
      <c r="C989" s="666">
        <f t="shared" ca="1" si="73"/>
        <v>0</v>
      </c>
      <c r="D989" s="469">
        <f t="shared" ca="1" si="76"/>
        <v>0</v>
      </c>
      <c r="E989" s="667">
        <f t="shared" ca="1" si="77"/>
        <v>0</v>
      </c>
      <c r="F989" s="386"/>
      <c r="G989" s="534"/>
      <c r="I989" s="386"/>
    </row>
    <row r="990" spans="1:9" s="385" customFormat="1" ht="15.75" customHeight="1" x14ac:dyDescent="0.2">
      <c r="A990" s="317" t="s">
        <v>1690</v>
      </c>
      <c r="B990" s="665" t="s">
        <v>267</v>
      </c>
      <c r="C990" s="666">
        <f t="shared" ca="1" si="73"/>
        <v>50.742785394141208</v>
      </c>
      <c r="D990" s="469">
        <f t="shared" ca="1" si="76"/>
        <v>50.742785394141208</v>
      </c>
      <c r="E990" s="667">
        <f t="shared" ca="1" si="77"/>
        <v>0</v>
      </c>
      <c r="F990" s="386"/>
      <c r="G990" s="534"/>
      <c r="I990" s="386"/>
    </row>
    <row r="991" spans="1:9" s="385" customFormat="1" ht="15.75" customHeight="1" x14ac:dyDescent="0.2">
      <c r="A991" s="317" t="s">
        <v>1691</v>
      </c>
      <c r="B991" s="665" t="s">
        <v>267</v>
      </c>
      <c r="C991" s="666">
        <f t="shared" ca="1" si="73"/>
        <v>3.6383273986592992</v>
      </c>
      <c r="D991" s="469">
        <f t="shared" ca="1" si="76"/>
        <v>3.6383273986592992</v>
      </c>
      <c r="E991" s="667">
        <f t="shared" ca="1" si="77"/>
        <v>0</v>
      </c>
      <c r="F991" s="386"/>
      <c r="G991" s="534"/>
      <c r="I991" s="386"/>
    </row>
    <row r="992" spans="1:9" s="385" customFormat="1" ht="15.75" customHeight="1" x14ac:dyDescent="0.2">
      <c r="A992" s="317" t="s">
        <v>1692</v>
      </c>
      <c r="B992" s="665" t="s">
        <v>267</v>
      </c>
      <c r="C992" s="666">
        <f t="shared" ca="1" si="73"/>
        <v>2.220013232998474E-6</v>
      </c>
      <c r="D992" s="469">
        <f t="shared" ca="1" si="76"/>
        <v>2.220013232998474E-6</v>
      </c>
      <c r="E992" s="667">
        <f t="shared" ca="1" si="77"/>
        <v>0</v>
      </c>
      <c r="F992" s="386"/>
      <c r="G992" s="534"/>
      <c r="I992" s="386"/>
    </row>
    <row r="993" spans="1:42" s="385" customFormat="1" ht="15.75" customHeight="1" x14ac:dyDescent="0.2">
      <c r="A993" s="317" t="s">
        <v>1693</v>
      </c>
      <c r="B993" s="665" t="s">
        <v>267</v>
      </c>
      <c r="C993" s="666">
        <f t="shared" ca="1" si="73"/>
        <v>4.5894564760612645E-18</v>
      </c>
      <c r="D993" s="469">
        <f t="shared" ca="1" si="76"/>
        <v>4.5894564760612645E-18</v>
      </c>
      <c r="E993" s="667">
        <f t="shared" ca="1" si="77"/>
        <v>0</v>
      </c>
      <c r="F993" s="386"/>
      <c r="G993" s="534"/>
      <c r="I993" s="386"/>
    </row>
    <row r="994" spans="1:42" s="385" customFormat="1" ht="15.75" customHeight="1" x14ac:dyDescent="0.2">
      <c r="A994" s="317" t="s">
        <v>1678</v>
      </c>
      <c r="B994" s="665" t="s">
        <v>267</v>
      </c>
      <c r="C994" s="666">
        <f t="shared" ca="1" si="73"/>
        <v>7.1032991058892395E-2</v>
      </c>
      <c r="D994" s="469">
        <f t="shared" ca="1" si="76"/>
        <v>7.1032991058892395E-2</v>
      </c>
      <c r="E994" s="667">
        <f t="shared" ca="1" si="77"/>
        <v>0</v>
      </c>
      <c r="F994" s="386"/>
      <c r="G994" s="534"/>
      <c r="I994" s="386"/>
    </row>
    <row r="995" spans="1:42" s="385" customFormat="1" ht="15.75" customHeight="1" x14ac:dyDescent="0.2">
      <c r="A995" s="318" t="s">
        <v>482</v>
      </c>
      <c r="B995" s="662" t="s">
        <v>267</v>
      </c>
      <c r="C995" s="663">
        <f t="shared" ca="1" si="73"/>
        <v>3.6852225340253417E-10</v>
      </c>
      <c r="D995" s="474">
        <f t="shared" ca="1" si="76"/>
        <v>3.6852225340253417E-10</v>
      </c>
      <c r="E995" s="664">
        <f t="shared" ca="1" si="77"/>
        <v>0</v>
      </c>
      <c r="F995" s="393"/>
      <c r="G995" s="534"/>
      <c r="I995" s="386"/>
    </row>
    <row r="996" spans="1:42" s="385" customFormat="1" ht="15.75" customHeight="1" x14ac:dyDescent="0.2">
      <c r="A996" s="376"/>
      <c r="B996" s="495"/>
      <c r="C996" s="392"/>
      <c r="D996" s="391"/>
      <c r="E996" s="391"/>
      <c r="F996" s="391"/>
      <c r="G996" s="391"/>
      <c r="H996" s="391"/>
      <c r="I996" s="393"/>
    </row>
    <row r="997" spans="1:42" ht="15.75" customHeight="1" thickBot="1" x14ac:dyDescent="0.25"/>
    <row r="998" spans="1:42" ht="42" customHeight="1" thickBot="1" x14ac:dyDescent="0.25">
      <c r="A998" s="2055" t="s">
        <v>1483</v>
      </c>
      <c r="B998" s="669"/>
      <c r="C998" s="670"/>
      <c r="D998" s="669"/>
      <c r="E998" s="671"/>
      <c r="F998" s="671"/>
      <c r="G998" s="671"/>
      <c r="H998" s="671"/>
      <c r="I998" s="671"/>
      <c r="J998" s="672"/>
      <c r="K998" s="672"/>
      <c r="L998" s="672"/>
      <c r="M998" s="672"/>
      <c r="N998" s="672"/>
      <c r="O998" s="672"/>
      <c r="P998" s="672"/>
      <c r="Q998" s="672"/>
      <c r="R998" s="672"/>
      <c r="S998" s="672"/>
      <c r="T998" s="672"/>
      <c r="U998" s="672"/>
      <c r="V998" s="672"/>
      <c r="W998" s="672"/>
      <c r="X998" s="672"/>
      <c r="Y998" s="672"/>
      <c r="Z998" s="672"/>
      <c r="AA998" s="672"/>
      <c r="AB998" s="672"/>
      <c r="AC998" s="672"/>
      <c r="AD998" s="672"/>
      <c r="AE998" s="672"/>
      <c r="AF998" s="672"/>
      <c r="AG998" s="672"/>
      <c r="AH998" s="672"/>
      <c r="AI998" s="672"/>
      <c r="AJ998" s="672"/>
      <c r="AK998" s="672"/>
      <c r="AL998" s="672"/>
      <c r="AM998" s="672"/>
      <c r="AN998" s="672"/>
      <c r="AO998" s="672"/>
      <c r="AP998" s="673"/>
    </row>
    <row r="999" spans="1:42" ht="15.75" customHeight="1" x14ac:dyDescent="0.2">
      <c r="A999" s="301" t="s">
        <v>580</v>
      </c>
      <c r="B999" s="301" t="s">
        <v>372</v>
      </c>
      <c r="C999" s="301" t="s">
        <v>42</v>
      </c>
      <c r="D999" s="557" t="s">
        <v>372</v>
      </c>
      <c r="E999" s="301" t="s">
        <v>42</v>
      </c>
      <c r="F999" s="557" t="s">
        <v>372</v>
      </c>
      <c r="G999" s="301" t="s">
        <v>42</v>
      </c>
      <c r="H999" s="385"/>
      <c r="I999" s="386"/>
      <c r="AP999" s="367"/>
    </row>
    <row r="1000" spans="1:42" ht="15.75" customHeight="1" x14ac:dyDescent="0.2">
      <c r="A1000" s="377" t="s">
        <v>1723</v>
      </c>
      <c r="B1000" s="433" t="s">
        <v>267</v>
      </c>
      <c r="C1000" s="434">
        <f ca="1">SUM(I969:I984)</f>
        <v>950.78684940764629</v>
      </c>
      <c r="D1000" s="342" t="s">
        <v>1251</v>
      </c>
      <c r="E1000" s="426">
        <f ca="1">SUM(E1001:E1008)</f>
        <v>9066.3540280571742</v>
      </c>
      <c r="F1000" s="433" t="s">
        <v>376</v>
      </c>
      <c r="G1000" s="520">
        <f ca="1">E1000/C1000</f>
        <v>9.5356325486681293</v>
      </c>
      <c r="I1000" s="367"/>
      <c r="AP1000" s="367"/>
    </row>
    <row r="1001" spans="1:42" ht="15.75" customHeight="1" x14ac:dyDescent="0.2">
      <c r="A1001" s="316" t="s">
        <v>400</v>
      </c>
      <c r="B1001" s="342" t="s">
        <v>267</v>
      </c>
      <c r="C1001" s="674">
        <f ca="1">I970</f>
        <v>2.5348053100807939</v>
      </c>
      <c r="D1001" s="342" t="s">
        <v>1251</v>
      </c>
      <c r="E1001" s="426">
        <f ca="1">C1001*Units!C$84/Units!C$103</f>
        <v>42.211578852302978</v>
      </c>
      <c r="F1001" s="341" t="s">
        <v>376</v>
      </c>
      <c r="G1001" s="426">
        <f t="shared" ref="G1001:G1008" ca="1" si="78">E1001/C$1000</f>
        <v>4.4396468965259027E-2</v>
      </c>
      <c r="I1001" s="367"/>
      <c r="AP1001" s="367"/>
    </row>
    <row r="1002" spans="1:42" ht="15.75" customHeight="1" x14ac:dyDescent="0.2">
      <c r="A1002" s="317" t="s">
        <v>401</v>
      </c>
      <c r="B1002" s="344" t="s">
        <v>267</v>
      </c>
      <c r="C1002" s="436">
        <f ca="1">I972</f>
        <v>45.938069620499022</v>
      </c>
      <c r="D1002" s="344" t="s">
        <v>1251</v>
      </c>
      <c r="E1002" s="438">
        <f ca="1">C1002*Units!C$84/Units!C$104</f>
        <v>620.11433073027843</v>
      </c>
      <c r="F1002" s="172" t="s">
        <v>376</v>
      </c>
      <c r="G1002" s="438">
        <f t="shared" ca="1" si="78"/>
        <v>0.65221172454858678</v>
      </c>
      <c r="I1002" s="367"/>
      <c r="AP1002" s="367"/>
    </row>
    <row r="1003" spans="1:42" ht="15.75" customHeight="1" x14ac:dyDescent="0.2">
      <c r="A1003" s="317" t="s">
        <v>402</v>
      </c>
      <c r="B1003" s="344" t="s">
        <v>267</v>
      </c>
      <c r="C1003" s="436">
        <f ca="1">I974</f>
        <v>138.0440515648281</v>
      </c>
      <c r="D1003" s="344" t="s">
        <v>1251</v>
      </c>
      <c r="E1003" s="438">
        <f ca="1">C1003*Units!C$84/Units!C$105</f>
        <v>1566.7239991468402</v>
      </c>
      <c r="F1003" s="172" t="s">
        <v>376</v>
      </c>
      <c r="G1003" s="438">
        <f t="shared" ca="1" si="78"/>
        <v>1.6478183308098251</v>
      </c>
      <c r="I1003" s="367"/>
      <c r="AP1003" s="367"/>
    </row>
    <row r="1004" spans="1:42" ht="15.75" customHeight="1" x14ac:dyDescent="0.2">
      <c r="A1004" s="317" t="s">
        <v>403</v>
      </c>
      <c r="B1004" s="344" t="s">
        <v>267</v>
      </c>
      <c r="C1004" s="436">
        <f>I976</f>
        <v>0</v>
      </c>
      <c r="D1004" s="344" t="s">
        <v>1251</v>
      </c>
      <c r="E1004" s="438">
        <f>C1004*Units!C$84/Units!C$106</f>
        <v>0</v>
      </c>
      <c r="F1004" s="172" t="s">
        <v>376</v>
      </c>
      <c r="G1004" s="438">
        <f t="shared" ca="1" si="78"/>
        <v>0</v>
      </c>
      <c r="I1004" s="367"/>
      <c r="AP1004" s="367"/>
    </row>
    <row r="1005" spans="1:42" ht="15.75" customHeight="1" x14ac:dyDescent="0.2">
      <c r="A1005" s="317" t="s">
        <v>404</v>
      </c>
      <c r="B1005" s="344" t="s">
        <v>267</v>
      </c>
      <c r="C1005" s="436">
        <f ca="1">I978</f>
        <v>220.32654923085127</v>
      </c>
      <c r="D1005" s="344" t="s">
        <v>1251</v>
      </c>
      <c r="E1005" s="438">
        <f ca="1">C1005*Units!C$84/Units!C$107</f>
        <v>2157.3146894237861</v>
      </c>
      <c r="F1005" s="172" t="s">
        <v>376</v>
      </c>
      <c r="G1005" s="438">
        <f t="shared" ca="1" si="78"/>
        <v>2.2689782581320133</v>
      </c>
      <c r="I1005" s="367"/>
      <c r="AP1005" s="367"/>
    </row>
    <row r="1006" spans="1:42" ht="15.75" customHeight="1" x14ac:dyDescent="0.2">
      <c r="A1006" s="317" t="s">
        <v>405</v>
      </c>
      <c r="B1006" s="344" t="s">
        <v>267</v>
      </c>
      <c r="C1006" s="436">
        <f>I980</f>
        <v>19.203238795691</v>
      </c>
      <c r="D1006" s="344" t="s">
        <v>1251</v>
      </c>
      <c r="E1006" s="438">
        <f>C1006*Units!C$84/Units!C$108</f>
        <v>188.02740424646038</v>
      </c>
      <c r="F1006" s="172" t="s">
        <v>376</v>
      </c>
      <c r="G1006" s="438">
        <f t="shared" ca="1" si="78"/>
        <v>0.19775978639545144</v>
      </c>
      <c r="I1006" s="367"/>
      <c r="AP1006" s="367"/>
    </row>
    <row r="1007" spans="1:42" ht="15.75" customHeight="1" x14ac:dyDescent="0.2">
      <c r="A1007" s="317" t="s">
        <v>420</v>
      </c>
      <c r="B1007" s="344" t="s">
        <v>267</v>
      </c>
      <c r="C1007" s="436">
        <f ca="1">I982</f>
        <v>497.31295465966315</v>
      </c>
      <c r="D1007" s="344" t="s">
        <v>1251</v>
      </c>
      <c r="E1007" s="438">
        <f ca="1">C1007*Units!C$84/Units!C$109</f>
        <v>4281.2754361196894</v>
      </c>
      <c r="F1007" s="172" t="s">
        <v>376</v>
      </c>
      <c r="G1007" s="438">
        <f t="shared" ca="1" si="78"/>
        <v>4.5028761586121906</v>
      </c>
      <c r="I1007" s="367"/>
      <c r="AP1007" s="367"/>
    </row>
    <row r="1008" spans="1:42" ht="15.75" customHeight="1" x14ac:dyDescent="0.2">
      <c r="A1008" s="318" t="s">
        <v>421</v>
      </c>
      <c r="B1008" s="347" t="s">
        <v>267</v>
      </c>
      <c r="C1008" s="675">
        <f ca="1">I984</f>
        <v>27.427180226032991</v>
      </c>
      <c r="D1008" s="347" t="s">
        <v>1251</v>
      </c>
      <c r="E1008" s="487">
        <f ca="1">C1008*Units!C$84/Units!C$110</f>
        <v>210.68658953781679</v>
      </c>
      <c r="F1008" s="178" t="s">
        <v>376</v>
      </c>
      <c r="G1008" s="487">
        <f t="shared" ca="1" si="78"/>
        <v>0.22159182120480267</v>
      </c>
      <c r="I1008" s="367"/>
      <c r="AP1008" s="367"/>
    </row>
    <row r="1009" spans="1:42" ht="15.75" customHeight="1" x14ac:dyDescent="0.2">
      <c r="A1009" s="316" t="s">
        <v>1727</v>
      </c>
      <c r="B1009" s="341" t="s">
        <v>1394</v>
      </c>
      <c r="C1009" s="426">
        <v>0.105</v>
      </c>
      <c r="D1009" s="172"/>
      <c r="E1009" s="594"/>
      <c r="F1009" s="172"/>
      <c r="G1009" s="594"/>
      <c r="I1009" s="367"/>
      <c r="AP1009" s="367"/>
    </row>
    <row r="1010" spans="1:42" ht="15.75" customHeight="1" x14ac:dyDescent="0.2">
      <c r="A1010" s="318" t="s">
        <v>1728</v>
      </c>
      <c r="B1010" s="178" t="s">
        <v>1394</v>
      </c>
      <c r="C1010" s="487">
        <f>C1009/2</f>
        <v>5.2499999999999998E-2</v>
      </c>
      <c r="D1010" s="172"/>
      <c r="E1010" s="594"/>
      <c r="F1010" s="172"/>
      <c r="G1010" s="594"/>
      <c r="I1010" s="367"/>
      <c r="AP1010" s="367"/>
    </row>
    <row r="1011" spans="1:42" ht="15.75" customHeight="1" x14ac:dyDescent="0.2">
      <c r="A1011" s="377" t="s">
        <v>1762</v>
      </c>
      <c r="B1011" s="455"/>
      <c r="C1011" s="520">
        <v>1.75</v>
      </c>
      <c r="D1011" s="172"/>
      <c r="E1011" s="436"/>
      <c r="F1011" s="172"/>
      <c r="G1011" s="594"/>
      <c r="I1011" s="367"/>
      <c r="AP1011" s="367"/>
    </row>
    <row r="1012" spans="1:42" ht="15.75" customHeight="1" x14ac:dyDescent="0.2">
      <c r="A1012" s="375"/>
      <c r="B1012" s="172"/>
      <c r="C1012" s="594"/>
      <c r="D1012" s="172"/>
      <c r="E1012" s="594"/>
      <c r="F1012" s="172"/>
      <c r="G1012" s="594"/>
      <c r="I1012" s="367"/>
      <c r="AP1012" s="367"/>
    </row>
    <row r="1013" spans="1:42" ht="15.75" customHeight="1" x14ac:dyDescent="0.2">
      <c r="A1013" s="376"/>
      <c r="B1013" s="178"/>
      <c r="C1013" s="675"/>
      <c r="D1013" s="178"/>
      <c r="E1013" s="415"/>
      <c r="F1013" s="178"/>
      <c r="G1013" s="415"/>
      <c r="H1013" s="248"/>
      <c r="I1013" s="369"/>
      <c r="AP1013" s="367"/>
    </row>
    <row r="1014" spans="1:42" ht="15.75" customHeight="1" x14ac:dyDescent="0.2">
      <c r="A1014" s="676" t="s">
        <v>1729</v>
      </c>
      <c r="B1014" s="677"/>
      <c r="C1014" s="678"/>
      <c r="D1014" s="677"/>
      <c r="E1014" s="679"/>
      <c r="F1014" s="677"/>
      <c r="G1014" s="679"/>
      <c r="H1014" s="680"/>
      <c r="I1014" s="681"/>
      <c r="AP1014" s="367"/>
    </row>
    <row r="1015" spans="1:42" ht="15.75" customHeight="1" x14ac:dyDescent="0.2">
      <c r="A1015" s="377" t="s">
        <v>1730</v>
      </c>
      <c r="B1015" s="368" t="s">
        <v>1731</v>
      </c>
      <c r="C1015" s="682" t="s">
        <v>1732</v>
      </c>
      <c r="D1015" s="368" t="s">
        <v>1733</v>
      </c>
      <c r="E1015" s="683" t="s">
        <v>1734</v>
      </c>
      <c r="F1015" s="368" t="s">
        <v>1735</v>
      </c>
      <c r="G1015" s="683" t="s">
        <v>1736</v>
      </c>
      <c r="H1015" s="368" t="s">
        <v>1737</v>
      </c>
      <c r="I1015" s="368" t="s">
        <v>1738</v>
      </c>
      <c r="AP1015" s="367"/>
    </row>
    <row r="1016" spans="1:42" ht="15.75" customHeight="1" x14ac:dyDescent="0.2">
      <c r="A1016" s="316" t="s">
        <v>400</v>
      </c>
      <c r="B1016" s="684">
        <f ca="1">C1010*G1001*G1001</f>
        <v>1.0347993897061841E-4</v>
      </c>
      <c r="C1016" s="685">
        <f ca="1">G1002*G1001*C1009</f>
        <v>3.0403692467084369E-3</v>
      </c>
      <c r="D1016" s="685">
        <f ca="1">G1001*C$1009*G$1003</f>
        <v>7.6815181153392495E-3</v>
      </c>
      <c r="E1016" s="685">
        <f ca="1">C$1009*G$1004*G1001</f>
        <v>0</v>
      </c>
      <c r="F1016" s="685">
        <f ca="1">G$1005*G1001*C$1009</f>
        <v>1.0577135396100567E-2</v>
      </c>
      <c r="G1016" s="685">
        <f ca="1">G$1006*G1001*C$1009</f>
        <v>9.2188280302460098E-4</v>
      </c>
      <c r="H1016" s="685">
        <f t="shared" ref="H1016:H1021" ca="1" si="79">G$1007*G1001*C$1009</f>
        <v>2.0990739171174243E-2</v>
      </c>
      <c r="I1016" s="685">
        <f t="shared" ref="I1016:I1022" ca="1" si="80">G$1008*G1001*C$1009</f>
        <v>1.032978913372796E-3</v>
      </c>
      <c r="AP1016" s="367"/>
    </row>
    <row r="1017" spans="1:42" ht="15.75" customHeight="1" x14ac:dyDescent="0.2">
      <c r="A1017" s="317" t="s">
        <v>401</v>
      </c>
      <c r="B1017" s="684">
        <f t="shared" ref="B1017:B1023" ca="1" si="81">C$1009*G$1001*G1002</f>
        <v>3.0403692467084369E-3</v>
      </c>
      <c r="C1017" s="684">
        <f ca="1">G1002*G1002*C1010</f>
        <v>2.2332457016028685E-2</v>
      </c>
      <c r="D1017" s="685">
        <f ca="1">G1002*C$1009*G$1003</f>
        <v>0.11284627570442622</v>
      </c>
      <c r="E1017" s="685">
        <f ca="1">C$1009*G$1004*G1002</f>
        <v>0</v>
      </c>
      <c r="F1017" s="685">
        <f ca="1">G$1005*G1002*C$1009</f>
        <v>0.15538469338345051</v>
      </c>
      <c r="G1017" s="685">
        <f ca="1">G$1006*G1002*C$1009</f>
        <v>1.354303138979044E-2</v>
      </c>
      <c r="H1017" s="685">
        <f t="shared" ca="1" si="79"/>
        <v>0.30836700560790309</v>
      </c>
      <c r="I1017" s="685">
        <f t="shared" ca="1" si="80"/>
        <v>1.5175102304653878E-2</v>
      </c>
      <c r="AP1017" s="367"/>
    </row>
    <row r="1018" spans="1:42" ht="15.75" customHeight="1" x14ac:dyDescent="0.2">
      <c r="A1018" s="317" t="s">
        <v>402</v>
      </c>
      <c r="B1018" s="684">
        <f ca="1">C$1009*G$1001*G1003</f>
        <v>7.6815181153392495E-3</v>
      </c>
      <c r="C1018" s="684">
        <f t="shared" ref="C1018:C1023" ca="1" si="82">C$1009*G$1002*G1003</f>
        <v>0.11284627570442622</v>
      </c>
      <c r="D1018" s="684">
        <f ca="1">C1010*G1003*G1003</f>
        <v>0.14255352569602611</v>
      </c>
      <c r="E1018" s="685">
        <f ca="1">C$1009*G$1004*G1003</f>
        <v>0</v>
      </c>
      <c r="F1018" s="685">
        <f ca="1">G$1005*G1003*C$1009</f>
        <v>0.39258071642568221</v>
      </c>
      <c r="G1018" s="685">
        <f ca="1">G$1006*G1003*C$1009</f>
        <v>3.4216581117543339E-2</v>
      </c>
      <c r="H1018" s="685">
        <f t="shared" ca="1" si="79"/>
        <v>0.7790917969304082</v>
      </c>
      <c r="I1018" s="685">
        <f t="shared" ca="1" si="80"/>
        <v>3.8340021818574752E-2</v>
      </c>
      <c r="AP1018" s="367"/>
    </row>
    <row r="1019" spans="1:42" ht="15.75" customHeight="1" x14ac:dyDescent="0.2">
      <c r="A1019" s="317" t="s">
        <v>403</v>
      </c>
      <c r="B1019" s="684">
        <f t="shared" ca="1" si="81"/>
        <v>0</v>
      </c>
      <c r="C1019" s="684">
        <f t="shared" ca="1" si="82"/>
        <v>0</v>
      </c>
      <c r="D1019" s="684">
        <f ca="1">G$1003*G1004*C$1009</f>
        <v>0</v>
      </c>
      <c r="E1019" s="684">
        <f ca="1">C1010*G1004*G1004</f>
        <v>0</v>
      </c>
      <c r="F1019" s="685">
        <f ca="1">G$1005*G1004*C$1009</f>
        <v>0</v>
      </c>
      <c r="G1019" s="685">
        <f ca="1">G$1006*G1004*C$1009</f>
        <v>0</v>
      </c>
      <c r="H1019" s="685">
        <f t="shared" ca="1" si="79"/>
        <v>0</v>
      </c>
      <c r="I1019" s="685">
        <f t="shared" ca="1" si="80"/>
        <v>0</v>
      </c>
      <c r="AP1019" s="367"/>
    </row>
    <row r="1020" spans="1:42" ht="15.75" customHeight="1" x14ac:dyDescent="0.2">
      <c r="A1020" s="317" t="s">
        <v>404</v>
      </c>
      <c r="B1020" s="684">
        <f t="shared" ca="1" si="81"/>
        <v>1.0577135396100567E-2</v>
      </c>
      <c r="C1020" s="684">
        <f t="shared" ca="1" si="82"/>
        <v>0.15538469338345054</v>
      </c>
      <c r="D1020" s="684">
        <f ca="1">G$1003*G1005*C$1009</f>
        <v>0.39258071642568221</v>
      </c>
      <c r="E1020" s="684">
        <f ca="1">G$1004*G1005*C$1009</f>
        <v>0</v>
      </c>
      <c r="F1020" s="684">
        <f ca="1">C1010*G1005*G1005</f>
        <v>0.27028377263347869</v>
      </c>
      <c r="G1020" s="685">
        <f ca="1">G$1006*G1005*C$1009</f>
        <v>4.7114828844731595E-2</v>
      </c>
      <c r="H1020" s="685">
        <f t="shared" ca="1" si="79"/>
        <v>1.0727774508099661</v>
      </c>
      <c r="I1020" s="685">
        <f t="shared" ca="1" si="80"/>
        <v>5.2792637571825236E-2</v>
      </c>
      <c r="AP1020" s="367"/>
    </row>
    <row r="1021" spans="1:42" ht="15.75" customHeight="1" x14ac:dyDescent="0.2">
      <c r="A1021" s="317" t="s">
        <v>405</v>
      </c>
      <c r="B1021" s="684">
        <f t="shared" ca="1" si="81"/>
        <v>9.2188280302460087E-4</v>
      </c>
      <c r="C1021" s="684">
        <f t="shared" ca="1" si="82"/>
        <v>1.354303138979044E-2</v>
      </c>
      <c r="D1021" s="684">
        <f ca="1">G$1003*G1006*C$1009</f>
        <v>3.4216581117543339E-2</v>
      </c>
      <c r="E1021" s="684">
        <f ca="1">G$1004*G1006*C$1009</f>
        <v>0</v>
      </c>
      <c r="F1021" s="684">
        <f ca="1">G$1005*G1006*C$1009</f>
        <v>4.7114828844731595E-2</v>
      </c>
      <c r="G1021" s="684">
        <f ca="1">C1010*G1006*G1006</f>
        <v>2.0532189885466654E-3</v>
      </c>
      <c r="H1021" s="685">
        <f t="shared" ca="1" si="79"/>
        <v>9.350122186569336E-2</v>
      </c>
      <c r="I1021" s="685">
        <f t="shared" ca="1" si="80"/>
        <v>4.6013048789862879E-3</v>
      </c>
      <c r="AP1021" s="367"/>
    </row>
    <row r="1022" spans="1:42" ht="15.75" customHeight="1" x14ac:dyDescent="0.2">
      <c r="A1022" s="317" t="s">
        <v>420</v>
      </c>
      <c r="B1022" s="684">
        <f t="shared" ca="1" si="81"/>
        <v>2.0990739171174243E-2</v>
      </c>
      <c r="C1022" s="684">
        <f t="shared" ca="1" si="82"/>
        <v>0.30836700560790309</v>
      </c>
      <c r="D1022" s="684">
        <f ca="1">G$1003*G1007*C$1009</f>
        <v>0.7790917969304082</v>
      </c>
      <c r="E1022" s="684">
        <f ca="1">G$1004*G1007*C$1009</f>
        <v>0</v>
      </c>
      <c r="F1022" s="684">
        <f ca="1">G$1005*G1007*C$1009</f>
        <v>1.0727774508099661</v>
      </c>
      <c r="G1022" s="684">
        <f ca="1">G$1006*G1007*C$1009</f>
        <v>9.350122186569336E-2</v>
      </c>
      <c r="H1022" s="684">
        <f ca="1">C1010*G1007*G1007</f>
        <v>1.0644844192393992</v>
      </c>
      <c r="I1022" s="685">
        <f t="shared" ca="1" si="80"/>
        <v>0.10476905550788893</v>
      </c>
      <c r="AP1022" s="367"/>
    </row>
    <row r="1023" spans="1:42" ht="15.75" customHeight="1" x14ac:dyDescent="0.2">
      <c r="A1023" s="318" t="s">
        <v>421</v>
      </c>
      <c r="B1023" s="686">
        <f t="shared" ca="1" si="81"/>
        <v>1.032978913372796E-3</v>
      </c>
      <c r="C1023" s="686">
        <f t="shared" ca="1" si="82"/>
        <v>1.5175102304653876E-2</v>
      </c>
      <c r="D1023" s="686">
        <f ca="1">G$1003*G1008*C$1009</f>
        <v>3.8340021818574752E-2</v>
      </c>
      <c r="E1023" s="686">
        <f ca="1">G$1004*G1008*C$1009</f>
        <v>0</v>
      </c>
      <c r="F1023" s="686">
        <f ca="1">G$1005*G1008*C$1009</f>
        <v>5.2792637571825236E-2</v>
      </c>
      <c r="G1023" s="686">
        <f ca="1">G$1006*G1008*C$1009</f>
        <v>4.6013048789862879E-3</v>
      </c>
      <c r="H1023" s="686">
        <f ca="1">G1007*G1008*C1009</f>
        <v>0.10476905550788893</v>
      </c>
      <c r="I1023" s="686">
        <f ca="1">C1010*G1008*G1008</f>
        <v>2.5779040993052144E-3</v>
      </c>
      <c r="AP1023" s="367"/>
    </row>
    <row r="1024" spans="1:42" ht="15.75" customHeight="1" x14ac:dyDescent="0.2">
      <c r="A1024" s="375"/>
      <c r="B1024" s="172"/>
      <c r="C1024" s="436"/>
      <c r="D1024" s="172"/>
      <c r="E1024" s="594"/>
      <c r="F1024" s="172"/>
      <c r="G1024" s="594"/>
      <c r="I1024" s="367"/>
      <c r="AP1024" s="367"/>
    </row>
    <row r="1025" spans="1:42" ht="15.75" customHeight="1" x14ac:dyDescent="0.2">
      <c r="A1025" s="375"/>
      <c r="I1025" s="367"/>
      <c r="AP1025" s="367"/>
    </row>
    <row r="1026" spans="1:42" ht="15.75" customHeight="1" x14ac:dyDescent="0.2">
      <c r="A1026" s="676" t="s">
        <v>1481</v>
      </c>
      <c r="B1026" s="680"/>
      <c r="C1026" s="680"/>
      <c r="D1026" s="680"/>
      <c r="E1026" s="680"/>
      <c r="F1026" s="681"/>
      <c r="G1026" s="680"/>
      <c r="H1026" s="680"/>
      <c r="I1026" s="680"/>
      <c r="J1026" s="680"/>
      <c r="K1026" s="680"/>
      <c r="L1026" s="680"/>
      <c r="M1026" s="680"/>
      <c r="N1026" s="680"/>
      <c r="O1026" s="680"/>
      <c r="P1026" s="680"/>
      <c r="Q1026" s="680"/>
      <c r="R1026" s="680"/>
      <c r="S1026" s="680"/>
      <c r="T1026" s="680"/>
      <c r="U1026" s="680"/>
      <c r="V1026" s="680"/>
      <c r="W1026" s="680"/>
      <c r="X1026" s="680"/>
      <c r="Y1026" s="680"/>
      <c r="Z1026" s="680"/>
      <c r="AA1026" s="680"/>
      <c r="AB1026" s="680"/>
      <c r="AC1026" s="680"/>
      <c r="AD1026" s="680"/>
      <c r="AE1026" s="680"/>
      <c r="AF1026" s="680"/>
      <c r="AG1026" s="680"/>
      <c r="AH1026" s="680"/>
      <c r="AI1026" s="680"/>
      <c r="AJ1026" s="680"/>
      <c r="AK1026" s="680"/>
      <c r="AL1026" s="680"/>
      <c r="AM1026" s="680"/>
      <c r="AN1026" s="680"/>
      <c r="AO1026" s="680"/>
      <c r="AP1026" s="681"/>
    </row>
    <row r="1027" spans="1:42" ht="15.75" customHeight="1" x14ac:dyDescent="0.2">
      <c r="A1027" s="687" t="s">
        <v>1726</v>
      </c>
      <c r="B1027" s="1534" t="s">
        <v>483</v>
      </c>
      <c r="C1027" s="1534"/>
      <c r="D1027" s="1531" t="s">
        <v>484</v>
      </c>
      <c r="E1027" s="1532"/>
      <c r="F1027" s="1533"/>
      <c r="G1027" s="688" t="s">
        <v>394</v>
      </c>
      <c r="H1027" s="1534" t="s">
        <v>483</v>
      </c>
      <c r="I1027" s="1534"/>
      <c r="J1027" s="1531" t="s">
        <v>484</v>
      </c>
      <c r="K1027" s="1532"/>
      <c r="L1027" s="1533"/>
      <c r="M1027" s="689" t="s">
        <v>396</v>
      </c>
      <c r="N1027" s="1534" t="s">
        <v>483</v>
      </c>
      <c r="O1027" s="1534"/>
      <c r="P1027" s="1531" t="s">
        <v>484</v>
      </c>
      <c r="Q1027" s="1532"/>
      <c r="R1027" s="1533"/>
      <c r="S1027" s="690" t="s">
        <v>1753</v>
      </c>
      <c r="T1027" s="1534" t="s">
        <v>483</v>
      </c>
      <c r="U1027" s="1534"/>
      <c r="V1027" s="1531" t="s">
        <v>484</v>
      </c>
      <c r="W1027" s="1532"/>
      <c r="X1027" s="1533"/>
      <c r="Y1027" s="691" t="s">
        <v>397</v>
      </c>
      <c r="Z1027" s="1534" t="s">
        <v>483</v>
      </c>
      <c r="AA1027" s="1534"/>
      <c r="AB1027" s="1531" t="s">
        <v>484</v>
      </c>
      <c r="AC1027" s="1532"/>
      <c r="AD1027" s="1533"/>
      <c r="AE1027" s="692" t="s">
        <v>1758</v>
      </c>
      <c r="AF1027" s="1534" t="s">
        <v>483</v>
      </c>
      <c r="AG1027" s="1534"/>
      <c r="AH1027" s="1531" t="s">
        <v>484</v>
      </c>
      <c r="AI1027" s="1532"/>
      <c r="AJ1027" s="1533"/>
      <c r="AK1027" s="693" t="s">
        <v>578</v>
      </c>
      <c r="AL1027" s="1534" t="s">
        <v>483</v>
      </c>
      <c r="AM1027" s="1534"/>
      <c r="AN1027" s="1531" t="s">
        <v>484</v>
      </c>
      <c r="AO1027" s="1532"/>
      <c r="AP1027" s="1533"/>
    </row>
    <row r="1028" spans="1:42" ht="15.75" customHeight="1" x14ac:dyDescent="0.2">
      <c r="A1028" s="377" t="s">
        <v>376</v>
      </c>
      <c r="B1028" s="368" t="s">
        <v>1731</v>
      </c>
      <c r="C1028" s="368" t="s">
        <v>1731</v>
      </c>
      <c r="D1028" s="368" t="s">
        <v>1739</v>
      </c>
      <c r="E1028" s="368" t="s">
        <v>432</v>
      </c>
      <c r="F1028" s="368" t="s">
        <v>486</v>
      </c>
      <c r="G1028" s="377" t="s">
        <v>376</v>
      </c>
      <c r="H1028" s="368" t="s">
        <v>1732</v>
      </c>
      <c r="I1028" s="368" t="s">
        <v>1732</v>
      </c>
      <c r="J1028" s="368" t="s">
        <v>1741</v>
      </c>
      <c r="K1028" s="368" t="s">
        <v>432</v>
      </c>
      <c r="L1028" s="368" t="s">
        <v>486</v>
      </c>
      <c r="M1028" s="377" t="s">
        <v>376</v>
      </c>
      <c r="N1028" s="368" t="s">
        <v>1733</v>
      </c>
      <c r="O1028" s="368" t="s">
        <v>1733</v>
      </c>
      <c r="P1028" s="368" t="s">
        <v>1745</v>
      </c>
      <c r="Q1028" s="368" t="s">
        <v>432</v>
      </c>
      <c r="R1028" s="368" t="s">
        <v>486</v>
      </c>
      <c r="S1028" s="377" t="s">
        <v>376</v>
      </c>
      <c r="T1028" s="368" t="s">
        <v>1734</v>
      </c>
      <c r="U1028" s="368" t="s">
        <v>1734</v>
      </c>
      <c r="V1028" s="368" t="s">
        <v>1747</v>
      </c>
      <c r="W1028" s="368" t="s">
        <v>432</v>
      </c>
      <c r="X1028" s="368" t="s">
        <v>486</v>
      </c>
      <c r="Y1028" s="377" t="s">
        <v>376</v>
      </c>
      <c r="Z1028" s="368" t="s">
        <v>1735</v>
      </c>
      <c r="AA1028" s="368" t="s">
        <v>1735</v>
      </c>
      <c r="AB1028" s="368" t="s">
        <v>1749</v>
      </c>
      <c r="AC1028" s="368" t="s">
        <v>432</v>
      </c>
      <c r="AD1028" s="368" t="s">
        <v>486</v>
      </c>
      <c r="AE1028" s="377" t="s">
        <v>376</v>
      </c>
      <c r="AF1028" s="368" t="s">
        <v>1736</v>
      </c>
      <c r="AG1028" s="368" t="s">
        <v>1736</v>
      </c>
      <c r="AH1028" s="368" t="s">
        <v>1754</v>
      </c>
      <c r="AI1028" s="368" t="s">
        <v>432</v>
      </c>
      <c r="AJ1028" s="368" t="s">
        <v>486</v>
      </c>
      <c r="AK1028" s="377" t="s">
        <v>376</v>
      </c>
      <c r="AL1028" s="368" t="s">
        <v>1737</v>
      </c>
      <c r="AM1028" s="368" t="s">
        <v>1737</v>
      </c>
      <c r="AN1028" s="368" t="s">
        <v>1757</v>
      </c>
      <c r="AO1028" s="368" t="s">
        <v>432</v>
      </c>
      <c r="AP1028" s="368" t="s">
        <v>486</v>
      </c>
    </row>
    <row r="1029" spans="1:42" ht="15.75" customHeight="1" x14ac:dyDescent="0.2">
      <c r="A1029" s="316" t="s">
        <v>487</v>
      </c>
      <c r="B1029" s="594">
        <f ca="1">G1001</f>
        <v>4.4396468965259027E-2</v>
      </c>
      <c r="C1029" s="594">
        <f ca="1">G1001</f>
        <v>4.4396468965259027E-2</v>
      </c>
      <c r="F1029" s="367"/>
      <c r="G1029" s="316" t="s">
        <v>487</v>
      </c>
      <c r="H1029" s="594">
        <f ca="1">C1036</f>
        <v>0.64917135530187831</v>
      </c>
      <c r="I1029" s="594">
        <f ca="1">C1036</f>
        <v>0.64917135530187831</v>
      </c>
      <c r="L1029" s="367"/>
      <c r="M1029" s="316" t="s">
        <v>487</v>
      </c>
      <c r="N1029" s="594">
        <f ca="1">I1036</f>
        <v>1.5272905369900596</v>
      </c>
      <c r="O1029" s="594">
        <f ca="1">I1036</f>
        <v>1.5272905369900596</v>
      </c>
      <c r="R1029" s="367"/>
      <c r="S1029" s="316" t="s">
        <v>487</v>
      </c>
      <c r="T1029" s="594">
        <f ca="1">O1036</f>
        <v>0</v>
      </c>
      <c r="U1029" s="594">
        <f ca="1">O1036</f>
        <v>0</v>
      </c>
      <c r="X1029" s="367"/>
      <c r="Y1029" s="316" t="s">
        <v>487</v>
      </c>
      <c r="Z1029" s="594">
        <f ca="1">U1036</f>
        <v>1.71043571292678</v>
      </c>
      <c r="AA1029" s="594">
        <f ca="1">U1036</f>
        <v>1.71043571292678</v>
      </c>
      <c r="AD1029" s="367"/>
      <c r="AE1029" s="316" t="s">
        <v>487</v>
      </c>
      <c r="AF1029" s="594">
        <f ca="1">AA1036</f>
        <v>0.10196346224036149</v>
      </c>
      <c r="AG1029" s="594">
        <f ca="1">AA1036</f>
        <v>0.10196346224036149</v>
      </c>
      <c r="AJ1029" s="367"/>
      <c r="AK1029" s="316" t="s">
        <v>487</v>
      </c>
      <c r="AL1029" s="594">
        <f ca="1">AG1036</f>
        <v>2.2281479442270458</v>
      </c>
      <c r="AM1029" s="594">
        <f ca="1">AG1036</f>
        <v>2.2281479442270458</v>
      </c>
      <c r="AP1029" s="367"/>
    </row>
    <row r="1030" spans="1:42" ht="15.75" customHeight="1" x14ac:dyDescent="0.2">
      <c r="A1030" s="317" t="s">
        <v>488</v>
      </c>
      <c r="B1030" s="594">
        <f ca="1">B1016*-1</f>
        <v>-1.0347993897061841E-4</v>
      </c>
      <c r="C1030" s="594">
        <f ca="1">B1016*-1</f>
        <v>-1.0347993897061841E-4</v>
      </c>
      <c r="D1030" s="594">
        <f ca="1">B1016</f>
        <v>1.0347993897061841E-4</v>
      </c>
      <c r="E1030" s="594">
        <f ca="1">B1016</f>
        <v>1.0347993897061841E-4</v>
      </c>
      <c r="F1030" s="438">
        <f ca="1">B1016</f>
        <v>1.0347993897061841E-4</v>
      </c>
      <c r="G1030" s="317" t="s">
        <v>488</v>
      </c>
      <c r="H1030" s="594">
        <f ca="1">$C1017*-1</f>
        <v>-2.2332457016028685E-2</v>
      </c>
      <c r="I1030" s="594">
        <f ca="1">$C1017*-1</f>
        <v>-2.2332457016028685E-2</v>
      </c>
      <c r="J1030" s="594">
        <f ca="1">$C1017</f>
        <v>2.2332457016028685E-2</v>
      </c>
      <c r="K1030" s="594">
        <f ca="1">$C1017</f>
        <v>2.2332457016028685E-2</v>
      </c>
      <c r="L1030" s="438">
        <f ca="1">$C1017</f>
        <v>2.2332457016028685E-2</v>
      </c>
      <c r="M1030" s="317" t="s">
        <v>488</v>
      </c>
      <c r="N1030" s="594">
        <f ca="1">$D1018*-1</f>
        <v>-0.14255352569602611</v>
      </c>
      <c r="O1030" s="594">
        <f ca="1">$D1018*-1</f>
        <v>-0.14255352569602611</v>
      </c>
      <c r="P1030" s="594">
        <f ca="1">$D1018</f>
        <v>0.14255352569602611</v>
      </c>
      <c r="Q1030" s="594">
        <f ca="1">$D1018</f>
        <v>0.14255352569602611</v>
      </c>
      <c r="R1030" s="438">
        <f ca="1">$D1018</f>
        <v>0.14255352569602611</v>
      </c>
      <c r="S1030" s="317" t="s">
        <v>488</v>
      </c>
      <c r="T1030" s="594">
        <f ca="1">$E1019*-1</f>
        <v>0</v>
      </c>
      <c r="U1030" s="594">
        <f ca="1">$E1019*-1</f>
        <v>0</v>
      </c>
      <c r="V1030" s="594">
        <f ca="1">$E1019</f>
        <v>0</v>
      </c>
      <c r="W1030" s="594">
        <f ca="1">$E1019</f>
        <v>0</v>
      </c>
      <c r="X1030" s="438">
        <f ca="1">$E1019</f>
        <v>0</v>
      </c>
      <c r="Y1030" s="317" t="s">
        <v>488</v>
      </c>
      <c r="Z1030" s="594">
        <f ca="1">$F1020*-1</f>
        <v>-0.27028377263347869</v>
      </c>
      <c r="AA1030" s="594">
        <f ca="1">$F1020*-1</f>
        <v>-0.27028377263347869</v>
      </c>
      <c r="AB1030" s="594">
        <f ca="1">$F1020</f>
        <v>0.27028377263347869</v>
      </c>
      <c r="AC1030" s="594">
        <f ca="1">$F1020</f>
        <v>0.27028377263347869</v>
      </c>
      <c r="AD1030" s="438">
        <f ca="1">$F1020</f>
        <v>0.27028377263347869</v>
      </c>
      <c r="AE1030" s="317" t="s">
        <v>488</v>
      </c>
      <c r="AF1030" s="594">
        <f ca="1">$G1021*-1</f>
        <v>-2.0532189885466654E-3</v>
      </c>
      <c r="AG1030" s="594">
        <f ca="1">$G1021*-1</f>
        <v>-2.0532189885466654E-3</v>
      </c>
      <c r="AH1030" s="594">
        <f ca="1">$G1021</f>
        <v>2.0532189885466654E-3</v>
      </c>
      <c r="AI1030" s="594">
        <f ca="1">$G1021</f>
        <v>2.0532189885466654E-3</v>
      </c>
      <c r="AJ1030" s="438">
        <f ca="1">$G1021</f>
        <v>2.0532189885466654E-3</v>
      </c>
      <c r="AK1030" s="317" t="s">
        <v>488</v>
      </c>
      <c r="AL1030" s="594">
        <f ca="1">$H1022*-1*C1011</f>
        <v>-1.8628477336689486</v>
      </c>
      <c r="AM1030" s="594">
        <f ca="1">$H1022*-1*C1011</f>
        <v>-1.8628477336689486</v>
      </c>
      <c r="AN1030" s="594">
        <f ca="1">$H1022*C1011</f>
        <v>1.8628477336689486</v>
      </c>
      <c r="AO1030" s="594">
        <f ca="1">$H1022*C1011</f>
        <v>1.8628477336689486</v>
      </c>
      <c r="AP1030" s="438">
        <f ca="1">$H1022*C1011</f>
        <v>1.8628477336689486</v>
      </c>
    </row>
    <row r="1031" spans="1:42" ht="15.75" customHeight="1" x14ac:dyDescent="0.2">
      <c r="A1031" s="318" t="s">
        <v>489</v>
      </c>
      <c r="B1031" s="594">
        <f ca="1">SUM(B1029:B1030)</f>
        <v>4.4292989026288407E-2</v>
      </c>
      <c r="C1031" s="594">
        <f ca="1">SUM(C1029:C1030)</f>
        <v>4.4292989026288407E-2</v>
      </c>
      <c r="D1031" s="594">
        <f ca="1">SUM(D1029:D1030)</f>
        <v>1.0347993897061841E-4</v>
      </c>
      <c r="E1031" s="594">
        <f ca="1">SUM(E1029:E1030)</f>
        <v>1.0347993897061841E-4</v>
      </c>
      <c r="F1031" s="438">
        <f ca="1">SUM(F1029:F1030)</f>
        <v>1.0347993897061841E-4</v>
      </c>
      <c r="G1031" s="318" t="s">
        <v>489</v>
      </c>
      <c r="H1031" s="594">
        <f ca="1">SUM(H1029:H1030)</f>
        <v>0.6268388982858496</v>
      </c>
      <c r="I1031" s="594">
        <f ca="1">SUM(I1029:I1030)</f>
        <v>0.6268388982858496</v>
      </c>
      <c r="J1031" s="594">
        <f ca="1">SUM(J1029:J1030)</f>
        <v>2.2332457016028685E-2</v>
      </c>
      <c r="K1031" s="594">
        <f ca="1">SUM(K1029:K1030)</f>
        <v>2.2332457016028685E-2</v>
      </c>
      <c r="L1031" s="438">
        <f ca="1">SUM(L1029:L1030)</f>
        <v>2.2332457016028685E-2</v>
      </c>
      <c r="M1031" s="318" t="s">
        <v>489</v>
      </c>
      <c r="N1031" s="594">
        <f ca="1">SUM(N1029:N1030)</f>
        <v>1.3847370112940334</v>
      </c>
      <c r="O1031" s="594">
        <f ca="1">SUM(O1029:O1030)</f>
        <v>1.3847370112940334</v>
      </c>
      <c r="P1031" s="594">
        <f ca="1">SUM(P1029:P1030)</f>
        <v>0.14255352569602611</v>
      </c>
      <c r="Q1031" s="594">
        <f ca="1">SUM(Q1029:Q1030)</f>
        <v>0.14255352569602611</v>
      </c>
      <c r="R1031" s="438">
        <f ca="1">SUM(R1029:R1030)</f>
        <v>0.14255352569602611</v>
      </c>
      <c r="S1031" s="318" t="s">
        <v>489</v>
      </c>
      <c r="T1031" s="594">
        <f ca="1">SUM(T1029:T1030)</f>
        <v>0</v>
      </c>
      <c r="U1031" s="594">
        <f ca="1">SUM(U1029:U1030)</f>
        <v>0</v>
      </c>
      <c r="V1031" s="594">
        <f ca="1">SUM(V1029:V1030)</f>
        <v>0</v>
      </c>
      <c r="W1031" s="594">
        <f ca="1">SUM(W1029:W1030)</f>
        <v>0</v>
      </c>
      <c r="X1031" s="438">
        <f ca="1">SUM(X1029:X1030)</f>
        <v>0</v>
      </c>
      <c r="Y1031" s="318" t="s">
        <v>489</v>
      </c>
      <c r="Z1031" s="594">
        <f ca="1">SUM(Z1029:Z1030)</f>
        <v>1.4401519402933012</v>
      </c>
      <c r="AA1031" s="594">
        <f ca="1">SUM(AA1029:AA1030)</f>
        <v>1.4401519402933012</v>
      </c>
      <c r="AB1031" s="594">
        <f ca="1">SUM(AB1029:AB1030)</f>
        <v>0.27028377263347869</v>
      </c>
      <c r="AC1031" s="594">
        <f ca="1">SUM(AC1029:AC1030)</f>
        <v>0.27028377263347869</v>
      </c>
      <c r="AD1031" s="438">
        <f ca="1">SUM(AD1029:AD1030)</f>
        <v>0.27028377263347869</v>
      </c>
      <c r="AE1031" s="318" t="s">
        <v>489</v>
      </c>
      <c r="AF1031" s="594">
        <f ca="1">SUM(AF1029:AF1030)</f>
        <v>9.9910243251814815E-2</v>
      </c>
      <c r="AG1031" s="594">
        <f ca="1">SUM(AG1029:AG1030)</f>
        <v>9.9910243251814815E-2</v>
      </c>
      <c r="AH1031" s="594">
        <f ca="1">SUM(AH1029:AH1030)</f>
        <v>2.0532189885466654E-3</v>
      </c>
      <c r="AI1031" s="594">
        <f ca="1">SUM(AI1029:AI1030)</f>
        <v>2.0532189885466654E-3</v>
      </c>
      <c r="AJ1031" s="438">
        <f ca="1">SUM(AJ1029:AJ1030)</f>
        <v>2.0532189885466654E-3</v>
      </c>
      <c r="AK1031" s="318" t="s">
        <v>489</v>
      </c>
      <c r="AL1031" s="594">
        <f ca="1">SUM(AL1029:AL1030)</f>
        <v>0.36530021055809714</v>
      </c>
      <c r="AM1031" s="594">
        <f ca="1">SUM(AM1029:AM1030)</f>
        <v>0.36530021055809714</v>
      </c>
      <c r="AN1031" s="594">
        <f ca="1">SUM(AN1029:AN1030)</f>
        <v>1.8628477336689486</v>
      </c>
      <c r="AO1031" s="594">
        <f ca="1">SUM(AO1029:AO1030)</f>
        <v>1.8628477336689486</v>
      </c>
      <c r="AP1031" s="438">
        <f ca="1">SUM(AP1029:AP1030)</f>
        <v>1.8628477336689486</v>
      </c>
    </row>
    <row r="1032" spans="1:42" ht="15.75" customHeight="1" x14ac:dyDescent="0.2">
      <c r="A1032" s="375"/>
      <c r="B1032" s="1530" t="s">
        <v>483</v>
      </c>
      <c r="C1032" s="1530"/>
      <c r="D1032" s="1531" t="s">
        <v>484</v>
      </c>
      <c r="E1032" s="1532"/>
      <c r="F1032" s="1533"/>
      <c r="G1032" s="375"/>
      <c r="H1032" s="1534" t="s">
        <v>483</v>
      </c>
      <c r="I1032" s="1534"/>
      <c r="J1032" s="1531" t="s">
        <v>484</v>
      </c>
      <c r="K1032" s="1532"/>
      <c r="L1032" s="1533"/>
      <c r="M1032" s="375"/>
      <c r="N1032" s="1534" t="s">
        <v>483</v>
      </c>
      <c r="O1032" s="1534"/>
      <c r="P1032" s="1531" t="s">
        <v>484</v>
      </c>
      <c r="Q1032" s="1532"/>
      <c r="R1032" s="1533"/>
      <c r="S1032" s="375"/>
      <c r="T1032" s="1534" t="s">
        <v>483</v>
      </c>
      <c r="U1032" s="1534"/>
      <c r="V1032" s="1531" t="s">
        <v>484</v>
      </c>
      <c r="W1032" s="1532"/>
      <c r="X1032" s="1533"/>
      <c r="Y1032" s="375"/>
      <c r="Z1032" s="1534" t="s">
        <v>483</v>
      </c>
      <c r="AA1032" s="1534"/>
      <c r="AB1032" s="1531" t="s">
        <v>484</v>
      </c>
      <c r="AC1032" s="1532"/>
      <c r="AD1032" s="1533"/>
      <c r="AE1032" s="375"/>
      <c r="AF1032" s="1534" t="s">
        <v>483</v>
      </c>
      <c r="AG1032" s="1534"/>
      <c r="AH1032" s="1531" t="s">
        <v>484</v>
      </c>
      <c r="AI1032" s="1532"/>
      <c r="AJ1032" s="1533"/>
      <c r="AK1032" s="375"/>
      <c r="AL1032" s="1534" t="s">
        <v>483</v>
      </c>
      <c r="AM1032" s="1534"/>
      <c r="AN1032" s="1531" t="s">
        <v>484</v>
      </c>
      <c r="AO1032" s="1532"/>
      <c r="AP1032" s="1533"/>
    </row>
    <row r="1033" spans="1:42" ht="15.75" customHeight="1" x14ac:dyDescent="0.2">
      <c r="A1033" s="375"/>
      <c r="B1033" s="368" t="s">
        <v>1731</v>
      </c>
      <c r="C1033" s="368" t="s">
        <v>1732</v>
      </c>
      <c r="D1033" s="368" t="s">
        <v>1740</v>
      </c>
      <c r="E1033" s="368" t="s">
        <v>432</v>
      </c>
      <c r="F1033" s="368" t="s">
        <v>486</v>
      </c>
      <c r="G1033" s="375"/>
      <c r="H1033" s="368" t="s">
        <v>1732</v>
      </c>
      <c r="I1033" s="368" t="s">
        <v>1733</v>
      </c>
      <c r="J1033" s="368" t="s">
        <v>1743</v>
      </c>
      <c r="K1033" s="368" t="s">
        <v>432</v>
      </c>
      <c r="L1033" s="368" t="s">
        <v>486</v>
      </c>
      <c r="M1033" s="375"/>
      <c r="N1033" s="368" t="s">
        <v>1733</v>
      </c>
      <c r="O1033" s="368" t="s">
        <v>1750</v>
      </c>
      <c r="P1033" s="368" t="s">
        <v>1747</v>
      </c>
      <c r="Q1033" s="368" t="s">
        <v>432</v>
      </c>
      <c r="R1033" s="368" t="s">
        <v>486</v>
      </c>
      <c r="S1033" s="375"/>
      <c r="T1033" s="368" t="s">
        <v>1734</v>
      </c>
      <c r="U1033" s="368" t="s">
        <v>1735</v>
      </c>
      <c r="V1033" s="368" t="s">
        <v>1751</v>
      </c>
      <c r="W1033" s="368" t="s">
        <v>432</v>
      </c>
      <c r="X1033" s="368" t="s">
        <v>486</v>
      </c>
      <c r="Y1033" s="375"/>
      <c r="Z1033" s="368" t="s">
        <v>1735</v>
      </c>
      <c r="AA1033" s="368" t="s">
        <v>1756</v>
      </c>
      <c r="AB1033" s="368" t="s">
        <v>1754</v>
      </c>
      <c r="AC1033" s="368" t="s">
        <v>432</v>
      </c>
      <c r="AD1033" s="368" t="s">
        <v>486</v>
      </c>
      <c r="AE1033" s="375"/>
      <c r="AF1033" s="368" t="s">
        <v>1736</v>
      </c>
      <c r="AG1033" s="368" t="s">
        <v>1737</v>
      </c>
      <c r="AH1033" s="368" t="s">
        <v>1755</v>
      </c>
      <c r="AI1033" s="368" t="s">
        <v>432</v>
      </c>
      <c r="AJ1033" s="368" t="s">
        <v>486</v>
      </c>
      <c r="AK1033" s="375"/>
      <c r="AL1033" s="368" t="s">
        <v>1737</v>
      </c>
      <c r="AM1033" s="368" t="s">
        <v>1738</v>
      </c>
      <c r="AN1033" s="368" t="s">
        <v>1760</v>
      </c>
      <c r="AO1033" s="368" t="s">
        <v>432</v>
      </c>
      <c r="AP1033" s="368" t="s">
        <v>486</v>
      </c>
    </row>
    <row r="1034" spans="1:42" ht="15.75" customHeight="1" x14ac:dyDescent="0.2">
      <c r="A1034" s="316" t="s">
        <v>487</v>
      </c>
      <c r="B1034" s="594">
        <f ca="1">B1031</f>
        <v>4.4292989026288407E-2</v>
      </c>
      <c r="C1034" s="594">
        <f ca="1">G1002</f>
        <v>0.65221172454858678</v>
      </c>
      <c r="F1034" s="367"/>
      <c r="G1034" s="316" t="s">
        <v>487</v>
      </c>
      <c r="H1034" s="594">
        <f ca="1">H1031</f>
        <v>0.6268388982858496</v>
      </c>
      <c r="I1034" s="594">
        <f ca="1">C1041</f>
        <v>1.6401368126944857</v>
      </c>
      <c r="L1034" s="367"/>
      <c r="M1034" s="316" t="s">
        <v>487</v>
      </c>
      <c r="N1034" s="594">
        <f ca="1">N1031</f>
        <v>1.3847370112940334</v>
      </c>
      <c r="O1034" s="594">
        <f ca="1">I1039</f>
        <v>0</v>
      </c>
      <c r="R1034" s="367"/>
      <c r="S1034" s="316" t="s">
        <v>487</v>
      </c>
      <c r="T1034" s="594">
        <f ca="1">T1031</f>
        <v>0</v>
      </c>
      <c r="U1034" s="594">
        <f ca="1">O1041</f>
        <v>1.71043571292678</v>
      </c>
      <c r="X1034" s="367"/>
      <c r="Y1034" s="316" t="s">
        <v>487</v>
      </c>
      <c r="Z1034" s="594">
        <f ca="1">Z1031</f>
        <v>1.4401519402933012</v>
      </c>
      <c r="AA1034" s="594">
        <f ca="1">U1041</f>
        <v>0.14907829108509307</v>
      </c>
      <c r="AD1034" s="367"/>
      <c r="AE1034" s="316" t="s">
        <v>487</v>
      </c>
      <c r="AF1034" s="594">
        <f ca="1">AF1031</f>
        <v>9.9910243251814815E-2</v>
      </c>
      <c r="AG1034" s="594">
        <f ca="1">AA1041</f>
        <v>2.321649166092739</v>
      </c>
      <c r="AJ1034" s="367"/>
      <c r="AK1034" s="316" t="s">
        <v>487</v>
      </c>
      <c r="AL1034" s="594">
        <f ca="1">AL1031</f>
        <v>0.36530021055809714</v>
      </c>
      <c r="AM1034" s="594">
        <f ca="1">AG1041</f>
        <v>0.10964977571738972</v>
      </c>
      <c r="AP1034" s="367"/>
    </row>
    <row r="1035" spans="1:42" ht="15.75" customHeight="1" x14ac:dyDescent="0.2">
      <c r="A1035" s="317" t="s">
        <v>488</v>
      </c>
      <c r="B1035" s="594">
        <f ca="1">B1017*-1</f>
        <v>-3.0403692467084369E-3</v>
      </c>
      <c r="C1035" s="594">
        <f ca="1">C1016*-1</f>
        <v>-3.0403692467084369E-3</v>
      </c>
      <c r="D1035" s="594">
        <f ca="1">B1017</f>
        <v>3.0403692467084369E-3</v>
      </c>
      <c r="E1035" s="594">
        <f ca="1">B1017</f>
        <v>3.0403692467084369E-3</v>
      </c>
      <c r="F1035" s="438">
        <f ca="1">B1017</f>
        <v>3.0403692467084369E-3</v>
      </c>
      <c r="G1035" s="317" t="s">
        <v>488</v>
      </c>
      <c r="H1035" s="594">
        <f ca="1">$C1018*-1</f>
        <v>-0.11284627570442622</v>
      </c>
      <c r="I1035" s="594">
        <f ca="1">$C1018*-1</f>
        <v>-0.11284627570442622</v>
      </c>
      <c r="J1035" s="594">
        <f ca="1">$C1018</f>
        <v>0.11284627570442622</v>
      </c>
      <c r="K1035" s="594">
        <f ca="1">$C1018</f>
        <v>0.11284627570442622</v>
      </c>
      <c r="L1035" s="438">
        <f ca="1">$C1018</f>
        <v>0.11284627570442622</v>
      </c>
      <c r="M1035" s="317" t="s">
        <v>488</v>
      </c>
      <c r="N1035" s="594">
        <f ca="1">$D1019*-1</f>
        <v>0</v>
      </c>
      <c r="O1035" s="594">
        <f ca="1">$D1019*-1</f>
        <v>0</v>
      </c>
      <c r="P1035" s="594">
        <f ca="1">$D1019</f>
        <v>0</v>
      </c>
      <c r="Q1035" s="594">
        <f ca="1">$D1019</f>
        <v>0</v>
      </c>
      <c r="R1035" s="438">
        <f ca="1">$D1019</f>
        <v>0</v>
      </c>
      <c r="S1035" s="317" t="s">
        <v>488</v>
      </c>
      <c r="T1035" s="594">
        <f ca="1">E1020*-1</f>
        <v>0</v>
      </c>
      <c r="U1035" s="594">
        <f ca="1">$E1020*-1</f>
        <v>0</v>
      </c>
      <c r="V1035" s="594">
        <f ca="1">$E1020</f>
        <v>0</v>
      </c>
      <c r="W1035" s="594">
        <f ca="1">$E1020</f>
        <v>0</v>
      </c>
      <c r="X1035" s="438">
        <f ca="1">$E1020</f>
        <v>0</v>
      </c>
      <c r="Y1035" s="317" t="s">
        <v>488</v>
      </c>
      <c r="Z1035" s="594">
        <f ca="1">$F1021*-1</f>
        <v>-4.7114828844731595E-2</v>
      </c>
      <c r="AA1035" s="594">
        <f ca="1">$F1021*-1</f>
        <v>-4.7114828844731595E-2</v>
      </c>
      <c r="AB1035" s="594">
        <f ca="1">$F1021</f>
        <v>4.7114828844731595E-2</v>
      </c>
      <c r="AC1035" s="594">
        <f ca="1">$F1021</f>
        <v>4.7114828844731595E-2</v>
      </c>
      <c r="AD1035" s="438">
        <f ca="1">$F1021</f>
        <v>4.7114828844731595E-2</v>
      </c>
      <c r="AE1035" s="317" t="s">
        <v>488</v>
      </c>
      <c r="AF1035" s="594">
        <f ca="1">$G1022*-1</f>
        <v>-9.350122186569336E-2</v>
      </c>
      <c r="AG1035" s="594">
        <f ca="1">$G1022*-1</f>
        <v>-9.350122186569336E-2</v>
      </c>
      <c r="AH1035" s="594">
        <f ca="1">$G1022</f>
        <v>9.350122186569336E-2</v>
      </c>
      <c r="AI1035" s="594">
        <f ca="1">$G1022</f>
        <v>9.350122186569336E-2</v>
      </c>
      <c r="AJ1035" s="438">
        <f ca="1">$G1022</f>
        <v>9.350122186569336E-2</v>
      </c>
      <c r="AK1035" s="317" t="s">
        <v>488</v>
      </c>
      <c r="AL1035" s="594">
        <f ca="1">$H1023*-1</f>
        <v>-0.10476905550788893</v>
      </c>
      <c r="AM1035" s="594">
        <f ca="1">$H1023*-1</f>
        <v>-0.10476905550788893</v>
      </c>
      <c r="AN1035" s="594">
        <f ca="1">$H1023</f>
        <v>0.10476905550788893</v>
      </c>
      <c r="AO1035" s="594">
        <f ca="1">$H1023</f>
        <v>0.10476905550788893</v>
      </c>
      <c r="AP1035" s="438">
        <f ca="1">$H1023</f>
        <v>0.10476905550788893</v>
      </c>
    </row>
    <row r="1036" spans="1:42" ht="15.75" customHeight="1" x14ac:dyDescent="0.2">
      <c r="A1036" s="318" t="s">
        <v>489</v>
      </c>
      <c r="B1036" s="594">
        <f ca="1">SUM(B1034:B1035)</f>
        <v>4.1252619779579967E-2</v>
      </c>
      <c r="C1036" s="594">
        <f ca="1">SUM(C1034:C1035)</f>
        <v>0.64917135530187831</v>
      </c>
      <c r="D1036" s="594">
        <f ca="1">SUM(D1034:D1035)</f>
        <v>3.0403692467084369E-3</v>
      </c>
      <c r="E1036" s="594">
        <f ca="1">SUM(E1034:E1035)</f>
        <v>3.0403692467084369E-3</v>
      </c>
      <c r="F1036" s="438">
        <f ca="1">SUM(F1034:F1035)</f>
        <v>3.0403692467084369E-3</v>
      </c>
      <c r="G1036" s="318" t="s">
        <v>489</v>
      </c>
      <c r="H1036" s="594">
        <f ca="1">SUM(H1034:H1035)</f>
        <v>0.51399262258142342</v>
      </c>
      <c r="I1036" s="594">
        <f ca="1">SUM(I1034:I1035)</f>
        <v>1.5272905369900596</v>
      </c>
      <c r="J1036" s="594">
        <f ca="1">SUM(J1034:J1035)</f>
        <v>0.11284627570442622</v>
      </c>
      <c r="K1036" s="594">
        <f ca="1">SUM(K1034:K1035)</f>
        <v>0.11284627570442622</v>
      </c>
      <c r="L1036" s="438">
        <f ca="1">SUM(L1034:L1035)</f>
        <v>0.11284627570442622</v>
      </c>
      <c r="M1036" s="318" t="s">
        <v>489</v>
      </c>
      <c r="N1036" s="594">
        <f ca="1">SUM(N1034:N1035)</f>
        <v>1.3847370112940334</v>
      </c>
      <c r="O1036" s="594">
        <f ca="1">SUM(O1034:O1035)</f>
        <v>0</v>
      </c>
      <c r="P1036" s="594">
        <f ca="1">SUM(P1034:P1035)</f>
        <v>0</v>
      </c>
      <c r="Q1036" s="594">
        <f ca="1">SUM(Q1034:Q1035)</f>
        <v>0</v>
      </c>
      <c r="R1036" s="438">
        <f ca="1">SUM(R1034:R1035)</f>
        <v>0</v>
      </c>
      <c r="S1036" s="318" t="s">
        <v>489</v>
      </c>
      <c r="T1036" s="594">
        <f ca="1">SUM(T1034:T1035)</f>
        <v>0</v>
      </c>
      <c r="U1036" s="594">
        <f ca="1">SUM(U1034:U1035)</f>
        <v>1.71043571292678</v>
      </c>
      <c r="V1036" s="594">
        <f ca="1">SUM(V1034:V1035)</f>
        <v>0</v>
      </c>
      <c r="W1036" s="594">
        <f ca="1">SUM(W1034:W1035)</f>
        <v>0</v>
      </c>
      <c r="X1036" s="438">
        <f ca="1">SUM(X1034:X1035)</f>
        <v>0</v>
      </c>
      <c r="Y1036" s="318" t="s">
        <v>489</v>
      </c>
      <c r="Z1036" s="594">
        <f ca="1">SUM(Z1034:Z1035)</f>
        <v>1.3930371114485696</v>
      </c>
      <c r="AA1036" s="594">
        <f ca="1">SUM(AA1034:AA1035)</f>
        <v>0.10196346224036149</v>
      </c>
      <c r="AB1036" s="594">
        <f ca="1">SUM(AB1034:AB1035)</f>
        <v>4.7114828844731595E-2</v>
      </c>
      <c r="AC1036" s="594">
        <f ca="1">SUM(AC1034:AC1035)</f>
        <v>4.7114828844731595E-2</v>
      </c>
      <c r="AD1036" s="438">
        <f ca="1">SUM(AD1034:AD1035)</f>
        <v>4.7114828844731595E-2</v>
      </c>
      <c r="AE1036" s="318" t="s">
        <v>489</v>
      </c>
      <c r="AF1036" s="594">
        <f ca="1">SUM(AF1034:AF1035)</f>
        <v>6.4090213861214551E-3</v>
      </c>
      <c r="AG1036" s="594">
        <f ca="1">SUM(AG1034:AG1035)</f>
        <v>2.2281479442270458</v>
      </c>
      <c r="AH1036" s="594">
        <f ca="1">SUM(AH1034:AH1035)</f>
        <v>9.350122186569336E-2</v>
      </c>
      <c r="AI1036" s="594">
        <f ca="1">SUM(AI1034:AI1035)</f>
        <v>9.350122186569336E-2</v>
      </c>
      <c r="AJ1036" s="438">
        <f ca="1">SUM(AJ1034:AJ1035)</f>
        <v>9.350122186569336E-2</v>
      </c>
      <c r="AK1036" s="318" t="s">
        <v>489</v>
      </c>
      <c r="AL1036" s="415">
        <f ca="1">SUM(AL1034:AL1035)</f>
        <v>0.26053115505020819</v>
      </c>
      <c r="AM1036" s="415">
        <f ca="1">SUM(AM1034:AM1035)</f>
        <v>4.8807202095007968E-3</v>
      </c>
      <c r="AN1036" s="415">
        <f ca="1">SUM(AN1034:AN1035)</f>
        <v>0.10476905550788893</v>
      </c>
      <c r="AO1036" s="415">
        <f ca="1">SUM(AO1034:AO1035)</f>
        <v>0.10476905550788893</v>
      </c>
      <c r="AP1036" s="487">
        <f ca="1">SUM(AP1034:AP1035)</f>
        <v>0.10476905550788893</v>
      </c>
    </row>
    <row r="1037" spans="1:42" ht="15.75" customHeight="1" x14ac:dyDescent="0.2">
      <c r="A1037" s="375"/>
      <c r="B1037" s="1530" t="s">
        <v>483</v>
      </c>
      <c r="C1037" s="1530"/>
      <c r="D1037" s="1531" t="s">
        <v>484</v>
      </c>
      <c r="E1037" s="1532"/>
      <c r="F1037" s="1533"/>
      <c r="G1037" s="375"/>
      <c r="H1037" s="1534" t="s">
        <v>483</v>
      </c>
      <c r="I1037" s="1534"/>
      <c r="J1037" s="1531" t="s">
        <v>484</v>
      </c>
      <c r="K1037" s="1532"/>
      <c r="L1037" s="1533"/>
      <c r="M1037" s="375"/>
      <c r="N1037" s="1534" t="s">
        <v>483</v>
      </c>
      <c r="O1037" s="1534"/>
      <c r="P1037" s="1531" t="s">
        <v>484</v>
      </c>
      <c r="Q1037" s="1532"/>
      <c r="R1037" s="1533"/>
      <c r="S1037" s="375"/>
      <c r="T1037" s="1534" t="s">
        <v>483</v>
      </c>
      <c r="U1037" s="1534"/>
      <c r="V1037" s="1531" t="s">
        <v>484</v>
      </c>
      <c r="W1037" s="1532"/>
      <c r="X1037" s="1533"/>
      <c r="Y1037" s="375"/>
      <c r="Z1037" s="1534" t="s">
        <v>483</v>
      </c>
      <c r="AA1037" s="1534"/>
      <c r="AB1037" s="1531" t="s">
        <v>484</v>
      </c>
      <c r="AC1037" s="1532"/>
      <c r="AD1037" s="1533"/>
      <c r="AE1037" s="375"/>
      <c r="AF1037" s="1534" t="s">
        <v>483</v>
      </c>
      <c r="AG1037" s="1534"/>
      <c r="AH1037" s="1531" t="s">
        <v>484</v>
      </c>
      <c r="AI1037" s="1532"/>
      <c r="AJ1037" s="1533"/>
      <c r="AL1037" s="642">
        <f ca="1">AL1036/(G1007-AL1036)</f>
        <v>6.1412062157005037E-2</v>
      </c>
      <c r="AP1037" s="367"/>
    </row>
    <row r="1038" spans="1:42" ht="15.75" customHeight="1" x14ac:dyDescent="0.2">
      <c r="A1038" s="375"/>
      <c r="B1038" s="368" t="s">
        <v>1731</v>
      </c>
      <c r="C1038" s="368" t="s">
        <v>1733</v>
      </c>
      <c r="D1038" s="368" t="s">
        <v>1741</v>
      </c>
      <c r="E1038" s="368" t="s">
        <v>432</v>
      </c>
      <c r="F1038" s="368" t="s">
        <v>486</v>
      </c>
      <c r="G1038" s="375"/>
      <c r="H1038" s="368" t="s">
        <v>1732</v>
      </c>
      <c r="I1038" s="368" t="s">
        <v>1746</v>
      </c>
      <c r="J1038" s="368" t="s">
        <v>1744</v>
      </c>
      <c r="K1038" s="368" t="s">
        <v>432</v>
      </c>
      <c r="L1038" s="368" t="s">
        <v>486</v>
      </c>
      <c r="M1038" s="375"/>
      <c r="N1038" s="368" t="s">
        <v>1733</v>
      </c>
      <c r="O1038" s="368" t="s">
        <v>1735</v>
      </c>
      <c r="P1038" s="368" t="s">
        <v>1748</v>
      </c>
      <c r="Q1038" s="368" t="s">
        <v>432</v>
      </c>
      <c r="R1038" s="368" t="s">
        <v>486</v>
      </c>
      <c r="S1038" s="375"/>
      <c r="T1038" s="368" t="s">
        <v>1734</v>
      </c>
      <c r="U1038" s="368" t="s">
        <v>1736</v>
      </c>
      <c r="V1038" s="368" t="s">
        <v>1751</v>
      </c>
      <c r="W1038" s="368" t="s">
        <v>432</v>
      </c>
      <c r="X1038" s="368" t="s">
        <v>486</v>
      </c>
      <c r="Y1038" s="375"/>
      <c r="Z1038" s="368" t="s">
        <v>1735</v>
      </c>
      <c r="AA1038" s="368" t="s">
        <v>1737</v>
      </c>
      <c r="AB1038" s="368" t="s">
        <v>1752</v>
      </c>
      <c r="AC1038" s="368" t="s">
        <v>432</v>
      </c>
      <c r="AD1038" s="368" t="s">
        <v>486</v>
      </c>
      <c r="AE1038" s="375"/>
      <c r="AF1038" s="368" t="s">
        <v>1736</v>
      </c>
      <c r="AG1038" s="368" t="s">
        <v>1738</v>
      </c>
      <c r="AH1038" s="368" t="s">
        <v>1759</v>
      </c>
      <c r="AI1038" s="368" t="s">
        <v>432</v>
      </c>
      <c r="AJ1038" s="368" t="s">
        <v>486</v>
      </c>
      <c r="AK1038" s="694" t="s">
        <v>407</v>
      </c>
      <c r="AL1038" s="1534" t="s">
        <v>483</v>
      </c>
      <c r="AM1038" s="1534"/>
      <c r="AN1038" s="1531" t="s">
        <v>484</v>
      </c>
      <c r="AO1038" s="1532"/>
      <c r="AP1038" s="1533"/>
    </row>
    <row r="1039" spans="1:42" ht="15.75" customHeight="1" x14ac:dyDescent="0.2">
      <c r="A1039" s="316" t="s">
        <v>487</v>
      </c>
      <c r="B1039" s="594">
        <f ca="1">B1036</f>
        <v>4.1252619779579967E-2</v>
      </c>
      <c r="C1039" s="594">
        <f ca="1">G1003</f>
        <v>1.6478183308098251</v>
      </c>
      <c r="F1039" s="367"/>
      <c r="G1039" s="316" t="s">
        <v>487</v>
      </c>
      <c r="H1039" s="594">
        <f ca="1">H1036</f>
        <v>0.51399262258142342</v>
      </c>
      <c r="I1039" s="594">
        <f ca="1">C1046</f>
        <v>0</v>
      </c>
      <c r="L1039" s="367"/>
      <c r="M1039" s="316" t="s">
        <v>487</v>
      </c>
      <c r="N1039" s="594">
        <f ca="1">N1036</f>
        <v>1.3847370112940334</v>
      </c>
      <c r="O1039" s="594">
        <f ca="1">I1046</f>
        <v>2.1030164293524622</v>
      </c>
      <c r="R1039" s="367"/>
      <c r="S1039" s="316" t="s">
        <v>487</v>
      </c>
      <c r="T1039" s="594">
        <f ca="1">T1036</f>
        <v>0</v>
      </c>
      <c r="U1039" s="594">
        <f ca="1">O1046</f>
        <v>0.14907829108509307</v>
      </c>
      <c r="X1039" s="367"/>
      <c r="Y1039" s="316" t="s">
        <v>487</v>
      </c>
      <c r="Z1039" s="594">
        <f ca="1">Z1036</f>
        <v>1.3930371114485696</v>
      </c>
      <c r="AA1039" s="594">
        <f ca="1">U1046</f>
        <v>3.3944266169027051</v>
      </c>
      <c r="AD1039" s="367"/>
      <c r="AE1039" s="316" t="s">
        <v>487</v>
      </c>
      <c r="AF1039" s="594">
        <f ca="1">AF1036</f>
        <v>6.4090213861214551E-3</v>
      </c>
      <c r="AG1039" s="594">
        <f ca="1">AA1046</f>
        <v>0.11425108059637601</v>
      </c>
      <c r="AJ1039" s="367"/>
      <c r="AK1039" s="377" t="s">
        <v>376</v>
      </c>
      <c r="AL1039" s="368" t="s">
        <v>1738</v>
      </c>
      <c r="AM1039" s="368" t="s">
        <v>1738</v>
      </c>
      <c r="AN1039" s="368" t="s">
        <v>1761</v>
      </c>
      <c r="AO1039" s="368" t="s">
        <v>432</v>
      </c>
      <c r="AP1039" s="368" t="s">
        <v>486</v>
      </c>
    </row>
    <row r="1040" spans="1:42" ht="15.75" customHeight="1" x14ac:dyDescent="0.2">
      <c r="A1040" s="317" t="s">
        <v>488</v>
      </c>
      <c r="B1040" s="594">
        <f ca="1">B1018*-1</f>
        <v>-7.6815181153392495E-3</v>
      </c>
      <c r="C1040" s="594">
        <f ca="1">B1018*-1</f>
        <v>-7.6815181153392495E-3</v>
      </c>
      <c r="D1040" s="594">
        <f ca="1">$B$1018</f>
        <v>7.6815181153392495E-3</v>
      </c>
      <c r="E1040" s="594">
        <f ca="1">$B$1018</f>
        <v>7.6815181153392495E-3</v>
      </c>
      <c r="F1040" s="438">
        <f ca="1">$B$1018</f>
        <v>7.6815181153392495E-3</v>
      </c>
      <c r="G1040" s="317" t="s">
        <v>488</v>
      </c>
      <c r="H1040" s="594">
        <f ca="1">$C1019*-1</f>
        <v>0</v>
      </c>
      <c r="I1040" s="594">
        <f ca="1">$C1019*-1</f>
        <v>0</v>
      </c>
      <c r="J1040" s="594">
        <f ca="1">$C1019</f>
        <v>0</v>
      </c>
      <c r="K1040" s="594">
        <f ca="1">$C1019</f>
        <v>0</v>
      </c>
      <c r="L1040" s="438">
        <f ca="1">$C1019</f>
        <v>0</v>
      </c>
      <c r="M1040" s="317" t="s">
        <v>488</v>
      </c>
      <c r="N1040" s="594">
        <f ca="1">$D1020*-1</f>
        <v>-0.39258071642568221</v>
      </c>
      <c r="O1040" s="594">
        <f ca="1">$D1020*-1</f>
        <v>-0.39258071642568221</v>
      </c>
      <c r="P1040" s="594">
        <f ca="1">$D1020</f>
        <v>0.39258071642568221</v>
      </c>
      <c r="Q1040" s="594">
        <f ca="1">$D1020</f>
        <v>0.39258071642568221</v>
      </c>
      <c r="R1040" s="438">
        <f ca="1">$D1020</f>
        <v>0.39258071642568221</v>
      </c>
      <c r="S1040" s="317" t="s">
        <v>488</v>
      </c>
      <c r="T1040" s="594">
        <f ca="1">$E1021*-1</f>
        <v>0</v>
      </c>
      <c r="U1040" s="594">
        <f ca="1">$E1021*-1</f>
        <v>0</v>
      </c>
      <c r="V1040" s="594">
        <f ca="1">$E1021</f>
        <v>0</v>
      </c>
      <c r="W1040" s="594">
        <f ca="1">$E1021</f>
        <v>0</v>
      </c>
      <c r="X1040" s="438">
        <f ca="1">$E1021</f>
        <v>0</v>
      </c>
      <c r="Y1040" s="317" t="s">
        <v>488</v>
      </c>
      <c r="Z1040" s="594">
        <f ca="1">$F1022*-1</f>
        <v>-1.0727774508099661</v>
      </c>
      <c r="AA1040" s="594">
        <f ca="1">$F1022*-1</f>
        <v>-1.0727774508099661</v>
      </c>
      <c r="AB1040" s="594">
        <f ca="1">$F1022</f>
        <v>1.0727774508099661</v>
      </c>
      <c r="AC1040" s="594">
        <f ca="1">$F1022</f>
        <v>1.0727774508099661</v>
      </c>
      <c r="AD1040" s="438">
        <f ca="1">$F1022</f>
        <v>1.0727774508099661</v>
      </c>
      <c r="AE1040" s="317" t="s">
        <v>488</v>
      </c>
      <c r="AF1040" s="594">
        <f ca="1">$G1023*-1</f>
        <v>-4.6013048789862879E-3</v>
      </c>
      <c r="AG1040" s="594">
        <f ca="1">$G1023*-1</f>
        <v>-4.6013048789862879E-3</v>
      </c>
      <c r="AH1040" s="594">
        <f ca="1">$G1023</f>
        <v>4.6013048789862879E-3</v>
      </c>
      <c r="AI1040" s="594">
        <f ca="1">$G1023</f>
        <v>4.6013048789862879E-3</v>
      </c>
      <c r="AJ1040" s="594">
        <f ca="1">$G1023</f>
        <v>4.6013048789862879E-3</v>
      </c>
      <c r="AK1040" s="316" t="s">
        <v>487</v>
      </c>
      <c r="AL1040" s="594">
        <f ca="1">AM1036</f>
        <v>4.8807202095007968E-3</v>
      </c>
      <c r="AM1040" s="594">
        <f ca="1">AM1036</f>
        <v>4.8807202095007968E-3</v>
      </c>
      <c r="AP1040" s="367"/>
    </row>
    <row r="1041" spans="1:42" ht="15.75" customHeight="1" x14ac:dyDescent="0.2">
      <c r="A1041" s="318" t="s">
        <v>489</v>
      </c>
      <c r="B1041" s="594">
        <f ca="1">SUM(B1039:B1040)</f>
        <v>3.3571101664240717E-2</v>
      </c>
      <c r="C1041" s="594">
        <f ca="1">SUM(C1039:C1040)</f>
        <v>1.6401368126944857</v>
      </c>
      <c r="D1041" s="594">
        <f ca="1">SUM(D1039:D1040)</f>
        <v>7.6815181153392495E-3</v>
      </c>
      <c r="E1041" s="594">
        <f ca="1">SUM(E1039:E1040)</f>
        <v>7.6815181153392495E-3</v>
      </c>
      <c r="F1041" s="438">
        <f ca="1">SUM(F1039:F1040)</f>
        <v>7.6815181153392495E-3</v>
      </c>
      <c r="G1041" s="318" t="s">
        <v>489</v>
      </c>
      <c r="H1041" s="594">
        <f ca="1">SUM(H1039:H1040)</f>
        <v>0.51399262258142342</v>
      </c>
      <c r="I1041" s="594">
        <f ca="1">SUM(I1039:I1040)</f>
        <v>0</v>
      </c>
      <c r="J1041" s="594">
        <f ca="1">SUM(J1039:J1040)</f>
        <v>0</v>
      </c>
      <c r="K1041" s="594">
        <f ca="1">SUM(K1039:K1040)</f>
        <v>0</v>
      </c>
      <c r="L1041" s="438">
        <f ca="1">SUM(L1039:L1040)</f>
        <v>0</v>
      </c>
      <c r="M1041" s="318" t="s">
        <v>489</v>
      </c>
      <c r="N1041" s="594">
        <f ca="1">SUM(N1039:N1040)</f>
        <v>0.99215629486835111</v>
      </c>
      <c r="O1041" s="594">
        <f ca="1">SUM(O1039:O1040)</f>
        <v>1.71043571292678</v>
      </c>
      <c r="P1041" s="594">
        <f ca="1">SUM(P1039:P1040)</f>
        <v>0.39258071642568221</v>
      </c>
      <c r="Q1041" s="594">
        <f ca="1">SUM(Q1039:Q1040)</f>
        <v>0.39258071642568221</v>
      </c>
      <c r="R1041" s="438">
        <f ca="1">SUM(R1039:R1040)</f>
        <v>0.39258071642568221</v>
      </c>
      <c r="S1041" s="318" t="s">
        <v>489</v>
      </c>
      <c r="T1041" s="594">
        <f ca="1">SUM(T1039:T1040)</f>
        <v>0</v>
      </c>
      <c r="U1041" s="594">
        <f ca="1">SUM(U1039:U1040)</f>
        <v>0.14907829108509307</v>
      </c>
      <c r="V1041" s="594">
        <f ca="1">SUM(V1039:V1040)</f>
        <v>0</v>
      </c>
      <c r="W1041" s="594">
        <f ca="1">SUM(W1039:W1040)</f>
        <v>0</v>
      </c>
      <c r="X1041" s="438">
        <f ca="1">SUM(X1039:X1040)</f>
        <v>0</v>
      </c>
      <c r="Y1041" s="318" t="s">
        <v>489</v>
      </c>
      <c r="Z1041" s="594">
        <f ca="1">SUM(Z1039:Z1040)</f>
        <v>0.32025966063860345</v>
      </c>
      <c r="AA1041" s="594">
        <f ca="1">SUM(AA1039:AA1040)</f>
        <v>2.321649166092739</v>
      </c>
      <c r="AB1041" s="594">
        <f ca="1">SUM(AB1039:AB1040)</f>
        <v>1.0727774508099661</v>
      </c>
      <c r="AC1041" s="594">
        <f ca="1">SUM(AC1039:AC1040)</f>
        <v>1.0727774508099661</v>
      </c>
      <c r="AD1041" s="438">
        <f ca="1">SUM(AD1039:AD1040)</f>
        <v>1.0727774508099661</v>
      </c>
      <c r="AE1041" s="318" t="s">
        <v>489</v>
      </c>
      <c r="AF1041" s="415">
        <f ca="1">SUM(AF1039:AF1040)</f>
        <v>1.8077165071351672E-3</v>
      </c>
      <c r="AG1041" s="415">
        <f ca="1">SUM(AG1039:AG1040)</f>
        <v>0.10964977571738972</v>
      </c>
      <c r="AH1041" s="415">
        <f ca="1">SUM(AH1039:AH1040)</f>
        <v>4.6013048789862879E-3</v>
      </c>
      <c r="AI1041" s="415">
        <f ca="1">SUM(AI1039:AI1040)</f>
        <v>4.6013048789862879E-3</v>
      </c>
      <c r="AJ1041" s="415">
        <f ca="1">SUM(AJ1039:AJ1040)</f>
        <v>4.6013048789862879E-3</v>
      </c>
      <c r="AK1041" s="317" t="s">
        <v>488</v>
      </c>
      <c r="AL1041" s="594">
        <f ca="1">$I1023*-1</f>
        <v>-2.5779040993052144E-3</v>
      </c>
      <c r="AM1041" s="594">
        <f ca="1">$I1023*-1</f>
        <v>-2.5779040993052144E-3</v>
      </c>
      <c r="AN1041" s="594">
        <f ca="1">$I1023</f>
        <v>2.5779040993052144E-3</v>
      </c>
      <c r="AO1041" s="594">
        <f ca="1">$I1023</f>
        <v>2.5779040993052144E-3</v>
      </c>
      <c r="AP1041" s="438">
        <f ca="1">$I1023</f>
        <v>2.5779040993052144E-3</v>
      </c>
    </row>
    <row r="1042" spans="1:42" ht="15.75" customHeight="1" x14ac:dyDescent="0.2">
      <c r="A1042" s="375"/>
      <c r="B1042" s="1530" t="s">
        <v>483</v>
      </c>
      <c r="C1042" s="1530"/>
      <c r="D1042" s="1531" t="s">
        <v>484</v>
      </c>
      <c r="E1042" s="1532"/>
      <c r="F1042" s="1533"/>
      <c r="G1042" s="375"/>
      <c r="H1042" s="1534" t="s">
        <v>483</v>
      </c>
      <c r="I1042" s="1534"/>
      <c r="J1042" s="1531" t="s">
        <v>484</v>
      </c>
      <c r="K1042" s="1532"/>
      <c r="L1042" s="1533"/>
      <c r="M1042" s="375"/>
      <c r="N1042" s="1534" t="s">
        <v>483</v>
      </c>
      <c r="O1042" s="1534"/>
      <c r="P1042" s="1531" t="s">
        <v>484</v>
      </c>
      <c r="Q1042" s="1532"/>
      <c r="R1042" s="1533"/>
      <c r="S1042" s="375"/>
      <c r="T1042" s="1534" t="s">
        <v>483</v>
      </c>
      <c r="U1042" s="1534"/>
      <c r="V1042" s="1531" t="s">
        <v>484</v>
      </c>
      <c r="W1042" s="1532"/>
      <c r="X1042" s="1533"/>
      <c r="Y1042" s="375"/>
      <c r="Z1042" s="1534" t="s">
        <v>483</v>
      </c>
      <c r="AA1042" s="1534"/>
      <c r="AB1042" s="1531" t="s">
        <v>484</v>
      </c>
      <c r="AC1042" s="1532"/>
      <c r="AD1042" s="1533"/>
      <c r="AF1042" s="642">
        <f ca="1">AF1041/(G1006-AF1041)</f>
        <v>9.2252993712466664E-3</v>
      </c>
      <c r="AK1042" s="318" t="s">
        <v>489</v>
      </c>
      <c r="AL1042" s="415">
        <f ca="1">SUM(AL1040:AL1041)</f>
        <v>2.3028161101955823E-3</v>
      </c>
      <c r="AM1042" s="415">
        <f ca="1">SUM(AM1040:AM1041)</f>
        <v>2.3028161101955823E-3</v>
      </c>
      <c r="AN1042" s="415">
        <f ca="1">SUM(AN1040:AN1041)</f>
        <v>2.5779040993052144E-3</v>
      </c>
      <c r="AO1042" s="415">
        <f ca="1">SUM(AO1040:AO1041)</f>
        <v>2.5779040993052144E-3</v>
      </c>
      <c r="AP1042" s="487">
        <f ca="1">SUM(AP1040:AP1041)</f>
        <v>2.5779040993052144E-3</v>
      </c>
    </row>
    <row r="1043" spans="1:42" ht="15.75" customHeight="1" x14ac:dyDescent="0.2">
      <c r="A1043" s="375"/>
      <c r="B1043" s="368" t="s">
        <v>1731</v>
      </c>
      <c r="C1043" s="368" t="s">
        <v>1734</v>
      </c>
      <c r="D1043" s="368" t="s">
        <v>1742</v>
      </c>
      <c r="E1043" s="368" t="s">
        <v>432</v>
      </c>
      <c r="F1043" s="368" t="s">
        <v>486</v>
      </c>
      <c r="G1043" s="375"/>
      <c r="H1043" s="368" t="s">
        <v>1732</v>
      </c>
      <c r="I1043" s="368" t="s">
        <v>1735</v>
      </c>
      <c r="J1043" s="368" t="s">
        <v>1745</v>
      </c>
      <c r="K1043" s="368" t="s">
        <v>432</v>
      </c>
      <c r="L1043" s="368" t="s">
        <v>486</v>
      </c>
      <c r="M1043" s="375"/>
      <c r="N1043" s="368" t="s">
        <v>1733</v>
      </c>
      <c r="O1043" s="368" t="s">
        <v>1736</v>
      </c>
      <c r="P1043" s="368" t="s">
        <v>1751</v>
      </c>
      <c r="Q1043" s="368" t="s">
        <v>432</v>
      </c>
      <c r="R1043" s="368" t="s">
        <v>486</v>
      </c>
      <c r="S1043" s="375"/>
      <c r="T1043" s="368" t="s">
        <v>1734</v>
      </c>
      <c r="U1043" s="368" t="s">
        <v>1737</v>
      </c>
      <c r="V1043" s="368" t="s">
        <v>1754</v>
      </c>
      <c r="W1043" s="368" t="s">
        <v>432</v>
      </c>
      <c r="X1043" s="368" t="s">
        <v>486</v>
      </c>
      <c r="Y1043" s="375"/>
      <c r="Z1043" s="368" t="s">
        <v>1735</v>
      </c>
      <c r="AA1043" s="368" t="s">
        <v>1738</v>
      </c>
      <c r="AB1043" s="368" t="s">
        <v>1757</v>
      </c>
      <c r="AC1043" s="368" t="s">
        <v>432</v>
      </c>
      <c r="AD1043" s="368" t="s">
        <v>486</v>
      </c>
      <c r="AL1043" s="695">
        <f ca="1">AL1042/(G1008-AL1042)</f>
        <v>1.0501283952663684E-2</v>
      </c>
      <c r="AP1043" s="367"/>
    </row>
    <row r="1044" spans="1:42" ht="15.75" customHeight="1" x14ac:dyDescent="0.2">
      <c r="A1044" s="316" t="s">
        <v>487</v>
      </c>
      <c r="B1044" s="594">
        <f ca="1">B1041</f>
        <v>3.3571101664240717E-2</v>
      </c>
      <c r="C1044" s="594">
        <f ca="1">G1004</f>
        <v>0</v>
      </c>
      <c r="F1044" s="367"/>
      <c r="G1044" s="316" t="s">
        <v>487</v>
      </c>
      <c r="H1044" s="594">
        <f ca="1">H1041</f>
        <v>0.51399262258142342</v>
      </c>
      <c r="I1044" s="594">
        <f ca="1">C1051</f>
        <v>2.2584011227359126</v>
      </c>
      <c r="L1044" s="367"/>
      <c r="M1044" s="316" t="s">
        <v>487</v>
      </c>
      <c r="N1044" s="594">
        <f ca="1">N1041</f>
        <v>0.99215629486835111</v>
      </c>
      <c r="O1044" s="594">
        <f ca="1">I1051</f>
        <v>0.18329487220263641</v>
      </c>
      <c r="R1044" s="367"/>
      <c r="S1044" s="316" t="s">
        <v>487</v>
      </c>
      <c r="T1044" s="594">
        <f ca="1">T1041</f>
        <v>0</v>
      </c>
      <c r="U1044" s="594">
        <f ca="1">O1051</f>
        <v>3.3944266169027051</v>
      </c>
      <c r="X1044" s="367"/>
      <c r="Y1044" s="316" t="s">
        <v>487</v>
      </c>
      <c r="Z1044" s="594">
        <f ca="1">Z1041</f>
        <v>0.32025966063860345</v>
      </c>
      <c r="AA1044" s="594">
        <f ca="1">U1051</f>
        <v>0.16704371816820124</v>
      </c>
      <c r="AD1044" s="367"/>
      <c r="AP1044" s="367"/>
    </row>
    <row r="1045" spans="1:42" ht="15.75" customHeight="1" x14ac:dyDescent="0.2">
      <c r="A1045" s="317" t="s">
        <v>488</v>
      </c>
      <c r="B1045" s="594">
        <f ca="1">$B1019*-1</f>
        <v>0</v>
      </c>
      <c r="C1045" s="594">
        <f ca="1">$B1019*-1</f>
        <v>0</v>
      </c>
      <c r="D1045" s="594">
        <f ca="1">$B1019</f>
        <v>0</v>
      </c>
      <c r="E1045" s="594">
        <f ca="1">$B1019</f>
        <v>0</v>
      </c>
      <c r="F1045" s="438">
        <f ca="1">$B1019</f>
        <v>0</v>
      </c>
      <c r="G1045" s="317" t="s">
        <v>488</v>
      </c>
      <c r="H1045" s="594">
        <f ca="1">$C1020*-1</f>
        <v>-0.15538469338345054</v>
      </c>
      <c r="I1045" s="594">
        <f ca="1">$C1020*-1</f>
        <v>-0.15538469338345054</v>
      </c>
      <c r="J1045" s="594">
        <f ca="1">$C1020</f>
        <v>0.15538469338345054</v>
      </c>
      <c r="K1045" s="594">
        <f ca="1">$C1020</f>
        <v>0.15538469338345054</v>
      </c>
      <c r="L1045" s="438">
        <f ca="1">$C1020</f>
        <v>0.15538469338345054</v>
      </c>
      <c r="M1045" s="317" t="s">
        <v>488</v>
      </c>
      <c r="N1045" s="594">
        <f ca="1">$D1021*-1</f>
        <v>-3.4216581117543339E-2</v>
      </c>
      <c r="O1045" s="594">
        <f ca="1">$D1021*-1</f>
        <v>-3.4216581117543339E-2</v>
      </c>
      <c r="P1045" s="594">
        <f ca="1">$D1021</f>
        <v>3.4216581117543339E-2</v>
      </c>
      <c r="Q1045" s="594">
        <f ca="1">$D1021</f>
        <v>3.4216581117543339E-2</v>
      </c>
      <c r="R1045" s="438">
        <f ca="1">$D1021</f>
        <v>3.4216581117543339E-2</v>
      </c>
      <c r="S1045" s="317" t="s">
        <v>488</v>
      </c>
      <c r="T1045" s="594">
        <f ca="1">$E1022*-1</f>
        <v>0</v>
      </c>
      <c r="U1045" s="594">
        <f ca="1">$E1022*-1</f>
        <v>0</v>
      </c>
      <c r="V1045" s="594">
        <f ca="1">$E1022</f>
        <v>0</v>
      </c>
      <c r="W1045" s="594">
        <f ca="1">$E1022</f>
        <v>0</v>
      </c>
      <c r="X1045" s="438">
        <f ca="1">$E1022</f>
        <v>0</v>
      </c>
      <c r="Y1045" s="317" t="s">
        <v>488</v>
      </c>
      <c r="Z1045" s="594">
        <f ca="1">$F1023*-1</f>
        <v>-5.2792637571825236E-2</v>
      </c>
      <c r="AA1045" s="594">
        <f ca="1">$F1023*-1</f>
        <v>-5.2792637571825236E-2</v>
      </c>
      <c r="AB1045" s="594">
        <f ca="1">$F1023</f>
        <v>5.2792637571825236E-2</v>
      </c>
      <c r="AC1045" s="594">
        <f ca="1">$F1023</f>
        <v>5.2792637571825236E-2</v>
      </c>
      <c r="AD1045" s="438">
        <f ca="1">$F1023</f>
        <v>5.2792637571825236E-2</v>
      </c>
      <c r="AP1045" s="367"/>
    </row>
    <row r="1046" spans="1:42" ht="15.75" customHeight="1" x14ac:dyDescent="0.2">
      <c r="A1046" s="318" t="s">
        <v>489</v>
      </c>
      <c r="B1046" s="594">
        <f ca="1">SUM(B1044:B1045)</f>
        <v>3.3571101664240717E-2</v>
      </c>
      <c r="C1046" s="594">
        <f ca="1">SUM(C1044:C1045)</f>
        <v>0</v>
      </c>
      <c r="D1046" s="594">
        <f ca="1">SUM(D1044:D1045)</f>
        <v>0</v>
      </c>
      <c r="E1046" s="594">
        <f ca="1">SUM(E1044:E1045)</f>
        <v>0</v>
      </c>
      <c r="F1046" s="438">
        <f ca="1">SUM(F1044:F1045)</f>
        <v>0</v>
      </c>
      <c r="G1046" s="318" t="s">
        <v>489</v>
      </c>
      <c r="H1046" s="594">
        <f ca="1">SUM(H1044:H1045)</f>
        <v>0.35860792919797291</v>
      </c>
      <c r="I1046" s="594">
        <f ca="1">SUM(I1044:I1045)</f>
        <v>2.1030164293524622</v>
      </c>
      <c r="J1046" s="594">
        <f ca="1">SUM(J1044:J1045)</f>
        <v>0.15538469338345054</v>
      </c>
      <c r="K1046" s="594">
        <f ca="1">SUM(K1044:K1045)</f>
        <v>0.15538469338345054</v>
      </c>
      <c r="L1046" s="438">
        <f ca="1">SUM(L1044:L1045)</f>
        <v>0.15538469338345054</v>
      </c>
      <c r="M1046" s="318" t="s">
        <v>489</v>
      </c>
      <c r="N1046" s="594">
        <f ca="1">SUM(N1044:N1045)</f>
        <v>0.95793971375080778</v>
      </c>
      <c r="O1046" s="594">
        <f ca="1">SUM(O1044:O1045)</f>
        <v>0.14907829108509307</v>
      </c>
      <c r="P1046" s="594">
        <f ca="1">SUM(P1044:P1045)</f>
        <v>3.4216581117543339E-2</v>
      </c>
      <c r="Q1046" s="594">
        <f ca="1">SUM(Q1044:Q1045)</f>
        <v>3.4216581117543339E-2</v>
      </c>
      <c r="R1046" s="438">
        <f ca="1">SUM(R1044:R1045)</f>
        <v>3.4216581117543339E-2</v>
      </c>
      <c r="S1046" s="318" t="s">
        <v>489</v>
      </c>
      <c r="T1046" s="594">
        <f ca="1">SUM(T1044:T1045)</f>
        <v>0</v>
      </c>
      <c r="U1046" s="594">
        <f ca="1">SUM(U1044:U1045)</f>
        <v>3.3944266169027051</v>
      </c>
      <c r="V1046" s="594">
        <f ca="1">SUM(V1044:V1045)</f>
        <v>0</v>
      </c>
      <c r="W1046" s="594">
        <f ca="1">SUM(W1044:W1045)</f>
        <v>0</v>
      </c>
      <c r="X1046" s="438">
        <f ca="1">SUM(X1044:X1045)</f>
        <v>0</v>
      </c>
      <c r="Y1046" s="318" t="s">
        <v>489</v>
      </c>
      <c r="Z1046" s="415">
        <f ca="1">SUM(Z1044:Z1045)</f>
        <v>0.26746702306677822</v>
      </c>
      <c r="AA1046" s="415">
        <f ca="1">SUM(AA1044:AA1045)</f>
        <v>0.11425108059637601</v>
      </c>
      <c r="AB1046" s="415">
        <f ca="1">SUM(AB1044:AB1045)</f>
        <v>5.2792637571825236E-2</v>
      </c>
      <c r="AC1046" s="415">
        <f ca="1">SUM(AC1044:AC1045)</f>
        <v>5.2792637571825236E-2</v>
      </c>
      <c r="AD1046" s="487">
        <f ca="1">SUM(AD1044:AD1045)</f>
        <v>5.2792637571825236E-2</v>
      </c>
      <c r="AP1046" s="367"/>
    </row>
    <row r="1047" spans="1:42" ht="15.75" customHeight="1" x14ac:dyDescent="0.2">
      <c r="A1047" s="375"/>
      <c r="B1047" s="1530" t="s">
        <v>483</v>
      </c>
      <c r="C1047" s="1530"/>
      <c r="D1047" s="1531" t="s">
        <v>484</v>
      </c>
      <c r="E1047" s="1532"/>
      <c r="F1047" s="1533"/>
      <c r="G1047" s="375"/>
      <c r="H1047" s="1534" t="s">
        <v>483</v>
      </c>
      <c r="I1047" s="1534"/>
      <c r="J1047" s="1531" t="s">
        <v>484</v>
      </c>
      <c r="K1047" s="1532"/>
      <c r="L1047" s="1533"/>
      <c r="M1047" s="375"/>
      <c r="N1047" s="1534" t="s">
        <v>483</v>
      </c>
      <c r="O1047" s="1534"/>
      <c r="P1047" s="1531" t="s">
        <v>484</v>
      </c>
      <c r="Q1047" s="1532"/>
      <c r="R1047" s="1533"/>
      <c r="S1047" s="375"/>
      <c r="T1047" s="1534" t="s">
        <v>483</v>
      </c>
      <c r="U1047" s="1534"/>
      <c r="V1047" s="1531" t="s">
        <v>484</v>
      </c>
      <c r="W1047" s="1532"/>
      <c r="X1047" s="1533"/>
      <c r="Z1047" s="695">
        <f ca="1">Z1046/(G1005-Z1046)</f>
        <v>0.13363253644592241</v>
      </c>
      <c r="AP1047" s="367"/>
    </row>
    <row r="1048" spans="1:42" ht="15.75" customHeight="1" x14ac:dyDescent="0.2">
      <c r="A1048" s="375"/>
      <c r="B1048" s="368" t="s">
        <v>1731</v>
      </c>
      <c r="C1048" s="368" t="s">
        <v>1735</v>
      </c>
      <c r="D1048" s="368" t="s">
        <v>1743</v>
      </c>
      <c r="E1048" s="368" t="s">
        <v>432</v>
      </c>
      <c r="F1048" s="368" t="s">
        <v>486</v>
      </c>
      <c r="G1048" s="375"/>
      <c r="H1048" s="368" t="s">
        <v>1732</v>
      </c>
      <c r="I1048" s="368" t="s">
        <v>1736</v>
      </c>
      <c r="J1048" s="368" t="s">
        <v>1747</v>
      </c>
      <c r="K1048" s="368" t="s">
        <v>432</v>
      </c>
      <c r="L1048" s="368" t="s">
        <v>486</v>
      </c>
      <c r="M1048" s="375"/>
      <c r="N1048" s="368" t="s">
        <v>1733</v>
      </c>
      <c r="O1048" s="368" t="s">
        <v>1737</v>
      </c>
      <c r="P1048" s="368" t="s">
        <v>1749</v>
      </c>
      <c r="Q1048" s="368" t="s">
        <v>432</v>
      </c>
      <c r="R1048" s="368" t="s">
        <v>486</v>
      </c>
      <c r="S1048" s="375"/>
      <c r="T1048" s="368" t="s">
        <v>1734</v>
      </c>
      <c r="U1048" s="368" t="s">
        <v>1738</v>
      </c>
      <c r="V1048" s="368" t="s">
        <v>1755</v>
      </c>
      <c r="W1048" s="368" t="s">
        <v>432</v>
      </c>
      <c r="X1048" s="368" t="s">
        <v>486</v>
      </c>
      <c r="AB1048" s="594"/>
      <c r="AP1048" s="367"/>
    </row>
    <row r="1049" spans="1:42" ht="15.75" customHeight="1" x14ac:dyDescent="0.2">
      <c r="A1049" s="316" t="s">
        <v>487</v>
      </c>
      <c r="B1049" s="594">
        <f ca="1">B1046</f>
        <v>3.3571101664240717E-2</v>
      </c>
      <c r="C1049" s="594">
        <f ca="1">G1005</f>
        <v>2.2689782581320133</v>
      </c>
      <c r="F1049" s="367"/>
      <c r="G1049" s="316" t="s">
        <v>487</v>
      </c>
      <c r="H1049" s="594">
        <f ca="1">H1046</f>
        <v>0.35860792919797291</v>
      </c>
      <c r="I1049" s="594">
        <f ca="1">C1056</f>
        <v>0.19683790359242684</v>
      </c>
      <c r="L1049" s="367"/>
      <c r="M1049" s="316" t="s">
        <v>487</v>
      </c>
      <c r="N1049" s="594">
        <f ca="1">N1046</f>
        <v>0.95793971375080778</v>
      </c>
      <c r="O1049" s="594">
        <f ca="1">I1056</f>
        <v>4.1735184138331132</v>
      </c>
      <c r="R1049" s="367"/>
      <c r="S1049" s="316" t="s">
        <v>487</v>
      </c>
      <c r="T1049" s="594">
        <f ca="1">T1046</f>
        <v>0</v>
      </c>
      <c r="U1049" s="594">
        <f ca="1">O1056</f>
        <v>0.16704371816820124</v>
      </c>
      <c r="X1049" s="367"/>
      <c r="AP1049" s="367"/>
    </row>
    <row r="1050" spans="1:42" ht="15.75" customHeight="1" x14ac:dyDescent="0.2">
      <c r="A1050" s="317" t="s">
        <v>488</v>
      </c>
      <c r="B1050" s="594">
        <f ca="1">$B1020*-1</f>
        <v>-1.0577135396100567E-2</v>
      </c>
      <c r="C1050" s="594">
        <f ca="1">$B1020*-1</f>
        <v>-1.0577135396100567E-2</v>
      </c>
      <c r="D1050" s="594">
        <f ca="1">$B1020</f>
        <v>1.0577135396100567E-2</v>
      </c>
      <c r="E1050" s="594">
        <f ca="1">$B1020</f>
        <v>1.0577135396100567E-2</v>
      </c>
      <c r="F1050" s="438">
        <f ca="1">$B1020</f>
        <v>1.0577135396100567E-2</v>
      </c>
      <c r="G1050" s="317" t="s">
        <v>488</v>
      </c>
      <c r="H1050" s="594">
        <f ca="1">$C1021*-1</f>
        <v>-1.354303138979044E-2</v>
      </c>
      <c r="I1050" s="594">
        <f ca="1">$C1021*-1</f>
        <v>-1.354303138979044E-2</v>
      </c>
      <c r="J1050" s="594">
        <f ca="1">$C1021</f>
        <v>1.354303138979044E-2</v>
      </c>
      <c r="K1050" s="594">
        <f ca="1">$C1021</f>
        <v>1.354303138979044E-2</v>
      </c>
      <c r="L1050" s="438">
        <f ca="1">$C1021</f>
        <v>1.354303138979044E-2</v>
      </c>
      <c r="M1050" s="317" t="s">
        <v>488</v>
      </c>
      <c r="N1050" s="594">
        <f ca="1">$D1022*-1</f>
        <v>-0.7790917969304082</v>
      </c>
      <c r="O1050" s="594">
        <f ca="1">$D1022*-1</f>
        <v>-0.7790917969304082</v>
      </c>
      <c r="P1050" s="594">
        <f ca="1">$D1022</f>
        <v>0.7790917969304082</v>
      </c>
      <c r="Q1050" s="594">
        <f ca="1">$D1022</f>
        <v>0.7790917969304082</v>
      </c>
      <c r="R1050" s="438">
        <f ca="1">$D1022</f>
        <v>0.7790917969304082</v>
      </c>
      <c r="S1050" s="317" t="s">
        <v>488</v>
      </c>
      <c r="T1050" s="594">
        <f ca="1">$E1023*-1</f>
        <v>0</v>
      </c>
      <c r="U1050" s="594">
        <f ca="1">$E1023*-1</f>
        <v>0</v>
      </c>
      <c r="V1050" s="594">
        <f ca="1">$E1023</f>
        <v>0</v>
      </c>
      <c r="W1050" s="594">
        <f ca="1">$E1023</f>
        <v>0</v>
      </c>
      <c r="X1050" s="438">
        <f ca="1">$E1023</f>
        <v>0</v>
      </c>
      <c r="AP1050" s="367"/>
    </row>
    <row r="1051" spans="1:42" ht="15.75" customHeight="1" x14ac:dyDescent="0.2">
      <c r="A1051" s="318" t="s">
        <v>489</v>
      </c>
      <c r="B1051" s="594">
        <f ca="1">SUM(B1049:B1050)</f>
        <v>2.299396626814015E-2</v>
      </c>
      <c r="C1051" s="594">
        <f ca="1">SUM(C1049:C1050)</f>
        <v>2.2584011227359126</v>
      </c>
      <c r="D1051" s="594">
        <f ca="1">SUM(D1049:D1050)</f>
        <v>1.0577135396100567E-2</v>
      </c>
      <c r="E1051" s="594">
        <f ca="1">SUM(E1049:E1050)</f>
        <v>1.0577135396100567E-2</v>
      </c>
      <c r="F1051" s="438">
        <f ca="1">SUM(F1049:F1050)</f>
        <v>1.0577135396100567E-2</v>
      </c>
      <c r="G1051" s="318" t="s">
        <v>489</v>
      </c>
      <c r="H1051" s="594">
        <f ca="1">SUM(H1049:H1050)</f>
        <v>0.34506489780818245</v>
      </c>
      <c r="I1051" s="594">
        <f ca="1">SUM(I1049:I1050)</f>
        <v>0.18329487220263641</v>
      </c>
      <c r="J1051" s="594">
        <f ca="1">SUM(J1049:J1050)</f>
        <v>1.354303138979044E-2</v>
      </c>
      <c r="K1051" s="594">
        <f ca="1">SUM(K1049:K1050)</f>
        <v>1.354303138979044E-2</v>
      </c>
      <c r="L1051" s="438">
        <f ca="1">SUM(L1049:L1050)</f>
        <v>1.354303138979044E-2</v>
      </c>
      <c r="M1051" s="318" t="s">
        <v>489</v>
      </c>
      <c r="N1051" s="594">
        <f ca="1">SUM(N1049:N1050)</f>
        <v>0.17884791682039958</v>
      </c>
      <c r="O1051" s="594">
        <f ca="1">SUM(O1049:O1050)</f>
        <v>3.3944266169027051</v>
      </c>
      <c r="P1051" s="594">
        <f ca="1">SUM(P1049:P1050)</f>
        <v>0.7790917969304082</v>
      </c>
      <c r="Q1051" s="594">
        <f ca="1">SUM(Q1049:Q1050)</f>
        <v>0.7790917969304082</v>
      </c>
      <c r="R1051" s="438">
        <f ca="1">SUM(R1049:R1050)</f>
        <v>0.7790917969304082</v>
      </c>
      <c r="S1051" s="318" t="s">
        <v>489</v>
      </c>
      <c r="T1051" s="415">
        <f ca="1">SUM(T1049:T1050)</f>
        <v>0</v>
      </c>
      <c r="U1051" s="415">
        <f ca="1">SUM(U1049:U1050)</f>
        <v>0.16704371816820124</v>
      </c>
      <c r="V1051" s="415">
        <f ca="1">SUM(V1049:V1050)</f>
        <v>0</v>
      </c>
      <c r="W1051" s="415">
        <f ca="1">SUM(W1049:W1050)</f>
        <v>0</v>
      </c>
      <c r="X1051" s="487">
        <f ca="1">SUM(X1049:X1050)</f>
        <v>0</v>
      </c>
      <c r="AP1051" s="367"/>
    </row>
    <row r="1052" spans="1:42" ht="15.75" customHeight="1" x14ac:dyDescent="0.2">
      <c r="A1052" s="375"/>
      <c r="B1052" s="1530" t="s">
        <v>483</v>
      </c>
      <c r="C1052" s="1530"/>
      <c r="D1052" s="1531" t="s">
        <v>484</v>
      </c>
      <c r="E1052" s="1532"/>
      <c r="F1052" s="1533"/>
      <c r="G1052" s="375"/>
      <c r="H1052" s="1534" t="s">
        <v>483</v>
      </c>
      <c r="I1052" s="1534"/>
      <c r="J1052" s="1531" t="s">
        <v>484</v>
      </c>
      <c r="K1052" s="1532"/>
      <c r="L1052" s="1533"/>
      <c r="M1052" s="375"/>
      <c r="N1052" s="1534" t="s">
        <v>483</v>
      </c>
      <c r="O1052" s="1534"/>
      <c r="P1052" s="1531" t="s">
        <v>484</v>
      </c>
      <c r="Q1052" s="1532"/>
      <c r="R1052" s="1533"/>
      <c r="AP1052" s="367"/>
    </row>
    <row r="1053" spans="1:42" ht="15.75" customHeight="1" x14ac:dyDescent="0.2">
      <c r="A1053" s="375"/>
      <c r="B1053" s="368" t="s">
        <v>1731</v>
      </c>
      <c r="C1053" s="368" t="s">
        <v>1736</v>
      </c>
      <c r="D1053" s="368" t="s">
        <v>1744</v>
      </c>
      <c r="E1053" s="368" t="s">
        <v>432</v>
      </c>
      <c r="F1053" s="368" t="s">
        <v>486</v>
      </c>
      <c r="G1053" s="375"/>
      <c r="H1053" s="368" t="s">
        <v>1732</v>
      </c>
      <c r="I1053" s="368" t="s">
        <v>1737</v>
      </c>
      <c r="J1053" s="368" t="s">
        <v>1748</v>
      </c>
      <c r="K1053" s="368" t="s">
        <v>432</v>
      </c>
      <c r="L1053" s="368" t="s">
        <v>486</v>
      </c>
      <c r="M1053" s="375"/>
      <c r="N1053" s="368" t="s">
        <v>1733</v>
      </c>
      <c r="O1053" s="368" t="s">
        <v>1738</v>
      </c>
      <c r="P1053" s="368" t="s">
        <v>1752</v>
      </c>
      <c r="Q1053" s="368" t="s">
        <v>432</v>
      </c>
      <c r="R1053" s="368" t="s">
        <v>486</v>
      </c>
      <c r="AP1053" s="367"/>
    </row>
    <row r="1054" spans="1:42" ht="15.75" customHeight="1" x14ac:dyDescent="0.2">
      <c r="A1054" s="316" t="s">
        <v>487</v>
      </c>
      <c r="B1054" s="594">
        <f ca="1">B1051</f>
        <v>2.299396626814015E-2</v>
      </c>
      <c r="C1054" s="594">
        <f ca="1">G1006</f>
        <v>0.19775978639545144</v>
      </c>
      <c r="F1054" s="367"/>
      <c r="G1054" s="316" t="s">
        <v>487</v>
      </c>
      <c r="H1054" s="594">
        <f ca="1">H1051</f>
        <v>0.34506489780818245</v>
      </c>
      <c r="I1054" s="594">
        <f ca="1">C1061</f>
        <v>4.4818854194410163</v>
      </c>
      <c r="L1054" s="367"/>
      <c r="M1054" s="316" t="s">
        <v>487</v>
      </c>
      <c r="N1054" s="594">
        <f ca="1">N1051</f>
        <v>0.17884791682039958</v>
      </c>
      <c r="O1054" s="594">
        <f ca="1">I1061</f>
        <v>0.205383739986776</v>
      </c>
      <c r="R1054" s="367"/>
      <c r="AP1054" s="367"/>
    </row>
    <row r="1055" spans="1:42" ht="15.75" customHeight="1" x14ac:dyDescent="0.2">
      <c r="A1055" s="317" t="s">
        <v>488</v>
      </c>
      <c r="B1055" s="594">
        <f ca="1">$B1021*-1</f>
        <v>-9.2188280302460087E-4</v>
      </c>
      <c r="C1055" s="594">
        <f ca="1">$B1021*-1</f>
        <v>-9.2188280302460087E-4</v>
      </c>
      <c r="D1055" s="594">
        <f ca="1">$B1021</f>
        <v>9.2188280302460087E-4</v>
      </c>
      <c r="E1055" s="594">
        <f ca="1">$B1021</f>
        <v>9.2188280302460087E-4</v>
      </c>
      <c r="F1055" s="438">
        <f ca="1">$B1021</f>
        <v>9.2188280302460087E-4</v>
      </c>
      <c r="G1055" s="317" t="s">
        <v>488</v>
      </c>
      <c r="H1055" s="594">
        <f ca="1">$C1022*-1</f>
        <v>-0.30836700560790309</v>
      </c>
      <c r="I1055" s="594">
        <f ca="1">$C1022*-1</f>
        <v>-0.30836700560790309</v>
      </c>
      <c r="J1055" s="594">
        <f ca="1">$C1022</f>
        <v>0.30836700560790309</v>
      </c>
      <c r="K1055" s="594">
        <f ca="1">$C1022</f>
        <v>0.30836700560790309</v>
      </c>
      <c r="L1055" s="438">
        <f ca="1">$C1022</f>
        <v>0.30836700560790309</v>
      </c>
      <c r="M1055" s="317" t="s">
        <v>488</v>
      </c>
      <c r="N1055" s="594">
        <f ca="1">$D1023*-1</f>
        <v>-3.8340021818574752E-2</v>
      </c>
      <c r="O1055" s="594">
        <f ca="1">$D1023*-1</f>
        <v>-3.8340021818574752E-2</v>
      </c>
      <c r="P1055" s="594">
        <f ca="1">$D1023</f>
        <v>3.8340021818574752E-2</v>
      </c>
      <c r="Q1055" s="594">
        <f ca="1">$D1023</f>
        <v>3.8340021818574752E-2</v>
      </c>
      <c r="R1055" s="438">
        <f ca="1">$D1023</f>
        <v>3.8340021818574752E-2</v>
      </c>
      <c r="AP1055" s="367"/>
    </row>
    <row r="1056" spans="1:42" ht="15.75" customHeight="1" x14ac:dyDescent="0.2">
      <c r="A1056" s="318" t="s">
        <v>489</v>
      </c>
      <c r="B1056" s="594">
        <f ca="1">SUM(B1054:B1055)</f>
        <v>2.207208346511555E-2</v>
      </c>
      <c r="C1056" s="594">
        <f ca="1">SUM(C1054:C1055)</f>
        <v>0.19683790359242684</v>
      </c>
      <c r="D1056" s="594">
        <f ca="1">SUM(D1054:D1055)</f>
        <v>9.2188280302460087E-4</v>
      </c>
      <c r="E1056" s="594">
        <f ca="1">SUM(E1054:E1055)</f>
        <v>9.2188280302460087E-4</v>
      </c>
      <c r="F1056" s="438">
        <f ca="1">SUM(F1054:F1055)</f>
        <v>9.2188280302460087E-4</v>
      </c>
      <c r="G1056" s="318" t="s">
        <v>489</v>
      </c>
      <c r="H1056" s="594">
        <f ca="1">SUM(H1054:H1055)</f>
        <v>3.6697892200279358E-2</v>
      </c>
      <c r="I1056" s="594">
        <f ca="1">SUM(I1054:I1055)</f>
        <v>4.1735184138331132</v>
      </c>
      <c r="J1056" s="594">
        <f ca="1">SUM(J1054:J1055)</f>
        <v>0.30836700560790309</v>
      </c>
      <c r="K1056" s="594">
        <f ca="1">SUM(K1054:K1055)</f>
        <v>0.30836700560790309</v>
      </c>
      <c r="L1056" s="438">
        <f ca="1">SUM(L1054:L1055)</f>
        <v>0.30836700560790309</v>
      </c>
      <c r="M1056" s="318" t="s">
        <v>489</v>
      </c>
      <c r="N1056" s="415">
        <f ca="1">SUM(N1054:N1055)</f>
        <v>0.14050789500182481</v>
      </c>
      <c r="O1056" s="415">
        <f ca="1">SUM(O1054:O1055)</f>
        <v>0.16704371816820124</v>
      </c>
      <c r="P1056" s="415">
        <f ca="1">SUM(P1054:P1055)</f>
        <v>3.8340021818574752E-2</v>
      </c>
      <c r="Q1056" s="415">
        <f ca="1">SUM(Q1054:Q1055)</f>
        <v>3.8340021818574752E-2</v>
      </c>
      <c r="R1056" s="487">
        <f ca="1">SUM(R1054:R1055)</f>
        <v>3.8340021818574752E-2</v>
      </c>
      <c r="AP1056" s="367"/>
    </row>
    <row r="1057" spans="1:42" ht="15.75" customHeight="1" x14ac:dyDescent="0.2">
      <c r="A1057" s="375"/>
      <c r="B1057" s="1530" t="s">
        <v>483</v>
      </c>
      <c r="C1057" s="1530"/>
      <c r="D1057" s="1531" t="s">
        <v>484</v>
      </c>
      <c r="E1057" s="1532"/>
      <c r="F1057" s="1533"/>
      <c r="G1057" s="375"/>
      <c r="H1057" s="1534" t="s">
        <v>483</v>
      </c>
      <c r="I1057" s="1534"/>
      <c r="J1057" s="1531" t="s">
        <v>484</v>
      </c>
      <c r="K1057" s="1532"/>
      <c r="L1057" s="1533"/>
      <c r="N1057" s="642">
        <f ca="1">N1056/(G1003-N1056)</f>
        <v>9.3217622371535525E-2</v>
      </c>
      <c r="AP1057" s="367"/>
    </row>
    <row r="1058" spans="1:42" ht="15.75" customHeight="1" x14ac:dyDescent="0.2">
      <c r="A1058" s="375"/>
      <c r="B1058" s="368" t="s">
        <v>1731</v>
      </c>
      <c r="C1058" s="368" t="s">
        <v>1737</v>
      </c>
      <c r="D1058" s="368" t="s">
        <v>1745</v>
      </c>
      <c r="E1058" s="368" t="s">
        <v>432</v>
      </c>
      <c r="F1058" s="368" t="s">
        <v>486</v>
      </c>
      <c r="G1058" s="375"/>
      <c r="H1058" s="368" t="s">
        <v>1732</v>
      </c>
      <c r="I1058" s="368" t="s">
        <v>1738</v>
      </c>
      <c r="J1058" s="368" t="s">
        <v>1749</v>
      </c>
      <c r="K1058" s="368" t="s">
        <v>432</v>
      </c>
      <c r="L1058" s="368" t="s">
        <v>486</v>
      </c>
      <c r="AP1058" s="367"/>
    </row>
    <row r="1059" spans="1:42" ht="15.75" customHeight="1" x14ac:dyDescent="0.2">
      <c r="A1059" s="316" t="s">
        <v>487</v>
      </c>
      <c r="B1059" s="594">
        <f ca="1">B1056</f>
        <v>2.207208346511555E-2</v>
      </c>
      <c r="C1059" s="594">
        <f ca="1">G1007</f>
        <v>4.5028761586121906</v>
      </c>
      <c r="F1059" s="367"/>
      <c r="G1059" s="316" t="s">
        <v>487</v>
      </c>
      <c r="H1059" s="594">
        <f ca="1">H1056</f>
        <v>3.6697892200279358E-2</v>
      </c>
      <c r="I1059" s="594">
        <f ca="1">C1066</f>
        <v>0.22055884229142989</v>
      </c>
      <c r="L1059" s="367"/>
      <c r="AP1059" s="367"/>
    </row>
    <row r="1060" spans="1:42" ht="15.75" customHeight="1" x14ac:dyDescent="0.2">
      <c r="A1060" s="317" t="s">
        <v>488</v>
      </c>
      <c r="B1060" s="594">
        <f ca="1">$B1022*-1</f>
        <v>-2.0990739171174243E-2</v>
      </c>
      <c r="C1060" s="594">
        <f ca="1">$B1022*-1</f>
        <v>-2.0990739171174243E-2</v>
      </c>
      <c r="D1060" s="594">
        <f ca="1">$B1022</f>
        <v>2.0990739171174243E-2</v>
      </c>
      <c r="E1060" s="594">
        <f ca="1">$B1022</f>
        <v>2.0990739171174243E-2</v>
      </c>
      <c r="F1060" s="438">
        <f ca="1">$B1022</f>
        <v>2.0990739171174243E-2</v>
      </c>
      <c r="G1060" s="317" t="s">
        <v>488</v>
      </c>
      <c r="H1060" s="594">
        <f ca="1">$C1023*-1</f>
        <v>-1.5175102304653876E-2</v>
      </c>
      <c r="I1060" s="594">
        <f ca="1">$C1023*-1</f>
        <v>-1.5175102304653876E-2</v>
      </c>
      <c r="J1060" s="594">
        <f ca="1">$C1023</f>
        <v>1.5175102304653876E-2</v>
      </c>
      <c r="K1060" s="594">
        <f ca="1">$C1023</f>
        <v>1.5175102304653876E-2</v>
      </c>
      <c r="L1060" s="438">
        <f ca="1">$C1023</f>
        <v>1.5175102304653876E-2</v>
      </c>
      <c r="AP1060" s="367"/>
    </row>
    <row r="1061" spans="1:42" ht="15.75" customHeight="1" x14ac:dyDescent="0.2">
      <c r="A1061" s="318" t="s">
        <v>489</v>
      </c>
      <c r="B1061" s="594">
        <f ca="1">SUM(B1059:B1060)</f>
        <v>1.0813442939413068E-3</v>
      </c>
      <c r="C1061" s="594">
        <f ca="1">SUM(C1059:C1060)</f>
        <v>4.4818854194410163</v>
      </c>
      <c r="D1061" s="594">
        <f ca="1">SUM(D1059:D1060)</f>
        <v>2.0990739171174243E-2</v>
      </c>
      <c r="E1061" s="594">
        <f ca="1">SUM(E1059:E1060)</f>
        <v>2.0990739171174243E-2</v>
      </c>
      <c r="F1061" s="438">
        <f ca="1">SUM(F1059:F1060)</f>
        <v>2.0990739171174243E-2</v>
      </c>
      <c r="G1061" s="318" t="s">
        <v>489</v>
      </c>
      <c r="H1061" s="415">
        <f ca="1">SUM(H1059:H1060)</f>
        <v>2.1522789895625484E-2</v>
      </c>
      <c r="I1061" s="415">
        <f ca="1">SUM(I1059:I1060)</f>
        <v>0.205383739986776</v>
      </c>
      <c r="J1061" s="415">
        <f ca="1">SUM(J1059:J1060)</f>
        <v>1.5175102304653876E-2</v>
      </c>
      <c r="K1061" s="415">
        <f ca="1">SUM(K1059:K1060)</f>
        <v>1.5175102304653876E-2</v>
      </c>
      <c r="L1061" s="487">
        <f ca="1">SUM(L1059:L1060)</f>
        <v>1.5175102304653876E-2</v>
      </c>
      <c r="AP1061" s="367"/>
    </row>
    <row r="1062" spans="1:42" ht="15.75" customHeight="1" x14ac:dyDescent="0.2">
      <c r="A1062" s="375"/>
      <c r="B1062" s="1530" t="s">
        <v>483</v>
      </c>
      <c r="C1062" s="1530"/>
      <c r="D1062" s="1531" t="s">
        <v>484</v>
      </c>
      <c r="E1062" s="1532"/>
      <c r="F1062" s="1533"/>
      <c r="H1062" s="642">
        <f ca="1">H1061/(G1002-H1061)</f>
        <v>3.4125840351818558E-2</v>
      </c>
      <c r="AP1062" s="367"/>
    </row>
    <row r="1063" spans="1:42" ht="15.75" customHeight="1" x14ac:dyDescent="0.2">
      <c r="A1063" s="375"/>
      <c r="B1063" s="368" t="s">
        <v>1731</v>
      </c>
      <c r="C1063" s="368" t="s">
        <v>1738</v>
      </c>
      <c r="D1063" s="368" t="s">
        <v>1748</v>
      </c>
      <c r="E1063" s="368" t="s">
        <v>432</v>
      </c>
      <c r="F1063" s="368" t="s">
        <v>486</v>
      </c>
      <c r="AP1063" s="367"/>
    </row>
    <row r="1064" spans="1:42" ht="15.75" customHeight="1" x14ac:dyDescent="0.2">
      <c r="A1064" s="316" t="s">
        <v>487</v>
      </c>
      <c r="B1064" s="594">
        <f ca="1">B1061</f>
        <v>1.0813442939413068E-3</v>
      </c>
      <c r="C1064" s="594">
        <f ca="1">G1008</f>
        <v>0.22159182120480267</v>
      </c>
      <c r="F1064" s="367"/>
      <c r="AP1064" s="367"/>
    </row>
    <row r="1065" spans="1:42" ht="15.75" customHeight="1" x14ac:dyDescent="0.2">
      <c r="A1065" s="317" t="s">
        <v>488</v>
      </c>
      <c r="B1065" s="594">
        <f ca="1">$B1023*-1</f>
        <v>-1.032978913372796E-3</v>
      </c>
      <c r="C1065" s="594">
        <f ca="1">$B1023*-1</f>
        <v>-1.032978913372796E-3</v>
      </c>
      <c r="D1065" s="594">
        <f ca="1">$B1023</f>
        <v>1.032978913372796E-3</v>
      </c>
      <c r="E1065" s="594">
        <f ca="1">$B1023</f>
        <v>1.032978913372796E-3</v>
      </c>
      <c r="F1065" s="438">
        <f ca="1">$B1023</f>
        <v>1.032978913372796E-3</v>
      </c>
      <c r="AP1065" s="367"/>
    </row>
    <row r="1066" spans="1:42" ht="15.75" customHeight="1" x14ac:dyDescent="0.2">
      <c r="A1066" s="318" t="s">
        <v>489</v>
      </c>
      <c r="B1066" s="415">
        <f ca="1">SUM(B1064:B1065)</f>
        <v>4.8365380568510816E-5</v>
      </c>
      <c r="C1066" s="415">
        <f ca="1">SUM(C1064:C1065)</f>
        <v>0.22055884229142989</v>
      </c>
      <c r="D1066" s="415">
        <f ca="1">SUM(D1064:D1065)</f>
        <v>1.032978913372796E-3</v>
      </c>
      <c r="E1066" s="415">
        <f ca="1">SUM(E1064:E1065)</f>
        <v>1.032978913372796E-3</v>
      </c>
      <c r="F1066" s="487">
        <f ca="1">SUM(F1064:F1065)</f>
        <v>1.032978913372796E-3</v>
      </c>
      <c r="AP1066" s="367"/>
    </row>
    <row r="1067" spans="1:42" ht="15.75" customHeight="1" x14ac:dyDescent="0.2">
      <c r="A1067" s="375"/>
      <c r="B1067" s="695">
        <f ca="1">B1066/(B1029-B1066)</f>
        <v>1.0905850906600459E-3</v>
      </c>
      <c r="AP1067" s="367"/>
    </row>
    <row r="1068" spans="1:42" ht="15.75" customHeight="1" x14ac:dyDescent="0.2">
      <c r="A1068" s="376"/>
      <c r="B1068" s="696"/>
      <c r="C1068" s="248"/>
      <c r="D1068" s="248"/>
      <c r="E1068" s="248"/>
      <c r="F1068" s="248"/>
      <c r="G1068" s="248"/>
      <c r="H1068" s="248"/>
      <c r="I1068" s="248"/>
      <c r="J1068" s="248"/>
      <c r="K1068" s="248"/>
      <c r="L1068" s="248"/>
      <c r="M1068" s="248"/>
      <c r="N1068" s="248"/>
      <c r="O1068" s="248"/>
      <c r="P1068" s="248"/>
      <c r="Q1068" s="248"/>
      <c r="R1068" s="248"/>
      <c r="S1068" s="248"/>
      <c r="T1068" s="248"/>
      <c r="U1068" s="248"/>
      <c r="V1068" s="248"/>
      <c r="W1068" s="248"/>
      <c r="X1068" s="248"/>
      <c r="Y1068" s="248"/>
      <c r="Z1068" s="248"/>
      <c r="AA1068" s="248"/>
      <c r="AB1068" s="248"/>
      <c r="AC1068" s="248"/>
      <c r="AD1068" s="248"/>
      <c r="AE1068" s="248"/>
      <c r="AF1068" s="248"/>
      <c r="AG1068" s="248"/>
      <c r="AH1068" s="248"/>
      <c r="AI1068" s="248"/>
      <c r="AJ1068" s="248"/>
      <c r="AK1068" s="248"/>
      <c r="AL1068" s="248"/>
      <c r="AM1068" s="248"/>
      <c r="AN1068" s="248"/>
      <c r="AO1068" s="248"/>
      <c r="AP1068" s="369"/>
    </row>
    <row r="1069" spans="1:42" ht="15.75" customHeight="1" x14ac:dyDescent="0.2">
      <c r="A1069" s="697" t="s">
        <v>1763</v>
      </c>
      <c r="B1069" s="698"/>
      <c r="C1069" s="699"/>
      <c r="D1069" s="698"/>
      <c r="E1069" s="700"/>
      <c r="F1069" s="366"/>
      <c r="AP1069" s="367"/>
    </row>
    <row r="1070" spans="1:42" ht="15.75" customHeight="1" x14ac:dyDescent="0.2">
      <c r="A1070" s="373" t="s">
        <v>580</v>
      </c>
      <c r="B1070" s="373" t="s">
        <v>372</v>
      </c>
      <c r="C1070" s="373" t="s">
        <v>42</v>
      </c>
      <c r="D1070" s="374" t="s">
        <v>372</v>
      </c>
      <c r="E1070" s="373" t="s">
        <v>42</v>
      </c>
      <c r="F1070" s="367"/>
      <c r="AP1070" s="367"/>
    </row>
    <row r="1071" spans="1:42" ht="15.75" customHeight="1" x14ac:dyDescent="0.2">
      <c r="A1071" s="375" t="s">
        <v>1764</v>
      </c>
      <c r="B1071" s="701"/>
      <c r="C1071" s="426"/>
      <c r="D1071" s="172" t="s">
        <v>267</v>
      </c>
      <c r="E1071" s="363">
        <f ca="1">C1000</f>
        <v>950.78684940764629</v>
      </c>
      <c r="F1071" s="367"/>
      <c r="AP1071" s="367"/>
    </row>
    <row r="1072" spans="1:42" ht="15.75" customHeight="1" x14ac:dyDescent="0.2">
      <c r="A1072" s="375" t="s">
        <v>1739</v>
      </c>
      <c r="B1072" s="702" t="s">
        <v>376</v>
      </c>
      <c r="C1072" s="446">
        <f ca="1">D1031</f>
        <v>1.0347993897061841E-4</v>
      </c>
      <c r="D1072" s="172" t="s">
        <v>267</v>
      </c>
      <c r="E1072" s="362">
        <f ca="1">C1072*(F1072/Units!C$84)*C$1000</f>
        <v>7.0941225768311059E-3</v>
      </c>
      <c r="F1072" s="367">
        <v>72.103999999999999</v>
      </c>
      <c r="AP1072" s="367"/>
    </row>
    <row r="1073" spans="1:42" ht="15.75" customHeight="1" x14ac:dyDescent="0.2">
      <c r="A1073" s="375" t="s">
        <v>1740</v>
      </c>
      <c r="B1073" s="702" t="s">
        <v>376</v>
      </c>
      <c r="C1073" s="446">
        <f ca="1">D1036</f>
        <v>3.0403692467084369E-3</v>
      </c>
      <c r="D1073" s="172" t="s">
        <v>267</v>
      </c>
      <c r="E1073" s="362">
        <f ca="1">C1073*(F1073/Units!C$84)*C$1000</f>
        <v>0.24897970295441274</v>
      </c>
      <c r="F1073" s="367">
        <v>86.13</v>
      </c>
      <c r="AP1073" s="367"/>
    </row>
    <row r="1074" spans="1:42" ht="15.75" customHeight="1" x14ac:dyDescent="0.2">
      <c r="A1074" s="375" t="s">
        <v>1741</v>
      </c>
      <c r="B1074" s="702" t="s">
        <v>376</v>
      </c>
      <c r="C1074" s="446">
        <f ca="1">D1041+J1031</f>
        <v>3.0013975131367936E-2</v>
      </c>
      <c r="D1074" s="172" t="s">
        <v>267</v>
      </c>
      <c r="E1074" s="362">
        <f ca="1">C1074*(F1074/Units!C$84)*C$1000</f>
        <v>2.8581410406203998</v>
      </c>
      <c r="F1074" s="367">
        <v>100.15600000000001</v>
      </c>
      <c r="AP1074" s="367"/>
    </row>
    <row r="1075" spans="1:42" ht="15.75" customHeight="1" x14ac:dyDescent="0.2">
      <c r="A1075" s="375" t="s">
        <v>1743</v>
      </c>
      <c r="B1075" s="702" t="s">
        <v>376</v>
      </c>
      <c r="C1075" s="446">
        <f ca="1">D1051+J1036</f>
        <v>0.12342341110052679</v>
      </c>
      <c r="D1075" s="172" t="s">
        <v>267</v>
      </c>
      <c r="E1075" s="362">
        <f ca="1">C1075*(F1075/Units!C$84)*C$1000</f>
        <v>13.398949489022279</v>
      </c>
      <c r="F1075" s="367">
        <v>114.18</v>
      </c>
      <c r="AP1075" s="367"/>
    </row>
    <row r="1076" spans="1:42" ht="15.75" customHeight="1" x14ac:dyDescent="0.2">
      <c r="A1076" s="375" t="s">
        <v>1745</v>
      </c>
      <c r="B1076" s="702" t="s">
        <v>376</v>
      </c>
      <c r="C1076" s="446">
        <f ca="1">D1061+J1046+P1031</f>
        <v>0.31892895825065093</v>
      </c>
      <c r="D1076" s="172" t="s">
        <v>267</v>
      </c>
      <c r="E1076" s="362">
        <f ca="1">C1076*(F1076/Units!C$84)*C$1000</f>
        <v>38.876955362755083</v>
      </c>
      <c r="F1076" s="367">
        <v>128.208</v>
      </c>
      <c r="AP1076" s="367"/>
    </row>
    <row r="1077" spans="1:42" ht="15.75" customHeight="1" x14ac:dyDescent="0.2">
      <c r="A1077" s="375" t="s">
        <v>1748</v>
      </c>
      <c r="B1077" s="702" t="s">
        <v>376</v>
      </c>
      <c r="C1077" s="446">
        <f ca="1">D1066+J1056+P1041</f>
        <v>0.70198070094695808</v>
      </c>
      <c r="D1077" s="172" t="s">
        <v>267</v>
      </c>
      <c r="E1077" s="362">
        <f ca="1">C1077*(F1077/Units!C$84)*C$1000</f>
        <v>94.931810258208387</v>
      </c>
      <c r="F1077" s="367">
        <v>142.23400000000001</v>
      </c>
      <c r="H1077" s="436"/>
      <c r="AP1077" s="367"/>
    </row>
    <row r="1078" spans="1:42" ht="15.75" customHeight="1" x14ac:dyDescent="0.2">
      <c r="A1078" s="375" t="s">
        <v>1749</v>
      </c>
      <c r="B1078" s="702" t="s">
        <v>376</v>
      </c>
      <c r="C1078" s="446">
        <f ca="1">J1061+P1051+AB1031</f>
        <v>1.0645506718685409</v>
      </c>
      <c r="D1078" s="172" t="s">
        <v>267</v>
      </c>
      <c r="E1078" s="362">
        <f ca="1">C1078*(F1078/Units!C$84)*C$1000</f>
        <v>158.16024337977512</v>
      </c>
      <c r="F1078" s="367">
        <v>156.26</v>
      </c>
      <c r="AP1078" s="367"/>
    </row>
    <row r="1079" spans="1:42" ht="15.75" customHeight="1" x14ac:dyDescent="0.2">
      <c r="A1079" s="375" t="s">
        <v>1752</v>
      </c>
      <c r="B1079" s="702" t="s">
        <v>376</v>
      </c>
      <c r="C1079" s="446">
        <f ca="1">P1056+AB1041</f>
        <v>1.1111174726285409</v>
      </c>
      <c r="D1079" s="172" t="s">
        <v>267</v>
      </c>
      <c r="E1079" s="362">
        <f ca="1">C1079*(F1079/Units!C$84)*C$1000</f>
        <v>179.89624045278805</v>
      </c>
      <c r="F1079" s="367">
        <v>170.286</v>
      </c>
      <c r="G1079" s="436"/>
      <c r="AP1079" s="367"/>
    </row>
    <row r="1080" spans="1:42" ht="15.75" customHeight="1" x14ac:dyDescent="0.2">
      <c r="A1080" s="375" t="s">
        <v>1757</v>
      </c>
      <c r="B1080" s="702" t="s">
        <v>376</v>
      </c>
      <c r="C1080" s="446">
        <f ca="1">AB1046+AN1031</f>
        <v>1.9156403712407739</v>
      </c>
      <c r="D1080" s="172" t="s">
        <v>267</v>
      </c>
      <c r="E1080" s="362">
        <f ca="1">C1080*(F1080/Units!C$84)*C$1000</f>
        <v>335.69954995332921</v>
      </c>
      <c r="F1080" s="367">
        <v>184.31200000000001</v>
      </c>
      <c r="G1080" s="436"/>
      <c r="AP1080" s="367"/>
    </row>
    <row r="1081" spans="1:42" ht="15.75" customHeight="1" x14ac:dyDescent="0.2">
      <c r="A1081" s="375" t="s">
        <v>1760</v>
      </c>
      <c r="B1081" s="702" t="s">
        <v>376</v>
      </c>
      <c r="C1081" s="446">
        <f ca="1">AN1036</f>
        <v>0.10476905550788893</v>
      </c>
      <c r="D1081" s="172" t="s">
        <v>267</v>
      </c>
      <c r="E1081" s="362">
        <f ca="1">C1081*(F1081/Units!C$84)*C$1000</f>
        <v>19.757051167536776</v>
      </c>
      <c r="F1081" s="367">
        <v>198.33799999999999</v>
      </c>
      <c r="AP1081" s="367"/>
    </row>
    <row r="1082" spans="1:42" ht="15.75" customHeight="1" x14ac:dyDescent="0.2">
      <c r="A1082" s="375" t="s">
        <v>1761</v>
      </c>
      <c r="B1082" s="702" t="s">
        <v>376</v>
      </c>
      <c r="C1082" s="446">
        <f ca="1">AN1042</f>
        <v>2.5779040993052144E-3</v>
      </c>
      <c r="D1082" s="172" t="s">
        <v>267</v>
      </c>
      <c r="E1082" s="362">
        <f ca="1">C1082*(F1082/Units!C$84)*C$1000</f>
        <v>0.52051184361006386</v>
      </c>
      <c r="F1082" s="367">
        <v>212.3639</v>
      </c>
      <c r="AP1082" s="367"/>
    </row>
    <row r="1083" spans="1:42" ht="15.75" customHeight="1" x14ac:dyDescent="0.2">
      <c r="A1083" s="375" t="s">
        <v>1742</v>
      </c>
      <c r="B1083" s="702" t="s">
        <v>376</v>
      </c>
      <c r="C1083" s="446">
        <f ca="1">D1046+J1041</f>
        <v>0</v>
      </c>
      <c r="D1083" s="172" t="s">
        <v>267</v>
      </c>
      <c r="E1083" s="362">
        <f ca="1">C1083*(F1083/Units!C$84)*C$1000</f>
        <v>0</v>
      </c>
      <c r="F1083" s="367">
        <v>100.15600000000001</v>
      </c>
      <c r="AP1083" s="367"/>
    </row>
    <row r="1084" spans="1:42" ht="15.75" customHeight="1" x14ac:dyDescent="0.2">
      <c r="A1084" s="375" t="s">
        <v>1744</v>
      </c>
      <c r="B1084" s="702" t="s">
        <v>376</v>
      </c>
      <c r="C1084" s="446">
        <f ca="1">D1055</f>
        <v>9.2188280302460087E-4</v>
      </c>
      <c r="D1084" s="172" t="s">
        <v>267</v>
      </c>
      <c r="E1084" s="362">
        <f ca="1">C1084*(F1084/Units!C$84)*C$1000</f>
        <v>0.10008037375068286</v>
      </c>
      <c r="F1084" s="367">
        <v>114.18</v>
      </c>
      <c r="AP1084" s="367"/>
    </row>
    <row r="1085" spans="1:42" ht="15.75" customHeight="1" x14ac:dyDescent="0.2">
      <c r="A1085" s="375" t="s">
        <v>1747</v>
      </c>
      <c r="B1085" s="702" t="s">
        <v>376</v>
      </c>
      <c r="C1085" s="446">
        <f ca="1">J1051+P1036+V1031</f>
        <v>1.354303138979044E-2</v>
      </c>
      <c r="D1085" s="172" t="s">
        <v>267</v>
      </c>
      <c r="E1085" s="362">
        <f ca="1">C1085*(F1085/Units!C$84)*C$1000</f>
        <v>1.6508749462740244</v>
      </c>
      <c r="F1085" s="367">
        <v>128.208</v>
      </c>
      <c r="AP1085" s="367"/>
    </row>
    <row r="1086" spans="1:42" ht="15.75" customHeight="1" x14ac:dyDescent="0.2">
      <c r="A1086" s="375" t="s">
        <v>1751</v>
      </c>
      <c r="B1086" s="702" t="s">
        <v>376</v>
      </c>
      <c r="C1086" s="446">
        <f ca="1">P1046+V1036+V1041</f>
        <v>3.4216581117543339E-2</v>
      </c>
      <c r="D1086" s="172" t="s">
        <v>267</v>
      </c>
      <c r="E1086" s="362">
        <f ca="1">C1086*(F1086/Units!C$84)*C$1000</f>
        <v>4.6272525469053578</v>
      </c>
      <c r="F1086" s="367">
        <v>142.23400000000001</v>
      </c>
      <c r="AP1086" s="367"/>
    </row>
    <row r="1087" spans="1:42" ht="15.75" customHeight="1" x14ac:dyDescent="0.2">
      <c r="A1087" s="375" t="s">
        <v>1754</v>
      </c>
      <c r="B1087" s="702" t="s">
        <v>376</v>
      </c>
      <c r="C1087" s="446">
        <f ca="1">V1046+AB1036+AH1031</f>
        <v>4.9168047833278258E-2</v>
      </c>
      <c r="D1087" s="172" t="s">
        <v>267</v>
      </c>
      <c r="E1087" s="362">
        <f ca="1">C1087*(F1087/Units!C$84)*C$1000</f>
        <v>7.3048945600402657</v>
      </c>
      <c r="F1087" s="367">
        <v>156.26</v>
      </c>
      <c r="AP1087" s="367"/>
    </row>
    <row r="1088" spans="1:42" ht="15.75" customHeight="1" x14ac:dyDescent="0.2">
      <c r="A1088" s="375" t="s">
        <v>1755</v>
      </c>
      <c r="B1088" s="702" t="s">
        <v>376</v>
      </c>
      <c r="C1088" s="446">
        <f ca="1">V1051+AH1036</f>
        <v>9.350122186569336E-2</v>
      </c>
      <c r="D1088" s="172" t="s">
        <v>267</v>
      </c>
      <c r="E1088" s="362">
        <f ca="1">C1088*(F1088/Units!C$84)*C$1000</f>
        <v>15.138379789482032</v>
      </c>
      <c r="F1088" s="367">
        <v>170.286</v>
      </c>
      <c r="AP1088" s="367"/>
    </row>
    <row r="1089" spans="1:42" ht="15.75" customHeight="1" x14ac:dyDescent="0.2">
      <c r="A1089" s="375" t="s">
        <v>1759</v>
      </c>
      <c r="B1089" s="702" t="s">
        <v>376</v>
      </c>
      <c r="C1089" s="446">
        <f ca="1">AH1041</f>
        <v>4.6013048789862879E-3</v>
      </c>
      <c r="D1089" s="172" t="s">
        <v>267</v>
      </c>
      <c r="E1089" s="362">
        <f ca="1">C1089*(F1089/Units!C$84)*C$1000</f>
        <v>0.8063392274789396</v>
      </c>
      <c r="F1089" s="367">
        <v>184.31200000000001</v>
      </c>
      <c r="AP1089" s="367"/>
    </row>
    <row r="1090" spans="1:42" ht="15.75" customHeight="1" x14ac:dyDescent="0.2">
      <c r="A1090" s="375" t="s">
        <v>432</v>
      </c>
      <c r="B1090" s="702" t="s">
        <v>376</v>
      </c>
      <c r="C1090" s="446">
        <f ca="1">E1031+E1036+E1041+E1046+E1051+E1056+E1061+E1066+K1031+K1036+K1041+K1046+K1051+K1056+K1061+Q1031+Q1036+Q1041+Q1046+Q1051+Q1056+W1031+W1036+W1041+W1046+W1051+AC1031+AC1036+AC1041+AC1046+AI1031+AI1036+AI1041+AO1031+AO1036+AO1042</f>
        <v>5.5720984398485482</v>
      </c>
      <c r="D1090" s="703" t="s">
        <v>267</v>
      </c>
      <c r="E1090" s="363">
        <f ca="1">C1090*(Units!C133/Units!C84)*E1071</f>
        <v>233.1596072685681</v>
      </c>
      <c r="F1090" s="367"/>
      <c r="AP1090" s="367"/>
    </row>
    <row r="1091" spans="1:42" ht="15.75" customHeight="1" x14ac:dyDescent="0.2">
      <c r="A1091" s="376" t="s">
        <v>721</v>
      </c>
      <c r="B1091" s="704" t="s">
        <v>376</v>
      </c>
      <c r="C1091" s="464">
        <f ca="1">C1090</f>
        <v>5.5720984398485482</v>
      </c>
      <c r="D1091" s="178" t="s">
        <v>267</v>
      </c>
      <c r="E1091" s="365">
        <f ca="1">C1091*(Units!C137/Units!C84)*E1071</f>
        <v>95.44286009601079</v>
      </c>
      <c r="F1091" s="367"/>
      <c r="AP1091" s="367"/>
    </row>
    <row r="1092" spans="1:42" ht="15.75" customHeight="1" x14ac:dyDescent="0.2">
      <c r="A1092" s="375"/>
      <c r="B1092" s="695"/>
      <c r="F1092" s="367"/>
      <c r="AP1092" s="367"/>
    </row>
    <row r="1093" spans="1:42" ht="15.75" customHeight="1" x14ac:dyDescent="0.2">
      <c r="A1093" s="376"/>
      <c r="B1093" s="696"/>
      <c r="C1093" s="248"/>
      <c r="D1093" s="248"/>
      <c r="E1093" s="248"/>
      <c r="F1093" s="369"/>
      <c r="AP1093" s="367"/>
    </row>
    <row r="1094" spans="1:42" ht="15.75" customHeight="1" x14ac:dyDescent="0.2">
      <c r="A1094" s="376"/>
      <c r="B1094" s="696"/>
      <c r="C1094" s="248"/>
      <c r="D1094" s="248"/>
      <c r="E1094" s="248"/>
      <c r="F1094" s="248"/>
      <c r="G1094" s="248"/>
      <c r="H1094" s="248"/>
      <c r="I1094" s="248"/>
      <c r="J1094" s="248"/>
      <c r="K1094" s="248"/>
      <c r="L1094" s="248"/>
      <c r="M1094" s="248"/>
      <c r="N1094" s="248"/>
      <c r="O1094" s="248"/>
      <c r="P1094" s="248"/>
      <c r="Q1094" s="248"/>
      <c r="R1094" s="248"/>
      <c r="S1094" s="248"/>
      <c r="T1094" s="248"/>
      <c r="U1094" s="248"/>
      <c r="V1094" s="248"/>
      <c r="W1094" s="248"/>
      <c r="X1094" s="248"/>
      <c r="Y1094" s="248"/>
      <c r="Z1094" s="248"/>
      <c r="AA1094" s="248"/>
      <c r="AB1094" s="248"/>
      <c r="AC1094" s="248"/>
      <c r="AD1094" s="248"/>
      <c r="AE1094" s="248"/>
      <c r="AF1094" s="248"/>
      <c r="AG1094" s="248"/>
      <c r="AH1094" s="248"/>
      <c r="AI1094" s="248"/>
      <c r="AJ1094" s="248"/>
      <c r="AK1094" s="248"/>
      <c r="AL1094" s="248"/>
      <c r="AM1094" s="248"/>
      <c r="AN1094" s="248"/>
      <c r="AO1094" s="248"/>
      <c r="AP1094" s="369"/>
    </row>
    <row r="1095" spans="1:42" ht="15.75" customHeight="1" thickBot="1" x14ac:dyDescent="0.25"/>
    <row r="1096" spans="1:42" ht="49" customHeight="1" thickBot="1" x14ac:dyDescent="0.25">
      <c r="A1096" s="2055" t="s">
        <v>1503</v>
      </c>
      <c r="B1096" s="669"/>
      <c r="C1096" s="670"/>
      <c r="D1096" s="669"/>
      <c r="E1096" s="669"/>
      <c r="F1096" s="669"/>
      <c r="G1096" s="669"/>
      <c r="H1096" s="669"/>
      <c r="I1096" s="705"/>
    </row>
    <row r="1097" spans="1:42" ht="15.75" customHeight="1" x14ac:dyDescent="0.2">
      <c r="A1097" s="301" t="s">
        <v>580</v>
      </c>
      <c r="B1097" s="301" t="s">
        <v>372</v>
      </c>
      <c r="C1097" s="301" t="s">
        <v>42</v>
      </c>
      <c r="D1097" s="557" t="s">
        <v>372</v>
      </c>
      <c r="E1097" s="301" t="s">
        <v>42</v>
      </c>
      <c r="F1097" s="385"/>
      <c r="G1097" s="385"/>
      <c r="H1097" s="386"/>
      <c r="I1097" s="385"/>
    </row>
    <row r="1098" spans="1:42" ht="15.75" customHeight="1" x14ac:dyDescent="0.2">
      <c r="A1098" s="316" t="s">
        <v>1766</v>
      </c>
      <c r="B1098" s="342" t="s">
        <v>1081</v>
      </c>
      <c r="C1098" s="366">
        <v>1</v>
      </c>
      <c r="H1098" s="367"/>
    </row>
    <row r="1099" spans="1:42" ht="15.75" customHeight="1" x14ac:dyDescent="0.2">
      <c r="A1099" s="317" t="s">
        <v>1769</v>
      </c>
      <c r="B1099" s="344"/>
      <c r="C1099" s="367">
        <v>2</v>
      </c>
      <c r="H1099" s="367"/>
    </row>
    <row r="1100" spans="1:42" ht="15.75" customHeight="1" x14ac:dyDescent="0.2">
      <c r="A1100" s="318" t="s">
        <v>1789</v>
      </c>
      <c r="B1100" s="347" t="s">
        <v>376</v>
      </c>
      <c r="C1100" s="464">
        <f ca="1">SUM(C1105:C1122)</f>
        <v>11.144196879697098</v>
      </c>
      <c r="D1100" s="433" t="s">
        <v>267</v>
      </c>
      <c r="E1100" s="434">
        <f ca="1">C1100*Units!C142*2/Units!C47*E1071</f>
        <v>21.361043774298263</v>
      </c>
      <c r="H1100" s="367"/>
    </row>
    <row r="1101" spans="1:42" ht="15.75" customHeight="1" x14ac:dyDescent="0.2">
      <c r="A1101" s="375"/>
      <c r="H1101" s="367"/>
    </row>
    <row r="1102" spans="1:42" ht="15.75" customHeight="1" x14ac:dyDescent="0.2">
      <c r="A1102" s="676" t="s">
        <v>1481</v>
      </c>
      <c r="B1102" s="680"/>
      <c r="C1102" s="680"/>
      <c r="D1102" s="680"/>
      <c r="E1102" s="680"/>
      <c r="F1102" s="681"/>
      <c r="H1102" s="367"/>
    </row>
    <row r="1103" spans="1:42" ht="15.75" customHeight="1" x14ac:dyDescent="0.2">
      <c r="A1103" s="430"/>
      <c r="B1103" s="1534" t="s">
        <v>483</v>
      </c>
      <c r="C1103" s="1534"/>
      <c r="D1103" s="220"/>
      <c r="E1103" s="1531" t="s">
        <v>484</v>
      </c>
      <c r="F1103" s="1533"/>
      <c r="H1103" s="367"/>
    </row>
    <row r="1104" spans="1:42" ht="15.75" customHeight="1" x14ac:dyDescent="0.2">
      <c r="A1104" s="377" t="s">
        <v>50</v>
      </c>
      <c r="B1104" s="368" t="s">
        <v>1724</v>
      </c>
      <c r="C1104" s="368" t="s">
        <v>1767</v>
      </c>
      <c r="D1104" s="377" t="s">
        <v>50</v>
      </c>
      <c r="E1104" s="368" t="s">
        <v>1768</v>
      </c>
      <c r="F1104" s="368" t="s">
        <v>486</v>
      </c>
      <c r="H1104" s="367"/>
    </row>
    <row r="1105" spans="1:8" ht="15.75" customHeight="1" x14ac:dyDescent="0.2">
      <c r="A1105" s="706" t="s">
        <v>1739</v>
      </c>
      <c r="B1105" s="707">
        <f t="shared" ref="B1105:B1122" ca="1" si="83">C1072</f>
        <v>1.0347993897061841E-4</v>
      </c>
      <c r="C1105" s="426">
        <f ca="1">B1105*C$1099</f>
        <v>2.0695987794123682E-4</v>
      </c>
      <c r="D1105" s="706" t="s">
        <v>1770</v>
      </c>
      <c r="E1105" s="707">
        <f ca="1">B1105*C$1098</f>
        <v>1.0347993897061841E-4</v>
      </c>
      <c r="F1105" s="426">
        <f ca="1">E1105</f>
        <v>1.0347993897061841E-4</v>
      </c>
      <c r="H1105" s="367"/>
    </row>
    <row r="1106" spans="1:8" ht="15.75" customHeight="1" x14ac:dyDescent="0.2">
      <c r="A1106" s="708" t="s">
        <v>1740</v>
      </c>
      <c r="B1106" s="709">
        <f t="shared" ca="1" si="83"/>
        <v>3.0403692467084369E-3</v>
      </c>
      <c r="C1106" s="438">
        <f t="shared" ref="C1106:C1122" ca="1" si="84">B1106*C$1099</f>
        <v>6.0807384934168738E-3</v>
      </c>
      <c r="D1106" s="708" t="s">
        <v>1771</v>
      </c>
      <c r="E1106" s="709">
        <f t="shared" ref="E1106:E1122" ca="1" si="85">B1106*C$1098</f>
        <v>3.0403692467084369E-3</v>
      </c>
      <c r="F1106" s="438">
        <f t="shared" ref="F1106:F1122" ca="1" si="86">E1106</f>
        <v>3.0403692467084369E-3</v>
      </c>
      <c r="H1106" s="367"/>
    </row>
    <row r="1107" spans="1:8" ht="15.75" customHeight="1" x14ac:dyDescent="0.2">
      <c r="A1107" s="708" t="s">
        <v>1741</v>
      </c>
      <c r="B1107" s="709">
        <f t="shared" ca="1" si="83"/>
        <v>3.0013975131367936E-2</v>
      </c>
      <c r="C1107" s="438">
        <f t="shared" ca="1" si="84"/>
        <v>6.0027950262735871E-2</v>
      </c>
      <c r="D1107" s="708" t="s">
        <v>1772</v>
      </c>
      <c r="E1107" s="709">
        <f t="shared" ca="1" si="85"/>
        <v>3.0013975131367936E-2</v>
      </c>
      <c r="F1107" s="438">
        <f t="shared" ca="1" si="86"/>
        <v>3.0013975131367936E-2</v>
      </c>
      <c r="H1107" s="367"/>
    </row>
    <row r="1108" spans="1:8" ht="15.75" customHeight="1" x14ac:dyDescent="0.2">
      <c r="A1108" s="708" t="s">
        <v>1743</v>
      </c>
      <c r="B1108" s="709">
        <f t="shared" ca="1" si="83"/>
        <v>0.12342341110052679</v>
      </c>
      <c r="C1108" s="438">
        <f t="shared" ca="1" si="84"/>
        <v>0.24684682220105358</v>
      </c>
      <c r="D1108" s="708" t="s">
        <v>1773</v>
      </c>
      <c r="E1108" s="709">
        <f t="shared" ca="1" si="85"/>
        <v>0.12342341110052679</v>
      </c>
      <c r="F1108" s="438">
        <f t="shared" ca="1" si="86"/>
        <v>0.12342341110052679</v>
      </c>
      <c r="H1108" s="367"/>
    </row>
    <row r="1109" spans="1:8" ht="15.75" customHeight="1" x14ac:dyDescent="0.2">
      <c r="A1109" s="708" t="s">
        <v>1745</v>
      </c>
      <c r="B1109" s="709">
        <f t="shared" ca="1" si="83"/>
        <v>0.31892895825065093</v>
      </c>
      <c r="C1109" s="438">
        <f t="shared" ca="1" si="84"/>
        <v>0.63785791650130186</v>
      </c>
      <c r="D1109" s="708" t="s">
        <v>1774</v>
      </c>
      <c r="E1109" s="709">
        <f t="shared" ca="1" si="85"/>
        <v>0.31892895825065093</v>
      </c>
      <c r="F1109" s="438">
        <f t="shared" ca="1" si="86"/>
        <v>0.31892895825065093</v>
      </c>
      <c r="H1109" s="367"/>
    </row>
    <row r="1110" spans="1:8" ht="15.75" customHeight="1" x14ac:dyDescent="0.2">
      <c r="A1110" s="708" t="s">
        <v>1748</v>
      </c>
      <c r="B1110" s="709">
        <f t="shared" ca="1" si="83"/>
        <v>0.70198070094695808</v>
      </c>
      <c r="C1110" s="438">
        <f t="shared" ca="1" si="84"/>
        <v>1.4039614018939162</v>
      </c>
      <c r="D1110" s="708" t="s">
        <v>1775</v>
      </c>
      <c r="E1110" s="709">
        <f t="shared" ca="1" si="85"/>
        <v>0.70198070094695808</v>
      </c>
      <c r="F1110" s="438">
        <f t="shared" ca="1" si="86"/>
        <v>0.70198070094695808</v>
      </c>
      <c r="H1110" s="367"/>
    </row>
    <row r="1111" spans="1:8" ht="15.75" customHeight="1" x14ac:dyDescent="0.2">
      <c r="A1111" s="708" t="s">
        <v>1749</v>
      </c>
      <c r="B1111" s="709">
        <f t="shared" ca="1" si="83"/>
        <v>1.0645506718685409</v>
      </c>
      <c r="C1111" s="438">
        <f t="shared" ca="1" si="84"/>
        <v>2.1291013437370818</v>
      </c>
      <c r="D1111" s="708" t="s">
        <v>1776</v>
      </c>
      <c r="E1111" s="709">
        <f t="shared" ca="1" si="85"/>
        <v>1.0645506718685409</v>
      </c>
      <c r="F1111" s="438">
        <f t="shared" ca="1" si="86"/>
        <v>1.0645506718685409</v>
      </c>
      <c r="H1111" s="367"/>
    </row>
    <row r="1112" spans="1:8" ht="15.75" customHeight="1" x14ac:dyDescent="0.2">
      <c r="A1112" s="708" t="s">
        <v>1752</v>
      </c>
      <c r="B1112" s="709">
        <f t="shared" ca="1" si="83"/>
        <v>1.1111174726285409</v>
      </c>
      <c r="C1112" s="438">
        <f t="shared" ca="1" si="84"/>
        <v>2.2222349452570818</v>
      </c>
      <c r="D1112" s="708" t="s">
        <v>1777</v>
      </c>
      <c r="E1112" s="709">
        <f t="shared" ca="1" si="85"/>
        <v>1.1111174726285409</v>
      </c>
      <c r="F1112" s="438">
        <f t="shared" ca="1" si="86"/>
        <v>1.1111174726285409</v>
      </c>
      <c r="H1112" s="367"/>
    </row>
    <row r="1113" spans="1:8" ht="15.75" customHeight="1" x14ac:dyDescent="0.2">
      <c r="A1113" s="708" t="s">
        <v>1757</v>
      </c>
      <c r="B1113" s="709">
        <f t="shared" ca="1" si="83"/>
        <v>1.9156403712407739</v>
      </c>
      <c r="C1113" s="438">
        <f t="shared" ca="1" si="84"/>
        <v>3.8312807424815478</v>
      </c>
      <c r="D1113" s="708" t="s">
        <v>1778</v>
      </c>
      <c r="E1113" s="709">
        <f t="shared" ca="1" si="85"/>
        <v>1.9156403712407739</v>
      </c>
      <c r="F1113" s="438">
        <f t="shared" ca="1" si="86"/>
        <v>1.9156403712407739</v>
      </c>
      <c r="H1113" s="367"/>
    </row>
    <row r="1114" spans="1:8" ht="15.75" customHeight="1" x14ac:dyDescent="0.2">
      <c r="A1114" s="708" t="s">
        <v>1760</v>
      </c>
      <c r="B1114" s="709">
        <f t="shared" ca="1" si="83"/>
        <v>0.10476905550788893</v>
      </c>
      <c r="C1114" s="438">
        <f t="shared" ca="1" si="84"/>
        <v>0.20953811101577785</v>
      </c>
      <c r="D1114" s="708" t="s">
        <v>1779</v>
      </c>
      <c r="E1114" s="709">
        <f t="shared" ca="1" si="85"/>
        <v>0.10476905550788893</v>
      </c>
      <c r="F1114" s="438">
        <f t="shared" ca="1" si="86"/>
        <v>0.10476905550788893</v>
      </c>
      <c r="H1114" s="367"/>
    </row>
    <row r="1115" spans="1:8" ht="15.75" customHeight="1" x14ac:dyDescent="0.2">
      <c r="A1115" s="708" t="s">
        <v>1761</v>
      </c>
      <c r="B1115" s="709">
        <f t="shared" ca="1" si="83"/>
        <v>2.5779040993052144E-3</v>
      </c>
      <c r="C1115" s="438">
        <f t="shared" ca="1" si="84"/>
        <v>5.1558081986104289E-3</v>
      </c>
      <c r="D1115" s="708" t="s">
        <v>1780</v>
      </c>
      <c r="E1115" s="709">
        <f t="shared" ca="1" si="85"/>
        <v>2.5779040993052144E-3</v>
      </c>
      <c r="F1115" s="438">
        <f t="shared" ca="1" si="86"/>
        <v>2.5779040993052144E-3</v>
      </c>
      <c r="H1115" s="367"/>
    </row>
    <row r="1116" spans="1:8" ht="15.75" customHeight="1" x14ac:dyDescent="0.2">
      <c r="A1116" s="708" t="s">
        <v>1742</v>
      </c>
      <c r="B1116" s="709">
        <f t="shared" ca="1" si="83"/>
        <v>0</v>
      </c>
      <c r="C1116" s="438">
        <f t="shared" ca="1" si="84"/>
        <v>0</v>
      </c>
      <c r="D1116" s="708" t="s">
        <v>1781</v>
      </c>
      <c r="E1116" s="709">
        <f t="shared" ca="1" si="85"/>
        <v>0</v>
      </c>
      <c r="F1116" s="438">
        <f t="shared" ca="1" si="86"/>
        <v>0</v>
      </c>
      <c r="H1116" s="367"/>
    </row>
    <row r="1117" spans="1:8" ht="15.75" customHeight="1" x14ac:dyDescent="0.2">
      <c r="A1117" s="708" t="s">
        <v>1744</v>
      </c>
      <c r="B1117" s="709">
        <f t="shared" ca="1" si="83"/>
        <v>9.2188280302460087E-4</v>
      </c>
      <c r="C1117" s="438">
        <f t="shared" ca="1" si="84"/>
        <v>1.8437656060492017E-3</v>
      </c>
      <c r="D1117" s="708" t="s">
        <v>1782</v>
      </c>
      <c r="E1117" s="709">
        <f t="shared" ca="1" si="85"/>
        <v>9.2188280302460087E-4</v>
      </c>
      <c r="F1117" s="438">
        <f t="shared" ca="1" si="86"/>
        <v>9.2188280302460087E-4</v>
      </c>
      <c r="H1117" s="367"/>
    </row>
    <row r="1118" spans="1:8" ht="15.75" customHeight="1" x14ac:dyDescent="0.2">
      <c r="A1118" s="708" t="s">
        <v>1747</v>
      </c>
      <c r="B1118" s="709">
        <f t="shared" ca="1" si="83"/>
        <v>1.354303138979044E-2</v>
      </c>
      <c r="C1118" s="438">
        <f t="shared" ca="1" si="84"/>
        <v>2.708606277958088E-2</v>
      </c>
      <c r="D1118" s="708" t="s">
        <v>1783</v>
      </c>
      <c r="E1118" s="709">
        <f t="shared" ca="1" si="85"/>
        <v>1.354303138979044E-2</v>
      </c>
      <c r="F1118" s="438">
        <f t="shared" ca="1" si="86"/>
        <v>1.354303138979044E-2</v>
      </c>
      <c r="H1118" s="367"/>
    </row>
    <row r="1119" spans="1:8" ht="15.75" customHeight="1" x14ac:dyDescent="0.2">
      <c r="A1119" s="708" t="s">
        <v>1751</v>
      </c>
      <c r="B1119" s="709">
        <f t="shared" ca="1" si="83"/>
        <v>3.4216581117543339E-2</v>
      </c>
      <c r="C1119" s="438">
        <f t="shared" ca="1" si="84"/>
        <v>6.8433162235086678E-2</v>
      </c>
      <c r="D1119" s="708" t="s">
        <v>1784</v>
      </c>
      <c r="E1119" s="709">
        <f t="shared" ca="1" si="85"/>
        <v>3.4216581117543339E-2</v>
      </c>
      <c r="F1119" s="438">
        <f t="shared" ca="1" si="86"/>
        <v>3.4216581117543339E-2</v>
      </c>
      <c r="H1119" s="367"/>
    </row>
    <row r="1120" spans="1:8" ht="15.75" customHeight="1" x14ac:dyDescent="0.2">
      <c r="A1120" s="708" t="s">
        <v>1754</v>
      </c>
      <c r="B1120" s="709">
        <f t="shared" ca="1" si="83"/>
        <v>4.9168047833278258E-2</v>
      </c>
      <c r="C1120" s="438">
        <f t="shared" ca="1" si="84"/>
        <v>9.8336095666556517E-2</v>
      </c>
      <c r="D1120" s="708" t="s">
        <v>1785</v>
      </c>
      <c r="E1120" s="709">
        <f t="shared" ca="1" si="85"/>
        <v>4.9168047833278258E-2</v>
      </c>
      <c r="F1120" s="438">
        <f t="shared" ca="1" si="86"/>
        <v>4.9168047833278258E-2</v>
      </c>
      <c r="H1120" s="367"/>
    </row>
    <row r="1121" spans="1:8" ht="15.75" customHeight="1" x14ac:dyDescent="0.2">
      <c r="A1121" s="708" t="s">
        <v>1755</v>
      </c>
      <c r="B1121" s="709">
        <f t="shared" ca="1" si="83"/>
        <v>9.350122186569336E-2</v>
      </c>
      <c r="C1121" s="438">
        <f t="shared" ca="1" si="84"/>
        <v>0.18700244373138672</v>
      </c>
      <c r="D1121" s="708" t="s">
        <v>1786</v>
      </c>
      <c r="E1121" s="709">
        <f t="shared" ca="1" si="85"/>
        <v>9.350122186569336E-2</v>
      </c>
      <c r="F1121" s="438">
        <f t="shared" ca="1" si="86"/>
        <v>9.350122186569336E-2</v>
      </c>
      <c r="H1121" s="367"/>
    </row>
    <row r="1122" spans="1:8" ht="15.75" customHeight="1" x14ac:dyDescent="0.2">
      <c r="A1122" s="710" t="s">
        <v>1759</v>
      </c>
      <c r="B1122" s="711">
        <f t="shared" ca="1" si="83"/>
        <v>4.6013048789862879E-3</v>
      </c>
      <c r="C1122" s="487">
        <f t="shared" ca="1" si="84"/>
        <v>9.2026097579725758E-3</v>
      </c>
      <c r="D1122" s="710" t="s">
        <v>1787</v>
      </c>
      <c r="E1122" s="711">
        <f t="shared" ca="1" si="85"/>
        <v>4.6013048789862879E-3</v>
      </c>
      <c r="F1122" s="487">
        <f t="shared" ca="1" si="86"/>
        <v>4.6013048789862879E-3</v>
      </c>
      <c r="H1122" s="367"/>
    </row>
    <row r="1123" spans="1:8" ht="15.75" customHeight="1" x14ac:dyDescent="0.2">
      <c r="A1123" s="712"/>
      <c r="B1123" s="248"/>
      <c r="C1123" s="248"/>
      <c r="D1123" s="248"/>
      <c r="E1123" s="248"/>
      <c r="F1123" s="369"/>
      <c r="H1123" s="367"/>
    </row>
    <row r="1124" spans="1:8" ht="15.75" customHeight="1" x14ac:dyDescent="0.2">
      <c r="A1124" s="713"/>
      <c r="H1124" s="367"/>
    </row>
    <row r="1125" spans="1:8" ht="15.75" customHeight="1" x14ac:dyDescent="0.2">
      <c r="A1125" s="697" t="s">
        <v>1788</v>
      </c>
      <c r="B1125" s="698"/>
      <c r="C1125" s="699"/>
      <c r="D1125" s="698"/>
      <c r="E1125" s="700"/>
      <c r="H1125" s="367"/>
    </row>
    <row r="1126" spans="1:8" ht="15.75" customHeight="1" x14ac:dyDescent="0.2">
      <c r="A1126" s="373" t="s">
        <v>580</v>
      </c>
      <c r="B1126" s="373" t="s">
        <v>372</v>
      </c>
      <c r="C1126" s="373" t="s">
        <v>42</v>
      </c>
      <c r="D1126" s="374" t="s">
        <v>372</v>
      </c>
      <c r="E1126" s="373" t="s">
        <v>42</v>
      </c>
      <c r="H1126" s="367"/>
    </row>
    <row r="1127" spans="1:8" ht="15.75" customHeight="1" x14ac:dyDescent="0.2">
      <c r="A1127" s="339" t="s">
        <v>1770</v>
      </c>
      <c r="B1127" s="342" t="s">
        <v>376</v>
      </c>
      <c r="C1127" s="426">
        <f ca="1">E1105</f>
        <v>1.0347993897061841E-4</v>
      </c>
      <c r="D1127" s="342" t="s">
        <v>267</v>
      </c>
      <c r="E1127" s="361">
        <f ca="1">C1127*(Units!C146/Units!C$84)*SUM(E$1072:E$1089)</f>
        <v>6.5252274960389276E-3</v>
      </c>
      <c r="H1127" s="367"/>
    </row>
    <row r="1128" spans="1:8" ht="15.75" customHeight="1" x14ac:dyDescent="0.2">
      <c r="A1128" s="714" t="s">
        <v>1771</v>
      </c>
      <c r="B1128" s="344" t="s">
        <v>376</v>
      </c>
      <c r="C1128" s="438">
        <f t="shared" ref="C1128:C1144" ca="1" si="87">E1106</f>
        <v>3.0403692467084369E-3</v>
      </c>
      <c r="D1128" s="344" t="s">
        <v>267</v>
      </c>
      <c r="E1128" s="363">
        <f ca="1">C1128*(Units!C147/Units!C$84)*SUM(E$1072:E$1089)</f>
        <v>0.2290002618656225</v>
      </c>
      <c r="H1128" s="367"/>
    </row>
    <row r="1129" spans="1:8" ht="15.75" customHeight="1" x14ac:dyDescent="0.2">
      <c r="A1129" s="714" t="s">
        <v>1772</v>
      </c>
      <c r="B1129" s="344" t="s">
        <v>376</v>
      </c>
      <c r="C1129" s="438">
        <f t="shared" ca="1" si="87"/>
        <v>3.0013975131367936E-2</v>
      </c>
      <c r="D1129" s="344" t="s">
        <v>267</v>
      </c>
      <c r="E1129" s="363">
        <f ca="1">C1129*(Units!C148/Units!C$84)*SUM(E$1072:E$1089)</f>
        <v>2.6284177907575197</v>
      </c>
      <c r="H1129" s="367"/>
    </row>
    <row r="1130" spans="1:8" ht="15.75" customHeight="1" x14ac:dyDescent="0.2">
      <c r="A1130" s="714" t="s">
        <v>1773</v>
      </c>
      <c r="B1130" s="344" t="s">
        <v>376</v>
      </c>
      <c r="C1130" s="438">
        <f t="shared" ca="1" si="87"/>
        <v>0.12342341110052679</v>
      </c>
      <c r="D1130" s="344" t="s">
        <v>267</v>
      </c>
      <c r="E1130" s="363">
        <f ca="1">C1130*(Units!C149/Units!C$84)*SUM(E$1072:E$1089)</f>
        <v>12.321990794748571</v>
      </c>
      <c r="H1130" s="367"/>
    </row>
    <row r="1131" spans="1:8" ht="15.75" customHeight="1" x14ac:dyDescent="0.2">
      <c r="A1131" s="714" t="s">
        <v>1774</v>
      </c>
      <c r="B1131" s="344" t="s">
        <v>376</v>
      </c>
      <c r="C1131" s="438">
        <f t="shared" ca="1" si="87"/>
        <v>0.31892895825065093</v>
      </c>
      <c r="D1131" s="344" t="s">
        <v>267</v>
      </c>
      <c r="E1131" s="363">
        <f ca="1">C1131*(Units!C150/Units!C$84)*SUM(E$1072:E$1089)</f>
        <v>35.751012678919736</v>
      </c>
      <c r="H1131" s="367"/>
    </row>
    <row r="1132" spans="1:8" ht="15.75" customHeight="1" x14ac:dyDescent="0.2">
      <c r="A1132" s="714" t="s">
        <v>1775</v>
      </c>
      <c r="B1132" s="344" t="s">
        <v>376</v>
      </c>
      <c r="C1132" s="438">
        <f t="shared" ca="1" si="87"/>
        <v>0.70198070094695808</v>
      </c>
      <c r="D1132" s="344" t="s">
        <v>267</v>
      </c>
      <c r="E1132" s="363">
        <f ca="1">C1132*(Units!C151/Units!C$84)*SUM(E$1072:E$1089)</f>
        <v>87.29154640658416</v>
      </c>
      <c r="H1132" s="367"/>
    </row>
    <row r="1133" spans="1:8" ht="15.75" customHeight="1" x14ac:dyDescent="0.2">
      <c r="A1133" s="714" t="s">
        <v>1776</v>
      </c>
      <c r="B1133" s="344" t="s">
        <v>376</v>
      </c>
      <c r="C1133" s="438">
        <f t="shared" ca="1" si="87"/>
        <v>1.0645506718685409</v>
      </c>
      <c r="D1133" s="344" t="s">
        <v>267</v>
      </c>
      <c r="E1133" s="363">
        <f ca="1">C1133*(Units!C152/Units!C$84)*SUM(E$1072:E$1089)</f>
        <v>145.4307553090139</v>
      </c>
      <c r="H1133" s="367"/>
    </row>
    <row r="1134" spans="1:8" ht="15.75" customHeight="1" x14ac:dyDescent="0.2">
      <c r="A1134" s="714" t="s">
        <v>1777</v>
      </c>
      <c r="B1134" s="344" t="s">
        <v>376</v>
      </c>
      <c r="C1134" s="438">
        <f t="shared" ca="1" si="87"/>
        <v>1.1111174726285409</v>
      </c>
      <c r="D1134" s="344" t="s">
        <v>267</v>
      </c>
      <c r="E1134" s="363">
        <f ca="1">C1134*(Units!C153/Units!C$84)*SUM(E$1072:E$1089)</f>
        <v>165.41686210582864</v>
      </c>
      <c r="H1134" s="367"/>
    </row>
    <row r="1135" spans="1:8" ht="15.75" customHeight="1" x14ac:dyDescent="0.2">
      <c r="A1135" s="714" t="s">
        <v>1778</v>
      </c>
      <c r="B1135" s="344" t="s">
        <v>376</v>
      </c>
      <c r="C1135" s="438">
        <f t="shared" ca="1" si="87"/>
        <v>1.9156403712407739</v>
      </c>
      <c r="D1135" s="344" t="s">
        <v>267</v>
      </c>
      <c r="E1135" s="363">
        <f ca="1">C1135*(Units!C154/Units!C$84)*SUM(E$1072:E$1089)</f>
        <v>308.66247816001436</v>
      </c>
      <c r="H1135" s="367"/>
    </row>
    <row r="1136" spans="1:8" ht="15.75" customHeight="1" x14ac:dyDescent="0.2">
      <c r="A1136" s="714" t="s">
        <v>1779</v>
      </c>
      <c r="B1136" s="344" t="s">
        <v>376</v>
      </c>
      <c r="C1136" s="438">
        <f t="shared" ca="1" si="87"/>
        <v>0.10476905550788893</v>
      </c>
      <c r="D1136" s="344" t="s">
        <v>267</v>
      </c>
      <c r="E1136" s="363">
        <f ca="1">C1136*(Units!C155/Units!C$84)*SUM(E$1072:E$1089)</f>
        <v>18.165860064490808</v>
      </c>
      <c r="H1136" s="367"/>
    </row>
    <row r="1137" spans="1:19" ht="15.75" customHeight="1" x14ac:dyDescent="0.2">
      <c r="A1137" s="714" t="s">
        <v>1780</v>
      </c>
      <c r="B1137" s="344" t="s">
        <v>376</v>
      </c>
      <c r="C1137" s="438">
        <f t="shared" ca="1" si="87"/>
        <v>2.5779040993052144E-3</v>
      </c>
      <c r="D1137" s="344" t="s">
        <v>267</v>
      </c>
      <c r="E1137" s="363">
        <f ca="1">C1137*(Units!C146/Units!C$84)*SUM(E$1072:E$1089)</f>
        <v>0.16255721522713734</v>
      </c>
      <c r="H1137" s="367"/>
    </row>
    <row r="1138" spans="1:19" ht="15.75" customHeight="1" x14ac:dyDescent="0.2">
      <c r="A1138" s="714" t="s">
        <v>1781</v>
      </c>
      <c r="B1138" s="344" t="s">
        <v>376</v>
      </c>
      <c r="C1138" s="438">
        <f t="shared" ca="1" si="87"/>
        <v>0</v>
      </c>
      <c r="D1138" s="344" t="s">
        <v>267</v>
      </c>
      <c r="E1138" s="363">
        <f ca="1">C1138*(Units!C147/Units!C$84)*SUM(E$1072:E$1089)</f>
        <v>0</v>
      </c>
      <c r="H1138" s="367"/>
    </row>
    <row r="1139" spans="1:19" ht="15.75" customHeight="1" x14ac:dyDescent="0.2">
      <c r="A1139" s="714" t="s">
        <v>1782</v>
      </c>
      <c r="B1139" s="344" t="s">
        <v>376</v>
      </c>
      <c r="C1139" s="438">
        <f t="shared" ca="1" si="87"/>
        <v>9.2188280302460087E-4</v>
      </c>
      <c r="D1139" s="344" t="s">
        <v>267</v>
      </c>
      <c r="E1139" s="363">
        <f ca="1">C1139*(Units!C148/Units!C$84)*SUM(E$1072:E$1089)</f>
        <v>8.073216392889157E-2</v>
      </c>
      <c r="H1139" s="367"/>
    </row>
    <row r="1140" spans="1:19" ht="15.75" customHeight="1" x14ac:dyDescent="0.2">
      <c r="A1140" s="714" t="s">
        <v>1783</v>
      </c>
      <c r="B1140" s="344" t="s">
        <v>376</v>
      </c>
      <c r="C1140" s="438">
        <f t="shared" ca="1" si="87"/>
        <v>1.354303138979044E-2</v>
      </c>
      <c r="D1140" s="344" t="s">
        <v>267</v>
      </c>
      <c r="E1140" s="363">
        <f ca="1">C1140*(Units!C149/Units!C$84)*SUM(E$1072:E$1089)</f>
        <v>1.3520701350740458</v>
      </c>
      <c r="H1140" s="367"/>
    </row>
    <row r="1141" spans="1:19" ht="15.75" customHeight="1" x14ac:dyDescent="0.2">
      <c r="A1141" s="714" t="s">
        <v>1784</v>
      </c>
      <c r="B1141" s="344" t="s">
        <v>376</v>
      </c>
      <c r="C1141" s="438">
        <f t="shared" ca="1" si="87"/>
        <v>3.4216581117543339E-2</v>
      </c>
      <c r="D1141" s="344" t="s">
        <v>267</v>
      </c>
      <c r="E1141" s="363">
        <f ca="1">C1141*(Units!C150/Units!C$84)*SUM(E$1072:E$1089)</f>
        <v>3.8355796603492678</v>
      </c>
      <c r="H1141" s="367"/>
    </row>
    <row r="1142" spans="1:19" ht="15.75" customHeight="1" x14ac:dyDescent="0.2">
      <c r="A1142" s="714" t="s">
        <v>1785</v>
      </c>
      <c r="B1142" s="344" t="s">
        <v>376</v>
      </c>
      <c r="C1142" s="438">
        <f t="shared" ca="1" si="87"/>
        <v>4.9168047833278258E-2</v>
      </c>
      <c r="D1142" s="344" t="s">
        <v>267</v>
      </c>
      <c r="E1142" s="363">
        <f ca="1">C1142*(Units!C151/Units!C$84)*SUM(E$1072:E$1089)</f>
        <v>6.1140639954488734</v>
      </c>
      <c r="H1142" s="367"/>
    </row>
    <row r="1143" spans="1:19" ht="15.75" customHeight="1" x14ac:dyDescent="0.2">
      <c r="A1143" s="714" t="s">
        <v>1786</v>
      </c>
      <c r="B1143" s="344" t="s">
        <v>376</v>
      </c>
      <c r="C1143" s="438">
        <f t="shared" ca="1" si="87"/>
        <v>9.350122186569336E-2</v>
      </c>
      <c r="D1143" s="344" t="s">
        <v>267</v>
      </c>
      <c r="E1143" s="363">
        <f ca="1">C1143*(Units!C152/Units!C$84)*SUM(E$1072:E$1089)</f>
        <v>12.773420446370874</v>
      </c>
      <c r="H1143" s="367"/>
    </row>
    <row r="1144" spans="1:19" ht="15.75" customHeight="1" x14ac:dyDescent="0.2">
      <c r="A1144" s="714" t="s">
        <v>1787</v>
      </c>
      <c r="B1144" s="344" t="s">
        <v>376</v>
      </c>
      <c r="C1144" s="438">
        <f t="shared" ca="1" si="87"/>
        <v>4.6013048789862879E-3</v>
      </c>
      <c r="D1144" s="344" t="s">
        <v>267</v>
      </c>
      <c r="E1144" s="363">
        <f ca="1">C1144*(Units!C153/Units!C$84)*SUM(E$1072:E$1089)</f>
        <v>0.68501615123876902</v>
      </c>
      <c r="H1144" s="367"/>
    </row>
    <row r="1145" spans="1:19" ht="15.75" customHeight="1" x14ac:dyDescent="0.2">
      <c r="A1145" s="340" t="s">
        <v>721</v>
      </c>
      <c r="B1145" s="347" t="s">
        <v>376</v>
      </c>
      <c r="C1145" s="487">
        <f ca="1">SUM(F1105:F1122)</f>
        <v>5.5720984398485491</v>
      </c>
      <c r="D1145" s="347" t="s">
        <v>267</v>
      </c>
      <c r="E1145" s="365">
        <f ca="1">C1145*(Units!C154/Units!C$84)*SUM(E$1072:E$1089)</f>
        <v>897.81868184434472</v>
      </c>
      <c r="H1145" s="367"/>
    </row>
    <row r="1146" spans="1:19" ht="15.75" customHeight="1" x14ac:dyDescent="0.2">
      <c r="A1146" s="376"/>
      <c r="B1146" s="248"/>
      <c r="C1146" s="248"/>
      <c r="D1146" s="248"/>
      <c r="E1146" s="248"/>
      <c r="F1146" s="248"/>
      <c r="G1146" s="248"/>
      <c r="H1146" s="369"/>
    </row>
    <row r="1147" spans="1:19" ht="15.75" customHeight="1" thickBot="1" x14ac:dyDescent="0.25"/>
    <row r="1148" spans="1:19" ht="38" customHeight="1" thickBot="1" x14ac:dyDescent="0.25">
      <c r="A1148" s="2056" t="s">
        <v>962</v>
      </c>
      <c r="B1148" s="715"/>
      <c r="C1148" s="716"/>
      <c r="D1148" s="715"/>
      <c r="E1148" s="715"/>
      <c r="F1148" s="715"/>
      <c r="G1148" s="715"/>
      <c r="H1148" s="715"/>
      <c r="I1148" s="715"/>
      <c r="J1148" s="717"/>
      <c r="K1148" s="717"/>
      <c r="L1148" s="717"/>
      <c r="M1148" s="717"/>
      <c r="N1148" s="717"/>
      <c r="O1148" s="717"/>
      <c r="P1148" s="717"/>
      <c r="Q1148" s="717"/>
      <c r="R1148" s="717"/>
      <c r="S1148" s="718"/>
    </row>
    <row r="1149" spans="1:19" ht="15.75" customHeight="1" x14ac:dyDescent="0.2">
      <c r="A1149" s="301" t="s">
        <v>580</v>
      </c>
      <c r="B1149" s="301" t="s">
        <v>372</v>
      </c>
      <c r="C1149" s="301" t="s">
        <v>42</v>
      </c>
      <c r="D1149" s="557" t="s">
        <v>372</v>
      </c>
      <c r="E1149" s="301" t="s">
        <v>42</v>
      </c>
      <c r="F1149" s="385"/>
      <c r="G1149" s="385"/>
      <c r="H1149" s="385"/>
      <c r="I1149" s="385"/>
      <c r="S1149" s="367"/>
    </row>
    <row r="1150" spans="1:19" ht="15.75" customHeight="1" x14ac:dyDescent="0.2">
      <c r="A1150" s="316" t="s">
        <v>664</v>
      </c>
      <c r="B1150" s="342" t="s">
        <v>267</v>
      </c>
      <c r="C1150" s="361">
        <f ca="1">SUM(E1127:E1130,E1138:E1139)*1.02</f>
        <v>15.571999563572577</v>
      </c>
      <c r="D1150" s="103" t="s">
        <v>275</v>
      </c>
      <c r="E1150" s="76">
        <f ca="1">C1150/(SUM(C1150:C1151)*C1152)</f>
        <v>1.9103864762980566E-2</v>
      </c>
      <c r="S1150" s="367"/>
    </row>
    <row r="1151" spans="1:19" ht="15.75" customHeight="1" x14ac:dyDescent="0.2">
      <c r="A1151" s="317" t="s">
        <v>666</v>
      </c>
      <c r="B1151" s="344" t="s">
        <v>267</v>
      </c>
      <c r="C1151" s="363">
        <f ca="1">SUM(E1129:E1137,E1141:E1144)/1.02</f>
        <v>783.56819684214952</v>
      </c>
      <c r="D1151" s="103" t="s">
        <v>275</v>
      </c>
      <c r="E1151" s="76">
        <f ca="1">C1151/(SUM(C1150:C1151)*C1152)</f>
        <v>0.96128829209976452</v>
      </c>
      <c r="S1151" s="367"/>
    </row>
    <row r="1152" spans="1:19" ht="15.75" customHeight="1" x14ac:dyDescent="0.2">
      <c r="A1152" s="318" t="s">
        <v>1804</v>
      </c>
      <c r="B1152" s="347" t="s">
        <v>1805</v>
      </c>
      <c r="C1152" s="369">
        <v>1.02</v>
      </c>
      <c r="S1152" s="367"/>
    </row>
    <row r="1153" spans="1:19" ht="15.75" customHeight="1" x14ac:dyDescent="0.2">
      <c r="A1153" s="375"/>
      <c r="S1153" s="367"/>
    </row>
    <row r="1154" spans="1:19" ht="15.75" customHeight="1" x14ac:dyDescent="0.2">
      <c r="A1154" s="719" t="s">
        <v>1806</v>
      </c>
      <c r="B1154" s="720"/>
      <c r="C1154" s="720"/>
      <c r="D1154" s="720"/>
      <c r="E1154" s="721"/>
      <c r="S1154" s="367"/>
    </row>
    <row r="1155" spans="1:19" ht="15.75" customHeight="1" x14ac:dyDescent="0.2">
      <c r="A1155" s="301" t="s">
        <v>580</v>
      </c>
      <c r="B1155" s="301" t="s">
        <v>372</v>
      </c>
      <c r="C1155" s="301" t="s">
        <v>42</v>
      </c>
      <c r="D1155" s="301" t="s">
        <v>372</v>
      </c>
      <c r="E1155" s="301" t="s">
        <v>42</v>
      </c>
      <c r="G1155" s="1568" t="s">
        <v>1810</v>
      </c>
      <c r="H1155" s="1569"/>
      <c r="I1155" s="1569"/>
      <c r="J1155" s="1569"/>
      <c r="K1155" s="1569"/>
      <c r="L1155" s="1570"/>
      <c r="S1155" s="367"/>
    </row>
    <row r="1156" spans="1:19" ht="15.75" customHeight="1" x14ac:dyDescent="0.2">
      <c r="A1156" s="339" t="s">
        <v>1770</v>
      </c>
      <c r="B1156" s="342" t="s">
        <v>267</v>
      </c>
      <c r="C1156" s="361">
        <f ca="1">E1127</f>
        <v>6.5252274960389276E-3</v>
      </c>
      <c r="D1156" s="342" t="s">
        <v>1809</v>
      </c>
      <c r="E1156" s="366">
        <f ca="1">(C1156/C$1150)*100</f>
        <v>4.1903594136383913E-2</v>
      </c>
      <c r="G1156" s="722" t="s">
        <v>1829</v>
      </c>
      <c r="H1156" s="361">
        <f ca="1">C$1150/Units!C$5</f>
        <v>4.1141346270997561</v>
      </c>
      <c r="I1156" s="722" t="s">
        <v>1830</v>
      </c>
      <c r="J1156" s="366"/>
      <c r="K1156" s="342" t="s">
        <v>1811</v>
      </c>
      <c r="L1156" s="366">
        <f ca="1">E1156</f>
        <v>4.1903594136383913E-2</v>
      </c>
      <c r="S1156" s="367"/>
    </row>
    <row r="1157" spans="1:19" ht="15.75" customHeight="1" x14ac:dyDescent="0.2">
      <c r="A1157" s="714" t="s">
        <v>1771</v>
      </c>
      <c r="B1157" s="344" t="s">
        <v>267</v>
      </c>
      <c r="C1157" s="363">
        <f ca="1">E1128</f>
        <v>0.2290002618656225</v>
      </c>
      <c r="D1157" s="344" t="s">
        <v>1809</v>
      </c>
      <c r="E1157" s="367">
        <f ca="1">(C1157/C$1150)*100</f>
        <v>1.4705899581536115</v>
      </c>
      <c r="G1157" s="344" t="s">
        <v>664</v>
      </c>
      <c r="H1157" s="363">
        <f ca="1">C$1150/Units!C$5</f>
        <v>4.1141346270997561</v>
      </c>
      <c r="I1157" s="344" t="s">
        <v>666</v>
      </c>
      <c r="J1157" s="367"/>
      <c r="K1157" s="344" t="s">
        <v>1812</v>
      </c>
      <c r="L1157" s="367">
        <f ca="1">E1157</f>
        <v>1.4705899581536115</v>
      </c>
      <c r="S1157" s="367"/>
    </row>
    <row r="1158" spans="1:19" ht="15.75" customHeight="1" x14ac:dyDescent="0.2">
      <c r="A1158" s="714" t="s">
        <v>1772</v>
      </c>
      <c r="B1158" s="344" t="s">
        <v>267</v>
      </c>
      <c r="C1158" s="363">
        <f ca="1">E1129</f>
        <v>2.6284177907575197</v>
      </c>
      <c r="D1158" s="344" t="s">
        <v>1809</v>
      </c>
      <c r="E1158" s="367">
        <f ca="1">(C1158/C$1150)*100</f>
        <v>16.879128335619477</v>
      </c>
      <c r="G1158" s="344" t="s">
        <v>664</v>
      </c>
      <c r="H1158" s="363">
        <f ca="1">C$1150/Units!C$5</f>
        <v>4.1141346270997561</v>
      </c>
      <c r="I1158" s="344" t="s">
        <v>666</v>
      </c>
      <c r="J1158" s="367"/>
      <c r="K1158" s="344" t="s">
        <v>1813</v>
      </c>
      <c r="L1158" s="367">
        <f ca="1">E1158</f>
        <v>16.879128335619477</v>
      </c>
      <c r="S1158" s="367"/>
    </row>
    <row r="1159" spans="1:19" ht="15.75" customHeight="1" x14ac:dyDescent="0.2">
      <c r="A1159" s="714" t="s">
        <v>1773</v>
      </c>
      <c r="B1159" s="344" t="s">
        <v>267</v>
      </c>
      <c r="C1159" s="363">
        <f ca="1">E1130</f>
        <v>12.321990794748571</v>
      </c>
      <c r="D1159" s="344" t="s">
        <v>1809</v>
      </c>
      <c r="E1159" s="367">
        <f ca="1">(C1159/C$1150)*100</f>
        <v>79.129149371242463</v>
      </c>
      <c r="G1159" s="344" t="s">
        <v>664</v>
      </c>
      <c r="H1159" s="363">
        <f ca="1">C$1150/Units!C$5</f>
        <v>4.1141346270997561</v>
      </c>
      <c r="I1159" s="344" t="s">
        <v>666</v>
      </c>
      <c r="J1159" s="367"/>
      <c r="K1159" s="344" t="s">
        <v>1814</v>
      </c>
      <c r="L1159" s="367">
        <f ca="1">E1167</f>
        <v>0</v>
      </c>
      <c r="S1159" s="367"/>
    </row>
    <row r="1160" spans="1:19" ht="15.75" customHeight="1" x14ac:dyDescent="0.2">
      <c r="A1160" s="714" t="s">
        <v>1774</v>
      </c>
      <c r="B1160" s="344" t="s">
        <v>267</v>
      </c>
      <c r="C1160" s="363">
        <f ca="1">E1131/C$1152</f>
        <v>35.050012430313465</v>
      </c>
      <c r="D1160" s="344" t="s">
        <v>1809</v>
      </c>
      <c r="E1160" s="367">
        <f ca="1">(C1160/C$1151)*100</f>
        <v>4.4731285128171576</v>
      </c>
      <c r="G1160" s="344" t="s">
        <v>664</v>
      </c>
      <c r="H1160" s="363">
        <f ca="1">C$1150/Units!C$5</f>
        <v>4.1141346270997561</v>
      </c>
      <c r="I1160" s="344" t="s">
        <v>666</v>
      </c>
      <c r="J1160" s="367"/>
      <c r="K1160" s="344" t="s">
        <v>1815</v>
      </c>
      <c r="L1160" s="367">
        <f ca="1">E1159</f>
        <v>79.129149371242463</v>
      </c>
      <c r="S1160" s="367"/>
    </row>
    <row r="1161" spans="1:19" ht="15.75" customHeight="1" x14ac:dyDescent="0.2">
      <c r="A1161" s="714" t="s">
        <v>1775</v>
      </c>
      <c r="B1161" s="344" t="s">
        <v>267</v>
      </c>
      <c r="C1161" s="363">
        <f t="shared" ref="C1161:C1173" ca="1" si="88">E1132/C$1152</f>
        <v>85.579947457435452</v>
      </c>
      <c r="D1161" s="344" t="s">
        <v>1809</v>
      </c>
      <c r="E1161" s="367">
        <f t="shared" ref="E1161:E1173" ca="1" si="89">(C1161/C$1151)*100</f>
        <v>10.921825030971185</v>
      </c>
      <c r="G1161" s="344" t="s">
        <v>664</v>
      </c>
      <c r="H1161" s="363">
        <f ca="1">C$1150/Units!C$5</f>
        <v>4.1141346270997561</v>
      </c>
      <c r="I1161" s="344" t="s">
        <v>666</v>
      </c>
      <c r="J1161" s="367"/>
      <c r="K1161" s="344" t="s">
        <v>1816</v>
      </c>
      <c r="L1161" s="367">
        <f ca="1">E1168</f>
        <v>1.0101122102890474E-2</v>
      </c>
      <c r="S1161" s="367"/>
    </row>
    <row r="1162" spans="1:19" ht="15.75" customHeight="1" x14ac:dyDescent="0.2">
      <c r="A1162" s="714" t="s">
        <v>1776</v>
      </c>
      <c r="B1162" s="344" t="s">
        <v>267</v>
      </c>
      <c r="C1162" s="363">
        <f t="shared" ca="1" si="88"/>
        <v>142.57917187158225</v>
      </c>
      <c r="D1162" s="344" t="s">
        <v>1809</v>
      </c>
      <c r="E1162" s="367">
        <f t="shared" ca="1" si="89"/>
        <v>18.196140737486431</v>
      </c>
      <c r="G1162" s="344" t="s">
        <v>664</v>
      </c>
      <c r="H1162" s="363">
        <f ca="1">H1161</f>
        <v>4.1141346270997561</v>
      </c>
      <c r="I1162" s="344" t="s">
        <v>666</v>
      </c>
      <c r="J1162" s="363">
        <f ca="1">C$1151/Units!C$5</f>
        <v>207.01933866371189</v>
      </c>
      <c r="K1162" s="344" t="s">
        <v>1817</v>
      </c>
      <c r="L1162" s="367">
        <f ca="1">E1160</f>
        <v>4.4731285128171576</v>
      </c>
      <c r="S1162" s="367"/>
    </row>
    <row r="1163" spans="1:19" ht="15.75" customHeight="1" x14ac:dyDescent="0.2">
      <c r="A1163" s="714" t="s">
        <v>1777</v>
      </c>
      <c r="B1163" s="344" t="s">
        <v>267</v>
      </c>
      <c r="C1163" s="363">
        <f t="shared" ca="1" si="88"/>
        <v>162.17339422140063</v>
      </c>
      <c r="D1163" s="344" t="s">
        <v>1809</v>
      </c>
      <c r="E1163" s="367">
        <f t="shared" ca="1" si="89"/>
        <v>20.696781068319776</v>
      </c>
      <c r="G1163" s="344" t="s">
        <v>664</v>
      </c>
      <c r="H1163" s="367"/>
      <c r="I1163" s="344" t="s">
        <v>666</v>
      </c>
      <c r="J1163" s="363">
        <f ca="1">C$1151/Units!C$5</f>
        <v>207.01933866371189</v>
      </c>
      <c r="K1163" s="344" t="s">
        <v>1818</v>
      </c>
      <c r="L1163" s="367">
        <f ca="1">E1169</f>
        <v>0.16916957085510476</v>
      </c>
      <c r="S1163" s="367"/>
    </row>
    <row r="1164" spans="1:19" ht="15.75" customHeight="1" x14ac:dyDescent="0.2">
      <c r="A1164" s="714" t="s">
        <v>1778</v>
      </c>
      <c r="B1164" s="344" t="s">
        <v>267</v>
      </c>
      <c r="C1164" s="363">
        <f t="shared" ca="1" si="88"/>
        <v>302.61027270589642</v>
      </c>
      <c r="D1164" s="344" t="s">
        <v>1809</v>
      </c>
      <c r="E1164" s="367">
        <f t="shared" ca="1" si="89"/>
        <v>38.619519516672973</v>
      </c>
      <c r="G1164" s="344" t="s">
        <v>664</v>
      </c>
      <c r="H1164" s="367"/>
      <c r="I1164" s="344" t="s">
        <v>666</v>
      </c>
      <c r="J1164" s="363">
        <f ca="1">C$1151/Units!C$5</f>
        <v>207.01933866371189</v>
      </c>
      <c r="K1164" s="344" t="s">
        <v>1819</v>
      </c>
      <c r="L1164" s="367">
        <f ca="1">E1161</f>
        <v>10.921825030971185</v>
      </c>
      <c r="S1164" s="367"/>
    </row>
    <row r="1165" spans="1:19" ht="15.75" customHeight="1" x14ac:dyDescent="0.2">
      <c r="A1165" s="714" t="s">
        <v>1779</v>
      </c>
      <c r="B1165" s="344" t="s">
        <v>267</v>
      </c>
      <c r="C1165" s="363">
        <f t="shared" ca="1" si="88"/>
        <v>17.80966672989295</v>
      </c>
      <c r="D1165" s="344" t="s">
        <v>1809</v>
      </c>
      <c r="E1165" s="367">
        <f ca="1">(C1165/C$1151)*100</f>
        <v>2.2728930042933739</v>
      </c>
      <c r="G1165" s="344" t="s">
        <v>664</v>
      </c>
      <c r="H1165" s="367"/>
      <c r="I1165" s="344" t="s">
        <v>666</v>
      </c>
      <c r="J1165" s="363">
        <f ca="1">C$1151/Units!C$5</f>
        <v>207.01933866371189</v>
      </c>
      <c r="K1165" s="344" t="s">
        <v>1820</v>
      </c>
      <c r="L1165" s="367">
        <f ca="1">E1170</f>
        <v>0.47990362947135085</v>
      </c>
      <c r="S1165" s="367"/>
    </row>
    <row r="1166" spans="1:19" ht="15.75" customHeight="1" x14ac:dyDescent="0.2">
      <c r="A1166" s="714" t="s">
        <v>1780</v>
      </c>
      <c r="B1166" s="344" t="s">
        <v>267</v>
      </c>
      <c r="C1166" s="363">
        <f t="shared" ca="1" si="88"/>
        <v>0.15936981885013465</v>
      </c>
      <c r="D1166" s="344" t="s">
        <v>1809</v>
      </c>
      <c r="E1166" s="367">
        <f t="shared" ca="1" si="89"/>
        <v>2.0338985105879667E-2</v>
      </c>
      <c r="G1166" s="344" t="s">
        <v>664</v>
      </c>
      <c r="H1166" s="367"/>
      <c r="I1166" s="344" t="s">
        <v>666</v>
      </c>
      <c r="J1166" s="363">
        <f ca="1">C$1151/Units!C$5</f>
        <v>207.01933866371189</v>
      </c>
      <c r="K1166" s="344" t="s">
        <v>1821</v>
      </c>
      <c r="L1166" s="367">
        <f ca="1">E1162</f>
        <v>18.196140737486431</v>
      </c>
      <c r="S1166" s="367"/>
    </row>
    <row r="1167" spans="1:19" ht="15.75" customHeight="1" x14ac:dyDescent="0.2">
      <c r="A1167" s="714" t="s">
        <v>1781</v>
      </c>
      <c r="B1167" s="344" t="s">
        <v>267</v>
      </c>
      <c r="C1167" s="363">
        <f t="shared" ca="1" si="88"/>
        <v>0</v>
      </c>
      <c r="D1167" s="344" t="s">
        <v>1809</v>
      </c>
      <c r="E1167" s="367">
        <f t="shared" ca="1" si="89"/>
        <v>0</v>
      </c>
      <c r="G1167" s="344" t="s">
        <v>664</v>
      </c>
      <c r="H1167" s="367"/>
      <c r="I1167" s="344" t="s">
        <v>666</v>
      </c>
      <c r="J1167" s="363">
        <f ca="1">C$1151/Units!C$5</f>
        <v>207.01933866371189</v>
      </c>
      <c r="K1167" s="344" t="s">
        <v>1822</v>
      </c>
      <c r="L1167" s="367">
        <f ca="1">E1171</f>
        <v>0.76498515532560674</v>
      </c>
      <c r="S1167" s="367"/>
    </row>
    <row r="1168" spans="1:19" ht="15.75" customHeight="1" x14ac:dyDescent="0.2">
      <c r="A1168" s="714" t="s">
        <v>1782</v>
      </c>
      <c r="B1168" s="344" t="s">
        <v>267</v>
      </c>
      <c r="C1168" s="363">
        <f t="shared" ca="1" si="88"/>
        <v>7.9149180322442711E-2</v>
      </c>
      <c r="D1168" s="344" t="s">
        <v>1809</v>
      </c>
      <c r="E1168" s="367">
        <f t="shared" ca="1" si="89"/>
        <v>1.0101122102890474E-2</v>
      </c>
      <c r="G1168" s="344" t="s">
        <v>664</v>
      </c>
      <c r="H1168" s="367"/>
      <c r="I1168" s="344" t="s">
        <v>666</v>
      </c>
      <c r="J1168" s="363">
        <f ca="1">C$1151/Units!C$5</f>
        <v>207.01933866371189</v>
      </c>
      <c r="K1168" s="344" t="s">
        <v>1823</v>
      </c>
      <c r="L1168" s="367">
        <f ca="1">E1163</f>
        <v>20.696781068319776</v>
      </c>
      <c r="S1168" s="367"/>
    </row>
    <row r="1169" spans="1:41" ht="15.75" customHeight="1" x14ac:dyDescent="0.2">
      <c r="A1169" s="714" t="s">
        <v>1783</v>
      </c>
      <c r="B1169" s="344" t="s">
        <v>267</v>
      </c>
      <c r="C1169" s="363">
        <f t="shared" ca="1" si="88"/>
        <v>1.3255589559549468</v>
      </c>
      <c r="D1169" s="344" t="s">
        <v>1809</v>
      </c>
      <c r="E1169" s="367">
        <f t="shared" ca="1" si="89"/>
        <v>0.16916957085510476</v>
      </c>
      <c r="G1169" s="344" t="s">
        <v>664</v>
      </c>
      <c r="H1169" s="367"/>
      <c r="I1169" s="344" t="s">
        <v>666</v>
      </c>
      <c r="J1169" s="363">
        <f ca="1">C$1151/Units!C$5</f>
        <v>207.01933866371189</v>
      </c>
      <c r="K1169" s="344" t="s">
        <v>1824</v>
      </c>
      <c r="L1169" s="367">
        <f ca="1">E1172</f>
        <v>1.5981967201324518</v>
      </c>
      <c r="S1169" s="367"/>
    </row>
    <row r="1170" spans="1:41" ht="15.75" customHeight="1" x14ac:dyDescent="0.2">
      <c r="A1170" s="714" t="s">
        <v>1784</v>
      </c>
      <c r="B1170" s="344" t="s">
        <v>267</v>
      </c>
      <c r="C1170" s="363">
        <f t="shared" ca="1" si="88"/>
        <v>3.7603722160286939</v>
      </c>
      <c r="D1170" s="344" t="s">
        <v>1809</v>
      </c>
      <c r="E1170" s="367">
        <f t="shared" ca="1" si="89"/>
        <v>0.47990362947135085</v>
      </c>
      <c r="G1170" s="344" t="s">
        <v>664</v>
      </c>
      <c r="H1170" s="367"/>
      <c r="I1170" s="344" t="s">
        <v>666</v>
      </c>
      <c r="J1170" s="363">
        <f ca="1">C$1151/Units!C$5</f>
        <v>207.01933866371189</v>
      </c>
      <c r="K1170" s="344" t="s">
        <v>1825</v>
      </c>
      <c r="L1170" s="367">
        <f ca="1">E1164</f>
        <v>38.619519516672973</v>
      </c>
      <c r="S1170" s="367"/>
    </row>
    <row r="1171" spans="1:41" ht="15.75" customHeight="1" x14ac:dyDescent="0.2">
      <c r="A1171" s="714" t="s">
        <v>1785</v>
      </c>
      <c r="B1171" s="344" t="s">
        <v>267</v>
      </c>
      <c r="C1171" s="363">
        <f t="shared" ca="1" si="88"/>
        <v>5.994180387694974</v>
      </c>
      <c r="D1171" s="344" t="s">
        <v>1809</v>
      </c>
      <c r="E1171" s="367">
        <f t="shared" ca="1" si="89"/>
        <v>0.76498515532560674</v>
      </c>
      <c r="G1171" s="344" t="s">
        <v>664</v>
      </c>
      <c r="H1171" s="367"/>
      <c r="I1171" s="344" t="s">
        <v>666</v>
      </c>
      <c r="J1171" s="363">
        <f ca="1">C$1151/Units!C$5</f>
        <v>207.01933866371189</v>
      </c>
      <c r="K1171" s="344" t="s">
        <v>1826</v>
      </c>
      <c r="L1171" s="367">
        <f ca="1">E1173</f>
        <v>8.5708489025631607E-2</v>
      </c>
      <c r="S1171" s="367"/>
    </row>
    <row r="1172" spans="1:41" ht="15.75" customHeight="1" x14ac:dyDescent="0.2">
      <c r="A1172" s="714" t="s">
        <v>1786</v>
      </c>
      <c r="B1172" s="344" t="s">
        <v>267</v>
      </c>
      <c r="C1172" s="363">
        <f t="shared" ca="1" si="88"/>
        <v>12.522961221932229</v>
      </c>
      <c r="D1172" s="344" t="s">
        <v>1809</v>
      </c>
      <c r="E1172" s="367">
        <f t="shared" ca="1" si="89"/>
        <v>1.5981967201324518</v>
      </c>
      <c r="G1172" s="344" t="s">
        <v>664</v>
      </c>
      <c r="H1172" s="367"/>
      <c r="I1172" s="344" t="s">
        <v>666</v>
      </c>
      <c r="J1172" s="363">
        <f ca="1">C$1151/Units!C$5</f>
        <v>207.01933866371189</v>
      </c>
      <c r="K1172" s="344" t="s">
        <v>1827</v>
      </c>
      <c r="L1172" s="367">
        <f ca="1">E1165</f>
        <v>2.2728930042933739</v>
      </c>
      <c r="S1172" s="367"/>
    </row>
    <row r="1173" spans="1:41" ht="15.75" customHeight="1" x14ac:dyDescent="0.2">
      <c r="A1173" s="714" t="s">
        <v>1787</v>
      </c>
      <c r="B1173" s="344" t="s">
        <v>267</v>
      </c>
      <c r="C1173" s="363">
        <f t="shared" ca="1" si="88"/>
        <v>0.67158446199879318</v>
      </c>
      <c r="D1173" s="347" t="s">
        <v>1809</v>
      </c>
      <c r="E1173" s="369">
        <f t="shared" ca="1" si="89"/>
        <v>8.5708489025631607E-2</v>
      </c>
      <c r="G1173" s="347" t="s">
        <v>664</v>
      </c>
      <c r="H1173" s="369"/>
      <c r="I1173" s="347" t="s">
        <v>666</v>
      </c>
      <c r="J1173" s="365">
        <f ca="1">C$1151/Units!C$5</f>
        <v>207.01933866371189</v>
      </c>
      <c r="K1173" s="347" t="s">
        <v>1828</v>
      </c>
      <c r="L1173" s="369">
        <f ca="1">E1166</f>
        <v>2.0338985105879667E-2</v>
      </c>
      <c r="S1173" s="367"/>
    </row>
    <row r="1174" spans="1:41" ht="15.75" customHeight="1" x14ac:dyDescent="0.2">
      <c r="A1174" s="339" t="s">
        <v>1807</v>
      </c>
      <c r="B1174" s="342" t="s">
        <v>444</v>
      </c>
      <c r="C1174" s="723">
        <f ca="1">C1150/11662</f>
        <v>1.3352769305069951E-3</v>
      </c>
      <c r="S1174" s="367"/>
    </row>
    <row r="1175" spans="1:41" ht="15.75" customHeight="1" x14ac:dyDescent="0.2">
      <c r="A1175" s="340" t="s">
        <v>1808</v>
      </c>
      <c r="B1175" s="347" t="s">
        <v>444</v>
      </c>
      <c r="C1175" s="724">
        <f ca="1">C1151/775</f>
        <v>1.011055737860838</v>
      </c>
      <c r="S1175" s="367"/>
    </row>
    <row r="1176" spans="1:41" ht="15.75" customHeight="1" x14ac:dyDescent="0.2">
      <c r="A1176" s="439" t="s">
        <v>1808</v>
      </c>
      <c r="B1176" s="433" t="s">
        <v>1950</v>
      </c>
      <c r="C1176" s="520">
        <f ca="1">C1175*Units!C9*Units!C55</f>
        <v>152.6289741874721</v>
      </c>
      <c r="S1176" s="367"/>
    </row>
    <row r="1177" spans="1:41" ht="15.75" customHeight="1" x14ac:dyDescent="0.2">
      <c r="A1177" s="439" t="s">
        <v>1951</v>
      </c>
      <c r="B1177" s="433" t="s">
        <v>275</v>
      </c>
      <c r="C1177" s="725">
        <f ca="1">C1176/1650000</f>
        <v>9.2502408598467943E-5</v>
      </c>
      <c r="S1177" s="367"/>
    </row>
    <row r="1178" spans="1:41" ht="15.75" customHeight="1" x14ac:dyDescent="0.2">
      <c r="A1178" s="375"/>
      <c r="S1178" s="367"/>
    </row>
    <row r="1179" spans="1:41" ht="15.75" customHeight="1" x14ac:dyDescent="0.2">
      <c r="A1179" s="376"/>
      <c r="B1179" s="248"/>
      <c r="C1179" s="248"/>
      <c r="D1179" s="248"/>
      <c r="E1179" s="248"/>
      <c r="F1179" s="248"/>
      <c r="G1179" s="248"/>
      <c r="H1179" s="248"/>
      <c r="I1179" s="248"/>
      <c r="J1179" s="248"/>
      <c r="K1179" s="248"/>
      <c r="L1179" s="248"/>
      <c r="M1179" s="248"/>
      <c r="N1179" s="248"/>
      <c r="O1179" s="248"/>
      <c r="P1179" s="248"/>
      <c r="Q1179" s="248"/>
      <c r="R1179" s="248"/>
      <c r="S1179" s="369"/>
    </row>
    <row r="1180" spans="1:41" ht="15.75" customHeight="1" x14ac:dyDescent="0.2"/>
    <row r="1181" spans="1:41" ht="15.75" customHeight="1" x14ac:dyDescent="0.2"/>
    <row r="1182" spans="1:41" ht="15.75" customHeight="1" x14ac:dyDescent="0.2">
      <c r="A1182" s="2058" t="s">
        <v>1419</v>
      </c>
      <c r="B1182" s="2058"/>
      <c r="C1182" s="2058"/>
      <c r="D1182" s="2058"/>
      <c r="E1182" s="2058"/>
      <c r="F1182" s="2058"/>
      <c r="G1182" s="2058"/>
      <c r="H1182" s="2058"/>
      <c r="I1182" s="2058"/>
      <c r="J1182" s="726"/>
      <c r="K1182" s="726"/>
      <c r="L1182" s="726"/>
      <c r="M1182" s="726"/>
      <c r="N1182" s="726"/>
      <c r="O1182" s="726"/>
      <c r="P1182" s="726"/>
      <c r="Q1182" s="726"/>
      <c r="R1182" s="726"/>
      <c r="S1182" s="726"/>
      <c r="T1182" s="726"/>
      <c r="U1182" s="726"/>
      <c r="V1182" s="726"/>
      <c r="W1182" s="726"/>
      <c r="X1182" s="726"/>
      <c r="Y1182" s="726"/>
      <c r="Z1182" s="726"/>
      <c r="AA1182" s="726"/>
      <c r="AB1182" s="726"/>
      <c r="AC1182" s="726"/>
      <c r="AD1182" s="726"/>
      <c r="AE1182" s="726"/>
      <c r="AF1182" s="726"/>
      <c r="AG1182" s="726"/>
      <c r="AH1182" s="726"/>
      <c r="AI1182" s="726"/>
      <c r="AJ1182" s="726"/>
      <c r="AK1182" s="726"/>
      <c r="AL1182" s="726"/>
      <c r="AM1182" s="726"/>
      <c r="AN1182" s="726"/>
      <c r="AO1182" s="726"/>
    </row>
    <row r="1183" spans="1:41" ht="53" customHeight="1" x14ac:dyDescent="0.2">
      <c r="A1183" s="2058"/>
      <c r="B1183" s="2058"/>
      <c r="C1183" s="2058"/>
      <c r="D1183" s="2058"/>
      <c r="E1183" s="2058"/>
      <c r="F1183" s="2058"/>
      <c r="G1183" s="2058"/>
      <c r="H1183" s="2058"/>
      <c r="I1183" s="2058"/>
      <c r="J1183" s="726"/>
      <c r="K1183" s="726"/>
      <c r="L1183" s="726"/>
      <c r="M1183" s="726"/>
      <c r="N1183" s="726"/>
      <c r="O1183" s="726"/>
      <c r="P1183" s="726"/>
      <c r="Q1183" s="726"/>
      <c r="R1183" s="726"/>
      <c r="S1183" s="726"/>
      <c r="T1183" s="726"/>
      <c r="U1183" s="726"/>
      <c r="V1183" s="726"/>
      <c r="W1183" s="726"/>
      <c r="X1183" s="726"/>
      <c r="Y1183" s="726"/>
      <c r="Z1183" s="726"/>
      <c r="AA1183" s="726"/>
      <c r="AB1183" s="726"/>
      <c r="AC1183" s="726"/>
      <c r="AD1183" s="726"/>
      <c r="AE1183" s="726"/>
      <c r="AF1183" s="726"/>
      <c r="AG1183" s="726"/>
      <c r="AH1183" s="726"/>
      <c r="AI1183" s="726"/>
      <c r="AJ1183" s="726"/>
      <c r="AK1183" s="726"/>
      <c r="AL1183" s="726"/>
      <c r="AM1183" s="726"/>
      <c r="AN1183" s="726"/>
      <c r="AO1183" s="726"/>
    </row>
    <row r="1184" spans="1:41" ht="15.75" customHeight="1" x14ac:dyDescent="0.2"/>
    <row r="1185" spans="1:17" ht="15.75" customHeight="1" thickBot="1" x14ac:dyDescent="0.25"/>
    <row r="1186" spans="1:17" ht="41" customHeight="1" thickBot="1" x14ac:dyDescent="0.25">
      <c r="A1186" s="2060" t="s">
        <v>321</v>
      </c>
      <c r="B1186" s="727"/>
      <c r="C1186" s="727"/>
      <c r="D1186" s="727"/>
      <c r="E1186" s="727"/>
      <c r="F1186" s="727"/>
      <c r="G1186" s="727"/>
      <c r="H1186" s="728"/>
      <c r="I1186" s="728"/>
      <c r="J1186" s="728"/>
      <c r="K1186" s="728"/>
      <c r="L1186" s="728"/>
      <c r="M1186" s="728"/>
      <c r="N1186" s="728"/>
      <c r="O1186" s="728"/>
      <c r="P1186" s="728"/>
      <c r="Q1186" s="729"/>
    </row>
    <row r="1187" spans="1:17" ht="15.75" customHeight="1" x14ac:dyDescent="0.2">
      <c r="A1187" s="732" t="s">
        <v>3607</v>
      </c>
      <c r="B1187" s="733"/>
      <c r="C1187" s="733"/>
      <c r="D1187" s="2059"/>
      <c r="E1187" s="2059"/>
      <c r="F1187" s="2059"/>
      <c r="G1187" s="2059"/>
      <c r="H1187" s="2059"/>
      <c r="I1187" s="2059"/>
      <c r="J1187" s="2059"/>
      <c r="K1187" s="2059"/>
      <c r="L1187" s="2059"/>
      <c r="M1187" s="2059"/>
      <c r="N1187" s="2059"/>
      <c r="O1187" s="2059"/>
      <c r="P1187" s="2059"/>
      <c r="Q1187" s="2059"/>
    </row>
    <row r="1188" spans="1:17" ht="15.75" customHeight="1" x14ac:dyDescent="0.2">
      <c r="A1188" s="301" t="s">
        <v>580</v>
      </c>
      <c r="B1188" s="301" t="s">
        <v>372</v>
      </c>
      <c r="C1188" s="301" t="s">
        <v>42</v>
      </c>
    </row>
    <row r="1189" spans="1:17" ht="15.75" customHeight="1" x14ac:dyDescent="0.2">
      <c r="A1189" s="305" t="s">
        <v>1929</v>
      </c>
      <c r="B1189" s="587" t="s">
        <v>1922</v>
      </c>
      <c r="C1189" s="730">
        <v>0</v>
      </c>
    </row>
    <row r="1190" spans="1:17" ht="15.75" customHeight="1" x14ac:dyDescent="0.2">
      <c r="A1190" s="306" t="s">
        <v>1928</v>
      </c>
      <c r="B1190" s="351" t="s">
        <v>1922</v>
      </c>
      <c r="C1190" s="731">
        <v>0</v>
      </c>
      <c r="D1190" s="377" t="s">
        <v>1534</v>
      </c>
    </row>
    <row r="1191" spans="1:17" ht="15.75" customHeight="1" x14ac:dyDescent="0.2">
      <c r="A1191" s="306" t="s">
        <v>1927</v>
      </c>
      <c r="B1191" s="351" t="s">
        <v>1922</v>
      </c>
      <c r="C1191" s="317">
        <v>0.52</v>
      </c>
      <c r="D1191" s="377">
        <f>AVERAGE(C1189:C1195)</f>
        <v>0.1577142857142857</v>
      </c>
    </row>
    <row r="1192" spans="1:17" ht="15.75" customHeight="1" x14ac:dyDescent="0.2">
      <c r="A1192" s="306" t="s">
        <v>1926</v>
      </c>
      <c r="B1192" s="351" t="s">
        <v>1922</v>
      </c>
      <c r="C1192" s="317">
        <v>0</v>
      </c>
    </row>
    <row r="1193" spans="1:17" ht="15.75" customHeight="1" x14ac:dyDescent="0.2">
      <c r="A1193" s="306" t="s">
        <v>1925</v>
      </c>
      <c r="B1193" s="351" t="s">
        <v>1922</v>
      </c>
      <c r="C1193" s="317">
        <v>0.49</v>
      </c>
    </row>
    <row r="1194" spans="1:17" ht="15.75" customHeight="1" x14ac:dyDescent="0.2">
      <c r="A1194" s="306" t="s">
        <v>1924</v>
      </c>
      <c r="B1194" s="351" t="s">
        <v>1922</v>
      </c>
      <c r="C1194" s="317">
        <v>3.6999999999999998E-2</v>
      </c>
    </row>
    <row r="1195" spans="1:17" ht="15.75" customHeight="1" x14ac:dyDescent="0.2">
      <c r="A1195" s="306" t="s">
        <v>1923</v>
      </c>
      <c r="B1195" s="351" t="s">
        <v>1922</v>
      </c>
      <c r="C1195" s="317">
        <v>5.7000000000000002E-2</v>
      </c>
    </row>
    <row r="1196" spans="1:17" ht="15.75" customHeight="1" x14ac:dyDescent="0.2">
      <c r="A1196" s="306" t="s">
        <v>1434</v>
      </c>
      <c r="B1196" s="351" t="s">
        <v>374</v>
      </c>
      <c r="C1196" s="317">
        <v>7</v>
      </c>
    </row>
    <row r="1197" spans="1:17" ht="15.75" customHeight="1" x14ac:dyDescent="0.2">
      <c r="A1197" s="307"/>
      <c r="B1197" s="359"/>
      <c r="C1197" s="318"/>
    </row>
    <row r="1198" spans="1:17" ht="15.75" customHeight="1" x14ac:dyDescent="0.2">
      <c r="A1198" s="39"/>
      <c r="B1198" s="172"/>
    </row>
    <row r="1199" spans="1:17" ht="15.75" customHeight="1" x14ac:dyDescent="0.2">
      <c r="A1199" s="732" t="s">
        <v>536</v>
      </c>
      <c r="B1199" s="733"/>
      <c r="C1199" s="733"/>
      <c r="D1199" s="733"/>
      <c r="E1199" s="734"/>
    </row>
    <row r="1200" spans="1:17" ht="15.75" customHeight="1" x14ac:dyDescent="0.2">
      <c r="A1200" s="373" t="s">
        <v>580</v>
      </c>
      <c r="B1200" s="373" t="s">
        <v>372</v>
      </c>
      <c r="C1200" s="373" t="s">
        <v>42</v>
      </c>
      <c r="D1200" s="374" t="s">
        <v>372</v>
      </c>
      <c r="E1200" s="373" t="s">
        <v>42</v>
      </c>
    </row>
    <row r="1201" spans="1:11" ht="15.75" customHeight="1" x14ac:dyDescent="0.2">
      <c r="A1201" s="316" t="s">
        <v>1939</v>
      </c>
      <c r="B1201" s="342" t="s">
        <v>444</v>
      </c>
      <c r="C1201" s="361">
        <f ca="1">C730</f>
        <v>48.093884486476114</v>
      </c>
      <c r="D1201" s="342" t="s">
        <v>391</v>
      </c>
      <c r="E1201" s="361">
        <f ca="1">C1201*Units!C$14</f>
        <v>48093.884486476112</v>
      </c>
    </row>
    <row r="1202" spans="1:11" ht="15.75" customHeight="1" x14ac:dyDescent="0.2">
      <c r="A1202" s="317" t="s">
        <v>1941</v>
      </c>
      <c r="B1202" s="344" t="s">
        <v>444</v>
      </c>
      <c r="C1202" s="363">
        <f ca="1">C1201*Inputs!F588</f>
        <v>96.187768972952227</v>
      </c>
      <c r="D1202" s="344" t="s">
        <v>391</v>
      </c>
      <c r="E1202" s="363">
        <f ca="1">C1202*Units!C$14</f>
        <v>96187.768972952224</v>
      </c>
    </row>
    <row r="1203" spans="1:11" ht="15.75" customHeight="1" x14ac:dyDescent="0.2">
      <c r="A1203" s="317" t="s">
        <v>1940</v>
      </c>
      <c r="B1203" s="344" t="s">
        <v>444</v>
      </c>
      <c r="C1203" s="363">
        <f ca="1">C1202-C1201</f>
        <v>48.093884486476114</v>
      </c>
      <c r="D1203" s="344" t="s">
        <v>391</v>
      </c>
      <c r="E1203" s="363">
        <f ca="1">C1203*Units!C$14</f>
        <v>48093.884486476112</v>
      </c>
    </row>
    <row r="1204" spans="1:11" ht="15.75" customHeight="1" x14ac:dyDescent="0.2">
      <c r="A1204" s="317" t="s">
        <v>1958</v>
      </c>
      <c r="B1204" s="344" t="s">
        <v>444</v>
      </c>
      <c r="C1204" s="363">
        <f ca="1">Inputs!F589*E1202/Units!C35</f>
        <v>0.24663530505885187</v>
      </c>
      <c r="D1204" s="344"/>
      <c r="E1204" s="363"/>
      <c r="G1204" s="436"/>
    </row>
    <row r="1205" spans="1:11" ht="15.75" customHeight="1" x14ac:dyDescent="0.2">
      <c r="A1205" s="317"/>
      <c r="B1205" s="344"/>
      <c r="C1205" s="363"/>
      <c r="D1205" s="344"/>
      <c r="E1205" s="363"/>
    </row>
    <row r="1206" spans="1:11" ht="15.75" customHeight="1" x14ac:dyDescent="0.2">
      <c r="A1206" s="307"/>
      <c r="B1206" s="347"/>
      <c r="C1206" s="369"/>
      <c r="D1206" s="376"/>
      <c r="E1206" s="369"/>
    </row>
    <row r="1207" spans="1:11" ht="15.75" customHeight="1" x14ac:dyDescent="0.2">
      <c r="A1207" s="39"/>
    </row>
    <row r="1208" spans="1:11" ht="15.75" customHeight="1" x14ac:dyDescent="0.2">
      <c r="A1208" s="732" t="s">
        <v>1921</v>
      </c>
      <c r="B1208" s="733"/>
      <c r="C1208" s="733"/>
      <c r="D1208" s="733"/>
      <c r="E1208" s="734"/>
    </row>
    <row r="1209" spans="1:11" ht="15.75" customHeight="1" x14ac:dyDescent="0.2">
      <c r="A1209" s="373" t="s">
        <v>580</v>
      </c>
      <c r="B1209" s="373" t="s">
        <v>372</v>
      </c>
      <c r="C1209" s="373" t="s">
        <v>42</v>
      </c>
      <c r="D1209" s="374" t="s">
        <v>372</v>
      </c>
      <c r="E1209" s="373" t="s">
        <v>42</v>
      </c>
      <c r="G1209" s="1546" t="s">
        <v>1994</v>
      </c>
      <c r="H1209" s="1547"/>
      <c r="I1209" s="1547"/>
      <c r="J1209" s="1547"/>
      <c r="K1209" s="1548"/>
    </row>
    <row r="1210" spans="1:11" ht="42.5" customHeight="1" x14ac:dyDescent="0.2">
      <c r="A1210" s="319" t="s">
        <v>579</v>
      </c>
      <c r="B1210" s="439"/>
      <c r="C1210" s="437"/>
      <c r="D1210" s="735"/>
      <c r="E1210" s="437"/>
      <c r="G1210" s="736" t="s">
        <v>1800</v>
      </c>
      <c r="H1210" s="566" t="s">
        <v>1584</v>
      </c>
      <c r="I1210" s="566" t="s">
        <v>1585</v>
      </c>
      <c r="J1210" s="566" t="s">
        <v>1802</v>
      </c>
      <c r="K1210" s="568" t="s">
        <v>2774</v>
      </c>
    </row>
    <row r="1211" spans="1:11" ht="15.75" customHeight="1" x14ac:dyDescent="0.2">
      <c r="A1211" s="306" t="s">
        <v>393</v>
      </c>
      <c r="B1211" s="344" t="s">
        <v>376</v>
      </c>
      <c r="C1211" s="438">
        <f ca="1">C681/Inputs!F$588</f>
        <v>1.5187416641155457E-2</v>
      </c>
      <c r="D1211" s="172" t="s">
        <v>302</v>
      </c>
      <c r="E1211" s="446">
        <f ca="1">C1211*Units!C94</f>
        <v>0.89666507849381816</v>
      </c>
      <c r="G1211" s="371" t="str">
        <f>G688</f>
        <v>Acetate</v>
      </c>
      <c r="H1211" s="466">
        <f ca="1">H688</f>
        <v>1.0095709628741449</v>
      </c>
      <c r="I1211" s="569">
        <f>I688</f>
        <v>7.5300949920786744</v>
      </c>
      <c r="J1211" s="466">
        <f ca="1">J688</f>
        <v>1.7933301569876363</v>
      </c>
      <c r="K1211" s="737">
        <f ca="1">E1229</f>
        <v>0.89666507849381816</v>
      </c>
    </row>
    <row r="1212" spans="1:11" ht="15.75" customHeight="1" x14ac:dyDescent="0.2">
      <c r="A1212" s="306" t="s">
        <v>394</v>
      </c>
      <c r="B1212" s="344" t="s">
        <v>376</v>
      </c>
      <c r="C1212" s="438">
        <f ca="1">C682/Inputs!F$588</f>
        <v>3.9370797453823346E-2</v>
      </c>
      <c r="D1212" s="172" t="s">
        <v>302</v>
      </c>
      <c r="E1212" s="446">
        <f ca="1">C1212*Units!C95</f>
        <v>2.8768241699508716</v>
      </c>
      <c r="G1212" s="354" t="str">
        <f>G689</f>
        <v>Propionate</v>
      </c>
      <c r="H1212" s="468">
        <f ca="1">H689</f>
        <v>5.910058693860312E-8</v>
      </c>
      <c r="I1212" s="571">
        <f>I689</f>
        <v>6.3929425407901537</v>
      </c>
      <c r="J1212" s="468">
        <f ca="1">J689</f>
        <v>5.7536483399017433</v>
      </c>
      <c r="K1212" s="638">
        <f ca="1">E1230</f>
        <v>2.8768241699508716</v>
      </c>
    </row>
    <row r="1213" spans="1:11" ht="15.75" customHeight="1" x14ac:dyDescent="0.2">
      <c r="A1213" s="306" t="s">
        <v>396</v>
      </c>
      <c r="B1213" s="344" t="s">
        <v>376</v>
      </c>
      <c r="C1213" s="438">
        <f ca="1">C683/Inputs!F$588</f>
        <v>4.5577912481873234E-2</v>
      </c>
      <c r="D1213" s="172" t="s">
        <v>302</v>
      </c>
      <c r="E1213" s="446">
        <f ca="1">C1213*Units!C96</f>
        <v>3.9698361771711586</v>
      </c>
      <c r="G1213" s="354" t="str">
        <f>G690</f>
        <v>Butyrate</v>
      </c>
      <c r="H1213" s="468">
        <f ca="1">H690</f>
        <v>1.038805213014419</v>
      </c>
      <c r="I1213" s="571">
        <f>I690</f>
        <v>19.420268325786253</v>
      </c>
      <c r="J1213" s="468">
        <f ca="1">J690</f>
        <v>7.9396723543423171</v>
      </c>
      <c r="K1213" s="638">
        <f t="shared" ref="K1213:K1218" ca="1" si="90">E1231</f>
        <v>1.9055213650421559</v>
      </c>
    </row>
    <row r="1214" spans="1:11" ht="15.75" customHeight="1" x14ac:dyDescent="0.2">
      <c r="A1214" s="306" t="s">
        <v>395</v>
      </c>
      <c r="B1214" s="344" t="s">
        <v>376</v>
      </c>
      <c r="C1214" s="438">
        <f>C684/Inputs!F$588</f>
        <v>0</v>
      </c>
      <c r="D1214" s="172" t="s">
        <v>302</v>
      </c>
      <c r="E1214" s="446">
        <f>C1214*Units!C97</f>
        <v>0</v>
      </c>
      <c r="G1214" s="354" t="str">
        <f>G691</f>
        <v>Isobutyrate</v>
      </c>
      <c r="H1214" s="468">
        <f ca="1">H691</f>
        <v>4.7637436748668674E-2</v>
      </c>
      <c r="I1214" s="571">
        <f>I691</f>
        <v>0</v>
      </c>
      <c r="J1214" s="468">
        <f>J691</f>
        <v>0</v>
      </c>
      <c r="K1214" s="638">
        <f t="shared" si="90"/>
        <v>0</v>
      </c>
    </row>
    <row r="1215" spans="1:11" ht="15.75" customHeight="1" x14ac:dyDescent="0.2">
      <c r="A1215" s="306" t="s">
        <v>397</v>
      </c>
      <c r="B1215" s="344" t="s">
        <v>376</v>
      </c>
      <c r="C1215" s="438">
        <f ca="1">C685/Inputs!F$588</f>
        <v>6.2084336105700175E-2</v>
      </c>
      <c r="D1215" s="172" t="s">
        <v>302</v>
      </c>
      <c r="E1215" s="446">
        <f ca="1">C1215*Units!C98</f>
        <v>6.2779680670084019</v>
      </c>
      <c r="G1215" s="354" t="str">
        <f>G692</f>
        <v>Valerate</v>
      </c>
      <c r="H1215" s="468">
        <f ca="1">H692</f>
        <v>0.61294774456728995</v>
      </c>
      <c r="I1215" s="571">
        <f>I692</f>
        <v>12.150102472745317</v>
      </c>
      <c r="J1215" s="468">
        <f ca="1">J692</f>
        <v>12.555936134016804</v>
      </c>
      <c r="K1215" s="638">
        <f t="shared" ca="1" si="90"/>
        <v>3.2017637141742856</v>
      </c>
    </row>
    <row r="1216" spans="1:11" ht="15.75" customHeight="1" x14ac:dyDescent="0.2">
      <c r="A1216" s="306" t="s">
        <v>398</v>
      </c>
      <c r="B1216" s="344" t="s">
        <v>376</v>
      </c>
      <c r="C1216" s="438">
        <f>C686/Inputs!F$588</f>
        <v>5.4111514743533234E-3</v>
      </c>
      <c r="D1216" s="172" t="s">
        <v>302</v>
      </c>
      <c r="E1216" s="446">
        <f>C1216*Units!C99</f>
        <v>0.5471756370866081</v>
      </c>
      <c r="G1216" s="354" t="str">
        <f>G693</f>
        <v>Isovalerate</v>
      </c>
      <c r="H1216" s="468">
        <f ca="1">H693</f>
        <v>1.1241007235941557E-8</v>
      </c>
      <c r="I1216" s="571">
        <f>I693</f>
        <v>1.149068837881877</v>
      </c>
      <c r="J1216" s="468">
        <f>J693</f>
        <v>1.0943512741732162</v>
      </c>
      <c r="K1216" s="638">
        <f t="shared" si="90"/>
        <v>0.52693013851440351</v>
      </c>
    </row>
    <row r="1217" spans="1:11" ht="15.75" customHeight="1" x14ac:dyDescent="0.2">
      <c r="A1217" s="306" t="s">
        <v>578</v>
      </c>
      <c r="B1217" s="344" t="s">
        <v>376</v>
      </c>
      <c r="C1217" s="438">
        <f ca="1">C687/Inputs!F$588</f>
        <v>0.12306036370105773</v>
      </c>
      <c r="D1217" s="172" t="s">
        <v>302</v>
      </c>
      <c r="E1217" s="446">
        <f ca="1">C1217*Units!C100</f>
        <v>14.170400880176798</v>
      </c>
      <c r="G1217" s="354" t="str">
        <f>G694</f>
        <v>Caproate</v>
      </c>
      <c r="H1217" s="468">
        <f ca="1">H694</f>
        <v>0.2155636938612637</v>
      </c>
      <c r="I1217" s="571">
        <f>I694</f>
        <v>7.3236173081712614</v>
      </c>
      <c r="J1217" s="468">
        <f ca="1">J694</f>
        <v>28.340801760353596</v>
      </c>
      <c r="K1217" s="638">
        <f t="shared" ca="1" si="90"/>
        <v>13.362688030006721</v>
      </c>
    </row>
    <row r="1218" spans="1:11" ht="15.75" customHeight="1" x14ac:dyDescent="0.2">
      <c r="A1218" s="306" t="s">
        <v>407</v>
      </c>
      <c r="B1218" s="344" t="s">
        <v>376</v>
      </c>
      <c r="C1218" s="438">
        <f ca="1">C688/Inputs!F$588</f>
        <v>5.3986379222347985E-3</v>
      </c>
      <c r="D1218" s="172" t="s">
        <v>302</v>
      </c>
      <c r="E1218" s="446">
        <f ca="1">C1218*Units!C101</f>
        <v>0.69734206041506885</v>
      </c>
      <c r="G1218" s="355" t="str">
        <f>G695</f>
        <v>Heptanoate</v>
      </c>
      <c r="H1218" s="468">
        <f ca="1">H695</f>
        <v>1.60702285386877E-8</v>
      </c>
      <c r="I1218" s="475">
        <f>I695</f>
        <v>0</v>
      </c>
      <c r="J1218" s="473">
        <f ca="1">J695</f>
        <v>1.3946841208301377</v>
      </c>
      <c r="K1218" s="638">
        <f t="shared" ca="1" si="90"/>
        <v>0.69734206041506885</v>
      </c>
    </row>
    <row r="1219" spans="1:11" ht="15.75" customHeight="1" x14ac:dyDescent="0.2">
      <c r="A1219" s="738" t="s">
        <v>1918</v>
      </c>
      <c r="B1219" s="433" t="s">
        <v>376</v>
      </c>
      <c r="C1219" s="520">
        <f ca="1">SUM(C1211:C1218)</f>
        <v>0.29609061578019802</v>
      </c>
      <c r="D1219" s="455" t="s">
        <v>302</v>
      </c>
      <c r="E1219" s="484">
        <f ca="1">SUM(E1211:E1218)</f>
        <v>29.436212070302723</v>
      </c>
      <c r="G1219" s="387" t="s">
        <v>1693</v>
      </c>
      <c r="H1219" s="466">
        <f ca="1">H696</f>
        <v>0</v>
      </c>
      <c r="I1219" s="467">
        <f>I696</f>
        <v>2.949856</v>
      </c>
      <c r="J1219" s="466">
        <f ca="1">J696</f>
        <v>3.3137086593421605</v>
      </c>
      <c r="K1219" s="737">
        <f ca="1">J1219</f>
        <v>3.3137086593421605</v>
      </c>
    </row>
    <row r="1220" spans="1:11" ht="15.75" customHeight="1" x14ac:dyDescent="0.2">
      <c r="A1220" s="319" t="s">
        <v>1920</v>
      </c>
      <c r="B1220" s="455"/>
      <c r="C1220" s="437"/>
      <c r="D1220" s="455"/>
      <c r="E1220" s="437"/>
      <c r="G1220" s="375" t="s">
        <v>1689</v>
      </c>
      <c r="H1220" s="468">
        <f ca="1">H697</f>
        <v>0</v>
      </c>
      <c r="I1220" s="469">
        <f>I697</f>
        <v>0</v>
      </c>
      <c r="J1220" s="468">
        <f ca="1">J697</f>
        <v>0</v>
      </c>
      <c r="K1220" s="638">
        <f ca="1">J1220</f>
        <v>0</v>
      </c>
    </row>
    <row r="1221" spans="1:11" ht="15.75" customHeight="1" x14ac:dyDescent="0.2">
      <c r="A1221" s="306" t="s">
        <v>409</v>
      </c>
      <c r="B1221" s="172" t="s">
        <v>376</v>
      </c>
      <c r="C1221" s="594">
        <f t="shared" ref="C1221:C1227" ca="1" si="91">C1189*C1211</f>
        <v>0</v>
      </c>
      <c r="D1221" s="344" t="s">
        <v>302</v>
      </c>
      <c r="E1221" s="446">
        <f ca="1">C1221*Units!C112</f>
        <v>0</v>
      </c>
      <c r="F1221" s="594"/>
      <c r="G1221" s="376" t="s">
        <v>482</v>
      </c>
      <c r="H1221" s="473">
        <f ca="1">H698</f>
        <v>0</v>
      </c>
      <c r="I1221" s="474">
        <f>I698</f>
        <v>0.54026666666666678</v>
      </c>
      <c r="J1221" s="473">
        <f ca="1">J698</f>
        <v>2.3295506570399991</v>
      </c>
      <c r="K1221" s="638">
        <f ca="1">J1221</f>
        <v>2.3295506570399991</v>
      </c>
    </row>
    <row r="1222" spans="1:11" ht="15.75" customHeight="1" x14ac:dyDescent="0.2">
      <c r="A1222" s="306" t="s">
        <v>410</v>
      </c>
      <c r="B1222" s="172" t="s">
        <v>376</v>
      </c>
      <c r="C1222" s="594">
        <f t="shared" ca="1" si="91"/>
        <v>0</v>
      </c>
      <c r="D1222" s="344" t="s">
        <v>302</v>
      </c>
      <c r="E1222" s="446">
        <f ca="1">C1222*Units!C113</f>
        <v>0</v>
      </c>
      <c r="F1222" s="594"/>
      <c r="G1222" s="739" t="s">
        <v>409</v>
      </c>
      <c r="H1222" s="316"/>
      <c r="I1222" s="366"/>
      <c r="J1222" s="316"/>
      <c r="K1222" s="737">
        <f t="shared" ref="K1222:K1228" ca="1" si="92">E1221</f>
        <v>0</v>
      </c>
    </row>
    <row r="1223" spans="1:11" ht="15.75" customHeight="1" x14ac:dyDescent="0.2">
      <c r="A1223" s="306" t="s">
        <v>412</v>
      </c>
      <c r="B1223" s="172" t="s">
        <v>376</v>
      </c>
      <c r="C1223" s="594">
        <f t="shared" ca="1" si="91"/>
        <v>2.3700514490574084E-2</v>
      </c>
      <c r="D1223" s="344" t="s">
        <v>302</v>
      </c>
      <c r="E1223" s="446">
        <f ca="1">C1223*Units!C114</f>
        <v>1.7566821340413512</v>
      </c>
      <c r="F1223" s="594"/>
      <c r="G1223" s="740" t="s">
        <v>410</v>
      </c>
      <c r="H1223" s="317"/>
      <c r="I1223" s="367"/>
      <c r="J1223" s="317"/>
      <c r="K1223" s="638">
        <f t="shared" ca="1" si="92"/>
        <v>0</v>
      </c>
    </row>
    <row r="1224" spans="1:11" ht="15.75" customHeight="1" x14ac:dyDescent="0.2">
      <c r="A1224" s="306" t="s">
        <v>411</v>
      </c>
      <c r="B1224" s="172" t="s">
        <v>376</v>
      </c>
      <c r="C1224" s="594">
        <f t="shared" si="91"/>
        <v>0</v>
      </c>
      <c r="D1224" s="344" t="s">
        <v>302</v>
      </c>
      <c r="E1224" s="446">
        <f>C1224*Units!C115</f>
        <v>0</v>
      </c>
      <c r="G1224" s="740" t="s">
        <v>412</v>
      </c>
      <c r="H1224" s="317"/>
      <c r="I1224" s="367"/>
      <c r="J1224" s="317"/>
      <c r="K1224" s="638">
        <f t="shared" ca="1" si="92"/>
        <v>1.7566821340413512</v>
      </c>
    </row>
    <row r="1225" spans="1:11" ht="15.75" customHeight="1" x14ac:dyDescent="0.2">
      <c r="A1225" s="306" t="s">
        <v>413</v>
      </c>
      <c r="B1225" s="172" t="s">
        <v>376</v>
      </c>
      <c r="C1225" s="594">
        <f t="shared" ca="1" si="91"/>
        <v>3.0421324691793084E-2</v>
      </c>
      <c r="D1225" s="344" t="s">
        <v>302</v>
      </c>
      <c r="E1225" s="446">
        <f ca="1">C1225*Units!C116</f>
        <v>2.6816397715815605</v>
      </c>
      <c r="G1225" s="740" t="s">
        <v>411</v>
      </c>
      <c r="H1225" s="317"/>
      <c r="I1225" s="367"/>
      <c r="J1225" s="317"/>
      <c r="K1225" s="638">
        <f t="shared" si="92"/>
        <v>0</v>
      </c>
    </row>
    <row r="1226" spans="1:11" ht="15.75" customHeight="1" x14ac:dyDescent="0.2">
      <c r="A1226" s="306" t="s">
        <v>414</v>
      </c>
      <c r="B1226" s="172" t="s">
        <v>376</v>
      </c>
      <c r="C1226" s="594">
        <f t="shared" si="91"/>
        <v>2.0021260455107295E-4</v>
      </c>
      <c r="D1226" s="344" t="s">
        <v>302</v>
      </c>
      <c r="E1226" s="446">
        <f>C1226*Units!C117</f>
        <v>1.7648741091177082E-2</v>
      </c>
      <c r="G1226" s="740" t="s">
        <v>413</v>
      </c>
      <c r="H1226" s="317"/>
      <c r="I1226" s="367"/>
      <c r="J1226" s="317"/>
      <c r="K1226" s="638">
        <f t="shared" ca="1" si="92"/>
        <v>2.6816397715815605</v>
      </c>
    </row>
    <row r="1227" spans="1:11" ht="15.75" customHeight="1" x14ac:dyDescent="0.2">
      <c r="A1227" s="306" t="s">
        <v>415</v>
      </c>
      <c r="B1227" s="172" t="s">
        <v>376</v>
      </c>
      <c r="C1227" s="594">
        <f t="shared" ca="1" si="91"/>
        <v>7.0144407309602908E-3</v>
      </c>
      <c r="D1227" s="344" t="s">
        <v>302</v>
      </c>
      <c r="E1227" s="446">
        <f ca="1">C1227*Units!C118</f>
        <v>0.72087407392078906</v>
      </c>
      <c r="G1227" s="740" t="s">
        <v>414</v>
      </c>
      <c r="H1227" s="317"/>
      <c r="I1227" s="367"/>
      <c r="J1227" s="317"/>
      <c r="K1227" s="638">
        <f t="shared" si="92"/>
        <v>1.7648741091177082E-2</v>
      </c>
    </row>
    <row r="1228" spans="1:11" ht="15.75" customHeight="1" x14ac:dyDescent="0.2">
      <c r="A1228" s="738" t="s">
        <v>1919</v>
      </c>
      <c r="B1228" s="455" t="s">
        <v>376</v>
      </c>
      <c r="C1228" s="741">
        <f ca="1">SUM(C1221:C1227)</f>
        <v>6.1336492517878531E-2</v>
      </c>
      <c r="D1228" s="433" t="s">
        <v>302</v>
      </c>
      <c r="E1228" s="484">
        <f ca="1">SUM(E1221:E1227)</f>
        <v>5.176844720634878</v>
      </c>
      <c r="G1228" s="742" t="s">
        <v>415</v>
      </c>
      <c r="H1228" s="318"/>
      <c r="I1228" s="369"/>
      <c r="J1228" s="318"/>
      <c r="K1228" s="638">
        <f t="shared" ca="1" si="92"/>
        <v>0.72087407392078906</v>
      </c>
    </row>
    <row r="1229" spans="1:11" ht="15.75" customHeight="1" x14ac:dyDescent="0.2">
      <c r="A1229" s="305" t="s">
        <v>393</v>
      </c>
      <c r="B1229" s="172" t="s">
        <v>376</v>
      </c>
      <c r="C1229" s="594">
        <f t="shared" ref="C1229:C1235" ca="1" si="93">IF(C1221&gt;C1211,0,(C1211-C1221))</f>
        <v>1.5187416641155457E-2</v>
      </c>
      <c r="D1229" s="342" t="s">
        <v>302</v>
      </c>
      <c r="E1229" s="461">
        <f ca="1">C1229*Units!C94</f>
        <v>0.89666507849381816</v>
      </c>
      <c r="G1229" s="473" t="s">
        <v>1764</v>
      </c>
      <c r="H1229" s="475">
        <f ca="1">H699</f>
        <v>55.272474816103838</v>
      </c>
      <c r="I1229" s="475">
        <f>I699</f>
        <v>2.8155770997694836</v>
      </c>
      <c r="J1229" s="475">
        <f ca="1">J699</f>
        <v>55.788716228151884</v>
      </c>
      <c r="K1229" s="440">
        <f ca="1">C1202-K1230-K1232</f>
        <v>93.563713569289533</v>
      </c>
    </row>
    <row r="1230" spans="1:11" ht="15.75" customHeight="1" x14ac:dyDescent="0.2">
      <c r="A1230" s="306" t="s">
        <v>394</v>
      </c>
      <c r="B1230" s="172" t="s">
        <v>376</v>
      </c>
      <c r="C1230" s="594">
        <f t="shared" ca="1" si="93"/>
        <v>3.9370797453823346E-2</v>
      </c>
      <c r="D1230" s="344" t="s">
        <v>302</v>
      </c>
      <c r="E1230" s="446">
        <f ca="1">C1230*Units!C95</f>
        <v>2.8768241699508716</v>
      </c>
      <c r="G1230" s="476" t="s">
        <v>1897</v>
      </c>
      <c r="H1230" s="475">
        <f ca="1">H700</f>
        <v>0.18006555791926931</v>
      </c>
      <c r="I1230" s="475">
        <f>I700</f>
        <v>0.16061337642099269</v>
      </c>
      <c r="J1230" s="475">
        <f ca="1">J700</f>
        <v>3.6758652662352134</v>
      </c>
      <c r="K1230" s="440">
        <f ca="1">E1237*E1202/(Units!C47*Units!C18)</f>
        <v>2.1498181236652862</v>
      </c>
    </row>
    <row r="1231" spans="1:11" ht="15.75" customHeight="1" x14ac:dyDescent="0.2">
      <c r="A1231" s="306" t="s">
        <v>396</v>
      </c>
      <c r="B1231" s="172" t="s">
        <v>376</v>
      </c>
      <c r="C1231" s="594">
        <f t="shared" ca="1" si="93"/>
        <v>2.187739799129915E-2</v>
      </c>
      <c r="D1231" s="344" t="s">
        <v>302</v>
      </c>
      <c r="E1231" s="446">
        <f ca="1">C1231*Units!C96</f>
        <v>1.9055213650421559</v>
      </c>
      <c r="G1231" s="476" t="s">
        <v>2315</v>
      </c>
      <c r="H1231" s="743">
        <f ca="1">H701</f>
        <v>3.0925726104785753E-3</v>
      </c>
      <c r="I1231" s="743">
        <f>I701</f>
        <v>5.1396280454717655E-2</v>
      </c>
      <c r="J1231" s="743">
        <f ca="1">J701</f>
        <v>5.8872424140605457E-2</v>
      </c>
      <c r="K1231" s="641">
        <f ca="1">K1230/(K1230+K1229+K1232)</f>
        <v>2.2350223387235545E-2</v>
      </c>
    </row>
    <row r="1232" spans="1:11" ht="15.75" customHeight="1" x14ac:dyDescent="0.2">
      <c r="A1232" s="306" t="s">
        <v>395</v>
      </c>
      <c r="B1232" s="172" t="s">
        <v>376</v>
      </c>
      <c r="C1232" s="594">
        <f t="shared" si="93"/>
        <v>0</v>
      </c>
      <c r="D1232" s="344" t="s">
        <v>302</v>
      </c>
      <c r="E1232" s="446">
        <f>C1232*Units!C97</f>
        <v>0</v>
      </c>
      <c r="G1232" s="377" t="s">
        <v>1995</v>
      </c>
      <c r="H1232" s="377"/>
      <c r="I1232" s="377"/>
      <c r="J1232" s="377"/>
      <c r="K1232" s="440">
        <f ca="1">E1228*E1202/(Units!C18*Units!C84)</f>
        <v>0.47423727999740478</v>
      </c>
    </row>
    <row r="1233" spans="1:15" ht="15.75" customHeight="1" x14ac:dyDescent="0.2">
      <c r="A1233" s="306" t="s">
        <v>397</v>
      </c>
      <c r="B1233" s="172" t="s">
        <v>376</v>
      </c>
      <c r="C1233" s="594">
        <f t="shared" ca="1" si="93"/>
        <v>3.1663011413907094E-2</v>
      </c>
      <c r="D1233" s="344" t="s">
        <v>302</v>
      </c>
      <c r="E1233" s="446">
        <f ca="1">C1233*Units!C98</f>
        <v>3.2017637141742856</v>
      </c>
      <c r="G1233" s="377" t="s">
        <v>2316</v>
      </c>
      <c r="H1233" s="377"/>
      <c r="I1233" s="377"/>
      <c r="J1233" s="377"/>
      <c r="K1233" s="641">
        <f ca="1">K1232/(K1232+K1230+K1229)</f>
        <v>4.9303283053665501E-3</v>
      </c>
    </row>
    <row r="1234" spans="1:15" ht="15.75" customHeight="1" x14ac:dyDescent="0.2">
      <c r="A1234" s="306" t="s">
        <v>398</v>
      </c>
      <c r="B1234" s="172" t="s">
        <v>376</v>
      </c>
      <c r="C1234" s="594">
        <f t="shared" si="93"/>
        <v>5.2109388698022502E-3</v>
      </c>
      <c r="D1234" s="344" t="s">
        <v>302</v>
      </c>
      <c r="E1234" s="446">
        <f>C1234*Units!C99</f>
        <v>0.52693013851440351</v>
      </c>
    </row>
    <row r="1235" spans="1:15" ht="15.75" customHeight="1" x14ac:dyDescent="0.2">
      <c r="A1235" s="306" t="s">
        <v>578</v>
      </c>
      <c r="B1235" s="172" t="s">
        <v>376</v>
      </c>
      <c r="C1235" s="594">
        <f t="shared" ca="1" si="93"/>
        <v>0.11604592297009744</v>
      </c>
      <c r="D1235" s="344" t="s">
        <v>302</v>
      </c>
      <c r="E1235" s="446">
        <f ca="1">C1235*Units!C100</f>
        <v>13.362688030006721</v>
      </c>
    </row>
    <row r="1236" spans="1:15" ht="15.75" customHeight="1" x14ac:dyDescent="0.2">
      <c r="A1236" s="307" t="s">
        <v>407</v>
      </c>
      <c r="B1236" s="172" t="s">
        <v>376</v>
      </c>
      <c r="C1236" s="594">
        <f ca="1">C1218</f>
        <v>5.3986379222347985E-3</v>
      </c>
      <c r="D1236" s="344" t="s">
        <v>302</v>
      </c>
      <c r="E1236" s="446">
        <f ca="1">C1236*Units!C101</f>
        <v>0.69734206041506885</v>
      </c>
    </row>
    <row r="1237" spans="1:15" ht="15.75" customHeight="1" x14ac:dyDescent="0.2">
      <c r="A1237" s="738" t="s">
        <v>1918</v>
      </c>
      <c r="B1237" s="342" t="s">
        <v>376</v>
      </c>
      <c r="C1237" s="593">
        <f ca="1">SUM(C1229:C1236)</f>
        <v>0.23475412326231956</v>
      </c>
      <c r="D1237" s="433" t="s">
        <v>302</v>
      </c>
      <c r="E1237" s="484">
        <f ca="1">SUM(E1229:E1236)</f>
        <v>23.467734556597321</v>
      </c>
    </row>
    <row r="1238" spans="1:15" ht="15.75" customHeight="1" x14ac:dyDescent="0.2">
      <c r="A1238" s="738" t="s">
        <v>1996</v>
      </c>
      <c r="B1238" s="433" t="s">
        <v>376</v>
      </c>
      <c r="C1238" s="520">
        <f ca="1">SUM(C1228,C1237)</f>
        <v>0.29609061578019807</v>
      </c>
      <c r="D1238" s="455" t="s">
        <v>302</v>
      </c>
      <c r="E1238" s="484">
        <f ca="1">SUM(E1228,E1237)</f>
        <v>28.6445792772322</v>
      </c>
    </row>
    <row r="1239" spans="1:15" ht="15.75" customHeight="1" x14ac:dyDescent="0.2"/>
    <row r="1240" spans="1:15" ht="15.75" customHeight="1" x14ac:dyDescent="0.2"/>
    <row r="1241" spans="1:15" ht="15.75" customHeight="1" thickBot="1" x14ac:dyDescent="0.25"/>
    <row r="1242" spans="1:15" ht="41" customHeight="1" thickBot="1" x14ac:dyDescent="0.25">
      <c r="A1242" s="2049" t="s">
        <v>286</v>
      </c>
      <c r="B1242" s="609"/>
      <c r="C1242" s="610"/>
      <c r="D1242" s="609"/>
      <c r="E1242" s="609"/>
      <c r="F1242" s="609"/>
      <c r="G1242" s="609"/>
      <c r="H1242" s="609"/>
      <c r="I1242" s="609"/>
      <c r="J1242" s="609"/>
      <c r="K1242" s="609"/>
      <c r="L1242" s="609"/>
      <c r="M1242" s="609"/>
      <c r="N1242" s="609"/>
      <c r="O1242" s="611"/>
    </row>
    <row r="1243" spans="1:15" ht="15.75" customHeight="1" x14ac:dyDescent="0.2">
      <c r="A1243" s="612" t="s">
        <v>868</v>
      </c>
      <c r="B1243" s="613"/>
      <c r="C1243" s="614"/>
      <c r="D1243" s="613"/>
      <c r="E1243" s="615"/>
      <c r="F1243" s="385"/>
      <c r="G1243" s="385"/>
      <c r="H1243" s="385"/>
      <c r="I1243" s="385"/>
      <c r="J1243" s="385"/>
      <c r="K1243" s="385"/>
      <c r="L1243" s="385"/>
      <c r="M1243" s="385"/>
      <c r="N1243" s="385"/>
      <c r="O1243" s="386"/>
    </row>
    <row r="1244" spans="1:15" ht="15.75" customHeight="1" x14ac:dyDescent="0.2">
      <c r="A1244" s="301" t="s">
        <v>580</v>
      </c>
      <c r="B1244" s="301" t="s">
        <v>372</v>
      </c>
      <c r="C1244" s="301" t="s">
        <v>42</v>
      </c>
      <c r="D1244" s="385"/>
      <c r="E1244" s="386"/>
      <c r="F1244" s="385"/>
      <c r="G1244" s="385"/>
      <c r="H1244" s="385"/>
      <c r="I1244" s="385"/>
      <c r="J1244" s="385"/>
      <c r="K1244" s="385"/>
      <c r="L1244" s="385"/>
      <c r="M1244" s="385"/>
      <c r="N1244" s="385"/>
      <c r="O1244" s="386"/>
    </row>
    <row r="1245" spans="1:15" ht="15.75" customHeight="1" x14ac:dyDescent="0.2">
      <c r="A1245" s="387" t="s">
        <v>288</v>
      </c>
      <c r="B1245" s="341" t="s">
        <v>23</v>
      </c>
      <c r="C1245" s="366">
        <v>6</v>
      </c>
      <c r="D1245" s="385"/>
      <c r="E1245" s="386"/>
      <c r="F1245" s="385"/>
      <c r="G1245" s="385"/>
      <c r="H1245" s="385"/>
      <c r="I1245" s="385"/>
      <c r="J1245" s="385"/>
      <c r="K1245" s="385"/>
      <c r="L1245" s="385"/>
      <c r="M1245" s="385"/>
      <c r="N1245" s="385"/>
      <c r="O1245" s="386"/>
    </row>
    <row r="1246" spans="1:15" ht="15.75" customHeight="1" x14ac:dyDescent="0.2">
      <c r="A1246" s="375" t="s">
        <v>312</v>
      </c>
      <c r="B1246" s="172" t="s">
        <v>161</v>
      </c>
      <c r="C1246" s="367">
        <v>298.14999999999998</v>
      </c>
      <c r="D1246" s="385"/>
      <c r="E1246" s="386"/>
      <c r="F1246" s="385"/>
      <c r="G1246" s="385"/>
      <c r="H1246" s="385"/>
      <c r="I1246" s="385"/>
      <c r="J1246" s="385"/>
      <c r="K1246" s="385"/>
      <c r="L1246" s="385"/>
      <c r="M1246" s="385"/>
      <c r="N1246" s="385"/>
      <c r="O1246" s="386"/>
    </row>
    <row r="1247" spans="1:15" ht="15.75" customHeight="1" x14ac:dyDescent="0.2">
      <c r="A1247" s="375" t="s">
        <v>814</v>
      </c>
      <c r="B1247" s="172" t="s">
        <v>391</v>
      </c>
      <c r="C1247" s="367">
        <v>18</v>
      </c>
      <c r="D1247" s="385"/>
      <c r="E1247" s="386"/>
      <c r="F1247" s="385"/>
      <c r="G1247" s="385"/>
      <c r="H1247" s="385"/>
      <c r="I1247" s="385"/>
      <c r="J1247" s="385"/>
      <c r="K1247" s="385"/>
      <c r="L1247" s="385"/>
      <c r="M1247" s="385"/>
      <c r="N1247" s="385"/>
      <c r="O1247" s="386"/>
    </row>
    <row r="1248" spans="1:15" ht="15.75" customHeight="1" x14ac:dyDescent="0.2">
      <c r="A1248" s="375" t="s">
        <v>1084</v>
      </c>
      <c r="B1248" s="172" t="s">
        <v>769</v>
      </c>
      <c r="C1248" s="367">
        <v>0.3</v>
      </c>
      <c r="D1248" s="385"/>
      <c r="E1248" s="386"/>
      <c r="F1248" s="385"/>
      <c r="G1248" s="385"/>
      <c r="H1248" s="385"/>
      <c r="I1248" s="385"/>
      <c r="J1248" s="385"/>
      <c r="K1248" s="385"/>
      <c r="L1248" s="385"/>
      <c r="M1248" s="385"/>
      <c r="N1248" s="385"/>
      <c r="O1248" s="386"/>
    </row>
    <row r="1249" spans="1:15" ht="15.75" customHeight="1" x14ac:dyDescent="0.2">
      <c r="A1249" s="375" t="s">
        <v>1085</v>
      </c>
      <c r="B1249" s="172" t="s">
        <v>764</v>
      </c>
      <c r="C1249" s="367">
        <v>2</v>
      </c>
      <c r="D1249" s="385"/>
      <c r="E1249" s="386"/>
      <c r="F1249" s="385"/>
      <c r="G1249" s="385"/>
      <c r="H1249" s="385"/>
      <c r="I1249" s="385"/>
      <c r="J1249" s="385"/>
      <c r="K1249" s="385"/>
      <c r="L1249" s="385"/>
      <c r="M1249" s="385"/>
      <c r="N1249" s="385"/>
      <c r="O1249" s="386"/>
    </row>
    <row r="1250" spans="1:15" ht="15.75" customHeight="1" x14ac:dyDescent="0.2">
      <c r="A1250" s="375" t="s">
        <v>1086</v>
      </c>
      <c r="B1250" s="172" t="s">
        <v>764</v>
      </c>
      <c r="C1250" s="367">
        <v>1</v>
      </c>
      <c r="D1250" s="385"/>
      <c r="E1250" s="386"/>
      <c r="F1250" s="385"/>
      <c r="G1250" s="385"/>
      <c r="H1250" s="385"/>
      <c r="I1250" s="385"/>
      <c r="J1250" s="385"/>
      <c r="K1250" s="385"/>
      <c r="L1250" s="385"/>
      <c r="M1250" s="385"/>
      <c r="N1250" s="385"/>
      <c r="O1250" s="386"/>
    </row>
    <row r="1251" spans="1:15" ht="15.75" customHeight="1" x14ac:dyDescent="0.2">
      <c r="A1251" s="375" t="s">
        <v>301</v>
      </c>
      <c r="B1251" s="172" t="s">
        <v>302</v>
      </c>
      <c r="C1251" s="367">
        <v>10</v>
      </c>
      <c r="D1251" s="385"/>
      <c r="E1251" s="386"/>
      <c r="F1251" s="385"/>
      <c r="G1251" s="385"/>
      <c r="H1251" s="385"/>
      <c r="I1251" s="385"/>
      <c r="J1251" s="385"/>
      <c r="K1251" s="385"/>
      <c r="L1251" s="385"/>
      <c r="M1251" s="385"/>
      <c r="N1251" s="385"/>
      <c r="O1251" s="386"/>
    </row>
    <row r="1252" spans="1:15" ht="15.75" customHeight="1" x14ac:dyDescent="0.2">
      <c r="A1252" s="375" t="s">
        <v>304</v>
      </c>
      <c r="B1252" s="172" t="s">
        <v>305</v>
      </c>
      <c r="C1252" s="367">
        <v>5</v>
      </c>
      <c r="D1252" s="385"/>
      <c r="E1252" s="386"/>
      <c r="F1252" s="385"/>
      <c r="G1252" s="385"/>
      <c r="H1252" s="385"/>
      <c r="I1252" s="385"/>
      <c r="J1252" s="385"/>
      <c r="K1252" s="385"/>
      <c r="L1252" s="385"/>
      <c r="M1252" s="385"/>
      <c r="N1252" s="385"/>
      <c r="O1252" s="386"/>
    </row>
    <row r="1253" spans="1:15" ht="15.75" customHeight="1" x14ac:dyDescent="0.2">
      <c r="A1253" s="375" t="s">
        <v>307</v>
      </c>
      <c r="B1253" s="172" t="s">
        <v>305</v>
      </c>
      <c r="C1253" s="367">
        <v>5</v>
      </c>
      <c r="D1253" s="385"/>
      <c r="E1253" s="386"/>
      <c r="F1253" s="385"/>
      <c r="G1253" s="385"/>
      <c r="H1253" s="385"/>
      <c r="I1253" s="385"/>
      <c r="J1253" s="385"/>
      <c r="K1253" s="385"/>
      <c r="L1253" s="385"/>
      <c r="M1253" s="385"/>
      <c r="N1253" s="385"/>
      <c r="O1253" s="386"/>
    </row>
    <row r="1254" spans="1:15" ht="15.75" customHeight="1" x14ac:dyDescent="0.2">
      <c r="A1254" s="375" t="s">
        <v>309</v>
      </c>
      <c r="B1254" s="172" t="s">
        <v>7</v>
      </c>
      <c r="C1254" s="367">
        <v>1</v>
      </c>
      <c r="D1254" s="385"/>
      <c r="E1254" s="386"/>
      <c r="F1254" s="385"/>
      <c r="G1254" s="385"/>
      <c r="H1254" s="385"/>
      <c r="I1254" s="385"/>
      <c r="J1254" s="385"/>
      <c r="K1254" s="385"/>
      <c r="L1254" s="385"/>
      <c r="M1254" s="385"/>
      <c r="N1254" s="385"/>
      <c r="O1254" s="386"/>
    </row>
    <row r="1255" spans="1:15" ht="15.75" customHeight="1" x14ac:dyDescent="0.2">
      <c r="A1255" s="375" t="s">
        <v>311</v>
      </c>
      <c r="B1255" s="172" t="s">
        <v>10</v>
      </c>
      <c r="C1255" s="367">
        <v>0.01</v>
      </c>
      <c r="D1255" s="385"/>
      <c r="E1255" s="386"/>
      <c r="F1255" s="385"/>
      <c r="G1255" s="385"/>
      <c r="H1255" s="385"/>
      <c r="I1255" s="385"/>
      <c r="J1255" s="385"/>
      <c r="K1255" s="385"/>
      <c r="L1255" s="385"/>
      <c r="M1255" s="385"/>
      <c r="N1255" s="385"/>
      <c r="O1255" s="386"/>
    </row>
    <row r="1256" spans="1:15" ht="15.75" customHeight="1" x14ac:dyDescent="0.2">
      <c r="A1256" s="375" t="s">
        <v>314</v>
      </c>
      <c r="B1256" s="172" t="s">
        <v>10</v>
      </c>
      <c r="C1256" s="367">
        <v>4.5</v>
      </c>
      <c r="D1256" s="385"/>
      <c r="E1256" s="386"/>
      <c r="F1256" s="385"/>
      <c r="G1256" s="385"/>
      <c r="H1256" s="385"/>
      <c r="I1256" s="385"/>
      <c r="J1256" s="385"/>
      <c r="K1256" s="385"/>
      <c r="L1256" s="385"/>
      <c r="M1256" s="385"/>
      <c r="N1256" s="385"/>
      <c r="O1256" s="386"/>
    </row>
    <row r="1257" spans="1:15" ht="15.75" customHeight="1" x14ac:dyDescent="0.2">
      <c r="A1257" s="375" t="s">
        <v>759</v>
      </c>
      <c r="B1257" s="172" t="s">
        <v>760</v>
      </c>
      <c r="C1257" s="367">
        <v>500</v>
      </c>
      <c r="D1257" s="385"/>
      <c r="E1257" s="386"/>
      <c r="F1257" s="385"/>
      <c r="G1257" s="385"/>
      <c r="H1257" s="385"/>
      <c r="I1257" s="385"/>
      <c r="J1257" s="385"/>
      <c r="K1257" s="385"/>
      <c r="L1257" s="385"/>
      <c r="M1257" s="385"/>
      <c r="N1257" s="385"/>
      <c r="O1257" s="386"/>
    </row>
    <row r="1258" spans="1:15" ht="15.75" customHeight="1" x14ac:dyDescent="0.2">
      <c r="A1258" s="375" t="s">
        <v>762</v>
      </c>
      <c r="B1258" s="172" t="s">
        <v>787</v>
      </c>
      <c r="C1258" s="367">
        <v>100</v>
      </c>
      <c r="D1258" s="385"/>
      <c r="E1258" s="386"/>
      <c r="F1258" s="385"/>
      <c r="G1258" s="385"/>
      <c r="H1258" s="385"/>
      <c r="I1258" s="385"/>
      <c r="J1258" s="385"/>
      <c r="K1258" s="385"/>
      <c r="L1258" s="385"/>
      <c r="M1258" s="385"/>
      <c r="N1258" s="385"/>
      <c r="O1258" s="386"/>
    </row>
    <row r="1259" spans="1:15" ht="15.75" customHeight="1" x14ac:dyDescent="0.2">
      <c r="A1259" s="375" t="s">
        <v>772</v>
      </c>
      <c r="B1259" s="172" t="s">
        <v>10</v>
      </c>
      <c r="C1259" s="367">
        <v>1E-3</v>
      </c>
      <c r="D1259" s="385"/>
      <c r="E1259" s="386"/>
      <c r="F1259" s="385"/>
      <c r="G1259" s="385"/>
      <c r="H1259" s="385"/>
      <c r="I1259" s="385"/>
      <c r="J1259" s="385"/>
      <c r="K1259" s="385"/>
      <c r="L1259" s="385"/>
      <c r="M1259" s="385"/>
      <c r="N1259" s="385"/>
      <c r="O1259" s="386"/>
    </row>
    <row r="1260" spans="1:15" ht="15.75" customHeight="1" x14ac:dyDescent="0.2">
      <c r="A1260" s="375" t="s">
        <v>775</v>
      </c>
      <c r="B1260" s="172" t="s">
        <v>788</v>
      </c>
      <c r="C1260" s="367">
        <v>3</v>
      </c>
      <c r="D1260" s="385"/>
      <c r="E1260" s="386"/>
      <c r="F1260" s="385"/>
      <c r="G1260" s="385"/>
      <c r="H1260" s="385"/>
      <c r="I1260" s="385"/>
      <c r="J1260" s="385"/>
      <c r="K1260" s="385"/>
      <c r="L1260" s="385"/>
      <c r="M1260" s="385"/>
      <c r="N1260" s="385"/>
      <c r="O1260" s="386"/>
    </row>
    <row r="1261" spans="1:15" ht="15.75" customHeight="1" x14ac:dyDescent="0.2">
      <c r="A1261" s="375" t="s">
        <v>780</v>
      </c>
      <c r="B1261" s="172" t="s">
        <v>788</v>
      </c>
      <c r="C1261" s="367">
        <v>1</v>
      </c>
      <c r="D1261" s="385"/>
      <c r="E1261" s="386"/>
      <c r="F1261" s="385"/>
      <c r="G1261" s="385"/>
      <c r="H1261" s="385"/>
      <c r="I1261" s="385"/>
      <c r="J1261" s="385"/>
      <c r="K1261" s="385"/>
      <c r="L1261" s="385"/>
      <c r="M1261" s="385"/>
      <c r="N1261" s="385"/>
      <c r="O1261" s="386"/>
    </row>
    <row r="1262" spans="1:15" ht="15.75" customHeight="1" x14ac:dyDescent="0.2">
      <c r="A1262" s="375" t="s">
        <v>781</v>
      </c>
      <c r="B1262" s="172" t="s">
        <v>788</v>
      </c>
      <c r="C1262" s="367">
        <v>1</v>
      </c>
      <c r="D1262" s="385"/>
      <c r="E1262" s="386"/>
      <c r="F1262" s="385"/>
      <c r="G1262" s="385"/>
      <c r="H1262" s="385"/>
      <c r="I1262" s="385"/>
      <c r="J1262" s="385"/>
      <c r="K1262" s="385"/>
      <c r="L1262" s="385"/>
      <c r="M1262" s="385"/>
      <c r="N1262" s="385"/>
      <c r="O1262" s="386"/>
    </row>
    <row r="1263" spans="1:15" ht="15.75" customHeight="1" x14ac:dyDescent="0.2">
      <c r="A1263" s="375" t="s">
        <v>782</v>
      </c>
      <c r="B1263" s="172" t="s">
        <v>788</v>
      </c>
      <c r="C1263" s="367">
        <v>1</v>
      </c>
      <c r="D1263" s="385"/>
      <c r="E1263" s="386"/>
      <c r="F1263" s="385"/>
      <c r="G1263" s="385"/>
      <c r="H1263" s="385"/>
      <c r="I1263" s="385"/>
      <c r="J1263" s="385"/>
      <c r="K1263" s="385"/>
      <c r="L1263" s="385"/>
      <c r="M1263" s="385"/>
      <c r="N1263" s="385"/>
      <c r="O1263" s="386"/>
    </row>
    <row r="1264" spans="1:15" ht="15.75" customHeight="1" x14ac:dyDescent="0.2">
      <c r="A1264" s="375" t="s">
        <v>794</v>
      </c>
      <c r="B1264" s="172" t="s">
        <v>7</v>
      </c>
      <c r="C1264" s="367">
        <v>1.44</v>
      </c>
      <c r="D1264" s="385"/>
      <c r="E1264" s="386"/>
      <c r="F1264" s="385"/>
      <c r="G1264" s="385"/>
      <c r="H1264" s="385"/>
      <c r="I1264" s="385"/>
      <c r="J1264" s="385"/>
      <c r="K1264" s="385"/>
      <c r="L1264" s="385"/>
      <c r="M1264" s="385"/>
      <c r="N1264" s="385"/>
      <c r="O1264" s="386"/>
    </row>
    <row r="1265" spans="1:15" ht="15.75" customHeight="1" x14ac:dyDescent="0.2">
      <c r="A1265" s="375" t="s">
        <v>796</v>
      </c>
      <c r="B1265" s="172" t="s">
        <v>10</v>
      </c>
      <c r="C1265" s="367">
        <v>0.25</v>
      </c>
      <c r="D1265" s="385"/>
      <c r="E1265" s="386"/>
      <c r="F1265" s="385"/>
      <c r="G1265" s="385"/>
      <c r="H1265" s="385"/>
      <c r="I1265" s="385"/>
      <c r="J1265" s="385"/>
      <c r="K1265" s="385"/>
      <c r="L1265" s="385"/>
      <c r="M1265" s="385"/>
      <c r="N1265" s="385"/>
      <c r="O1265" s="386"/>
    </row>
    <row r="1266" spans="1:15" ht="15.75" customHeight="1" x14ac:dyDescent="0.2">
      <c r="A1266" s="375" t="s">
        <v>819</v>
      </c>
      <c r="B1266" s="172" t="s">
        <v>820</v>
      </c>
      <c r="C1266" s="367">
        <v>4</v>
      </c>
      <c r="D1266" s="385"/>
      <c r="E1266" s="386"/>
      <c r="F1266" s="385"/>
      <c r="G1266" s="385"/>
      <c r="H1266" s="385"/>
      <c r="I1266" s="385"/>
      <c r="J1266" s="385"/>
      <c r="K1266" s="385"/>
      <c r="L1266" s="385"/>
      <c r="M1266" s="385"/>
      <c r="N1266" s="385"/>
      <c r="O1266" s="386"/>
    </row>
    <row r="1267" spans="1:15" ht="15.75" customHeight="1" x14ac:dyDescent="0.2">
      <c r="A1267" s="375" t="s">
        <v>826</v>
      </c>
      <c r="B1267" s="172" t="s">
        <v>1</v>
      </c>
      <c r="C1267" s="367">
        <v>1</v>
      </c>
      <c r="D1267" s="385"/>
      <c r="E1267" s="386"/>
      <c r="F1267" s="385"/>
      <c r="G1267" s="385"/>
      <c r="H1267" s="385"/>
      <c r="I1267" s="385"/>
      <c r="J1267" s="385"/>
      <c r="K1267" s="385"/>
      <c r="L1267" s="385"/>
      <c r="M1267" s="385"/>
      <c r="N1267" s="385"/>
      <c r="O1267" s="386"/>
    </row>
    <row r="1268" spans="1:15" ht="15.75" customHeight="1" x14ac:dyDescent="0.2">
      <c r="A1268" s="376" t="s">
        <v>831</v>
      </c>
      <c r="B1268" s="178" t="s">
        <v>824</v>
      </c>
      <c r="C1268" s="369">
        <v>1.2</v>
      </c>
      <c r="D1268" s="385"/>
      <c r="E1268" s="386"/>
      <c r="F1268" s="385"/>
      <c r="G1268" s="385"/>
      <c r="H1268" s="385"/>
      <c r="I1268" s="385"/>
      <c r="J1268" s="385"/>
      <c r="K1268" s="385"/>
      <c r="L1268" s="385"/>
      <c r="M1268" s="385"/>
      <c r="N1268" s="385"/>
      <c r="O1268" s="386"/>
    </row>
    <row r="1269" spans="1:15" ht="15.75" customHeight="1" x14ac:dyDescent="0.2">
      <c r="A1269" s="388"/>
      <c r="B1269" s="385"/>
      <c r="C1269" s="389"/>
      <c r="D1269" s="385"/>
      <c r="E1269" s="386"/>
      <c r="F1269" s="385"/>
      <c r="G1269" s="385"/>
      <c r="H1269" s="385"/>
      <c r="I1269" s="385"/>
      <c r="J1269" s="385"/>
      <c r="K1269" s="385"/>
      <c r="L1269" s="385"/>
      <c r="M1269" s="385"/>
      <c r="N1269" s="385"/>
      <c r="O1269" s="386"/>
    </row>
    <row r="1270" spans="1:15" ht="15.75" customHeight="1" x14ac:dyDescent="0.2">
      <c r="A1270" s="390"/>
      <c r="B1270" s="391"/>
      <c r="C1270" s="392"/>
      <c r="D1270" s="391"/>
      <c r="E1270" s="393"/>
      <c r="F1270" s="385"/>
      <c r="G1270" s="385"/>
      <c r="H1270" s="385"/>
      <c r="I1270" s="385"/>
      <c r="J1270" s="385"/>
      <c r="K1270" s="385"/>
      <c r="L1270" s="385"/>
      <c r="M1270" s="385"/>
      <c r="N1270" s="385"/>
      <c r="O1270" s="386"/>
    </row>
    <row r="1271" spans="1:15" ht="15.75" customHeight="1" x14ac:dyDescent="0.2">
      <c r="A1271" s="616" t="s">
        <v>1087</v>
      </c>
      <c r="B1271" s="617"/>
      <c r="C1271" s="618"/>
      <c r="D1271" s="617"/>
      <c r="E1271" s="619"/>
      <c r="F1271" s="385"/>
      <c r="G1271" s="385"/>
      <c r="H1271" s="385"/>
      <c r="I1271" s="385"/>
      <c r="J1271" s="385"/>
      <c r="K1271" s="385"/>
      <c r="L1271" s="385"/>
      <c r="M1271" s="385"/>
      <c r="N1271" s="385"/>
      <c r="O1271" s="386"/>
    </row>
    <row r="1272" spans="1:15" ht="15.75" customHeight="1" x14ac:dyDescent="0.2">
      <c r="A1272" s="373" t="s">
        <v>580</v>
      </c>
      <c r="B1272" s="373" t="s">
        <v>372</v>
      </c>
      <c r="C1272" s="373" t="s">
        <v>42</v>
      </c>
      <c r="D1272" s="398"/>
      <c r="E1272" s="399"/>
      <c r="F1272" s="385"/>
      <c r="G1272" s="385"/>
      <c r="H1272" s="385"/>
      <c r="I1272" s="385"/>
      <c r="J1272" s="385"/>
      <c r="K1272" s="385"/>
      <c r="L1272" s="385"/>
      <c r="M1272" s="385"/>
      <c r="N1272" s="385"/>
      <c r="O1272" s="386"/>
    </row>
    <row r="1273" spans="1:15" ht="15.75" customHeight="1" x14ac:dyDescent="0.2">
      <c r="A1273" s="371" t="s">
        <v>1050</v>
      </c>
      <c r="B1273" s="400" t="s">
        <v>1081</v>
      </c>
      <c r="C1273" s="401">
        <v>0.23339499999999999</v>
      </c>
      <c r="D1273" s="385"/>
      <c r="E1273" s="386"/>
      <c r="F1273" s="385"/>
      <c r="G1273" s="385"/>
      <c r="H1273" s="385"/>
      <c r="I1273" s="385"/>
      <c r="J1273" s="385"/>
      <c r="K1273" s="385"/>
      <c r="L1273" s="385"/>
      <c r="M1273" s="385"/>
      <c r="N1273" s="385"/>
      <c r="O1273" s="386"/>
    </row>
    <row r="1274" spans="1:15" ht="15.75" customHeight="1" x14ac:dyDescent="0.2">
      <c r="A1274" s="354" t="s">
        <v>1053</v>
      </c>
      <c r="B1274" s="402" t="s">
        <v>1081</v>
      </c>
      <c r="C1274" s="403">
        <v>0.11033900000000001</v>
      </c>
      <c r="D1274" s="385"/>
      <c r="E1274" s="386"/>
      <c r="F1274" s="385"/>
      <c r="G1274" s="385"/>
      <c r="H1274" s="385"/>
      <c r="I1274" s="385"/>
      <c r="J1274" s="385"/>
      <c r="K1274" s="385"/>
      <c r="L1274" s="385"/>
      <c r="M1274" s="385"/>
      <c r="N1274" s="385"/>
      <c r="O1274" s="386"/>
    </row>
    <row r="1275" spans="1:15" ht="15.75" customHeight="1" x14ac:dyDescent="0.2">
      <c r="A1275" s="354" t="s">
        <v>1052</v>
      </c>
      <c r="B1275" s="402" t="s">
        <v>1081</v>
      </c>
      <c r="C1275" s="403">
        <v>0.14627599999999999</v>
      </c>
      <c r="D1275" s="385"/>
      <c r="E1275" s="386"/>
      <c r="F1275" s="385"/>
      <c r="G1275" s="385"/>
      <c r="H1275" s="385"/>
      <c r="I1275" s="385"/>
      <c r="J1275" s="385"/>
      <c r="K1275" s="385"/>
      <c r="L1275" s="385"/>
      <c r="M1275" s="385"/>
      <c r="N1275" s="385"/>
      <c r="O1275" s="386"/>
    </row>
    <row r="1276" spans="1:15" ht="15.75" customHeight="1" x14ac:dyDescent="0.2">
      <c r="A1276" s="354" t="s">
        <v>1051</v>
      </c>
      <c r="B1276" s="402" t="s">
        <v>1081</v>
      </c>
      <c r="C1276" s="403">
        <v>0.124358</v>
      </c>
      <c r="D1276" s="385"/>
      <c r="E1276" s="386"/>
      <c r="F1276" s="385"/>
      <c r="G1276" s="385"/>
      <c r="H1276" s="385"/>
      <c r="I1276" s="385"/>
      <c r="J1276" s="385"/>
      <c r="K1276" s="385"/>
      <c r="L1276" s="385"/>
      <c r="M1276" s="385"/>
      <c r="N1276" s="385"/>
      <c r="O1276" s="386"/>
    </row>
    <row r="1277" spans="1:15" ht="15.75" customHeight="1" x14ac:dyDescent="0.2">
      <c r="A1277" s="354" t="s">
        <v>1054</v>
      </c>
      <c r="B1277" s="402" t="s">
        <v>1081</v>
      </c>
      <c r="C1277" s="403">
        <v>0.12723200000000001</v>
      </c>
      <c r="D1277" s="385"/>
      <c r="E1277" s="386"/>
      <c r="F1277" s="385"/>
      <c r="G1277" s="385"/>
      <c r="H1277" s="385"/>
      <c r="I1277" s="385"/>
      <c r="J1277" s="385"/>
      <c r="K1277" s="385"/>
      <c r="L1277" s="385"/>
      <c r="M1277" s="385"/>
      <c r="N1277" s="385"/>
      <c r="O1277" s="386"/>
    </row>
    <row r="1278" spans="1:15" ht="15.75" customHeight="1" x14ac:dyDescent="0.2">
      <c r="A1278" s="355" t="s">
        <v>1060</v>
      </c>
      <c r="B1278" s="404"/>
      <c r="C1278" s="405">
        <f>C1245</f>
        <v>6</v>
      </c>
      <c r="D1278" s="385"/>
      <c r="E1278" s="386"/>
      <c r="F1278" s="385"/>
      <c r="G1278" s="385"/>
      <c r="H1278" s="385"/>
      <c r="I1278" s="385"/>
      <c r="J1278" s="385"/>
      <c r="K1278" s="385"/>
      <c r="L1278" s="385"/>
      <c r="M1278" s="385"/>
      <c r="N1278" s="385"/>
      <c r="O1278" s="386"/>
    </row>
    <row r="1279" spans="1:15" ht="15.75" customHeight="1" x14ac:dyDescent="0.2">
      <c r="A1279" s="371" t="s">
        <v>1055</v>
      </c>
      <c r="B1279" s="400" t="s">
        <v>1081</v>
      </c>
      <c r="C1279" s="518">
        <v>2.0197599999999999E-15</v>
      </c>
      <c r="D1279" s="385"/>
      <c r="E1279" s="386"/>
      <c r="F1279" s="385"/>
      <c r="G1279" s="385"/>
      <c r="H1279" s="385"/>
      <c r="I1279" s="385"/>
      <c r="J1279" s="385"/>
      <c r="K1279" s="385"/>
      <c r="L1279" s="385"/>
      <c r="M1279" s="385"/>
      <c r="N1279" s="385"/>
      <c r="O1279" s="386"/>
    </row>
    <row r="1280" spans="1:15" ht="15.75" customHeight="1" x14ac:dyDescent="0.2">
      <c r="A1280" s="354" t="s">
        <v>1058</v>
      </c>
      <c r="B1280" s="402" t="s">
        <v>1081</v>
      </c>
      <c r="C1280" s="403">
        <v>0.53056300000000001</v>
      </c>
      <c r="D1280" s="385"/>
      <c r="E1280" s="386"/>
      <c r="F1280" s="385"/>
      <c r="G1280" s="385"/>
      <c r="H1280" s="385"/>
      <c r="I1280" s="385"/>
      <c r="J1280" s="385"/>
      <c r="K1280" s="385"/>
      <c r="L1280" s="385"/>
      <c r="M1280" s="385"/>
      <c r="N1280" s="385"/>
      <c r="O1280" s="386"/>
    </row>
    <row r="1281" spans="1:15" ht="15.75" customHeight="1" x14ac:dyDescent="0.2">
      <c r="A1281" s="354" t="s">
        <v>1057</v>
      </c>
      <c r="B1281" s="402" t="s">
        <v>1081</v>
      </c>
      <c r="C1281" s="403">
        <v>0.70004999999999995</v>
      </c>
      <c r="D1281" s="385"/>
      <c r="E1281" s="386"/>
      <c r="F1281" s="385"/>
      <c r="G1281" s="385"/>
      <c r="H1281" s="385"/>
      <c r="I1281" s="385"/>
      <c r="J1281" s="385"/>
      <c r="K1281" s="385"/>
      <c r="L1281" s="385"/>
      <c r="M1281" s="385"/>
      <c r="N1281" s="385"/>
      <c r="O1281" s="386"/>
    </row>
    <row r="1282" spans="1:15" ht="15.75" customHeight="1" x14ac:dyDescent="0.2">
      <c r="A1282" s="354" t="s">
        <v>1056</v>
      </c>
      <c r="B1282" s="402" t="s">
        <v>1081</v>
      </c>
      <c r="C1282" s="403">
        <v>0</v>
      </c>
      <c r="D1282" s="385"/>
      <c r="E1282" s="386"/>
      <c r="F1282" s="385"/>
      <c r="G1282" s="385"/>
      <c r="H1282" s="385"/>
      <c r="I1282" s="385"/>
      <c r="J1282" s="385"/>
      <c r="K1282" s="385"/>
      <c r="L1282" s="385"/>
      <c r="M1282" s="385"/>
      <c r="N1282" s="385"/>
      <c r="O1282" s="386"/>
    </row>
    <row r="1283" spans="1:15" ht="15.75" customHeight="1" x14ac:dyDescent="0.2">
      <c r="A1283" s="354" t="s">
        <v>1059</v>
      </c>
      <c r="B1283" s="402" t="s">
        <v>1081</v>
      </c>
      <c r="C1283" s="403">
        <v>1.1113700000000001E-2</v>
      </c>
      <c r="D1283" s="385"/>
      <c r="E1283" s="386"/>
      <c r="F1283" s="385"/>
      <c r="G1283" s="385"/>
      <c r="H1283" s="385"/>
      <c r="I1283" s="385"/>
      <c r="J1283" s="385"/>
      <c r="K1283" s="385"/>
      <c r="L1283" s="385"/>
      <c r="M1283" s="385"/>
      <c r="N1283" s="385"/>
      <c r="O1283" s="386"/>
    </row>
    <row r="1284" spans="1:15" ht="15.75" customHeight="1" x14ac:dyDescent="0.2">
      <c r="A1284" s="355" t="s">
        <v>1061</v>
      </c>
      <c r="B1284" s="404"/>
      <c r="C1284" s="405">
        <f>2</f>
        <v>2</v>
      </c>
      <c r="D1284" s="385"/>
      <c r="E1284" s="386"/>
      <c r="F1284" s="385"/>
      <c r="G1284" s="385"/>
      <c r="H1284" s="385"/>
      <c r="I1284" s="385"/>
      <c r="J1284" s="385"/>
      <c r="K1284" s="385"/>
      <c r="L1284" s="385"/>
      <c r="M1284" s="385"/>
      <c r="N1284" s="385"/>
      <c r="O1284" s="386"/>
    </row>
    <row r="1285" spans="1:15" ht="15.75" customHeight="1" x14ac:dyDescent="0.2">
      <c r="A1285" s="371" t="s">
        <v>1045</v>
      </c>
      <c r="B1285" s="400" t="s">
        <v>1081</v>
      </c>
      <c r="C1285" s="401">
        <v>0.73713200000000001</v>
      </c>
      <c r="D1285" s="385"/>
      <c r="E1285" s="386"/>
      <c r="G1285" s="385"/>
      <c r="H1285" s="385"/>
      <c r="I1285" s="385"/>
      <c r="J1285" s="385"/>
      <c r="K1285" s="385"/>
      <c r="L1285" s="385"/>
      <c r="M1285" s="385"/>
      <c r="N1285" s="385"/>
      <c r="O1285" s="386"/>
    </row>
    <row r="1286" spans="1:15" ht="15.75" customHeight="1" x14ac:dyDescent="0.2">
      <c r="A1286" s="354" t="s">
        <v>1048</v>
      </c>
      <c r="B1286" s="402" t="s">
        <v>1081</v>
      </c>
      <c r="C1286" s="403">
        <v>0.16624059999999999</v>
      </c>
      <c r="D1286" s="385"/>
      <c r="E1286" s="386"/>
      <c r="G1286" s="385"/>
      <c r="H1286" s="385"/>
      <c r="I1286" s="385"/>
      <c r="J1286" s="385"/>
      <c r="K1286" s="385"/>
      <c r="L1286" s="385"/>
      <c r="M1286" s="385"/>
      <c r="N1286" s="385"/>
      <c r="O1286" s="386"/>
    </row>
    <row r="1287" spans="1:15" ht="15.75" customHeight="1" x14ac:dyDescent="0.2">
      <c r="A1287" s="354" t="s">
        <v>1047</v>
      </c>
      <c r="B1287" s="402" t="s">
        <v>1081</v>
      </c>
      <c r="C1287" s="403">
        <v>0.197906</v>
      </c>
      <c r="D1287" s="385"/>
      <c r="E1287" s="386"/>
      <c r="F1287" s="385"/>
      <c r="G1287" s="385"/>
      <c r="H1287" s="385"/>
      <c r="I1287" s="385"/>
      <c r="J1287" s="385"/>
      <c r="K1287" s="385"/>
      <c r="L1287" s="385"/>
      <c r="M1287" s="385"/>
      <c r="N1287" s="385"/>
      <c r="O1287" s="386"/>
    </row>
    <row r="1288" spans="1:15" ht="15.75" customHeight="1" x14ac:dyDescent="0.2">
      <c r="A1288" s="354" t="s">
        <v>1046</v>
      </c>
      <c r="B1288" s="402" t="s">
        <v>1081</v>
      </c>
      <c r="C1288" s="403">
        <v>0.68925999999999998</v>
      </c>
      <c r="D1288" s="385"/>
      <c r="E1288" s="469"/>
      <c r="F1288" s="385"/>
      <c r="G1288" s="385"/>
      <c r="H1288" s="385"/>
      <c r="I1288" s="385"/>
      <c r="J1288" s="385"/>
      <c r="K1288" s="385"/>
      <c r="L1288" s="385"/>
      <c r="M1288" s="385"/>
      <c r="N1288" s="385"/>
      <c r="O1288" s="386"/>
    </row>
    <row r="1289" spans="1:15" ht="15.75" customHeight="1" x14ac:dyDescent="0.2">
      <c r="A1289" s="354" t="s">
        <v>1049</v>
      </c>
      <c r="B1289" s="402" t="s">
        <v>1081</v>
      </c>
      <c r="C1289" s="403">
        <v>1.28067E-3</v>
      </c>
      <c r="D1289" s="385"/>
      <c r="E1289" s="386"/>
      <c r="F1289" s="385"/>
      <c r="G1289" s="385"/>
      <c r="H1289" s="385"/>
      <c r="I1289" s="385"/>
      <c r="J1289" s="385"/>
      <c r="K1289" s="385"/>
      <c r="L1289" s="385"/>
      <c r="M1289" s="385"/>
      <c r="N1289" s="385"/>
      <c r="O1289" s="386"/>
    </row>
    <row r="1290" spans="1:15" ht="15.75" customHeight="1" x14ac:dyDescent="0.2">
      <c r="A1290" s="355" t="s">
        <v>1062</v>
      </c>
      <c r="B1290" s="404"/>
      <c r="C1290" s="405">
        <f>1</f>
        <v>1</v>
      </c>
      <c r="D1290" s="385"/>
      <c r="E1290" s="386"/>
      <c r="F1290" s="385"/>
      <c r="G1290" s="385"/>
      <c r="H1290" s="385"/>
      <c r="I1290" s="385"/>
      <c r="J1290" s="385"/>
      <c r="K1290" s="385"/>
      <c r="L1290" s="385"/>
      <c r="M1290" s="385"/>
      <c r="N1290" s="385"/>
      <c r="O1290" s="386"/>
    </row>
    <row r="1291" spans="1:15" ht="15.75" customHeight="1" x14ac:dyDescent="0.2">
      <c r="A1291" s="371" t="s">
        <v>1063</v>
      </c>
      <c r="B1291" s="400" t="s">
        <v>1081</v>
      </c>
      <c r="C1291" s="401">
        <v>1.5505700000000001E-2</v>
      </c>
      <c r="D1291" s="385"/>
      <c r="E1291" s="386"/>
      <c r="F1291" s="385"/>
      <c r="G1291" s="385"/>
      <c r="H1291" s="385"/>
      <c r="I1291" s="385"/>
      <c r="J1291" s="385"/>
      <c r="K1291" s="385"/>
      <c r="L1291" s="385"/>
      <c r="M1291" s="385"/>
      <c r="N1291" s="385"/>
      <c r="O1291" s="386"/>
    </row>
    <row r="1292" spans="1:15" ht="15.75" customHeight="1" x14ac:dyDescent="0.2">
      <c r="A1292" s="354" t="s">
        <v>1066</v>
      </c>
      <c r="B1292" s="402" t="s">
        <v>1081</v>
      </c>
      <c r="C1292" s="403">
        <v>6.1340800000000001E-2</v>
      </c>
      <c r="D1292" s="385"/>
      <c r="E1292" s="386"/>
      <c r="F1292" s="385"/>
      <c r="G1292" s="385"/>
      <c r="H1292" s="385"/>
      <c r="I1292" s="385"/>
      <c r="J1292" s="385"/>
      <c r="K1292" s="385"/>
      <c r="L1292" s="385"/>
      <c r="M1292" s="385"/>
      <c r="N1292" s="385"/>
      <c r="O1292" s="386"/>
    </row>
    <row r="1293" spans="1:15" ht="15.75" customHeight="1" x14ac:dyDescent="0.2">
      <c r="A1293" s="354" t="s">
        <v>1065</v>
      </c>
      <c r="B1293" s="402" t="s">
        <v>1081</v>
      </c>
      <c r="C1293" s="403">
        <v>7.4852399999999999E-2</v>
      </c>
      <c r="D1293" s="385"/>
      <c r="E1293" s="386"/>
      <c r="F1293" s="385"/>
      <c r="G1293" s="385"/>
      <c r="H1293" s="385"/>
      <c r="I1293" s="385"/>
      <c r="J1293" s="385"/>
      <c r="K1293" s="385"/>
      <c r="L1293" s="385"/>
      <c r="M1293" s="385"/>
      <c r="N1293" s="385"/>
      <c r="O1293" s="386"/>
    </row>
    <row r="1294" spans="1:15" ht="15.75" customHeight="1" x14ac:dyDescent="0.2">
      <c r="A1294" s="354" t="s">
        <v>1064</v>
      </c>
      <c r="B1294" s="402" t="s">
        <v>1081</v>
      </c>
      <c r="C1294" s="403">
        <v>0</v>
      </c>
      <c r="D1294" s="385"/>
      <c r="E1294" s="386"/>
      <c r="F1294" s="385"/>
      <c r="G1294" s="385"/>
      <c r="H1294" s="385"/>
      <c r="I1294" s="385"/>
      <c r="J1294" s="385"/>
      <c r="K1294" s="385"/>
      <c r="L1294" s="385"/>
      <c r="M1294" s="385"/>
      <c r="N1294" s="385"/>
      <c r="O1294" s="386"/>
    </row>
    <row r="1295" spans="1:15" ht="15.75" customHeight="1" x14ac:dyDescent="0.2">
      <c r="A1295" s="354" t="s">
        <v>1067</v>
      </c>
      <c r="B1295" s="402" t="s">
        <v>1081</v>
      </c>
      <c r="C1295" s="403">
        <v>0.60058299999999998</v>
      </c>
      <c r="D1295" s="385"/>
      <c r="E1295" s="386"/>
      <c r="F1295" s="385"/>
      <c r="G1295" s="385"/>
      <c r="H1295" s="385"/>
      <c r="I1295" s="385"/>
      <c r="J1295" s="385"/>
      <c r="K1295" s="385"/>
      <c r="L1295" s="385"/>
      <c r="M1295" s="385"/>
      <c r="N1295" s="385"/>
      <c r="O1295" s="386"/>
    </row>
    <row r="1296" spans="1:15" ht="15.75" customHeight="1" x14ac:dyDescent="0.2">
      <c r="A1296" s="355" t="s">
        <v>1068</v>
      </c>
      <c r="B1296" s="404"/>
      <c r="C1296" s="405">
        <f>13</f>
        <v>13</v>
      </c>
      <c r="D1296" s="385"/>
      <c r="E1296" s="386"/>
      <c r="F1296" s="385"/>
      <c r="G1296" s="385"/>
      <c r="H1296" s="385"/>
      <c r="I1296" s="385"/>
      <c r="J1296" s="385"/>
      <c r="K1296" s="385"/>
      <c r="L1296" s="385"/>
      <c r="M1296" s="385"/>
      <c r="N1296" s="385"/>
      <c r="O1296" s="386"/>
    </row>
    <row r="1297" spans="1:15" ht="15.75" customHeight="1" x14ac:dyDescent="0.2">
      <c r="A1297" s="371" t="s">
        <v>1069</v>
      </c>
      <c r="B1297" s="400" t="s">
        <v>1081</v>
      </c>
      <c r="C1297" s="401">
        <v>1.6354399999999999E-3</v>
      </c>
      <c r="D1297" s="385"/>
      <c r="E1297" s="386"/>
      <c r="F1297" s="385"/>
      <c r="G1297" s="385"/>
      <c r="H1297" s="385"/>
      <c r="I1297" s="385"/>
      <c r="J1297" s="385"/>
      <c r="K1297" s="385"/>
      <c r="L1297" s="385"/>
      <c r="M1297" s="385"/>
      <c r="N1297" s="385"/>
      <c r="O1297" s="386"/>
    </row>
    <row r="1298" spans="1:15" ht="15.75" customHeight="1" x14ac:dyDescent="0.2">
      <c r="A1298" s="354" t="s">
        <v>1072</v>
      </c>
      <c r="B1298" s="402" t="s">
        <v>1081</v>
      </c>
      <c r="C1298" s="403">
        <v>4.4211899999999998E-2</v>
      </c>
      <c r="D1298" s="385"/>
      <c r="E1298" s="386"/>
      <c r="F1298" s="385"/>
      <c r="G1298" s="385"/>
      <c r="H1298" s="385"/>
      <c r="I1298" s="385"/>
      <c r="J1298" s="385"/>
      <c r="K1298" s="385"/>
      <c r="L1298" s="385"/>
      <c r="M1298" s="385"/>
      <c r="N1298" s="385"/>
      <c r="O1298" s="386"/>
    </row>
    <row r="1299" spans="1:15" ht="15.75" customHeight="1" x14ac:dyDescent="0.2">
      <c r="A1299" s="354" t="s">
        <v>1071</v>
      </c>
      <c r="B1299" s="402" t="s">
        <v>1081</v>
      </c>
      <c r="C1299" s="403">
        <v>3.9060299999999999E-2</v>
      </c>
      <c r="D1299" s="385"/>
      <c r="E1299" s="386"/>
      <c r="F1299" s="385"/>
      <c r="G1299" s="385"/>
      <c r="H1299" s="385"/>
      <c r="I1299" s="385"/>
      <c r="J1299" s="385"/>
      <c r="K1299" s="385"/>
      <c r="L1299" s="385"/>
      <c r="M1299" s="385"/>
      <c r="N1299" s="385"/>
      <c r="O1299" s="386"/>
    </row>
    <row r="1300" spans="1:15" ht="15.75" customHeight="1" x14ac:dyDescent="0.2">
      <c r="A1300" s="354" t="s">
        <v>1070</v>
      </c>
      <c r="B1300" s="402" t="s">
        <v>1081</v>
      </c>
      <c r="C1300" s="403">
        <v>4.5289999999999997E-2</v>
      </c>
      <c r="D1300" s="385"/>
      <c r="E1300" s="386"/>
      <c r="F1300" s="385"/>
      <c r="G1300" s="385"/>
      <c r="H1300" s="385"/>
      <c r="I1300" s="385"/>
      <c r="J1300" s="385"/>
      <c r="K1300" s="385"/>
      <c r="L1300" s="385"/>
      <c r="M1300" s="385"/>
      <c r="N1300" s="385"/>
      <c r="O1300" s="386"/>
    </row>
    <row r="1301" spans="1:15" ht="15.75" customHeight="1" x14ac:dyDescent="0.2">
      <c r="A1301" s="354" t="s">
        <v>1073</v>
      </c>
      <c r="B1301" s="402" t="s">
        <v>1081</v>
      </c>
      <c r="C1301" s="403">
        <v>0.15373800000000001</v>
      </c>
      <c r="D1301" s="385"/>
      <c r="E1301" s="386"/>
      <c r="F1301" s="385"/>
      <c r="G1301" s="385"/>
      <c r="H1301" s="385"/>
      <c r="I1301" s="385"/>
      <c r="J1301" s="385"/>
      <c r="K1301" s="385"/>
      <c r="L1301" s="385"/>
      <c r="M1301" s="385"/>
      <c r="N1301" s="385"/>
      <c r="O1301" s="386"/>
    </row>
    <row r="1302" spans="1:15" ht="15.75" customHeight="1" x14ac:dyDescent="0.2">
      <c r="A1302" s="355" t="s">
        <v>1074</v>
      </c>
      <c r="B1302" s="404"/>
      <c r="C1302" s="405">
        <v>13.8</v>
      </c>
      <c r="D1302" s="385"/>
      <c r="E1302" s="386"/>
      <c r="F1302" s="385"/>
      <c r="G1302" s="385"/>
      <c r="H1302" s="385"/>
      <c r="I1302" s="385"/>
      <c r="J1302" s="385"/>
      <c r="K1302" s="385"/>
      <c r="L1302" s="385"/>
      <c r="M1302" s="385"/>
      <c r="N1302" s="385"/>
      <c r="O1302" s="386"/>
    </row>
    <row r="1303" spans="1:15" ht="15.75" customHeight="1" x14ac:dyDescent="0.2">
      <c r="A1303" s="354" t="s">
        <v>1075</v>
      </c>
      <c r="B1303" s="402" t="s">
        <v>1081</v>
      </c>
      <c r="C1303" s="403">
        <f>1-SUM(C1273,C1279,C1285,C1291,C1297)</f>
        <v>1.2331859999997974E-2</v>
      </c>
      <c r="D1303" s="385"/>
      <c r="E1303" s="386"/>
      <c r="F1303" s="385"/>
      <c r="G1303" s="385"/>
      <c r="H1303" s="385"/>
      <c r="I1303" s="385"/>
      <c r="J1303" s="385"/>
      <c r="K1303" s="385"/>
      <c r="L1303" s="385"/>
      <c r="M1303" s="385"/>
      <c r="N1303" s="385"/>
      <c r="O1303" s="386"/>
    </row>
    <row r="1304" spans="1:15" ht="15.75" customHeight="1" x14ac:dyDescent="0.2">
      <c r="A1304" s="354" t="s">
        <v>1078</v>
      </c>
      <c r="B1304" s="402" t="s">
        <v>1081</v>
      </c>
      <c r="C1304" s="403">
        <v>9.1139200000000004E-2</v>
      </c>
      <c r="D1304" s="385"/>
      <c r="E1304" s="386"/>
      <c r="F1304" s="385"/>
      <c r="G1304" s="385"/>
      <c r="H1304" s="385"/>
      <c r="I1304" s="385"/>
      <c r="J1304" s="385"/>
      <c r="K1304" s="385"/>
      <c r="L1304" s="385"/>
      <c r="M1304" s="385"/>
      <c r="N1304" s="385"/>
      <c r="O1304" s="386"/>
    </row>
    <row r="1305" spans="1:15" ht="15.75" customHeight="1" x14ac:dyDescent="0.2">
      <c r="A1305" s="354" t="s">
        <v>1077</v>
      </c>
      <c r="B1305" s="402" t="s">
        <v>1081</v>
      </c>
      <c r="C1305" s="403">
        <v>0.10853500000000001</v>
      </c>
      <c r="D1305" s="385"/>
      <c r="E1305" s="386"/>
      <c r="F1305" s="385"/>
      <c r="G1305" s="385"/>
      <c r="H1305" s="385"/>
      <c r="I1305" s="385"/>
      <c r="J1305" s="385"/>
      <c r="K1305" s="385"/>
      <c r="L1305" s="385"/>
      <c r="M1305" s="385"/>
      <c r="N1305" s="385"/>
      <c r="O1305" s="386"/>
    </row>
    <row r="1306" spans="1:15" ht="15.75" customHeight="1" x14ac:dyDescent="0.2">
      <c r="A1306" s="354" t="s">
        <v>1076</v>
      </c>
      <c r="B1306" s="402" t="s">
        <v>1081</v>
      </c>
      <c r="C1306" s="403">
        <f>1-SUM(C1276,C1282,C1288,C1294,C1300)</f>
        <v>0.141092</v>
      </c>
      <c r="D1306" s="385"/>
      <c r="E1306" s="386"/>
      <c r="F1306" s="385"/>
      <c r="G1306" s="385"/>
      <c r="H1306" s="385"/>
      <c r="I1306" s="385"/>
      <c r="J1306" s="385"/>
      <c r="K1306" s="385"/>
      <c r="L1306" s="385"/>
      <c r="M1306" s="385"/>
      <c r="N1306" s="385"/>
      <c r="O1306" s="386"/>
    </row>
    <row r="1307" spans="1:15" ht="15.75" customHeight="1" x14ac:dyDescent="0.2">
      <c r="A1307" s="354" t="s">
        <v>1079</v>
      </c>
      <c r="B1307" s="402" t="s">
        <v>1081</v>
      </c>
      <c r="C1307" s="386">
        <v>0.10605299999999999</v>
      </c>
      <c r="D1307" s="385"/>
      <c r="E1307" s="386"/>
      <c r="F1307" s="385"/>
      <c r="G1307" s="385"/>
      <c r="H1307" s="385"/>
      <c r="I1307" s="385"/>
      <c r="J1307" s="385"/>
      <c r="K1307" s="385"/>
      <c r="L1307" s="385"/>
      <c r="M1307" s="385"/>
      <c r="N1307" s="385"/>
      <c r="O1307" s="386"/>
    </row>
    <row r="1308" spans="1:15" ht="15.75" customHeight="1" x14ac:dyDescent="0.2">
      <c r="A1308" s="355" t="s">
        <v>1080</v>
      </c>
      <c r="B1308" s="404"/>
      <c r="C1308" s="393">
        <v>6.5</v>
      </c>
      <c r="D1308" s="385"/>
      <c r="E1308" s="386"/>
      <c r="F1308" s="385"/>
      <c r="G1308" s="385"/>
      <c r="H1308" s="385"/>
      <c r="I1308" s="385"/>
      <c r="J1308" s="385"/>
      <c r="K1308" s="385"/>
      <c r="L1308" s="385"/>
      <c r="M1308" s="385"/>
      <c r="N1308" s="385"/>
      <c r="O1308" s="386"/>
    </row>
    <row r="1309" spans="1:15" ht="15.75" customHeight="1" x14ac:dyDescent="0.2">
      <c r="A1309" s="406"/>
      <c r="B1309" s="385"/>
      <c r="C1309" s="385"/>
      <c r="D1309" s="385"/>
      <c r="E1309" s="386"/>
      <c r="F1309" s="385"/>
      <c r="G1309" s="385"/>
      <c r="H1309" s="385"/>
      <c r="I1309" s="385"/>
      <c r="J1309" s="385"/>
      <c r="K1309" s="385"/>
      <c r="L1309" s="385"/>
      <c r="M1309" s="385"/>
      <c r="N1309" s="385"/>
      <c r="O1309" s="386"/>
    </row>
    <row r="1310" spans="1:15" ht="15.75" customHeight="1" x14ac:dyDescent="0.2">
      <c r="A1310" s="404"/>
      <c r="B1310" s="391"/>
      <c r="C1310" s="391"/>
      <c r="D1310" s="391"/>
      <c r="E1310" s="393"/>
      <c r="F1310" s="385"/>
      <c r="G1310" s="385"/>
      <c r="H1310" s="385"/>
      <c r="I1310" s="385"/>
      <c r="J1310" s="385"/>
      <c r="K1310" s="385"/>
      <c r="L1310" s="385"/>
      <c r="M1310" s="385"/>
      <c r="N1310" s="385"/>
      <c r="O1310" s="386"/>
    </row>
    <row r="1311" spans="1:15" ht="15.75" customHeight="1" x14ac:dyDescent="0.2">
      <c r="A1311" s="616" t="s">
        <v>1377</v>
      </c>
      <c r="B1311" s="617"/>
      <c r="C1311" s="617"/>
      <c r="D1311" s="617"/>
      <c r="E1311" s="619"/>
      <c r="F1311" s="385"/>
      <c r="G1311" s="385"/>
      <c r="H1311" s="385"/>
      <c r="I1311" s="385"/>
      <c r="J1311" s="385"/>
      <c r="K1311" s="385"/>
      <c r="L1311" s="385"/>
      <c r="M1311" s="385"/>
      <c r="N1311" s="385"/>
      <c r="O1311" s="386"/>
    </row>
    <row r="1312" spans="1:15" ht="15.75" customHeight="1" x14ac:dyDescent="0.2">
      <c r="A1312" s="373" t="s">
        <v>580</v>
      </c>
      <c r="B1312" s="430" t="s">
        <v>372</v>
      </c>
      <c r="C1312" s="373" t="s">
        <v>42</v>
      </c>
      <c r="D1312" s="398"/>
      <c r="E1312" s="399"/>
      <c r="F1312" s="385"/>
      <c r="G1312" s="385"/>
      <c r="H1312" s="385"/>
      <c r="I1312" s="385"/>
      <c r="J1312" s="385"/>
      <c r="K1312" s="385"/>
      <c r="L1312" s="385"/>
      <c r="M1312" s="385"/>
      <c r="N1312" s="385"/>
      <c r="O1312" s="386"/>
    </row>
    <row r="1313" spans="1:15" ht="15.75" customHeight="1" x14ac:dyDescent="0.2">
      <c r="A1313" s="316" t="s">
        <v>1378</v>
      </c>
      <c r="B1313" s="342" t="s">
        <v>302</v>
      </c>
      <c r="C1313" s="493">
        <f ca="1">E1229</f>
        <v>0.89666507849381816</v>
      </c>
      <c r="D1313" s="385"/>
      <c r="E1313" s="386"/>
      <c r="F1313" s="385"/>
      <c r="G1313" s="385"/>
      <c r="H1313" s="385"/>
      <c r="I1313" s="385"/>
      <c r="J1313" s="385"/>
      <c r="K1313" s="385"/>
      <c r="L1313" s="385"/>
      <c r="M1313" s="385"/>
      <c r="N1313" s="385"/>
      <c r="O1313" s="386"/>
    </row>
    <row r="1314" spans="1:15" ht="15.75" customHeight="1" x14ac:dyDescent="0.2">
      <c r="A1314" s="317" t="s">
        <v>1379</v>
      </c>
      <c r="B1314" s="344" t="s">
        <v>302</v>
      </c>
      <c r="C1314" s="620">
        <f t="shared" ref="C1314:C1320" ca="1" si="94">E1230</f>
        <v>2.8768241699508716</v>
      </c>
      <c r="D1314" s="385"/>
      <c r="E1314" s="386"/>
      <c r="F1314" s="385"/>
      <c r="G1314" s="385"/>
      <c r="H1314" s="385"/>
      <c r="I1314" s="385"/>
      <c r="J1314" s="385"/>
      <c r="K1314" s="385"/>
      <c r="L1314" s="385"/>
      <c r="M1314" s="385"/>
      <c r="N1314" s="385"/>
      <c r="O1314" s="386"/>
    </row>
    <row r="1315" spans="1:15" ht="15.75" customHeight="1" x14ac:dyDescent="0.2">
      <c r="A1315" s="317" t="s">
        <v>1380</v>
      </c>
      <c r="B1315" s="344" t="s">
        <v>302</v>
      </c>
      <c r="C1315" s="620">
        <f t="shared" ca="1" si="94"/>
        <v>1.9055213650421559</v>
      </c>
      <c r="D1315" s="385"/>
      <c r="E1315" s="386"/>
      <c r="F1315" s="385"/>
      <c r="G1315" s="385"/>
      <c r="H1315" s="385"/>
      <c r="I1315" s="385"/>
      <c r="J1315" s="385"/>
      <c r="K1315" s="385"/>
      <c r="L1315" s="385"/>
      <c r="M1315" s="385"/>
      <c r="N1315" s="385"/>
      <c r="O1315" s="386"/>
    </row>
    <row r="1316" spans="1:15" ht="15.75" customHeight="1" x14ac:dyDescent="0.2">
      <c r="A1316" s="317" t="s">
        <v>1381</v>
      </c>
      <c r="B1316" s="344" t="s">
        <v>302</v>
      </c>
      <c r="C1316" s="620">
        <f t="shared" si="94"/>
        <v>0</v>
      </c>
      <c r="D1316" s="385"/>
      <c r="E1316" s="386"/>
      <c r="F1316" s="385"/>
      <c r="G1316" s="385"/>
      <c r="H1316" s="385"/>
      <c r="I1316" s="385"/>
      <c r="J1316" s="385"/>
      <c r="K1316" s="385"/>
      <c r="L1316" s="385"/>
      <c r="M1316" s="385"/>
      <c r="N1316" s="385"/>
      <c r="O1316" s="386"/>
    </row>
    <row r="1317" spans="1:15" ht="15.75" customHeight="1" x14ac:dyDescent="0.2">
      <c r="A1317" s="317" t="s">
        <v>1382</v>
      </c>
      <c r="B1317" s="344" t="s">
        <v>302</v>
      </c>
      <c r="C1317" s="620">
        <f t="shared" ca="1" si="94"/>
        <v>3.2017637141742856</v>
      </c>
      <c r="D1317" s="385"/>
      <c r="E1317" s="386"/>
      <c r="F1317" s="385"/>
      <c r="G1317" s="385"/>
      <c r="H1317" s="385"/>
      <c r="I1317" s="385"/>
      <c r="J1317" s="385"/>
      <c r="K1317" s="385"/>
      <c r="L1317" s="385"/>
      <c r="M1317" s="385"/>
      <c r="N1317" s="385"/>
      <c r="O1317" s="386"/>
    </row>
    <row r="1318" spans="1:15" ht="15.75" customHeight="1" x14ac:dyDescent="0.2">
      <c r="A1318" s="317" t="s">
        <v>1383</v>
      </c>
      <c r="B1318" s="344" t="s">
        <v>302</v>
      </c>
      <c r="C1318" s="620">
        <f t="shared" si="94"/>
        <v>0.52693013851440351</v>
      </c>
      <c r="D1318" s="385"/>
      <c r="E1318" s="386"/>
      <c r="F1318" s="385"/>
      <c r="G1318" s="385"/>
      <c r="H1318" s="385"/>
      <c r="I1318" s="385"/>
      <c r="J1318" s="385"/>
      <c r="K1318" s="385"/>
      <c r="L1318" s="385"/>
      <c r="M1318" s="385"/>
      <c r="N1318" s="385"/>
      <c r="O1318" s="386"/>
    </row>
    <row r="1319" spans="1:15" ht="15.75" customHeight="1" x14ac:dyDescent="0.2">
      <c r="A1319" s="317" t="s">
        <v>1384</v>
      </c>
      <c r="B1319" s="344" t="s">
        <v>302</v>
      </c>
      <c r="C1319" s="620">
        <f t="shared" ca="1" si="94"/>
        <v>13.362688030006721</v>
      </c>
      <c r="D1319" s="385"/>
      <c r="E1319" s="386"/>
      <c r="F1319" s="385"/>
      <c r="G1319" s="385"/>
      <c r="H1319" s="385"/>
      <c r="I1319" s="385"/>
      <c r="J1319" s="385"/>
      <c r="K1319" s="385"/>
      <c r="L1319" s="385"/>
      <c r="M1319" s="385"/>
      <c r="N1319" s="385"/>
      <c r="O1319" s="386"/>
    </row>
    <row r="1320" spans="1:15" ht="15.75" customHeight="1" x14ac:dyDescent="0.2">
      <c r="A1320" s="317" t="s">
        <v>1385</v>
      </c>
      <c r="B1320" s="344" t="s">
        <v>302</v>
      </c>
      <c r="C1320" s="620">
        <f t="shared" ca="1" si="94"/>
        <v>0.69734206041506885</v>
      </c>
      <c r="D1320" s="385"/>
      <c r="E1320" s="386"/>
      <c r="F1320" s="385"/>
      <c r="G1320" s="385"/>
      <c r="H1320" s="385"/>
      <c r="I1320" s="385"/>
      <c r="J1320" s="385"/>
      <c r="K1320" s="385"/>
      <c r="L1320" s="385"/>
      <c r="M1320" s="385"/>
      <c r="N1320" s="385"/>
      <c r="O1320" s="386"/>
    </row>
    <row r="1321" spans="1:15" ht="15.75" customHeight="1" x14ac:dyDescent="0.2">
      <c r="A1321" s="354" t="s">
        <v>1386</v>
      </c>
      <c r="B1321" s="344" t="s">
        <v>302</v>
      </c>
      <c r="C1321" s="386">
        <v>1</v>
      </c>
      <c r="D1321" s="385"/>
      <c r="E1321" s="386"/>
      <c r="F1321" s="385"/>
      <c r="G1321" s="385"/>
      <c r="H1321" s="385"/>
      <c r="I1321" s="385"/>
      <c r="J1321" s="385"/>
      <c r="K1321" s="385"/>
      <c r="L1321" s="385"/>
      <c r="M1321" s="385"/>
      <c r="N1321" s="385"/>
      <c r="O1321" s="386"/>
    </row>
    <row r="1322" spans="1:15" ht="15.75" customHeight="1" x14ac:dyDescent="0.2">
      <c r="A1322" s="354" t="s">
        <v>1387</v>
      </c>
      <c r="B1322" s="344" t="s">
        <v>302</v>
      </c>
      <c r="C1322" s="469">
        <f ca="1">C817</f>
        <v>0</v>
      </c>
      <c r="D1322" s="385"/>
      <c r="E1322" s="386"/>
      <c r="F1322" s="385"/>
      <c r="G1322" s="385"/>
      <c r="H1322" s="385"/>
      <c r="I1322" s="385"/>
      <c r="J1322" s="385"/>
      <c r="K1322" s="385"/>
      <c r="L1322" s="385"/>
      <c r="M1322" s="385"/>
      <c r="N1322" s="385"/>
      <c r="O1322" s="386"/>
    </row>
    <row r="1323" spans="1:15" ht="15.75" customHeight="1" x14ac:dyDescent="0.2">
      <c r="A1323" s="354" t="s">
        <v>1388</v>
      </c>
      <c r="B1323" s="344" t="s">
        <v>302</v>
      </c>
      <c r="C1323" s="469">
        <f ca="1">C818</f>
        <v>3.3137086593421605</v>
      </c>
      <c r="D1323" s="385"/>
      <c r="E1323" s="386"/>
      <c r="F1323" s="385"/>
      <c r="G1323" s="385"/>
      <c r="H1323" s="385"/>
      <c r="I1323" s="385"/>
      <c r="J1323" s="385"/>
      <c r="K1323" s="385"/>
      <c r="L1323" s="385"/>
      <c r="M1323" s="385"/>
      <c r="N1323" s="385"/>
      <c r="O1323" s="386"/>
    </row>
    <row r="1324" spans="1:15" ht="15.75" customHeight="1" x14ac:dyDescent="0.2">
      <c r="A1324" s="354" t="s">
        <v>1389</v>
      </c>
      <c r="B1324" s="344" t="s">
        <v>302</v>
      </c>
      <c r="C1324" s="469">
        <f ca="1">C819</f>
        <v>2.3295506570399991</v>
      </c>
      <c r="D1324" s="385"/>
      <c r="E1324" s="386"/>
      <c r="F1324" s="385"/>
      <c r="G1324" s="385"/>
      <c r="H1324" s="385"/>
      <c r="I1324" s="385"/>
      <c r="J1324" s="385"/>
      <c r="K1324" s="385"/>
      <c r="L1324" s="385"/>
      <c r="M1324" s="385"/>
      <c r="N1324" s="385"/>
      <c r="O1324" s="386"/>
    </row>
    <row r="1325" spans="1:15" ht="15.75" customHeight="1" x14ac:dyDescent="0.2">
      <c r="A1325" s="354" t="s">
        <v>1390</v>
      </c>
      <c r="B1325" s="344" t="s">
        <v>376</v>
      </c>
      <c r="C1325" s="386">
        <f>C820</f>
        <v>1</v>
      </c>
      <c r="D1325" s="385"/>
      <c r="E1325" s="386"/>
      <c r="F1325" s="385"/>
      <c r="G1325" s="385"/>
      <c r="H1325" s="385"/>
      <c r="I1325" s="385"/>
      <c r="J1325" s="385"/>
      <c r="K1325" s="385"/>
      <c r="L1325" s="385"/>
      <c r="M1325" s="385"/>
      <c r="N1325" s="385"/>
      <c r="O1325" s="386"/>
    </row>
    <row r="1326" spans="1:15" ht="15.75" customHeight="1" x14ac:dyDescent="0.2">
      <c r="A1326" s="355" t="s">
        <v>1391</v>
      </c>
      <c r="B1326" s="347" t="s">
        <v>376</v>
      </c>
      <c r="C1326" s="393">
        <f>C821</f>
        <v>1</v>
      </c>
      <c r="D1326" s="385"/>
      <c r="E1326" s="386"/>
      <c r="F1326" s="385"/>
      <c r="G1326" s="385"/>
      <c r="H1326" s="385"/>
      <c r="I1326" s="385"/>
      <c r="J1326" s="385"/>
      <c r="K1326" s="385"/>
      <c r="L1326" s="385"/>
      <c r="M1326" s="385"/>
      <c r="N1326" s="385"/>
      <c r="O1326" s="386"/>
    </row>
    <row r="1327" spans="1:15" ht="15.75" customHeight="1" x14ac:dyDescent="0.2">
      <c r="A1327" s="388"/>
      <c r="C1327" s="385"/>
      <c r="D1327" s="385"/>
      <c r="E1327" s="386"/>
      <c r="F1327" s="385"/>
      <c r="G1327" s="385"/>
      <c r="H1327" s="385"/>
      <c r="I1327" s="385"/>
      <c r="J1327" s="385"/>
      <c r="K1327" s="385"/>
      <c r="L1327" s="385"/>
      <c r="M1327" s="385"/>
      <c r="N1327" s="385"/>
      <c r="O1327" s="386"/>
    </row>
    <row r="1328" spans="1:15" ht="15.75" customHeight="1" x14ac:dyDescent="0.2">
      <c r="A1328" s="388"/>
      <c r="C1328" s="385"/>
      <c r="D1328" s="385"/>
      <c r="E1328" s="386"/>
      <c r="F1328" s="385"/>
      <c r="G1328" s="385"/>
      <c r="H1328" s="385"/>
      <c r="I1328" s="385"/>
      <c r="J1328" s="385"/>
      <c r="K1328" s="385"/>
      <c r="L1328" s="385"/>
      <c r="M1328" s="385"/>
      <c r="N1328" s="385"/>
      <c r="O1328" s="386"/>
    </row>
    <row r="1329" spans="1:15" ht="15.75" customHeight="1" x14ac:dyDescent="0.2">
      <c r="A1329" s="616" t="s">
        <v>1445</v>
      </c>
      <c r="B1329" s="617"/>
      <c r="C1329" s="617"/>
      <c r="D1329" s="617"/>
      <c r="E1329" s="617"/>
      <c r="F1329" s="617"/>
      <c r="G1329" s="617"/>
      <c r="H1329" s="619"/>
      <c r="I1329" s="385"/>
      <c r="J1329" s="385"/>
      <c r="K1329" s="385"/>
      <c r="L1329" s="385"/>
      <c r="M1329" s="385"/>
      <c r="N1329" s="385"/>
      <c r="O1329" s="386"/>
    </row>
    <row r="1330" spans="1:15" ht="15.75" customHeight="1" x14ac:dyDescent="0.2">
      <c r="A1330" s="388"/>
      <c r="B1330" s="1556" t="s">
        <v>1446</v>
      </c>
      <c r="C1330" s="1556"/>
      <c r="D1330" s="409" t="s">
        <v>1447</v>
      </c>
      <c r="E1330" s="621" t="s">
        <v>1448</v>
      </c>
      <c r="F1330" s="410" t="s">
        <v>1449</v>
      </c>
      <c r="G1330" s="622" t="s">
        <v>1450</v>
      </c>
      <c r="H1330" s="412" t="s">
        <v>1451</v>
      </c>
      <c r="I1330" s="413"/>
      <c r="J1330" s="385"/>
      <c r="K1330" s="413"/>
      <c r="L1330" s="385"/>
      <c r="M1330" s="413"/>
      <c r="N1330" s="385"/>
      <c r="O1330" s="386"/>
    </row>
    <row r="1331" spans="1:15" ht="15.75" customHeight="1" x14ac:dyDescent="0.2">
      <c r="A1331" s="372" t="s">
        <v>580</v>
      </c>
      <c r="B1331" s="373" t="s">
        <v>372</v>
      </c>
      <c r="C1331" s="373" t="s">
        <v>42</v>
      </c>
      <c r="D1331" s="373" t="s">
        <v>42</v>
      </c>
      <c r="E1331" s="373" t="s">
        <v>42</v>
      </c>
      <c r="F1331" s="373" t="s">
        <v>42</v>
      </c>
      <c r="G1331" s="373" t="s">
        <v>42</v>
      </c>
      <c r="H1331" s="373" t="s">
        <v>42</v>
      </c>
      <c r="I1331" s="385"/>
      <c r="J1331" s="208"/>
      <c r="K1331" s="385"/>
      <c r="L1331" s="208"/>
      <c r="M1331" s="385"/>
      <c r="N1331" s="385"/>
      <c r="O1331" s="386"/>
    </row>
    <row r="1332" spans="1:15" ht="15.75" customHeight="1" x14ac:dyDescent="0.2">
      <c r="A1332" s="316" t="s">
        <v>1378</v>
      </c>
      <c r="B1332" s="344" t="s">
        <v>302</v>
      </c>
      <c r="C1332" s="363">
        <f ca="1">C1313*C$768</f>
        <v>0.20927714599506467</v>
      </c>
      <c r="D1332" s="363">
        <f t="shared" ref="D1332:D1339" ca="1" si="95">C1313*C$786</f>
        <v>1.3903419707601597E-2</v>
      </c>
      <c r="E1332" s="363">
        <f t="shared" ref="E1332:E1339" ca="1" si="96">C1313*C$792</f>
        <v>1.4664419359719299E-3</v>
      </c>
      <c r="F1332" s="438">
        <f t="shared" ref="F1332:F1339" ca="1" si="97">C1313*C$774</f>
        <v>1.8110482589386741E-15</v>
      </c>
      <c r="G1332" s="363">
        <f t="shared" ref="G1332:G1339" ca="1" si="98">C1313*C$780</f>
        <v>0.66096052264030514</v>
      </c>
      <c r="H1332" s="363">
        <f t="shared" ref="H1332:H1339" ca="1" si="99">C1313*C$798</f>
        <v>1.105754821487296E-2</v>
      </c>
      <c r="J1332" s="172"/>
      <c r="L1332" s="172"/>
      <c r="O1332" s="367"/>
    </row>
    <row r="1333" spans="1:15" ht="15.75" customHeight="1" x14ac:dyDescent="0.2">
      <c r="A1333" s="317" t="s">
        <v>1379</v>
      </c>
      <c r="B1333" s="344" t="s">
        <v>302</v>
      </c>
      <c r="C1333" s="363">
        <f ca="1">C1314*C$768</f>
        <v>0.67143637714568372</v>
      </c>
      <c r="D1333" s="363">
        <f t="shared" ca="1" si="95"/>
        <v>4.460717253200723E-2</v>
      </c>
      <c r="E1333" s="363">
        <f t="shared" ca="1" si="96"/>
        <v>4.7048733205044537E-3</v>
      </c>
      <c r="F1333" s="438">
        <f t="shared" ca="1" si="97"/>
        <v>5.8104943854999724E-15</v>
      </c>
      <c r="G1333" s="363">
        <f t="shared" ca="1" si="98"/>
        <v>2.1205991540442262</v>
      </c>
      <c r="H1333" s="363">
        <f t="shared" ca="1" si="99"/>
        <v>3.5476592908444529E-2</v>
      </c>
      <c r="J1333" s="172"/>
      <c r="L1333" s="172"/>
      <c r="O1333" s="367"/>
    </row>
    <row r="1334" spans="1:15" ht="15.75" customHeight="1" x14ac:dyDescent="0.2">
      <c r="A1334" s="317" t="s">
        <v>1380</v>
      </c>
      <c r="B1334" s="344" t="s">
        <v>302</v>
      </c>
      <c r="C1334" s="363">
        <f t="shared" ref="C1334:C1339" ca="1" si="100">C1315*C$768</f>
        <v>0.44473915899401395</v>
      </c>
      <c r="D1334" s="363">
        <f t="shared" ca="1" si="95"/>
        <v>2.9546442629934156E-2</v>
      </c>
      <c r="E1334" s="363">
        <f t="shared" ca="1" si="96"/>
        <v>3.1163658612445434E-3</v>
      </c>
      <c r="F1334" s="438">
        <f t="shared" ca="1" si="97"/>
        <v>3.8486958322575444E-15</v>
      </c>
      <c r="G1334" s="363">
        <f t="shared" ca="1" si="98"/>
        <v>1.4046207748562545</v>
      </c>
      <c r="H1334" s="363">
        <f t="shared" ca="1" si="99"/>
        <v>2.3498622700704901E-2</v>
      </c>
      <c r="J1334" s="172"/>
      <c r="L1334" s="172"/>
      <c r="O1334" s="367"/>
    </row>
    <row r="1335" spans="1:15" ht="15.75" customHeight="1" x14ac:dyDescent="0.2">
      <c r="A1335" s="317" t="s">
        <v>1381</v>
      </c>
      <c r="B1335" s="344" t="s">
        <v>302</v>
      </c>
      <c r="C1335" s="363">
        <f t="shared" si="100"/>
        <v>0</v>
      </c>
      <c r="D1335" s="363">
        <f t="shared" si="95"/>
        <v>0</v>
      </c>
      <c r="E1335" s="363">
        <f t="shared" si="96"/>
        <v>0</v>
      </c>
      <c r="F1335" s="438">
        <f t="shared" si="97"/>
        <v>0</v>
      </c>
      <c r="G1335" s="363">
        <f t="shared" si="98"/>
        <v>0</v>
      </c>
      <c r="H1335" s="363">
        <f t="shared" si="99"/>
        <v>0</v>
      </c>
      <c r="J1335" s="172"/>
      <c r="L1335" s="172"/>
      <c r="O1335" s="367"/>
    </row>
    <row r="1336" spans="1:15" ht="15.75" customHeight="1" x14ac:dyDescent="0.2">
      <c r="A1336" s="317" t="s">
        <v>1382</v>
      </c>
      <c r="B1336" s="344" t="s">
        <v>302</v>
      </c>
      <c r="C1336" s="363">
        <f t="shared" ca="1" si="100"/>
        <v>0.74727564206970731</v>
      </c>
      <c r="D1336" s="363">
        <f t="shared" ca="1" si="95"/>
        <v>4.9645587622872224E-2</v>
      </c>
      <c r="E1336" s="363">
        <f t="shared" ca="1" si="96"/>
        <v>5.2362924487091931E-3</v>
      </c>
      <c r="F1336" s="438">
        <f t="shared" ca="1" si="97"/>
        <v>6.4667942793406546E-15</v>
      </c>
      <c r="G1336" s="363">
        <f t="shared" ca="1" si="98"/>
        <v>2.3601224901567197</v>
      </c>
      <c r="H1336" s="363">
        <f t="shared" ca="1" si="99"/>
        <v>3.9483701876270816E-2</v>
      </c>
      <c r="J1336" s="172"/>
      <c r="L1336" s="172"/>
      <c r="O1336" s="367"/>
    </row>
    <row r="1337" spans="1:15" ht="15.75" customHeight="1" x14ac:dyDescent="0.2">
      <c r="A1337" s="317" t="s">
        <v>1383</v>
      </c>
      <c r="B1337" s="344" t="s">
        <v>302</v>
      </c>
      <c r="C1337" s="363">
        <f t="shared" si="100"/>
        <v>0.1229828596785692</v>
      </c>
      <c r="D1337" s="363">
        <f t="shared" si="95"/>
        <v>8.1704206487627877E-3</v>
      </c>
      <c r="E1337" s="363">
        <f t="shared" si="96"/>
        <v>8.6176262573199602E-4</v>
      </c>
      <c r="F1337" s="438">
        <f t="shared" si="97"/>
        <v>1.0642724165658516E-15</v>
      </c>
      <c r="G1337" s="363">
        <f t="shared" si="98"/>
        <v>0.38841706686339927</v>
      </c>
      <c r="H1337" s="363">
        <f t="shared" si="99"/>
        <v>6.4980286979391642E-3</v>
      </c>
      <c r="J1337" s="172"/>
      <c r="L1337" s="172"/>
      <c r="O1337" s="367"/>
    </row>
    <row r="1338" spans="1:15" ht="15.75" customHeight="1" x14ac:dyDescent="0.2">
      <c r="A1338" s="317" t="s">
        <v>1384</v>
      </c>
      <c r="B1338" s="344" t="s">
        <v>302</v>
      </c>
      <c r="C1338" s="363">
        <f t="shared" ca="1" si="100"/>
        <v>3.1187845727634187</v>
      </c>
      <c r="D1338" s="363">
        <f t="shared" ca="1" si="95"/>
        <v>0.20719783178687523</v>
      </c>
      <c r="E1338" s="363">
        <f t="shared" ca="1" si="96"/>
        <v>2.1853874511794193E-2</v>
      </c>
      <c r="F1338" s="438">
        <f t="shared" ca="1" si="97"/>
        <v>2.6989422775486375E-14</v>
      </c>
      <c r="G1338" s="363">
        <f t="shared" ca="1" si="98"/>
        <v>9.8500649529349147</v>
      </c>
      <c r="H1338" s="363">
        <f t="shared" ca="1" si="99"/>
        <v>0.16478679800969162</v>
      </c>
      <c r="J1338" s="172"/>
      <c r="L1338" s="172"/>
      <c r="O1338" s="367"/>
    </row>
    <row r="1339" spans="1:15" ht="15.75" customHeight="1" x14ac:dyDescent="0.2">
      <c r="A1339" s="317" t="s">
        <v>1385</v>
      </c>
      <c r="B1339" s="344" t="s">
        <v>302</v>
      </c>
      <c r="C1339" s="363">
        <f t="shared" ca="1" si="100"/>
        <v>0.16275615019057499</v>
      </c>
      <c r="D1339" s="363">
        <f t="shared" ca="1" si="95"/>
        <v>1.0812776786177933E-2</v>
      </c>
      <c r="E1339" s="363">
        <f t="shared" ca="1" si="96"/>
        <v>1.1404610992852202E-3</v>
      </c>
      <c r="F1339" s="438">
        <f t="shared" ca="1" si="97"/>
        <v>1.4084635999439394E-15</v>
      </c>
      <c r="G1339" s="363">
        <f t="shared" ca="1" si="98"/>
        <v>0.51403314767788055</v>
      </c>
      <c r="H1339" s="363">
        <f t="shared" ca="1" si="99"/>
        <v>8.599524661148758E-3</v>
      </c>
      <c r="J1339" s="172"/>
      <c r="L1339" s="172"/>
      <c r="O1339" s="367"/>
    </row>
    <row r="1340" spans="1:15" ht="15.75" customHeight="1" x14ac:dyDescent="0.2">
      <c r="A1340" s="354" t="s">
        <v>1386</v>
      </c>
      <c r="B1340" s="344" t="s">
        <v>302</v>
      </c>
      <c r="C1340" s="363">
        <f>C1321*C1274</f>
        <v>0.11033900000000001</v>
      </c>
      <c r="D1340" s="363">
        <f>C1321*C1292</f>
        <v>6.1340800000000001E-2</v>
      </c>
      <c r="E1340" s="363">
        <f>C1321*C1298</f>
        <v>4.4211899999999998E-2</v>
      </c>
      <c r="F1340" s="363">
        <f>C1321*C1280</f>
        <v>0.53056300000000001</v>
      </c>
      <c r="G1340" s="363">
        <f>C1321*C1286</f>
        <v>0.16624059999999999</v>
      </c>
      <c r="H1340" s="363">
        <f>C1321*C1304</f>
        <v>9.1139200000000004E-2</v>
      </c>
      <c r="J1340" s="172"/>
      <c r="L1340" s="172"/>
      <c r="O1340" s="367"/>
    </row>
    <row r="1341" spans="1:15" ht="15.75" customHeight="1" x14ac:dyDescent="0.2">
      <c r="A1341" s="354" t="s">
        <v>1387</v>
      </c>
      <c r="B1341" s="344" t="s">
        <v>302</v>
      </c>
      <c r="C1341" s="363">
        <f ca="1">C1322*C1275</f>
        <v>0</v>
      </c>
      <c r="D1341" s="363">
        <f ca="1">C1322*C1293</f>
        <v>0</v>
      </c>
      <c r="E1341" s="363">
        <f ca="1">C1322*C1299</f>
        <v>0</v>
      </c>
      <c r="F1341" s="363">
        <f ca="1">C1322*C1281</f>
        <v>0</v>
      </c>
      <c r="G1341" s="363">
        <f ca="1">C1322*C1287</f>
        <v>0</v>
      </c>
      <c r="H1341" s="363">
        <f ca="1">C1322*C1305</f>
        <v>0</v>
      </c>
      <c r="J1341" s="172"/>
      <c r="L1341" s="172"/>
      <c r="O1341" s="367"/>
    </row>
    <row r="1342" spans="1:15" ht="15.75" customHeight="1" x14ac:dyDescent="0.2">
      <c r="A1342" s="354" t="s">
        <v>1388</v>
      </c>
      <c r="B1342" s="344" t="s">
        <v>302</v>
      </c>
      <c r="C1342" s="363">
        <f ca="1">C1323*C1276</f>
        <v>0.41208618145847237</v>
      </c>
      <c r="D1342" s="363">
        <f ca="1">C1323*C1294</f>
        <v>0</v>
      </c>
      <c r="E1342" s="363">
        <f ca="1">C1323*C1300</f>
        <v>0.15007786518160643</v>
      </c>
      <c r="F1342" s="363">
        <f ca="1">C1323*C1282</f>
        <v>0</v>
      </c>
      <c r="G1342" s="363">
        <f ca="1">C1323*C1288</f>
        <v>2.2840068305381775</v>
      </c>
      <c r="H1342" s="363">
        <f ca="1">C1323*C1306</f>
        <v>0.46753778216390407</v>
      </c>
      <c r="J1342" s="172"/>
      <c r="L1342" s="172"/>
      <c r="O1342" s="367"/>
    </row>
    <row r="1343" spans="1:15" ht="15.75" customHeight="1" x14ac:dyDescent="0.2">
      <c r="A1343" s="355" t="s">
        <v>1389</v>
      </c>
      <c r="B1343" s="347" t="s">
        <v>302</v>
      </c>
      <c r="C1343" s="365">
        <f ca="1">C1324*C1277</f>
        <v>0.2963933891965132</v>
      </c>
      <c r="D1343" s="365">
        <f ca="1">C1324*C1295</f>
        <v>1.3990885222570537</v>
      </c>
      <c r="E1343" s="365">
        <f ca="1">C1324*C1301</f>
        <v>0.3581404589120154</v>
      </c>
      <c r="F1343" s="365">
        <f ca="1">C1324*C1283</f>
        <v>2.5889927137145441E-2</v>
      </c>
      <c r="G1343" s="365">
        <f ca="1">C1324*C1289</f>
        <v>2.9833856399514155E-3</v>
      </c>
      <c r="H1343" s="365">
        <f ca="1">C1324*C1307</f>
        <v>0.247055835831063</v>
      </c>
      <c r="J1343" s="172"/>
      <c r="L1343" s="172"/>
      <c r="O1343" s="367"/>
    </row>
    <row r="1344" spans="1:15" ht="15.75" customHeight="1" x14ac:dyDescent="0.2">
      <c r="A1344" s="375"/>
      <c r="B1344" s="172"/>
      <c r="H1344" s="367"/>
      <c r="O1344" s="367"/>
    </row>
    <row r="1345" spans="1:15" ht="15.75" customHeight="1" x14ac:dyDescent="0.2">
      <c r="A1345" s="376"/>
      <c r="B1345" s="248"/>
      <c r="C1345" s="248"/>
      <c r="D1345" s="248"/>
      <c r="E1345" s="248"/>
      <c r="F1345" s="248"/>
      <c r="G1345" s="248"/>
      <c r="H1345" s="369"/>
      <c r="O1345" s="367"/>
    </row>
    <row r="1346" spans="1:15" ht="15.75" customHeight="1" x14ac:dyDescent="0.2">
      <c r="A1346" s="624" t="s">
        <v>1452</v>
      </c>
      <c r="B1346" s="625"/>
      <c r="C1346" s="625"/>
      <c r="D1346" s="625"/>
      <c r="E1346" s="625"/>
      <c r="F1346" s="625"/>
      <c r="G1346" s="625"/>
      <c r="H1346" s="626"/>
      <c r="O1346" s="367"/>
    </row>
    <row r="1347" spans="1:15" ht="15.75" customHeight="1" x14ac:dyDescent="0.2">
      <c r="A1347" s="414"/>
      <c r="B1347" s="1554" t="s">
        <v>1446</v>
      </c>
      <c r="C1347" s="1554"/>
      <c r="D1347" s="628" t="s">
        <v>1447</v>
      </c>
      <c r="E1347" s="629" t="s">
        <v>1448</v>
      </c>
      <c r="F1347" s="630" t="s">
        <v>1449</v>
      </c>
      <c r="G1347" s="631" t="s">
        <v>1450</v>
      </c>
      <c r="H1347" s="632" t="s">
        <v>1451</v>
      </c>
      <c r="I1347" s="413"/>
      <c r="K1347" s="413"/>
      <c r="M1347" s="413"/>
      <c r="O1347" s="367"/>
    </row>
    <row r="1348" spans="1:15" ht="15.75" customHeight="1" x14ac:dyDescent="0.2">
      <c r="A1348" s="373" t="s">
        <v>580</v>
      </c>
      <c r="B1348" s="373" t="s">
        <v>372</v>
      </c>
      <c r="C1348" s="373" t="s">
        <v>42</v>
      </c>
      <c r="D1348" s="373" t="s">
        <v>42</v>
      </c>
      <c r="E1348" s="373" t="s">
        <v>42</v>
      </c>
      <c r="F1348" s="373" t="s">
        <v>42</v>
      </c>
      <c r="G1348" s="373" t="s">
        <v>42</v>
      </c>
      <c r="H1348" s="373" t="s">
        <v>42</v>
      </c>
      <c r="J1348" s="208"/>
      <c r="L1348" s="208"/>
      <c r="O1348" s="367"/>
    </row>
    <row r="1349" spans="1:15" ht="15.75" customHeight="1" x14ac:dyDescent="0.2">
      <c r="A1349" s="316" t="s">
        <v>1393</v>
      </c>
      <c r="B1349" s="342" t="s">
        <v>1394</v>
      </c>
      <c r="C1349" s="426">
        <f>10^(C$773-Units!C$371)</f>
        <v>18.197008586099834</v>
      </c>
      <c r="D1349" s="426">
        <f>10^(ExpBase!C$791-Units!C$371)</f>
        <v>181970085.86099887</v>
      </c>
      <c r="E1349" s="426">
        <f>10^(C$797-Units!C$371)</f>
        <v>1148153621.4968853</v>
      </c>
      <c r="F1349" s="426">
        <f>10^(C$779-Units!C$371)</f>
        <v>1.8197008586099809E-3</v>
      </c>
      <c r="G1349" s="426">
        <f>10^(C$785-Units!C$371)</f>
        <v>1.8197008586099805E-4</v>
      </c>
      <c r="H1349" s="426">
        <f>10^(C$803-Units!C$371)</f>
        <v>57.543993733715695</v>
      </c>
      <c r="J1349" s="172"/>
      <c r="L1349" s="172"/>
      <c r="O1349" s="367"/>
    </row>
    <row r="1350" spans="1:15" ht="15.75" customHeight="1" x14ac:dyDescent="0.2">
      <c r="A1350" s="317" t="s">
        <v>1395</v>
      </c>
      <c r="B1350" s="344" t="s">
        <v>1394</v>
      </c>
      <c r="C1350" s="438">
        <f>10^(C$773-Units!C$372)</f>
        <v>1995262314968.8862</v>
      </c>
      <c r="D1350" s="438">
        <f>10^(ExpBase!C$791-Units!C$372)</f>
        <v>1.9952623149688947E+19</v>
      </c>
      <c r="E1350" s="438">
        <f>10^(C$797-Units!C$372)</f>
        <v>1.2589254117941759E+20</v>
      </c>
      <c r="F1350" s="438">
        <f>10^(C$779-Units!C$372)</f>
        <v>199526231.49688843</v>
      </c>
      <c r="G1350" s="438">
        <f>10^(C$785-Units!C$372)</f>
        <v>19952623.149688821</v>
      </c>
      <c r="H1350" s="438">
        <f>10^(C$803-Units!C$372)</f>
        <v>6309573444801.9678</v>
      </c>
      <c r="J1350" s="172"/>
      <c r="L1350" s="172"/>
      <c r="O1350" s="367"/>
    </row>
    <row r="1351" spans="1:15" ht="15.75" customHeight="1" x14ac:dyDescent="0.2">
      <c r="A1351" s="317" t="s">
        <v>1404</v>
      </c>
      <c r="B1351" s="344" t="s">
        <v>1394</v>
      </c>
      <c r="C1351" s="438">
        <f>10^(C$773-Units!C$373)</f>
        <v>1000000000</v>
      </c>
      <c r="D1351" s="438">
        <f>10^(ExpBase!C$791-Units!C$373)</f>
        <v>1E+16</v>
      </c>
      <c r="E1351" s="438">
        <f>10^(C$797-Units!C$373)</f>
        <v>6.3095734448019512E+16</v>
      </c>
      <c r="F1351" s="438">
        <f>10^(C$779-Units!C$373)</f>
        <v>100000</v>
      </c>
      <c r="G1351" s="438">
        <f>10^(C$785-Units!C$373)</f>
        <v>10000</v>
      </c>
      <c r="H1351" s="438">
        <f>10^(C$803-Units!C$373)</f>
        <v>3162277660.1683846</v>
      </c>
      <c r="J1351" s="172"/>
      <c r="L1351" s="172"/>
      <c r="O1351" s="367"/>
    </row>
    <row r="1352" spans="1:15" ht="15.75" customHeight="1" x14ac:dyDescent="0.2">
      <c r="A1352" s="317" t="s">
        <v>1405</v>
      </c>
      <c r="B1352" s="344" t="s">
        <v>1394</v>
      </c>
      <c r="C1352" s="438">
        <f>10^(C$773-Units!C$374)</f>
        <v>12022.644346174151</v>
      </c>
      <c r="D1352" s="438">
        <f>10^(ExpBase!C$791-Units!C$374)</f>
        <v>120226443461.74181</v>
      </c>
      <c r="E1352" s="438">
        <f>10^(C$797-Units!C$374)</f>
        <v>758577575029.18665</v>
      </c>
      <c r="F1352" s="438">
        <f>10^(C$779-Units!C$374)</f>
        <v>1.2022644346174132</v>
      </c>
      <c r="G1352" s="438">
        <f>10^(C$785-Units!C$374)</f>
        <v>0.12022644346174129</v>
      </c>
      <c r="H1352" s="438">
        <f>10^(C$803-Units!C$374)</f>
        <v>38018.939632056143</v>
      </c>
      <c r="J1352" s="172"/>
      <c r="L1352" s="172"/>
      <c r="O1352" s="367"/>
    </row>
    <row r="1353" spans="1:15" ht="15.75" customHeight="1" x14ac:dyDescent="0.2">
      <c r="A1353" s="317" t="s">
        <v>1406</v>
      </c>
      <c r="B1353" s="344" t="s">
        <v>1394</v>
      </c>
      <c r="C1353" s="438">
        <f>10^(C$773-Units!C$375)</f>
        <v>7244.3596007499036</v>
      </c>
      <c r="D1353" s="438">
        <f>10^(ExpBase!C$791-Units!C$375)</f>
        <v>72443596007.498947</v>
      </c>
      <c r="E1353" s="438">
        <f>10^(C$797-Units!C$375)</f>
        <v>457088189614.8761</v>
      </c>
      <c r="F1353" s="438">
        <f>10^(C$779-Units!C$375)</f>
        <v>0.72443596007498989</v>
      </c>
      <c r="G1353" s="438">
        <f>10^(C$785-Units!C$375)</f>
        <v>7.2443596007498959E-2</v>
      </c>
      <c r="H1353" s="438">
        <f>10^(C$803-Units!C$375)</f>
        <v>22908.676527677711</v>
      </c>
      <c r="J1353" s="172"/>
      <c r="L1353" s="172"/>
      <c r="O1353" s="367"/>
    </row>
    <row r="1354" spans="1:15" ht="15.75" customHeight="1" x14ac:dyDescent="0.2">
      <c r="A1354" s="317" t="s">
        <v>1407</v>
      </c>
      <c r="B1354" s="344" t="s">
        <v>1394</v>
      </c>
      <c r="C1354" s="438">
        <f>10^(C$773-Units!C$376)</f>
        <v>6.1659500186148221E-2</v>
      </c>
      <c r="D1354" s="438">
        <f>10^(ExpBase!C$791-Units!C$376)</f>
        <v>616595.00186148309</v>
      </c>
      <c r="E1354" s="438">
        <f>10^(C$797-Units!C$376)</f>
        <v>3890451.449942817</v>
      </c>
      <c r="F1354" s="438">
        <f>10^(C$779-Units!C$376)</f>
        <v>6.1659500186148109E-6</v>
      </c>
      <c r="G1354" s="438">
        <f>10^(C$785-Units!C$376)</f>
        <v>6.1659500186148145E-7</v>
      </c>
      <c r="H1354" s="438">
        <f>10^(C$803-Units!C$376)</f>
        <v>0.19498445997580449</v>
      </c>
      <c r="J1354" s="172"/>
      <c r="L1354" s="172"/>
      <c r="O1354" s="367"/>
    </row>
    <row r="1355" spans="1:15" ht="15.75" customHeight="1" x14ac:dyDescent="0.2">
      <c r="A1355" s="317" t="s">
        <v>1408</v>
      </c>
      <c r="B1355" s="344" t="s">
        <v>1394</v>
      </c>
      <c r="C1355" s="438">
        <f>10^(C$773-Units!C$377)</f>
        <v>2.089296130854039E-7</v>
      </c>
      <c r="D1355" s="438">
        <f>10^(ExpBase!C$791-Units!C$377)</f>
        <v>2.089296130854041</v>
      </c>
      <c r="E1355" s="438">
        <f>10^(C$797-Units!C$377)</f>
        <v>13.182567385564106</v>
      </c>
      <c r="F1355" s="438">
        <f>10^(C$779-Units!C$377)</f>
        <v>2.0892961308540373E-11</v>
      </c>
      <c r="G1355" s="438">
        <f>10^(C$785-Units!C$377)</f>
        <v>2.0892961308540349E-12</v>
      </c>
      <c r="H1355" s="438">
        <f>10^(C$803-Units!C$377)</f>
        <v>6.6069344800759506E-7</v>
      </c>
      <c r="J1355" s="172"/>
      <c r="L1355" s="172"/>
      <c r="O1355" s="367"/>
    </row>
    <row r="1356" spans="1:15" ht="15.75" customHeight="1" x14ac:dyDescent="0.2">
      <c r="A1356" s="318" t="s">
        <v>1409</v>
      </c>
      <c r="B1356" s="347" t="s">
        <v>1394</v>
      </c>
      <c r="C1356" s="487">
        <f>10^(C$773-Units!C$378)</f>
        <v>5.4954087385762466E-4</v>
      </c>
      <c r="D1356" s="487">
        <f>10^(ExpBase!C$791-Units!C$378)</f>
        <v>5495.4087385762541</v>
      </c>
      <c r="E1356" s="487">
        <f>10^(C$797-Units!C$378)</f>
        <v>34673.68504525326</v>
      </c>
      <c r="F1356" s="487">
        <f>10^(C$779-Units!C$378)</f>
        <v>5.4954087385762357E-8</v>
      </c>
      <c r="G1356" s="487">
        <f>10^(C$785-Units!C$378)</f>
        <v>5.4954087385762298E-9</v>
      </c>
      <c r="H1356" s="487">
        <f>10^(C$803-Units!C$378)</f>
        <v>1.737800828749375E-3</v>
      </c>
      <c r="J1356" s="172"/>
      <c r="L1356" s="172"/>
      <c r="O1356" s="367"/>
    </row>
    <row r="1357" spans="1:15" ht="15.75" customHeight="1" x14ac:dyDescent="0.2">
      <c r="A1357" s="375"/>
      <c r="C1357" s="594"/>
      <c r="H1357" s="367"/>
      <c r="O1357" s="367"/>
    </row>
    <row r="1358" spans="1:15" ht="15.75" customHeight="1" x14ac:dyDescent="0.2">
      <c r="A1358" s="376"/>
      <c r="B1358" s="248"/>
      <c r="C1358" s="415"/>
      <c r="D1358" s="248"/>
      <c r="E1358" s="248"/>
      <c r="F1358" s="248"/>
      <c r="G1358" s="248"/>
      <c r="H1358" s="369"/>
      <c r="O1358" s="367"/>
    </row>
    <row r="1359" spans="1:15" ht="15.75" customHeight="1" x14ac:dyDescent="0.2">
      <c r="A1359" s="624" t="s">
        <v>1410</v>
      </c>
      <c r="B1359" s="625"/>
      <c r="C1359" s="625"/>
      <c r="D1359" s="625"/>
      <c r="E1359" s="625"/>
      <c r="F1359" s="625"/>
      <c r="G1359" s="625"/>
      <c r="H1359" s="625"/>
      <c r="I1359" s="625"/>
      <c r="J1359" s="625"/>
      <c r="K1359" s="625"/>
      <c r="L1359" s="625"/>
      <c r="M1359" s="625"/>
      <c r="N1359" s="625"/>
      <c r="O1359" s="626"/>
    </row>
    <row r="1360" spans="1:15" ht="15.75" customHeight="1" x14ac:dyDescent="0.2">
      <c r="A1360" s="414"/>
      <c r="B1360" s="390"/>
      <c r="C1360" s="627" t="s">
        <v>1479</v>
      </c>
      <c r="D1360" s="551" t="s">
        <v>1447</v>
      </c>
      <c r="E1360" s="633" t="s">
        <v>1448</v>
      </c>
      <c r="F1360" s="634" t="s">
        <v>1449</v>
      </c>
      <c r="G1360" s="635" t="s">
        <v>1450</v>
      </c>
      <c r="H1360" s="483" t="s">
        <v>1451</v>
      </c>
      <c r="I1360" s="413"/>
      <c r="J1360" s="627" t="s">
        <v>1479</v>
      </c>
      <c r="K1360" s="551" t="s">
        <v>1447</v>
      </c>
      <c r="L1360" s="633" t="s">
        <v>1448</v>
      </c>
      <c r="M1360" s="634" t="s">
        <v>1449</v>
      </c>
      <c r="N1360" s="635" t="s">
        <v>1450</v>
      </c>
      <c r="O1360" s="483" t="s">
        <v>1451</v>
      </c>
    </row>
    <row r="1361" spans="1:15" ht="15.75" customHeight="1" x14ac:dyDescent="0.2">
      <c r="A1361" s="373" t="s">
        <v>580</v>
      </c>
      <c r="B1361" s="430" t="s">
        <v>372</v>
      </c>
      <c r="C1361" s="430" t="s">
        <v>42</v>
      </c>
      <c r="D1361" s="430" t="s">
        <v>42</v>
      </c>
      <c r="E1361" s="430" t="s">
        <v>42</v>
      </c>
      <c r="F1361" s="430" t="s">
        <v>42</v>
      </c>
      <c r="G1361" s="430" t="s">
        <v>42</v>
      </c>
      <c r="H1361" s="430" t="s">
        <v>42</v>
      </c>
      <c r="I1361" s="636" t="s">
        <v>372</v>
      </c>
      <c r="J1361" s="430" t="s">
        <v>42</v>
      </c>
      <c r="K1361" s="430" t="s">
        <v>42</v>
      </c>
      <c r="L1361" s="430" t="s">
        <v>42</v>
      </c>
      <c r="M1361" s="430" t="s">
        <v>42</v>
      </c>
      <c r="N1361" s="430" t="s">
        <v>42</v>
      </c>
      <c r="O1361" s="430" t="s">
        <v>42</v>
      </c>
    </row>
    <row r="1362" spans="1:15" ht="15.75" customHeight="1" x14ac:dyDescent="0.2">
      <c r="A1362" s="316" t="s">
        <v>1453</v>
      </c>
      <c r="B1362" s="342" t="s">
        <v>376</v>
      </c>
      <c r="C1362" s="593">
        <f t="shared" ref="C1362:H1362" ca="1" si="101">C1349*C1363</f>
        <v>3.3570287082203914E-3</v>
      </c>
      <c r="D1362" s="593">
        <f t="shared" ca="1" si="101"/>
        <v>2.354915248965034E-4</v>
      </c>
      <c r="E1362" s="593">
        <f t="shared" ca="1" si="101"/>
        <v>2.4838108649608111E-5</v>
      </c>
      <c r="F1362" s="593">
        <f t="shared" ca="1" si="101"/>
        <v>5.4782356730750302E-20</v>
      </c>
      <c r="G1362" s="593">
        <f t="shared" ca="1" si="101"/>
        <v>2.0025566787699278E-6</v>
      </c>
      <c r="H1362" s="593">
        <f t="shared" ca="1" si="101"/>
        <v>1.8403620168456407E-4</v>
      </c>
      <c r="I1362" s="342" t="s">
        <v>302</v>
      </c>
      <c r="J1362" s="471">
        <f ca="1">C1362*Units!$C$94</f>
        <v>0.19819897493333191</v>
      </c>
      <c r="K1362" s="471">
        <f ca="1">D1362*Units!$C$94</f>
        <v>1.3903419629889561E-2</v>
      </c>
      <c r="L1362" s="471">
        <f ca="1">E1362*Units!$C$94</f>
        <v>1.4664419346728629E-3</v>
      </c>
      <c r="M1362" s="471">
        <f ca="1">F1362*Units!$C$94</f>
        <v>3.2343503413834976E-18</v>
      </c>
      <c r="N1362" s="471">
        <f ca="1">G1362*Units!$C$94</f>
        <v>1.1823094631457654E-4</v>
      </c>
      <c r="O1362" s="471">
        <f ca="1">H1362*Units!$C$94</f>
        <v>1.0865497347456662E-2</v>
      </c>
    </row>
    <row r="1363" spans="1:15" ht="15.75" customHeight="1" x14ac:dyDescent="0.2">
      <c r="A1363" s="317" t="s">
        <v>1454</v>
      </c>
      <c r="B1363" s="344" t="s">
        <v>376</v>
      </c>
      <c r="C1363" s="594">
        <f ca="1">(C1332/((C1349*Units!$C$94)+Units!$C$103))</f>
        <v>1.8448244898805664E-4</v>
      </c>
      <c r="D1363" s="594">
        <f ca="1">(D1332/((D1349*Units!$C$94)+Units!$C$103))</f>
        <v>1.2941221837768865E-12</v>
      </c>
      <c r="E1363" s="594">
        <f ca="1">(E1332/((E1349*Units!$C$94)+Units!$C$103))</f>
        <v>2.1633088277181811E-14</v>
      </c>
      <c r="F1363" s="594">
        <f ca="1">(F1332/((F1349*Units!$C$94)+Units!$C$103))</f>
        <v>3.0105144189796682E-17</v>
      </c>
      <c r="G1363" s="594">
        <f ca="1">(G1332/((G1349*Units!$C$94)+Units!$C$103))</f>
        <v>1.1004867472006503E-2</v>
      </c>
      <c r="H1363" s="594">
        <f ca="1">(H1332/((H1349*Units!$C$94)+Units!$C$103))</f>
        <v>3.1981826380732265E-6</v>
      </c>
      <c r="I1363" s="344" t="s">
        <v>302</v>
      </c>
      <c r="J1363" s="472">
        <f ca="1">C1363*Units!$C$103</f>
        <v>1.1078171061732801E-2</v>
      </c>
      <c r="K1363" s="472">
        <f ca="1">D1363*Units!$C$103</f>
        <v>7.771203713580203E-11</v>
      </c>
      <c r="L1363" s="472">
        <f ca="1">E1363*Units!$C$103</f>
        <v>1.2990669510447678E-12</v>
      </c>
      <c r="M1363" s="472">
        <f ca="1">F1363*Units!$C$103</f>
        <v>1.8078139085972907E-15</v>
      </c>
      <c r="N1363" s="472">
        <f ca="1">G1363*Units!$C$103</f>
        <v>0.66084229169399045</v>
      </c>
      <c r="O1363" s="472">
        <f ca="1">H1363*Units!$C$103</f>
        <v>1.9205086741629724E-4</v>
      </c>
    </row>
    <row r="1364" spans="1:15" ht="15.75" customHeight="1" x14ac:dyDescent="0.2">
      <c r="A1364" s="317" t="s">
        <v>1455</v>
      </c>
      <c r="B1364" s="344" t="s">
        <v>376</v>
      </c>
      <c r="C1364" s="594">
        <f t="shared" ref="C1364:H1364" ca="1" si="102">C1349*C1365</f>
        <v>8.7040145661419072E-3</v>
      </c>
      <c r="D1364" s="594">
        <f t="shared" ca="1" si="102"/>
        <v>6.1047177067858564E-4</v>
      </c>
      <c r="E1364" s="594">
        <f t="shared" ca="1" si="102"/>
        <v>6.4388576931025585E-5</v>
      </c>
      <c r="F1364" s="594">
        <f t="shared" ca="1" si="102"/>
        <v>1.4247323961600935E-19</v>
      </c>
      <c r="G1364" s="594">
        <f t="shared" ca="1" si="102"/>
        <v>5.2081042156903428E-6</v>
      </c>
      <c r="H1364" s="594">
        <f t="shared" ca="1" si="102"/>
        <v>4.7710934797583264E-4</v>
      </c>
      <c r="I1364" s="344" t="s">
        <v>302</v>
      </c>
      <c r="J1364" s="472">
        <f ca="1">C1364*Units!$C$95</f>
        <v>0.63600234434798908</v>
      </c>
      <c r="K1364" s="472">
        <f ca="1">D1364*Units!$C$95</f>
        <v>4.460717228348425E-2</v>
      </c>
      <c r="L1364" s="472">
        <f ca="1">E1364*Units!$C$95</f>
        <v>4.7048733163500391E-3</v>
      </c>
      <c r="M1364" s="472">
        <f ca="1">F1364*Units!$C$95</f>
        <v>1.0410519618741803E-17</v>
      </c>
      <c r="N1364" s="472">
        <f ca="1">G1364*Units!$C$95</f>
        <v>3.8055617504049332E-4</v>
      </c>
      <c r="O1364" s="472">
        <f ca="1">H1364*Units!$C$95</f>
        <v>3.4862380056594089E-2</v>
      </c>
    </row>
    <row r="1365" spans="1:15" ht="15.75" customHeight="1" x14ac:dyDescent="0.2">
      <c r="A1365" s="317" t="s">
        <v>1456</v>
      </c>
      <c r="B1365" s="344" t="s">
        <v>376</v>
      </c>
      <c r="C1365" s="594">
        <f ca="1">C1333/((C1349*Units!$C$95)+Units!$C$104)</f>
        <v>4.7832117707471169E-4</v>
      </c>
      <c r="D1365" s="594">
        <f ca="1">D1333/((D1349*Units!$C$95)+Units!$C$104)</f>
        <v>3.3547919032412034E-12</v>
      </c>
      <c r="E1365" s="594">
        <f ca="1">E1333/((E1349*Units!$C$95)+Units!$C$104)</f>
        <v>5.6080106116009196E-14</v>
      </c>
      <c r="F1365" s="594">
        <f ca="1">F1333/((F1349*Units!$C$95)+Units!$C$104)</f>
        <v>7.8294868599908622E-17</v>
      </c>
      <c r="G1365" s="594">
        <f ca="1">G1333/((G1349*Units!$C$95)+Units!$C$104)</f>
        <v>2.862066141832054E-2</v>
      </c>
      <c r="H1365" s="594">
        <f ca="1">H1333/((H1349*Units!$C$95)+Units!$C$104)</f>
        <v>8.2912102031647608E-6</v>
      </c>
      <c r="I1365" s="344" t="s">
        <v>302</v>
      </c>
      <c r="J1365" s="472">
        <f ca="1">C1365*Units!$C$104</f>
        <v>3.5434032797694644E-2</v>
      </c>
      <c r="K1365" s="472">
        <f ca="1">D1365*Units!$C$104</f>
        <v>2.4852298419210836E-10</v>
      </c>
      <c r="L1365" s="472">
        <f ca="1">E1365*Units!$C$104</f>
        <v>4.1544142610739615E-12</v>
      </c>
      <c r="M1365" s="472">
        <f ca="1">F1365*Units!$C$104</f>
        <v>5.8000838658812305E-15</v>
      </c>
      <c r="N1365" s="472">
        <f ca="1">G1365*Units!$C$104</f>
        <v>2.1202185978691857</v>
      </c>
      <c r="O1365" s="472">
        <f ca="1">H1365*Units!$C$104</f>
        <v>6.1421285185044548E-4</v>
      </c>
    </row>
    <row r="1366" spans="1:15" ht="15.75" customHeight="1" x14ac:dyDescent="0.2">
      <c r="A1366" s="317" t="s">
        <v>1457</v>
      </c>
      <c r="B1366" s="344" t="s">
        <v>376</v>
      </c>
      <c r="C1366" s="594">
        <f t="shared" ref="C1366:H1366" ca="1" si="103">C1349*C1367</f>
        <v>4.83717057005148E-3</v>
      </c>
      <c r="D1366" s="594">
        <f t="shared" ca="1" si="103"/>
        <v>3.392243681478939E-4</v>
      </c>
      <c r="E1366" s="594">
        <f t="shared" ca="1" si="103"/>
        <v>3.5779171739366568E-5</v>
      </c>
      <c r="F1366" s="594">
        <f t="shared" ca="1" si="103"/>
        <v>7.9342862201579039E-20</v>
      </c>
      <c r="G1366" s="594">
        <f t="shared" ca="1" si="103"/>
        <v>2.9003858025642088E-6</v>
      </c>
      <c r="H1366" s="594">
        <f t="shared" ca="1" si="103"/>
        <v>2.6512818264375965E-4</v>
      </c>
      <c r="I1366" s="344" t="s">
        <v>302</v>
      </c>
      <c r="J1366" s="472">
        <f ca="1">C1366*Units!$C$96</f>
        <v>0.4213175566514839</v>
      </c>
      <c r="K1366" s="472">
        <f ca="1">D1366*Units!$C$96</f>
        <v>2.9546442465681558E-2</v>
      </c>
      <c r="L1366" s="472">
        <f ca="1">E1366*Units!$C$96</f>
        <v>3.1163658584988279E-3</v>
      </c>
      <c r="M1366" s="472">
        <f ca="1">F1366*Units!$C$96</f>
        <v>6.9107632977575337E-18</v>
      </c>
      <c r="N1366" s="472">
        <f ca="1">G1366*Units!$C$96</f>
        <v>2.5262360340334259E-4</v>
      </c>
      <c r="O1366" s="472">
        <f ca="1">H1366*Units!$C$96</f>
        <v>2.3092664708271465E-2</v>
      </c>
    </row>
    <row r="1367" spans="1:15" ht="15.75" customHeight="1" x14ac:dyDescent="0.2">
      <c r="A1367" s="317" t="s">
        <v>1458</v>
      </c>
      <c r="B1367" s="344" t="s">
        <v>376</v>
      </c>
      <c r="C1367" s="594">
        <f ca="1">C1334/((C1349*Units!$C$96)+Units!$C$105)</f>
        <v>2.6582229420644743E-4</v>
      </c>
      <c r="D1367" s="594">
        <f ca="1">D1334/((D1349*Units!$C$96)+Units!$C$105)</f>
        <v>1.8641765570579362E-12</v>
      </c>
      <c r="E1367" s="594">
        <f ca="1">E1334/((E1349*Units!$C$96)+Units!$C$105)</f>
        <v>3.1162355863773783E-14</v>
      </c>
      <c r="F1367" s="594">
        <f ca="1">F1334/((F1349*Units!$C$96)+Units!$C$105)</f>
        <v>4.3602145828620892E-17</v>
      </c>
      <c r="G1367" s="594">
        <f ca="1">G1334/((G1349*Units!$C$96)+Units!$C$105)</f>
        <v>1.5938805484653856E-2</v>
      </c>
      <c r="H1367" s="594">
        <f ca="1">H1334/((H1349*Units!$C$96)+Units!$C$105)</f>
        <v>4.607399755231413E-6</v>
      </c>
      <c r="I1367" s="344" t="s">
        <v>302</v>
      </c>
      <c r="J1367" s="472">
        <f ca="1">Units!$C$105*C1367</f>
        <v>2.3421602342530084E-2</v>
      </c>
      <c r="K1367" s="472">
        <f ca="1">Units!$C$105*D1367</f>
        <v>1.6425259644237477E-10</v>
      </c>
      <c r="L1367" s="472">
        <f ca="1">Units!$C$105*E1367</f>
        <v>2.745715175157108E-12</v>
      </c>
      <c r="M1367" s="472">
        <f ca="1">Units!$C$105*F1367</f>
        <v>3.8417850689597865E-15</v>
      </c>
      <c r="N1367" s="472">
        <f ca="1">Units!$C$105*G1367</f>
        <v>1.4043681512528512</v>
      </c>
      <c r="O1367" s="472">
        <f ca="1">Units!$C$105*H1367</f>
        <v>4.0595799243343982E-4</v>
      </c>
    </row>
    <row r="1368" spans="1:15" ht="15.75" customHeight="1" x14ac:dyDescent="0.2">
      <c r="A1368" s="317" t="s">
        <v>1459</v>
      </c>
      <c r="B1368" s="344" t="s">
        <v>376</v>
      </c>
      <c r="C1368" s="594">
        <f t="shared" ref="C1368:H1368" si="104">C1369*C1349</f>
        <v>0</v>
      </c>
      <c r="D1368" s="594">
        <f t="shared" si="104"/>
        <v>0</v>
      </c>
      <c r="E1368" s="594">
        <f t="shared" si="104"/>
        <v>0</v>
      </c>
      <c r="F1368" s="594">
        <f t="shared" si="104"/>
        <v>0</v>
      </c>
      <c r="G1368" s="594">
        <f t="shared" si="104"/>
        <v>0</v>
      </c>
      <c r="H1368" s="594">
        <f t="shared" si="104"/>
        <v>0</v>
      </c>
      <c r="I1368" s="344" t="s">
        <v>302</v>
      </c>
      <c r="J1368" s="472">
        <f>C1368*Units!$C$97</f>
        <v>0</v>
      </c>
      <c r="K1368" s="472">
        <f>D1368*Units!$C$97</f>
        <v>0</v>
      </c>
      <c r="L1368" s="472">
        <f>E1368*Units!$C$97</f>
        <v>0</v>
      </c>
      <c r="M1368" s="472">
        <f>F1368*Units!$C$97</f>
        <v>0</v>
      </c>
      <c r="N1368" s="472">
        <f>G1368*Units!$C$97</f>
        <v>0</v>
      </c>
      <c r="O1368" s="472">
        <f>H1368*Units!$C$97</f>
        <v>0</v>
      </c>
    </row>
    <row r="1369" spans="1:15" ht="15.75" customHeight="1" x14ac:dyDescent="0.2">
      <c r="A1369" s="317" t="s">
        <v>1460</v>
      </c>
      <c r="B1369" s="344" t="s">
        <v>376</v>
      </c>
      <c r="C1369" s="594">
        <f>C1335/((C1349*Units!$C$97)+Units!$C811)</f>
        <v>0</v>
      </c>
      <c r="D1369" s="594">
        <f>D1335/((D1349*Units!$C$97)+Units!$C811)</f>
        <v>0</v>
      </c>
      <c r="E1369" s="594">
        <f>E1335/((E1349*Units!$C$97)+Units!$C811)</f>
        <v>0</v>
      </c>
      <c r="F1369" s="594">
        <f>F1335/((F1349*Units!$C$97)+Units!$C811)</f>
        <v>0</v>
      </c>
      <c r="G1369" s="594">
        <f>G1335/((G1349*Units!$C$97)+Units!$C811)</f>
        <v>0</v>
      </c>
      <c r="H1369" s="594">
        <f>H1335/((H1349*Units!$C$97)+Units!$C811)</f>
        <v>0</v>
      </c>
      <c r="I1369" s="344" t="s">
        <v>302</v>
      </c>
      <c r="J1369" s="472">
        <f>C1369*Units!$C$106</f>
        <v>0</v>
      </c>
      <c r="K1369" s="472">
        <f>D1369*Units!$C$106</f>
        <v>0</v>
      </c>
      <c r="L1369" s="472">
        <f>E1369*Units!$C$106</f>
        <v>0</v>
      </c>
      <c r="M1369" s="472">
        <f>F1369*Units!$C$106</f>
        <v>0</v>
      </c>
      <c r="N1369" s="472">
        <f>G1369*Units!$C$106</f>
        <v>0</v>
      </c>
      <c r="O1369" s="472">
        <f>H1369*Units!$C$106</f>
        <v>0</v>
      </c>
    </row>
    <row r="1370" spans="1:15" ht="15.75" customHeight="1" x14ac:dyDescent="0.2">
      <c r="A1370" s="317" t="s">
        <v>1461</v>
      </c>
      <c r="B1370" s="344" t="s">
        <v>376</v>
      </c>
      <c r="C1370" s="594">
        <f t="shared" ref="C1370:H1370" ca="1" si="105">C1371*C1349</f>
        <v>7.0013905371940103E-3</v>
      </c>
      <c r="D1370" s="594">
        <f t="shared" ca="1" si="105"/>
        <v>4.9095715335566094E-4</v>
      </c>
      <c r="E1370" s="594">
        <f t="shared" ca="1" si="105"/>
        <v>5.1782955341208668E-5</v>
      </c>
      <c r="F1370" s="594">
        <f t="shared" ca="1" si="105"/>
        <v>1.1501485784061415E-19</v>
      </c>
      <c r="G1370" s="594">
        <f t="shared" ca="1" si="105"/>
        <v>4.2043897775135709E-6</v>
      </c>
      <c r="H1370" s="594">
        <f t="shared" ca="1" si="105"/>
        <v>3.8372877678783025E-4</v>
      </c>
      <c r="I1370" s="344" t="s">
        <v>302</v>
      </c>
      <c r="J1370" s="472">
        <f ca="1">C1370*Units!$C$98</f>
        <v>0.70798061112105837</v>
      </c>
      <c r="K1370" s="472">
        <f ca="1">D1370*Units!$C$98</f>
        <v>4.9645587347324438E-2</v>
      </c>
      <c r="L1370" s="472">
        <f ca="1">E1370*Units!$C$98</f>
        <v>5.2362924441030209E-3</v>
      </c>
      <c r="M1370" s="472">
        <f ca="1">F1370*Units!$C$98</f>
        <v>1.1630302424842903E-17</v>
      </c>
      <c r="N1370" s="472">
        <f ca="1">G1370*Units!$C$98</f>
        <v>4.2514789430217232E-4</v>
      </c>
      <c r="O1370" s="472">
        <f ca="1">H1370*Units!$C$98</f>
        <v>3.8802653908785394E-2</v>
      </c>
    </row>
    <row r="1371" spans="1:15" ht="15.75" customHeight="1" x14ac:dyDescent="0.2">
      <c r="A1371" s="317" t="s">
        <v>1462</v>
      </c>
      <c r="B1371" s="344" t="s">
        <v>376</v>
      </c>
      <c r="C1371" s="594">
        <f ca="1">C1336/((C1349*Units!$C$98)+Units!$C$107)</f>
        <v>3.8475502740280997E-4</v>
      </c>
      <c r="D1371" s="594">
        <f ca="1">D1336/((D1349*Units!$C$98)+Units!$C$107)</f>
        <v>2.6980102308172093E-12</v>
      </c>
      <c r="E1371" s="594">
        <f ca="1">E1336/((E1349*Units!$C$98)+Units!$C$107)</f>
        <v>4.5101068682514404E-14</v>
      </c>
      <c r="F1371" s="594">
        <f ca="1">F1336/((F1349*Units!$C$98)+Units!$C$107)</f>
        <v>6.3205365484341643E-17</v>
      </c>
      <c r="G1371" s="594">
        <f ca="1">G1336/((G1349*Units!$C$98)+Units!$C$107)</f>
        <v>2.3104840323728754E-2</v>
      </c>
      <c r="H1371" s="594">
        <f ca="1">H1336/((H1349*Units!$C$98)+Units!$C$107)</f>
        <v>6.6684418631687547E-6</v>
      </c>
      <c r="I1371" s="344" t="s">
        <v>302</v>
      </c>
      <c r="J1371" s="472">
        <f ca="1">C1371*Units!$C$107</f>
        <v>3.929503094864898E-2</v>
      </c>
      <c r="K1371" s="472">
        <f ca="1">D1371*Units!$C$107</f>
        <v>2.755477848733616E-10</v>
      </c>
      <c r="L1371" s="472">
        <f ca="1">E1371*Units!$C$107</f>
        <v>4.6061721445451958E-12</v>
      </c>
      <c r="M1371" s="472">
        <f ca="1">F1371*Units!$C$107</f>
        <v>6.4551639769158117E-15</v>
      </c>
      <c r="N1371" s="472">
        <f ca="1">G1371*Units!$C$107</f>
        <v>2.3596973422624177</v>
      </c>
      <c r="O1371" s="472">
        <f ca="1">H1371*Units!$C$107</f>
        <v>6.8104796748542484E-4</v>
      </c>
    </row>
    <row r="1372" spans="1:15" ht="15.75" customHeight="1" x14ac:dyDescent="0.2">
      <c r="A1372" s="317" t="s">
        <v>1463</v>
      </c>
      <c r="B1372" s="344" t="s">
        <v>376</v>
      </c>
      <c r="C1372" s="594">
        <f t="shared" ref="C1372:H1372" si="106">C1373*C1349</f>
        <v>1.1522535748733432E-3</v>
      </c>
      <c r="D1372" s="594">
        <f t="shared" si="106"/>
        <v>8.0799254385032838E-5</v>
      </c>
      <c r="E1372" s="594">
        <f t="shared" si="106"/>
        <v>8.522177857732747E-6</v>
      </c>
      <c r="F1372" s="594">
        <f t="shared" si="106"/>
        <v>1.8928565747956463E-20</v>
      </c>
      <c r="G1372" s="594">
        <f t="shared" si="106"/>
        <v>6.9193728382455315E-7</v>
      </c>
      <c r="H1372" s="594">
        <f t="shared" si="106"/>
        <v>6.3152148489170959E-5</v>
      </c>
      <c r="I1372" s="344" t="s">
        <v>302</v>
      </c>
      <c r="J1372" s="472">
        <f>C1372*Units!$C$99</f>
        <v>0.11651588149119246</v>
      </c>
      <c r="K1372" s="472">
        <f>D1372*Units!$C$99</f>
        <v>8.1704206034145209E-3</v>
      </c>
      <c r="L1372" s="472">
        <f>E1372*Units!$C$99</f>
        <v>8.6176262497393542E-4</v>
      </c>
      <c r="M1372" s="472">
        <f>F1372*Units!$C$99</f>
        <v>1.9140565684333574E-18</v>
      </c>
      <c r="N1372" s="472">
        <f>G1372*Units!$C$99</f>
        <v>6.9968698140338812E-5</v>
      </c>
      <c r="O1372" s="472">
        <f>H1372*Units!$C$99</f>
        <v>6.3859452552249675E-3</v>
      </c>
    </row>
    <row r="1373" spans="1:15" ht="15.75" customHeight="1" x14ac:dyDescent="0.2">
      <c r="A1373" s="317" t="s">
        <v>1464</v>
      </c>
      <c r="B1373" s="344" t="s">
        <v>376</v>
      </c>
      <c r="C1373" s="594">
        <f>C1337/((C1349*Units!$C$99)+Units!$C$108)</f>
        <v>6.3321043644146889E-5</v>
      </c>
      <c r="D1373" s="594">
        <f>D1337/((D1349*Units!$C$99)+Units!$C$108)</f>
        <v>4.4402492861795322E-13</v>
      </c>
      <c r="E1373" s="594">
        <f>E1337/((E1349*Units!$C$99)+Units!$C$108)</f>
        <v>7.422506621215117E-15</v>
      </c>
      <c r="F1373" s="594">
        <f>F1337/((F1349*Units!$C$99)+Units!$C$108)</f>
        <v>1.0402020562003509E-17</v>
      </c>
      <c r="G1373" s="594">
        <f>G1337/((G1349*Units!$C$99)+Units!$C$108)</f>
        <v>3.8024781960761672E-3</v>
      </c>
      <c r="H1373" s="594">
        <f>H1337/((H1349*Units!$C$99)+Units!$C$108)</f>
        <v>1.0974585598178491E-6</v>
      </c>
      <c r="I1373" s="344" t="s">
        <v>302</v>
      </c>
      <c r="J1373" s="472">
        <f>C1373*Units!$C$108</f>
        <v>6.4669781873767217E-3</v>
      </c>
      <c r="K1373" s="472">
        <f>D1373*Units!$C$108</f>
        <v>4.5348265959751561E-11</v>
      </c>
      <c r="L1373" s="472">
        <f>E1373*Units!$C$108</f>
        <v>7.5806060122469991E-13</v>
      </c>
      <c r="M1373" s="472">
        <f>F1373*Units!$C$108</f>
        <v>1.0623583599974183E-15</v>
      </c>
      <c r="N1373" s="472">
        <f>G1373*Units!$C$108</f>
        <v>0.38834709816525892</v>
      </c>
      <c r="O1373" s="472">
        <f>H1373*Units!$C$108</f>
        <v>1.1208344271419692E-4</v>
      </c>
    </row>
    <row r="1374" spans="1:15" ht="15.75" customHeight="1" x14ac:dyDescent="0.2">
      <c r="A1374" s="317" t="s">
        <v>1465</v>
      </c>
      <c r="B1374" s="344" t="s">
        <v>376</v>
      </c>
      <c r="C1374" s="594">
        <f t="shared" ref="C1374:H1374" ca="1" si="107">C1375*C1349</f>
        <v>2.5661940329026311E-2</v>
      </c>
      <c r="D1374" s="594">
        <f t="shared" ca="1" si="107"/>
        <v>1.7993732578224166E-3</v>
      </c>
      <c r="E1374" s="594">
        <f t="shared" ca="1" si="107"/>
        <v>1.8978614409546947E-4</v>
      </c>
      <c r="F1374" s="594">
        <f t="shared" ca="1" si="107"/>
        <v>4.2204065091489083E-19</v>
      </c>
      <c r="G1374" s="594">
        <f t="shared" ca="1" si="107"/>
        <v>1.5427805554540695E-5</v>
      </c>
      <c r="H1374" s="594">
        <f t="shared" ca="1" si="107"/>
        <v>1.4064071483426673E-3</v>
      </c>
      <c r="I1374" s="344" t="s">
        <v>302</v>
      </c>
      <c r="J1374" s="472">
        <f ca="1">C1374*Units!$C$100</f>
        <v>2.95497242888738</v>
      </c>
      <c r="K1374" s="472">
        <f ca="1">D1374*Units!$C$100</f>
        <v>0.20719783063825128</v>
      </c>
      <c r="L1374" s="472">
        <f ca="1">E1374*Units!$C$100</f>
        <v>2.1853874492593312E-2</v>
      </c>
      <c r="M1374" s="472">
        <f ca="1">F1374*Units!$C$100</f>
        <v>4.8597980952849683E-17</v>
      </c>
      <c r="N1374" s="472">
        <f ca="1">G1374*Units!$C$100</f>
        <v>1.7765118096053612E-3</v>
      </c>
      <c r="O1374" s="472">
        <f ca="1">H1374*Units!$C$100</f>
        <v>0.16194778313165814</v>
      </c>
    </row>
    <row r="1375" spans="1:15" ht="15.75" customHeight="1" x14ac:dyDescent="0.2">
      <c r="A1375" s="317" t="s">
        <v>1465</v>
      </c>
      <c r="B1375" s="344" t="s">
        <v>376</v>
      </c>
      <c r="C1375" s="594">
        <f ca="1">C1338/((C1349*Units!$C$100)+Units!$C$109)</f>
        <v>1.4102285113295338E-3</v>
      </c>
      <c r="D1375" s="594">
        <f ca="1">D1338/((D1349*Units!$C$100)+Units!$C$109)</f>
        <v>9.8882915249976874E-12</v>
      </c>
      <c r="E1375" s="594">
        <f ca="1">E1338/((E1349*Units!$C$100)+Units!$C$109)</f>
        <v>1.6529682138531175E-13</v>
      </c>
      <c r="F1375" s="594">
        <f ca="1">F1338/((F1349*Units!$C$100)+Units!$C$109)</f>
        <v>2.3192858810721011E-16</v>
      </c>
      <c r="G1375" s="594">
        <f ca="1">G1338/((G1349*Units!$C$100)+Units!$C$109)</f>
        <v>8.4782097461478217E-2</v>
      </c>
      <c r="H1375" s="594">
        <f ca="1">H1338/((H1349*Units!$C$100)+Units!$C$109)</f>
        <v>2.4440555079489331E-5</v>
      </c>
      <c r="I1375" s="344" t="s">
        <v>302</v>
      </c>
      <c r="J1375" s="472">
        <f ca="1">C1375*Units!$C$109</f>
        <v>0.16381214387603862</v>
      </c>
      <c r="K1375" s="472">
        <f ca="1">D1375*Units!$C$109</f>
        <v>1.1486239435437314E-9</v>
      </c>
      <c r="L1375" s="472">
        <f ca="1">E1375*Units!$C$109</f>
        <v>1.9200878772117812E-11</v>
      </c>
      <c r="M1375" s="472">
        <f ca="1">F1375*Units!$C$109</f>
        <v>2.6940824794533525E-14</v>
      </c>
      <c r="N1375" s="472">
        <f ca="1">G1375*Units!$C$109</f>
        <v>9.8482884411253089</v>
      </c>
      <c r="O1375" s="472">
        <f ca="1">H1375*Units!$C$109</f>
        <v>2.8390148780334805E-3</v>
      </c>
    </row>
    <row r="1376" spans="1:15" ht="15.75" customHeight="1" x14ac:dyDescent="0.2">
      <c r="A1376" s="317" t="s">
        <v>1466</v>
      </c>
      <c r="B1376" s="344" t="s">
        <v>376</v>
      </c>
      <c r="C1376" s="594">
        <f t="shared" ref="C1376:H1376" ca="1" si="108">C1377*C1349</f>
        <v>1.3391879166158127E-3</v>
      </c>
      <c r="D1376" s="594">
        <f t="shared" ca="1" si="108"/>
        <v>9.3901665012905929E-5</v>
      </c>
      <c r="E1376" s="594">
        <f t="shared" ca="1" si="108"/>
        <v>9.904134592125121E-6</v>
      </c>
      <c r="F1376" s="594">
        <f t="shared" ca="1" si="108"/>
        <v>2.2024513064064906E-20</v>
      </c>
      <c r="G1376" s="594">
        <f t="shared" ca="1" si="108"/>
        <v>8.0511179254710486E-7</v>
      </c>
      <c r="H1376" s="594">
        <f t="shared" ca="1" si="108"/>
        <v>7.3394429055398939E-5</v>
      </c>
      <c r="I1376" s="344" t="s">
        <v>302</v>
      </c>
      <c r="J1376" s="472">
        <f ca="1">C1376*Units!$C$101</f>
        <v>0.17298290318926451</v>
      </c>
      <c r="K1376" s="472">
        <f ca="1">D1376*Units!$C$101</f>
        <v>1.2129278069717057E-2</v>
      </c>
      <c r="L1376" s="472">
        <f ca="1">E1376*Units!$C$101</f>
        <v>1.2793170652648017E-3</v>
      </c>
      <c r="M1376" s="472">
        <f ca="1">F1376*Units!$C$101</f>
        <v>2.8449063524852638E-18</v>
      </c>
      <c r="N1376" s="472">
        <f ca="1">G1376*Units!$C$101</f>
        <v>1.0399629024330953E-4</v>
      </c>
      <c r="O1376" s="472">
        <f ca="1">H1376*Units!$C$101</f>
        <v>9.4803584010858793E-3</v>
      </c>
    </row>
    <row r="1377" spans="1:15" ht="15.75" customHeight="1" x14ac:dyDescent="0.2">
      <c r="A1377" s="317" t="s">
        <v>1467</v>
      </c>
      <c r="B1377" s="344" t="s">
        <v>376</v>
      </c>
      <c r="C1377" s="594">
        <f ca="1">C1339/((C1349*Units!$C$100)+Units!$C$109)</f>
        <v>7.3593849795662534E-5</v>
      </c>
      <c r="D1377" s="594">
        <f ca="1">D1339/((D1349*Units!$C$100)+Units!$C$109)</f>
        <v>5.1602803047878105E-13</v>
      </c>
      <c r="E1377" s="594">
        <f ca="1">E1339/((E1349*Units!$C$100)+Units!$C$109)</f>
        <v>8.6261406197654788E-15</v>
      </c>
      <c r="F1377" s="594">
        <f ca="1">F1339/((F1349*Units!$C$100)+Units!$C$109)</f>
        <v>1.2103370155514913E-17</v>
      </c>
      <c r="G1377" s="594">
        <f ca="1">G1339/((G1349*Units!$C$100)+Units!$C$109)</f>
        <v>4.4244183802941523E-3</v>
      </c>
      <c r="H1377" s="594">
        <f ca="1">H1339/((H1349*Units!$C$100)+Units!$C$109)</f>
        <v>1.2754489963805952E-6</v>
      </c>
      <c r="I1377" s="344" t="s">
        <v>302</v>
      </c>
      <c r="J1377" s="472">
        <f ca="1">C1377*Units!$C$110</f>
        <v>9.580447366399349E-3</v>
      </c>
      <c r="K1377" s="472">
        <f ca="1">D1377*Units!$C$110</f>
        <v>6.7176529007727716E-11</v>
      </c>
      <c r="L1377" s="472">
        <f ca="1">E1377*Units!$C$110</f>
        <v>1.1229509858810702E-12</v>
      </c>
      <c r="M1377" s="472">
        <f ca="1">F1377*Units!$C$110</f>
        <v>1.5756167268449314E-15</v>
      </c>
      <c r="N1377" s="472">
        <f ca="1">G1377*Units!$C$110</f>
        <v>0.57597078474669283</v>
      </c>
      <c r="O1377" s="472">
        <f ca="1">H1377*Units!$C$110</f>
        <v>1.6603795034882588E-4</v>
      </c>
    </row>
    <row r="1378" spans="1:15" ht="15.75" customHeight="1" x14ac:dyDescent="0.2">
      <c r="A1378" s="317" t="s">
        <v>1468</v>
      </c>
      <c r="B1378" s="344" t="s">
        <v>376</v>
      </c>
      <c r="C1378" s="594">
        <f t="shared" ref="C1378:H1378" si="109">C1350*C1379</f>
        <v>3.1125246826500183E-3</v>
      </c>
      <c r="D1378" s="594">
        <f t="shared" si="109"/>
        <v>1.7303469675599436E-3</v>
      </c>
      <c r="E1378" s="594">
        <f t="shared" si="109"/>
        <v>1.2471622002820871E-3</v>
      </c>
      <c r="F1378" s="594">
        <f t="shared" si="109"/>
        <v>1.4966516142885066E-2</v>
      </c>
      <c r="G1378" s="594">
        <f t="shared" si="109"/>
        <v>4.6894384042686843E-3</v>
      </c>
      <c r="H1378" s="594">
        <f t="shared" si="109"/>
        <v>2.5709224259516258E-3</v>
      </c>
      <c r="I1378" s="344" t="s">
        <v>302</v>
      </c>
      <c r="J1378" s="472">
        <f>C1378*Units!$C$140</f>
        <v>0.11033899999994316</v>
      </c>
      <c r="K1378" s="472">
        <f>D1378*Units!$C$140</f>
        <v>6.1340800000000008E-2</v>
      </c>
      <c r="L1378" s="472">
        <f>E1378*Units!$C$140</f>
        <v>4.4211899999999991E-2</v>
      </c>
      <c r="M1378" s="472">
        <f>F1378*Units!$C$140</f>
        <v>0.53056299726527567</v>
      </c>
      <c r="N1378" s="472">
        <f>G1378*Units!$C$140</f>
        <v>0.16624059143132486</v>
      </c>
      <c r="O1378" s="472">
        <f>H1378*Units!$C$140</f>
        <v>9.113919999998514E-2</v>
      </c>
    </row>
    <row r="1379" spans="1:15" ht="15.75" customHeight="1" x14ac:dyDescent="0.2">
      <c r="A1379" s="317" t="s">
        <v>1469</v>
      </c>
      <c r="B1379" s="344" t="s">
        <v>376</v>
      </c>
      <c r="C1379" s="594">
        <f>C1340/((C1350*Units!$C$140)+Units!$C$141)</f>
        <v>1.559957635293961E-15</v>
      </c>
      <c r="D1379" s="594">
        <f>D1340/((D1350*Units!$C$140)+Units!$C$141)</f>
        <v>8.6722780988670107E-23</v>
      </c>
      <c r="E1379" s="594">
        <f>E1340/((E1350*Units!$C$140)+Units!$C$141)</f>
        <v>9.9065614896491433E-24</v>
      </c>
      <c r="F1379" s="594">
        <f>F1340/((F1350*Units!$C$140)+Units!$C$141)</f>
        <v>7.5010268226904619E-11</v>
      </c>
      <c r="G1379" s="594">
        <f>G1340/((G1350*Units!$C$140)+Units!$C$141)</f>
        <v>2.3502866611009092E-10</v>
      </c>
      <c r="H1379" s="594">
        <f>H1340/((H1350*Units!$C$140)+Units!$C$141)</f>
        <v>4.0746374512363199E-16</v>
      </c>
      <c r="I1379" s="344" t="s">
        <v>302</v>
      </c>
      <c r="J1379" s="472">
        <f>C1379*Units!$C$141</f>
        <v>5.6872935467547228E-14</v>
      </c>
      <c r="K1379" s="472">
        <f>D1379*Units!$C$141</f>
        <v>3.1617391492849346E-21</v>
      </c>
      <c r="L1379" s="472">
        <f>E1379*Units!$C$141</f>
        <v>3.6117341878962843E-22</v>
      </c>
      <c r="M1379" s="472">
        <f>F1379*Units!$C$141</f>
        <v>2.7347243590164887E-9</v>
      </c>
      <c r="N1379" s="472">
        <f>G1379*Units!$C$141</f>
        <v>8.5686751090416941E-9</v>
      </c>
      <c r="O1379" s="472">
        <f>H1379*Units!$C$141</f>
        <v>1.4855313219717374E-14</v>
      </c>
    </row>
    <row r="1380" spans="1:15" ht="15.75" customHeight="1" x14ac:dyDescent="0.2">
      <c r="A1380" s="317" t="s">
        <v>1470</v>
      </c>
      <c r="B1380" s="344" t="s">
        <v>376</v>
      </c>
      <c r="C1380" s="594">
        <f ca="1">C1341/((C1352*C1351*Units!$C$130)+(C1351*Units!$C$129)+(Units!$C$128))</f>
        <v>0</v>
      </c>
      <c r="D1380" s="594">
        <f ca="1">D1341/((D1352*D1351*Units!$C$130)+(D1351*Units!$C$129)+(Units!$C$128))</f>
        <v>0</v>
      </c>
      <c r="E1380" s="594">
        <f ca="1">E1341/((E1352*E1351*Units!$C$130)+(E1351*Units!$C$129)+(Units!$C$128))</f>
        <v>0</v>
      </c>
      <c r="F1380" s="594">
        <f ca="1">F1341/((F1352*F1351*Units!$C$130)+(F1351*Units!$C$129)+(Units!$C$128))</f>
        <v>0</v>
      </c>
      <c r="G1380" s="594">
        <f ca="1">G1341/((G1352*G1351*Units!$C$130)+(G1351*Units!$C$129)+(Units!$C$128))</f>
        <v>0</v>
      </c>
      <c r="H1380" s="594">
        <f ca="1">H1341/((H1352*H1351*Units!$C$130)+(H1351*Units!$C$129)+(Units!$C$128))</f>
        <v>0</v>
      </c>
      <c r="I1380" s="344" t="s">
        <v>302</v>
      </c>
      <c r="J1380" s="472">
        <f ca="1">C1380*Units!$C$128</f>
        <v>0</v>
      </c>
      <c r="K1380" s="472">
        <f ca="1">D1380*Units!$C$128</f>
        <v>0</v>
      </c>
      <c r="L1380" s="472">
        <f ca="1">E1380*Units!$C$128</f>
        <v>0</v>
      </c>
      <c r="M1380" s="472">
        <f ca="1">F1380*Units!$C$128</f>
        <v>0</v>
      </c>
      <c r="N1380" s="472">
        <f ca="1">G1380*Units!$C$128</f>
        <v>0</v>
      </c>
      <c r="O1380" s="472">
        <f ca="1">H1380*Units!$C$128</f>
        <v>0</v>
      </c>
    </row>
    <row r="1381" spans="1:15" ht="15.75" customHeight="1" x14ac:dyDescent="0.2">
      <c r="A1381" s="317" t="s">
        <v>1471</v>
      </c>
      <c r="B1381" s="344" t="s">
        <v>376</v>
      </c>
      <c r="C1381" s="594">
        <f t="shared" ref="C1381:H1382" ca="1" si="110">C1351*C1380</f>
        <v>0</v>
      </c>
      <c r="D1381" s="594">
        <f t="shared" ca="1" si="110"/>
        <v>0</v>
      </c>
      <c r="E1381" s="594">
        <f t="shared" ca="1" si="110"/>
        <v>0</v>
      </c>
      <c r="F1381" s="594">
        <f t="shared" ca="1" si="110"/>
        <v>0</v>
      </c>
      <c r="G1381" s="594">
        <f t="shared" ca="1" si="110"/>
        <v>0</v>
      </c>
      <c r="H1381" s="594">
        <f t="shared" ca="1" si="110"/>
        <v>0</v>
      </c>
      <c r="I1381" s="344" t="s">
        <v>302</v>
      </c>
      <c r="J1381" s="472">
        <f ca="1">C1381*Units!$C$129</f>
        <v>0</v>
      </c>
      <c r="K1381" s="472">
        <f ca="1">D1381*Units!$C$129</f>
        <v>0</v>
      </c>
      <c r="L1381" s="472">
        <f ca="1">E1381*Units!$C$129</f>
        <v>0</v>
      </c>
      <c r="M1381" s="472">
        <f ca="1">F1381*Units!$C$129</f>
        <v>0</v>
      </c>
      <c r="N1381" s="472">
        <f ca="1">G1381*Units!$C$129</f>
        <v>0</v>
      </c>
      <c r="O1381" s="472">
        <f ca="1">H1381*Units!$C$129</f>
        <v>0</v>
      </c>
    </row>
    <row r="1382" spans="1:15" ht="15.75" customHeight="1" x14ac:dyDescent="0.2">
      <c r="A1382" s="317" t="s">
        <v>1472</v>
      </c>
      <c r="B1382" s="344" t="s">
        <v>376</v>
      </c>
      <c r="C1382" s="594">
        <f t="shared" ca="1" si="110"/>
        <v>0</v>
      </c>
      <c r="D1382" s="594">
        <f t="shared" ca="1" si="110"/>
        <v>0</v>
      </c>
      <c r="E1382" s="594">
        <f t="shared" ca="1" si="110"/>
        <v>0</v>
      </c>
      <c r="F1382" s="594">
        <f t="shared" ca="1" si="110"/>
        <v>0</v>
      </c>
      <c r="G1382" s="594">
        <f t="shared" ca="1" si="110"/>
        <v>0</v>
      </c>
      <c r="H1382" s="594">
        <f t="shared" ca="1" si="110"/>
        <v>0</v>
      </c>
      <c r="I1382" s="344" t="s">
        <v>302</v>
      </c>
      <c r="J1382" s="472">
        <f ca="1">C1382*Units!$C$130</f>
        <v>0</v>
      </c>
      <c r="K1382" s="472">
        <f ca="1">D1382*Units!$C$130</f>
        <v>0</v>
      </c>
      <c r="L1382" s="472">
        <f ca="1">E1382*Units!$C$130</f>
        <v>0</v>
      </c>
      <c r="M1382" s="472">
        <f ca="1">F1382*Units!$C$130</f>
        <v>0</v>
      </c>
      <c r="N1382" s="472">
        <f ca="1">G1382*Units!$C$130</f>
        <v>0</v>
      </c>
      <c r="O1382" s="472">
        <f ca="1">H1382*Units!$C$130</f>
        <v>0</v>
      </c>
    </row>
    <row r="1383" spans="1:15" ht="15.75" customHeight="1" x14ac:dyDescent="0.2">
      <c r="A1383" s="317" t="s">
        <v>1473</v>
      </c>
      <c r="B1383" s="344" t="s">
        <v>376</v>
      </c>
      <c r="C1383" s="594">
        <f ca="1">C1342/((C1353*C1354*C1355*Units!$C$127)+(C1354*C1353*Units!$C$126)+(C1353*Units!$C$125+(Units!$C$124)))</f>
        <v>5.5268985511178925E-7</v>
      </c>
      <c r="D1383" s="594">
        <f ca="1">D1342/((D1353*D1354*D1355*Units!$C$127)+(D1354*D1353*Units!$C$126)+(D1353*Units!$C$125+(Units!$C$124)))</f>
        <v>0</v>
      </c>
      <c r="E1383" s="594">
        <f ca="1">E1342/((E1353*E1354*E1355*Units!$C$127)+(E1354*E1353*Units!$C$126)+(E1353*Units!$C$125+(Units!$C$124)))</f>
        <v>6.2610879395663215E-23</v>
      </c>
      <c r="F1383" s="594">
        <f ca="1">F1342/((F1353*F1354*F1355*Units!$C$127)+(F1354*F1353*Units!$C$126)+(F1353*Units!$C$125+(Units!$C$124)))</f>
        <v>0</v>
      </c>
      <c r="G1383" s="594">
        <f ca="1">G1342/((G1353*G1354*G1355*Units!$C$127)+(G1354*G1353*Units!$C$126)+(G1353*Units!$C$125+(Units!$C$124)))</f>
        <v>2.1748239550930984E-2</v>
      </c>
      <c r="H1383" s="594">
        <f ca="1">H1342/((H1353*H1354*H1355*Units!$C$127)+(H1354*H1353*Units!$C$126)+(H1353*Units!$C$125+(Units!$C$124)))</f>
        <v>1.7638024999815199E-7</v>
      </c>
      <c r="I1383" s="344" t="s">
        <v>302</v>
      </c>
      <c r="J1383" s="472">
        <f ca="1">C1383*Units!$C$124</f>
        <v>5.4160289661824674E-5</v>
      </c>
      <c r="K1383" s="472">
        <f ca="1">D1383*Units!$C$124</f>
        <v>0</v>
      </c>
      <c r="L1383" s="472">
        <f ca="1">E1383*Units!$C$124</f>
        <v>6.1354905154986208E-21</v>
      </c>
      <c r="M1383" s="472">
        <f ca="1">F1383*Units!$C$124</f>
        <v>0</v>
      </c>
      <c r="N1383" s="472">
        <f ca="1">G1383*Units!$C$124</f>
        <v>2.1311969865539306</v>
      </c>
      <c r="O1383" s="472">
        <f ca="1">H1383*Units!$C$124</f>
        <v>1.7284206218318906E-5</v>
      </c>
    </row>
    <row r="1384" spans="1:15" ht="15.75" customHeight="1" x14ac:dyDescent="0.2">
      <c r="A1384" s="317" t="s">
        <v>1474</v>
      </c>
      <c r="B1384" s="344" t="s">
        <v>376</v>
      </c>
      <c r="C1384" s="594">
        <f t="shared" ref="C1384:H1386" ca="1" si="111">C1383*C1353</f>
        <v>4.0038840581161639E-3</v>
      </c>
      <c r="D1384" s="594">
        <f t="shared" ca="1" si="111"/>
        <v>0</v>
      </c>
      <c r="E1384" s="594">
        <f t="shared" ca="1" si="111"/>
        <v>2.8618693513159047E-11</v>
      </c>
      <c r="F1384" s="594">
        <f t="shared" ca="1" si="111"/>
        <v>0</v>
      </c>
      <c r="G1384" s="594">
        <f t="shared" ca="1" si="111"/>
        <v>1.5755206799019548E-3</v>
      </c>
      <c r="H1384" s="594">
        <f t="shared" ca="1" si="111"/>
        <v>4.0406380930785909E-3</v>
      </c>
      <c r="I1384" s="344" t="s">
        <v>302</v>
      </c>
      <c r="J1384" s="472">
        <f ca="1">C1384*Units!$C$125</f>
        <v>0.38833671479668669</v>
      </c>
      <c r="K1384" s="472">
        <f ca="1">D1384*Units!$C$125</f>
        <v>0</v>
      </c>
      <c r="L1384" s="472">
        <f ca="1">E1384*Units!$C$125</f>
        <v>2.7757270838412958E-9</v>
      </c>
      <c r="M1384" s="472">
        <f ca="1">F1384*Units!$C$125</f>
        <v>0</v>
      </c>
      <c r="N1384" s="472">
        <f ca="1">G1384*Units!$C$125</f>
        <v>0.15280975074369058</v>
      </c>
      <c r="O1384" s="472">
        <f ca="1">H1384*Units!$C$125</f>
        <v>0.39190148864769253</v>
      </c>
    </row>
    <row r="1385" spans="1:15" ht="15.75" customHeight="1" x14ac:dyDescent="0.2">
      <c r="A1385" s="317" t="s">
        <v>1475</v>
      </c>
      <c r="B1385" s="344" t="s">
        <v>376</v>
      </c>
      <c r="C1385" s="594">
        <f t="shared" ca="1" si="111"/>
        <v>2.4687748982672953E-4</v>
      </c>
      <c r="D1385" s="594">
        <f t="shared" ca="1" si="111"/>
        <v>0</v>
      </c>
      <c r="E1385" s="594">
        <f t="shared" ca="1" si="111"/>
        <v>1.1133963767373871E-4</v>
      </c>
      <c r="F1385" s="594">
        <f t="shared" ca="1" si="111"/>
        <v>0</v>
      </c>
      <c r="G1385" s="594">
        <f t="shared" ca="1" si="111"/>
        <v>9.7145817655694841E-10</v>
      </c>
      <c r="H1385" s="594">
        <f t="shared" ca="1" si="111"/>
        <v>7.8786163653659345E-4</v>
      </c>
      <c r="I1385" s="344" t="s">
        <v>302</v>
      </c>
      <c r="J1385" s="472">
        <f ca="1">C1385*Units!$C$126</f>
        <v>2.3695301473569502E-2</v>
      </c>
      <c r="K1385" s="472">
        <f ca="1">D1385*Units!$C$126</f>
        <v>0</v>
      </c>
      <c r="L1385" s="472">
        <f ca="1">E1385*Units!$C$126</f>
        <v>1.0686378423925441E-2</v>
      </c>
      <c r="M1385" s="472">
        <f ca="1">F1385*Units!$C$126</f>
        <v>0</v>
      </c>
      <c r="N1385" s="472">
        <f ca="1">G1385*Units!$C$126</f>
        <v>9.3240555785935913E-8</v>
      </c>
      <c r="O1385" s="472">
        <f ca="1">H1385*Units!$C$126</f>
        <v>7.5618959874782246E-2</v>
      </c>
    </row>
    <row r="1386" spans="1:15" ht="15.75" customHeight="1" x14ac:dyDescent="0.2">
      <c r="A1386" s="317" t="s">
        <v>1476</v>
      </c>
      <c r="B1386" s="344" t="s">
        <v>376</v>
      </c>
      <c r="C1386" s="594">
        <f t="shared" ca="1" si="111"/>
        <v>5.1580018428994337E-11</v>
      </c>
      <c r="D1386" s="594">
        <f t="shared" ca="1" si="111"/>
        <v>0</v>
      </c>
      <c r="E1386" s="594">
        <f t="shared" ca="1" si="111"/>
        <v>1.4677422763183525E-3</v>
      </c>
      <c r="F1386" s="594">
        <f t="shared" ca="1" si="111"/>
        <v>0</v>
      </c>
      <c r="G1386" s="594">
        <f t="shared" ca="1" si="111"/>
        <v>2.0296638095669484E-21</v>
      </c>
      <c r="H1386" s="594">
        <f t="shared" ca="1" si="111"/>
        <v>5.2053502119626859E-10</v>
      </c>
      <c r="I1386" s="344" t="s">
        <v>302</v>
      </c>
      <c r="J1386" s="472">
        <f ca="1">C1386*Units!$C$127</f>
        <v>4.8985543502015921E-9</v>
      </c>
      <c r="K1386" s="472">
        <f ca="1">D1386*Units!$C$127</f>
        <v>0</v>
      </c>
      <c r="L1386" s="472">
        <f ca="1">E1386*Units!$C$127</f>
        <v>0.13939148398195395</v>
      </c>
      <c r="M1386" s="472">
        <f ca="1">F1386*Units!$C$127</f>
        <v>0</v>
      </c>
      <c r="N1386" s="472">
        <f ca="1">G1386*Units!$C$127</f>
        <v>1.9275717199457308E-19</v>
      </c>
      <c r="O1386" s="472">
        <f ca="1">H1386*Units!$C$127</f>
        <v>4.9435210963009625E-8</v>
      </c>
    </row>
    <row r="1387" spans="1:15" ht="15.75" customHeight="1" x14ac:dyDescent="0.2">
      <c r="A1387" s="317" t="s">
        <v>1477</v>
      </c>
      <c r="B1387" s="344" t="s">
        <v>376</v>
      </c>
      <c r="C1387" s="594">
        <f ca="1">C1343/((C1356*Units!$C$121+Units!$C$122))</f>
        <v>1.6421269332024271E-2</v>
      </c>
      <c r="D1387" s="594">
        <f ca="1">D1343/((D1356*Units!$C$121+Units!$C$122))</f>
        <v>1.4945874880848543E-5</v>
      </c>
      <c r="E1387" s="594">
        <f ca="1">E1343/((E1356*Units!$C$121+Units!$C$122))</f>
        <v>6.0645693931554445E-7</v>
      </c>
      <c r="F1387" s="594">
        <f ca="1">F1343/((F1356*Units!$C$121+Units!$C$122))</f>
        <v>1.4351400107519296E-3</v>
      </c>
      <c r="G1387" s="594">
        <f ca="1">G1343/((G1356*Units!$C$121+Units!$C$122))</f>
        <v>1.6537614326349673E-4</v>
      </c>
      <c r="H1387" s="594">
        <f ca="1">H1343/((H1356*Units!$C$121+Units!$C$122))</f>
        <v>1.3672460036595026E-2</v>
      </c>
      <c r="I1387" s="344" t="s">
        <v>302</v>
      </c>
      <c r="J1387" s="472">
        <f ca="1">C1387*Units!$C$122</f>
        <v>0.29623969874971784</v>
      </c>
      <c r="K1387" s="472">
        <f ca="1">D1387*Units!$C$122</f>
        <v>2.6962358285050769E-4</v>
      </c>
      <c r="L1387" s="472">
        <f ca="1">E1387*Units!$C$122</f>
        <v>1.0940483185252421E-5</v>
      </c>
      <c r="M1387" s="472">
        <f ca="1">F1387*Units!$C$122</f>
        <v>2.5889925793964808E-2</v>
      </c>
      <c r="N1387" s="472">
        <f ca="1">G1387*Units!$C$122</f>
        <v>2.9833856244734806E-3</v>
      </c>
      <c r="O1387" s="472">
        <f ca="1">H1387*Units!$C$122</f>
        <v>0.24665117906017425</v>
      </c>
    </row>
    <row r="1388" spans="1:15" ht="15.75" customHeight="1" x14ac:dyDescent="0.2">
      <c r="A1388" s="318" t="s">
        <v>1478</v>
      </c>
      <c r="B1388" s="347" t="s">
        <v>376</v>
      </c>
      <c r="C1388" s="415">
        <f t="shared" ref="C1388:H1388" ca="1" si="112">C1387*C1356</f>
        <v>9.02415869857203E-6</v>
      </c>
      <c r="D1388" s="415">
        <f t="shared" ca="1" si="112"/>
        <v>8.2133691425882407E-2</v>
      </c>
      <c r="E1388" s="415">
        <f t="shared" ca="1" si="112"/>
        <v>2.1028096907335456E-2</v>
      </c>
      <c r="F1388" s="415">
        <f t="shared" ca="1" si="112"/>
        <v>7.8866809561665466E-11</v>
      </c>
      <c r="G1388" s="415">
        <f t="shared" ca="1" si="112"/>
        <v>9.0880950284225444E-13</v>
      </c>
      <c r="H1388" s="415">
        <f t="shared" ca="1" si="112"/>
        <v>2.3760012382637548E-5</v>
      </c>
      <c r="I1388" s="347" t="s">
        <v>302</v>
      </c>
      <c r="J1388" s="416">
        <f ca="1">C1388*Units!$C$121</f>
        <v>1.5369044679538024E-4</v>
      </c>
      <c r="K1388" s="416">
        <f ca="1">D1388*Units!$C$121</f>
        <v>1.3988188986742032</v>
      </c>
      <c r="L1388" s="416">
        <f ca="1">E1388*Units!$C$121</f>
        <v>0.35812951842883012</v>
      </c>
      <c r="M1388" s="416">
        <f ca="1">F1388*Units!$C$121</f>
        <v>1.3431806336447245E-9</v>
      </c>
      <c r="N1388" s="416">
        <f ca="1">G1388*Units!$C$121</f>
        <v>1.5477934642906435E-11</v>
      </c>
      <c r="O1388" s="416">
        <f ca="1">H1388*Units!$C$121</f>
        <v>4.0465677088870003E-4</v>
      </c>
    </row>
    <row r="1389" spans="1:15" ht="15.75" customHeight="1" x14ac:dyDescent="0.2">
      <c r="A1389" s="637"/>
      <c r="B1389" s="172"/>
      <c r="C1389" s="594"/>
      <c r="D1389" s="172"/>
      <c r="E1389" s="472"/>
      <c r="O1389" s="367"/>
    </row>
    <row r="1390" spans="1:15" ht="15.75" customHeight="1" x14ac:dyDescent="0.2">
      <c r="A1390" s="744" t="s">
        <v>1960</v>
      </c>
      <c r="B1390" s="745"/>
      <c r="C1390" s="746"/>
      <c r="D1390" s="745"/>
      <c r="E1390" s="747"/>
      <c r="O1390" s="367"/>
    </row>
    <row r="1391" spans="1:15" ht="14.5" customHeight="1" x14ac:dyDescent="0.2">
      <c r="A1391" s="373" t="s">
        <v>580</v>
      </c>
      <c r="B1391" s="373" t="s">
        <v>372</v>
      </c>
      <c r="C1391" s="373" t="s">
        <v>42</v>
      </c>
      <c r="D1391" s="374" t="s">
        <v>372</v>
      </c>
      <c r="E1391" s="373" t="s">
        <v>42</v>
      </c>
      <c r="O1391" s="367"/>
    </row>
    <row r="1392" spans="1:15" ht="15.5" customHeight="1" x14ac:dyDescent="0.2">
      <c r="A1392" s="430" t="s">
        <v>536</v>
      </c>
      <c r="B1392" s="433" t="s">
        <v>391</v>
      </c>
      <c r="C1392" s="434">
        <f ca="1">E1202/C1252</f>
        <v>19237.553794590443</v>
      </c>
      <c r="D1392" s="433" t="s">
        <v>444</v>
      </c>
      <c r="E1392" s="434">
        <f ca="1">C1392/Units!C$14</f>
        <v>19.237553794590443</v>
      </c>
      <c r="H1392" s="1516" t="s">
        <v>1803</v>
      </c>
      <c r="I1392" s="1516"/>
      <c r="J1392" s="1516"/>
      <c r="K1392" s="1516"/>
      <c r="L1392" s="1516"/>
      <c r="O1392" s="367"/>
    </row>
    <row r="1393" spans="1:15" ht="41.5" customHeight="1" x14ac:dyDescent="0.2">
      <c r="A1393" s="316" t="s">
        <v>393</v>
      </c>
      <c r="B1393" s="342" t="s">
        <v>267</v>
      </c>
      <c r="C1393" s="461">
        <f ca="1">(N1362*C$730*Units!C$14)/Units!C$84</f>
        <v>5.6861854747800042E-3</v>
      </c>
      <c r="D1393" s="342" t="s">
        <v>435</v>
      </c>
      <c r="E1393" s="461">
        <f ca="1">C1393/E$887</f>
        <v>5.9115473157288288E-4</v>
      </c>
      <c r="H1393" s="377"/>
      <c r="I1393" s="286" t="s">
        <v>2062</v>
      </c>
      <c r="J1393" s="286" t="s">
        <v>2063</v>
      </c>
      <c r="K1393" s="286" t="s">
        <v>910</v>
      </c>
      <c r="L1393" s="302" t="s">
        <v>2064</v>
      </c>
      <c r="O1393" s="367"/>
    </row>
    <row r="1394" spans="1:15" ht="15.75" customHeight="1" x14ac:dyDescent="0.2">
      <c r="A1394" s="317" t="s">
        <v>400</v>
      </c>
      <c r="B1394" s="344" t="s">
        <v>267</v>
      </c>
      <c r="C1394" s="446">
        <f ca="1">(N1363*C$730*Units!C$14)/Units!C$84</f>
        <v>31.78247284050893</v>
      </c>
      <c r="D1394" s="344" t="s">
        <v>435</v>
      </c>
      <c r="E1394" s="446">
        <f t="shared" ref="E1394:E1419" ca="1" si="113">C1394/E$887</f>
        <v>3.3042114584699527</v>
      </c>
      <c r="H1394" s="317" t="str">
        <f>A1394</f>
        <v>Acetic Acid</v>
      </c>
      <c r="I1394" s="737">
        <f ca="1">E1394</f>
        <v>3.3042114584699527</v>
      </c>
      <c r="J1394" s="737">
        <f ca="1">SUM(E1424,E1425)</f>
        <v>0.20927714599506475</v>
      </c>
      <c r="K1394" s="352">
        <f ca="1">(I1513/SUM(I1512:I1527)/1000)</f>
        <v>3.4162414721991198E-6</v>
      </c>
      <c r="L1394" s="352">
        <f ca="1">SUM(E1724,E1732)</f>
        <v>3.4121420740734507</v>
      </c>
      <c r="O1394" s="367"/>
    </row>
    <row r="1395" spans="1:15" ht="15.75" customHeight="1" x14ac:dyDescent="0.2">
      <c r="A1395" s="317" t="s">
        <v>394</v>
      </c>
      <c r="B1395" s="344" t="s">
        <v>267</v>
      </c>
      <c r="C1395" s="446">
        <f ca="1">(N1364*C$730*Units!C$14)/Units!C$84</f>
        <v>1.8302424723012672E-2</v>
      </c>
      <c r="D1395" s="344" t="s">
        <v>435</v>
      </c>
      <c r="E1395" s="446">
        <f t="shared" ca="1" si="113"/>
        <v>1.9027808752024669E-3</v>
      </c>
      <c r="H1395" s="317" t="str">
        <f>A1396</f>
        <v>Propionic Acid</v>
      </c>
      <c r="I1395" s="638">
        <f ca="1">E1396</f>
        <v>10.601092989345929</v>
      </c>
      <c r="J1395" s="638">
        <f ca="1">SUM(E1426,E1427)</f>
        <v>0.67143637714568372</v>
      </c>
      <c r="K1395" s="349">
        <f ca="1">I1515/((SUM(I1512:I1527)/1000))</f>
        <v>61.912265200879304</v>
      </c>
      <c r="L1395" s="349">
        <f t="shared" ref="L1395:L1401" ca="1" si="114">SUM(E1725,E1733)</f>
        <v>21.050939776716334</v>
      </c>
      <c r="O1395" s="367"/>
    </row>
    <row r="1396" spans="1:15" ht="15.75" customHeight="1" x14ac:dyDescent="0.2">
      <c r="A1396" s="317" t="s">
        <v>401</v>
      </c>
      <c r="B1396" s="344" t="s">
        <v>267</v>
      </c>
      <c r="C1396" s="446">
        <f ca="1">(N1365*C$730*Units!C$14)/Units!C$84</f>
        <v>101.96954833199896</v>
      </c>
      <c r="D1396" s="344" t="s">
        <v>435</v>
      </c>
      <c r="E1396" s="446">
        <f t="shared" ca="1" si="113"/>
        <v>10.601092989345929</v>
      </c>
      <c r="H1396" s="317" t="str">
        <f>A1398</f>
        <v>Butyric Acid</v>
      </c>
      <c r="I1396" s="638">
        <f ca="1">E1398</f>
        <v>7.0218407562642566</v>
      </c>
      <c r="J1396" s="638">
        <f ca="1">SUM(E1428:E1429)</f>
        <v>0.44473915899401401</v>
      </c>
      <c r="K1396" s="349">
        <f ca="1">I1517/(SUM(I1512:I1527)/1000)</f>
        <v>89.302349886169935</v>
      </c>
      <c r="L1396" s="349">
        <f t="shared" ca="1" si="114"/>
        <v>19.222696152613917</v>
      </c>
      <c r="O1396" s="367"/>
    </row>
    <row r="1397" spans="1:15" ht="15.75" customHeight="1" x14ac:dyDescent="0.2">
      <c r="A1397" s="317" t="s">
        <v>396</v>
      </c>
      <c r="B1397" s="344" t="s">
        <v>267</v>
      </c>
      <c r="C1397" s="446">
        <f ca="1">(N1366*C$730*Units!C$14)/Units!C$84</f>
        <v>1.2149650400637712E-2</v>
      </c>
      <c r="D1397" s="344" t="s">
        <v>435</v>
      </c>
      <c r="E1397" s="446">
        <f t="shared" ca="1" si="113"/>
        <v>1.263118017016713E-3</v>
      </c>
      <c r="H1397" s="317" t="str">
        <f>A1400</f>
        <v>Isobutyric Acid</v>
      </c>
      <c r="I1397" s="638">
        <f ca="1">E1400</f>
        <v>0</v>
      </c>
      <c r="J1397" s="638">
        <f ca="1">SUM(E1430:E1431)</f>
        <v>0</v>
      </c>
      <c r="K1397" s="349">
        <f ca="1">I1519/(SUM(I1512:I1527)/1000)</f>
        <v>0</v>
      </c>
      <c r="L1397" s="349">
        <f t="shared" ca="1" si="114"/>
        <v>0</v>
      </c>
      <c r="O1397" s="367"/>
    </row>
    <row r="1398" spans="1:15" ht="15.75" customHeight="1" x14ac:dyDescent="0.2">
      <c r="A1398" s="317" t="s">
        <v>402</v>
      </c>
      <c r="B1398" s="344" t="s">
        <v>267</v>
      </c>
      <c r="C1398" s="446">
        <f ca="1">(N1367*C$730*Units!C$14)/Units!C$84</f>
        <v>67.54151964284064</v>
      </c>
      <c r="D1398" s="344" t="s">
        <v>435</v>
      </c>
      <c r="E1398" s="446">
        <f t="shared" ca="1" si="113"/>
        <v>7.0218407562642566</v>
      </c>
      <c r="H1398" s="317" t="str">
        <f>A1402</f>
        <v>Valeric Acid</v>
      </c>
      <c r="I1398" s="638">
        <f ca="1">E1402</f>
        <v>11.798486711312089</v>
      </c>
      <c r="J1398" s="638">
        <f ca="1">SUM(E1432:E1433)</f>
        <v>0.7472756420697072</v>
      </c>
      <c r="K1398" s="349">
        <f ca="1">I1521/(SUM(I1512:I1527)/1000)</f>
        <v>151.44012555004932</v>
      </c>
      <c r="L1398" s="349">
        <f t="shared" ca="1" si="114"/>
        <v>38.968052807032151</v>
      </c>
      <c r="O1398" s="367"/>
    </row>
    <row r="1399" spans="1:15" ht="15.75" customHeight="1" x14ac:dyDescent="0.2">
      <c r="A1399" s="317" t="s">
        <v>395</v>
      </c>
      <c r="B1399" s="344" t="s">
        <v>267</v>
      </c>
      <c r="C1399" s="446">
        <f ca="1">(N1368*C$730*Units!C$14)/Units!C$84</f>
        <v>0</v>
      </c>
      <c r="D1399" s="344" t="s">
        <v>435</v>
      </c>
      <c r="E1399" s="446">
        <f t="shared" ca="1" si="113"/>
        <v>0</v>
      </c>
      <c r="H1399" s="317" t="str">
        <f>A1404</f>
        <v>Isovaleric Acid</v>
      </c>
      <c r="I1399" s="638">
        <f ca="1">E1404</f>
        <v>1.9417354908262947</v>
      </c>
      <c r="J1399" s="638">
        <f ca="1">SUM(E1434:E1435)</f>
        <v>0.12298285967856919</v>
      </c>
      <c r="K1399" s="349">
        <f ca="1">I1523/(SUM(I1512:I1527)/1000)</f>
        <v>24.923252762050122</v>
      </c>
      <c r="L1399" s="349">
        <f t="shared" ca="1" si="114"/>
        <v>6.5532866257079156</v>
      </c>
      <c r="O1399" s="367"/>
    </row>
    <row r="1400" spans="1:15" ht="15.75" customHeight="1" x14ac:dyDescent="0.2">
      <c r="A1400" s="317" t="s">
        <v>403</v>
      </c>
      <c r="B1400" s="344" t="s">
        <v>267</v>
      </c>
      <c r="C1400" s="446">
        <f ca="1">(N1369*C$730*Units!C$14)/Units!C$84</f>
        <v>0</v>
      </c>
      <c r="D1400" s="344" t="s">
        <v>435</v>
      </c>
      <c r="E1400" s="446">
        <f t="shared" ca="1" si="113"/>
        <v>0</v>
      </c>
      <c r="H1400" s="317" t="str">
        <f>A1406</f>
        <v>Caproic Acid</v>
      </c>
      <c r="I1400" s="638">
        <f ca="1">E1406</f>
        <v>49.241442205626548</v>
      </c>
      <c r="J1400" s="638">
        <f ca="1">SUM(E1436:E1437)</f>
        <v>3.1187845727634187</v>
      </c>
      <c r="K1400" s="349">
        <f ca="1">I1525/(SUM(I1512:I1527)/1000)</f>
        <v>632.04124158870945</v>
      </c>
      <c r="L1400" s="349">
        <f t="shared" ca="1" si="114"/>
        <v>171.7282060481686</v>
      </c>
      <c r="O1400" s="367"/>
    </row>
    <row r="1401" spans="1:15" ht="15.75" customHeight="1" x14ac:dyDescent="0.2">
      <c r="A1401" s="317" t="s">
        <v>397</v>
      </c>
      <c r="B1401" s="344" t="s">
        <v>267</v>
      </c>
      <c r="C1401" s="446">
        <f ca="1">(N1370*C$730*Units!C$14)/Units!C$84</f>
        <v>2.044701371823723E-2</v>
      </c>
      <c r="D1401" s="344" t="s">
        <v>435</v>
      </c>
      <c r="E1401" s="446">
        <f t="shared" ca="1" si="113"/>
        <v>2.1257394715108618E-3</v>
      </c>
      <c r="H1401" s="317" t="str">
        <f>A1408</f>
        <v>Heptanoic Acid</v>
      </c>
      <c r="I1401" s="638">
        <f ca="1">E1408</f>
        <v>2.8798539237334646</v>
      </c>
      <c r="J1401" s="638">
        <f ca="1">SUM(E1438:E1439)</f>
        <v>0.18256335055566386</v>
      </c>
      <c r="K1401" s="349">
        <f ca="1">I1527/(SUM(I1512:I1527)/1000)</f>
        <v>36.964523539942803</v>
      </c>
      <c r="L1401" s="349">
        <f t="shared" ca="1" si="114"/>
        <v>12.523161517162258</v>
      </c>
      <c r="O1401" s="367"/>
    </row>
    <row r="1402" spans="1:15" ht="15.75" customHeight="1" x14ac:dyDescent="0.2">
      <c r="A1402" s="317" t="s">
        <v>404</v>
      </c>
      <c r="B1402" s="344" t="s">
        <v>267</v>
      </c>
      <c r="C1402" s="446">
        <f ca="1">(N1371*C$730*Units!C$14)/Units!C$84</f>
        <v>113.4870114018134</v>
      </c>
      <c r="D1402" s="344" t="s">
        <v>435</v>
      </c>
      <c r="E1402" s="446">
        <f t="shared" ca="1" si="113"/>
        <v>11.798486711312089</v>
      </c>
      <c r="H1402" s="317" t="s">
        <v>482</v>
      </c>
      <c r="I1402" s="638">
        <f ca="1">SUM(E1418:E1419)</f>
        <v>1.4916928199757078E-2</v>
      </c>
      <c r="J1402" s="638">
        <f ca="1">SUM(E1449:E1450)</f>
        <v>0.2963933891965132</v>
      </c>
      <c r="K1402" s="317">
        <v>0</v>
      </c>
      <c r="L1402" s="349">
        <f ca="1">SUM(E1749:E1750)</f>
        <v>0</v>
      </c>
      <c r="O1402" s="367"/>
    </row>
    <row r="1403" spans="1:15" ht="15.75" customHeight="1" x14ac:dyDescent="0.2">
      <c r="A1403" s="317" t="s">
        <v>398</v>
      </c>
      <c r="B1403" s="344" t="s">
        <v>267</v>
      </c>
      <c r="C1403" s="446">
        <f ca="1">(N1372*C$730*Units!C$14)/Units!C$84</f>
        <v>3.3650664860305707E-3</v>
      </c>
      <c r="D1403" s="344" t="s">
        <v>435</v>
      </c>
      <c r="E1403" s="446">
        <f t="shared" ca="1" si="113"/>
        <v>3.4984349070169409E-4</v>
      </c>
      <c r="H1403" s="317" t="s">
        <v>1689</v>
      </c>
      <c r="I1403" s="638">
        <f ca="1">SUM(E1412:E1413)</f>
        <v>0</v>
      </c>
      <c r="J1403" s="638">
        <f ca="1">SUM(E1442:E1444)</f>
        <v>0</v>
      </c>
      <c r="K1403" s="317">
        <v>0</v>
      </c>
      <c r="L1403" s="349">
        <f ca="1">SUM(E1742:E1744)</f>
        <v>0</v>
      </c>
      <c r="O1403" s="367"/>
    </row>
    <row r="1404" spans="1:15" ht="15.75" customHeight="1" x14ac:dyDescent="0.2">
      <c r="A1404" s="317" t="s">
        <v>405</v>
      </c>
      <c r="B1404" s="344" t="s">
        <v>267</v>
      </c>
      <c r="C1404" s="446">
        <f ca="1">(N1373*C$730*Units!C$14)/Units!C$84</f>
        <v>18.677120479818161</v>
      </c>
      <c r="D1404" s="344" t="s">
        <v>435</v>
      </c>
      <c r="E1404" s="446">
        <f t="shared" ca="1" si="113"/>
        <v>1.9417354908262947</v>
      </c>
      <c r="H1404" s="318" t="s">
        <v>1693</v>
      </c>
      <c r="I1404" s="639">
        <f ca="1">SUM(E1414:E1415)</f>
        <v>11.420033686488107</v>
      </c>
      <c r="J1404" s="639">
        <f ca="1">SUM(E1445:E1448)</f>
        <v>0.41208618145847231</v>
      </c>
      <c r="K1404" s="318">
        <v>0</v>
      </c>
      <c r="L1404" s="357">
        <f ca="1">SUM(E1745:E1748)</f>
        <v>2.3176850356247296E-7</v>
      </c>
      <c r="O1404" s="367"/>
    </row>
    <row r="1405" spans="1:15" ht="15.75" customHeight="1" x14ac:dyDescent="0.2">
      <c r="A1405" s="317" t="s">
        <v>578</v>
      </c>
      <c r="B1405" s="344" t="s">
        <v>267</v>
      </c>
      <c r="C1405" s="446">
        <f ca="1">(N1374*C$730*Units!C$14)/Units!C$84</f>
        <v>8.5439353760020889E-2</v>
      </c>
      <c r="D1405" s="344" t="s">
        <v>435</v>
      </c>
      <c r="E1405" s="446">
        <f t="shared" ca="1" si="113"/>
        <v>8.8825590480268064E-3</v>
      </c>
      <c r="H1405" s="306" t="s">
        <v>409</v>
      </c>
      <c r="I1405" s="316"/>
      <c r="J1405" s="737">
        <f ca="1">E1451</f>
        <v>0</v>
      </c>
      <c r="K1405" s="316"/>
      <c r="L1405" s="349">
        <f ca="1">E1717</f>
        <v>0</v>
      </c>
      <c r="O1405" s="367"/>
    </row>
    <row r="1406" spans="1:15" ht="15.75" customHeight="1" x14ac:dyDescent="0.2">
      <c r="A1406" s="317" t="s">
        <v>420</v>
      </c>
      <c r="B1406" s="344" t="s">
        <v>267</v>
      </c>
      <c r="C1406" s="446">
        <f ca="1">(N1375*C$730*Units!C$14)/Units!C$84</f>
        <v>473.64244667697852</v>
      </c>
      <c r="D1406" s="344" t="s">
        <v>435</v>
      </c>
      <c r="E1406" s="446">
        <f t="shared" ca="1" si="113"/>
        <v>49.241442205626548</v>
      </c>
      <c r="H1406" s="306" t="s">
        <v>410</v>
      </c>
      <c r="I1406" s="317"/>
      <c r="J1406" s="638">
        <f t="shared" ref="J1406:J1411" ca="1" si="115">E1452</f>
        <v>0</v>
      </c>
      <c r="K1406" s="317"/>
      <c r="L1406" s="349">
        <f t="shared" ref="L1406:L1411" ca="1" si="116">E1718</f>
        <v>0</v>
      </c>
      <c r="O1406" s="367"/>
    </row>
    <row r="1407" spans="1:15" ht="15.75" customHeight="1" x14ac:dyDescent="0.2">
      <c r="A1407" s="317" t="s">
        <v>407</v>
      </c>
      <c r="B1407" s="344" t="s">
        <v>267</v>
      </c>
      <c r="C1407" s="446">
        <f ca="1">(N1376*C$730*Units!C$14)/Units!C$84</f>
        <v>5.0015855699837714E-3</v>
      </c>
      <c r="D1407" s="344" t="s">
        <v>435</v>
      </c>
      <c r="E1407" s="446">
        <f t="shared" ca="1" si="113"/>
        <v>5.1998145121654772E-4</v>
      </c>
      <c r="H1407" s="306" t="s">
        <v>412</v>
      </c>
      <c r="I1407" s="317"/>
      <c r="J1407" s="638">
        <f t="shared" ca="1" si="115"/>
        <v>1.7566821340413512</v>
      </c>
      <c r="K1407" s="317"/>
      <c r="L1407" s="349">
        <f t="shared" ca="1" si="116"/>
        <v>114.09637874631368</v>
      </c>
      <c r="O1407" s="367"/>
    </row>
    <row r="1408" spans="1:15" ht="15.75" customHeight="1" x14ac:dyDescent="0.2">
      <c r="A1408" s="317" t="s">
        <v>421</v>
      </c>
      <c r="B1408" s="344" t="s">
        <v>267</v>
      </c>
      <c r="C1408" s="446">
        <f ca="1">(N1377*C$730*Units!C$14)/Units!C$84</f>
        <v>27.700672389192444</v>
      </c>
      <c r="D1408" s="344" t="s">
        <v>435</v>
      </c>
      <c r="E1408" s="446">
        <f t="shared" ca="1" si="113"/>
        <v>2.8798539237334646</v>
      </c>
      <c r="H1408" s="306" t="s">
        <v>411</v>
      </c>
      <c r="I1408" s="638"/>
      <c r="J1408" s="638">
        <f t="shared" ca="1" si="115"/>
        <v>0</v>
      </c>
      <c r="K1408" s="317"/>
      <c r="L1408" s="349">
        <f t="shared" ca="1" si="116"/>
        <v>0</v>
      </c>
      <c r="O1408" s="367"/>
    </row>
    <row r="1409" spans="1:15" ht="15.75" customHeight="1" x14ac:dyDescent="0.2">
      <c r="A1409" s="317" t="s">
        <v>1686</v>
      </c>
      <c r="B1409" s="344" t="s">
        <v>267</v>
      </c>
      <c r="C1409" s="446">
        <f ca="1">(N1378*C$730*Units!C$14)/Units!C$84</f>
        <v>7.9951558012616086</v>
      </c>
      <c r="D1409" s="344" t="s">
        <v>435</v>
      </c>
      <c r="E1409" s="446">
        <f t="shared" ca="1" si="113"/>
        <v>0.8312029571566244</v>
      </c>
      <c r="H1409" s="306" t="s">
        <v>413</v>
      </c>
      <c r="I1409" s="317"/>
      <c r="J1409" s="638">
        <f t="shared" ca="1" si="115"/>
        <v>2.6816397715815605</v>
      </c>
      <c r="K1409" s="317"/>
      <c r="L1409" s="349">
        <f t="shared" ca="1" si="116"/>
        <v>199.85171284940535</v>
      </c>
      <c r="O1409" s="367"/>
    </row>
    <row r="1410" spans="1:15" ht="15.75" customHeight="1" x14ac:dyDescent="0.2">
      <c r="A1410" s="317" t="s">
        <v>1687</v>
      </c>
      <c r="B1410" s="344" t="s">
        <v>267</v>
      </c>
      <c r="C1410" s="446">
        <f ca="1">(N1379*C$730*Units!C$14)/Units!C$84</f>
        <v>4.1210087089639435E-7</v>
      </c>
      <c r="D1410" s="344" t="s">
        <v>435</v>
      </c>
      <c r="E1410" s="446">
        <f t="shared" ca="1" si="113"/>
        <v>4.2843375545208472E-8</v>
      </c>
      <c r="H1410" s="306" t="s">
        <v>414</v>
      </c>
      <c r="I1410" s="317"/>
      <c r="J1410" s="638">
        <f t="shared" ca="1" si="115"/>
        <v>1.7648741091177082E-2</v>
      </c>
      <c r="K1410" s="317"/>
      <c r="L1410" s="349">
        <f t="shared" ca="1" si="116"/>
        <v>1.5222073417303221</v>
      </c>
      <c r="O1410" s="367"/>
    </row>
    <row r="1411" spans="1:15" ht="15.75" customHeight="1" x14ac:dyDescent="0.2">
      <c r="A1411" s="317" t="s">
        <v>1164</v>
      </c>
      <c r="B1411" s="344" t="s">
        <v>267</v>
      </c>
      <c r="C1411" s="446">
        <f ca="1">(N1380*C$730*Units!C$14)/Units!C$84</f>
        <v>0</v>
      </c>
      <c r="D1411" s="344" t="s">
        <v>435</v>
      </c>
      <c r="E1411" s="446">
        <f t="shared" ca="1" si="113"/>
        <v>0</v>
      </c>
      <c r="H1411" s="306" t="s">
        <v>415</v>
      </c>
      <c r="I1411" s="318"/>
      <c r="J1411" s="639">
        <f t="shared" ca="1" si="115"/>
        <v>0.72087407392078895</v>
      </c>
      <c r="K1411" s="318"/>
      <c r="L1411" s="349">
        <f t="shared" ca="1" si="116"/>
        <v>66.657427272461277</v>
      </c>
      <c r="O1411" s="367"/>
    </row>
    <row r="1412" spans="1:15" ht="15.75" customHeight="1" x14ac:dyDescent="0.2">
      <c r="A1412" s="317" t="s">
        <v>1688</v>
      </c>
      <c r="B1412" s="344" t="s">
        <v>267</v>
      </c>
      <c r="C1412" s="446">
        <f ca="1">(N1381*C$730*Units!C$14)/Units!C$84</f>
        <v>0</v>
      </c>
      <c r="D1412" s="344" t="s">
        <v>435</v>
      </c>
      <c r="E1412" s="446">
        <f t="shared" ca="1" si="113"/>
        <v>0</v>
      </c>
      <c r="H1412" s="377" t="s">
        <v>1764</v>
      </c>
      <c r="I1412" s="440">
        <f ca="1">E1392-I1413</f>
        <v>18.402602611547159</v>
      </c>
      <c r="J1412" s="440">
        <f ca="1">E1423-J1413-J1414</f>
        <v>96.177095069124391</v>
      </c>
      <c r="K1412" s="440">
        <f ca="1">(SUM(I1512:I1527)/1000-K1413)</f>
        <v>0</v>
      </c>
      <c r="L1412" s="440">
        <f ca="1">E1716-L1413-L1414</f>
        <v>0.63603803999585651</v>
      </c>
      <c r="O1412" s="367"/>
    </row>
    <row r="1413" spans="1:15" ht="15.75" customHeight="1" x14ac:dyDescent="0.2">
      <c r="A1413" s="317" t="s">
        <v>1689</v>
      </c>
      <c r="B1413" s="344" t="s">
        <v>267</v>
      </c>
      <c r="C1413" s="446">
        <f ca="1">(N1382*C$730*Units!C$14)/Units!C$84</f>
        <v>0</v>
      </c>
      <c r="D1413" s="344" t="s">
        <v>435</v>
      </c>
      <c r="E1413" s="446">
        <f t="shared" ca="1" si="113"/>
        <v>0</v>
      </c>
      <c r="H1413" s="377" t="s">
        <v>1897</v>
      </c>
      <c r="I1413" s="640">
        <f ca="1">SUM(C1393:C1408)/Units!C15</f>
        <v>0.83495118304328364</v>
      </c>
      <c r="J1413" s="440">
        <f ca="1">SUM(E1424:E1439)/Units!C15</f>
        <v>5.4970591072021208E-3</v>
      </c>
      <c r="K1413" s="440">
        <f ca="1">SUM(I1512:I1527)/Units!C15</f>
        <v>0.74938534942185564</v>
      </c>
      <c r="L1413" s="640">
        <f ca="1">C1709/Units!C15</f>
        <v>0.15935770525414283</v>
      </c>
      <c r="O1413" s="367"/>
    </row>
    <row r="1414" spans="1:15" ht="15.75" customHeight="1" x14ac:dyDescent="0.2">
      <c r="A1414" s="317" t="s">
        <v>1690</v>
      </c>
      <c r="B1414" s="344" t="s">
        <v>267</v>
      </c>
      <c r="C1414" s="446">
        <f ca="1">(N1383*C$730*Units!C$14)/Units!C$84</f>
        <v>102.49754168925072</v>
      </c>
      <c r="D1414" s="344" t="s">
        <v>435</v>
      </c>
      <c r="E1414" s="446">
        <f t="shared" ca="1" si="113"/>
        <v>10.655984932769654</v>
      </c>
      <c r="H1414" s="738" t="s">
        <v>1962</v>
      </c>
      <c r="I1414" s="377"/>
      <c r="J1414" s="440">
        <f ca="1">SUM(E1451:E1457)/Units!C15</f>
        <v>5.176844720634878E-3</v>
      </c>
      <c r="K1414" s="377"/>
      <c r="L1414" s="640">
        <f ca="1">C1708/Units!C15</f>
        <v>0.24538393267007624</v>
      </c>
      <c r="O1414" s="367"/>
    </row>
    <row r="1415" spans="1:15" ht="15.75" customHeight="1" x14ac:dyDescent="0.2">
      <c r="A1415" s="317" t="s">
        <v>1691</v>
      </c>
      <c r="B1415" s="344" t="s">
        <v>267</v>
      </c>
      <c r="C1415" s="446">
        <f ca="1">(N1384*C$730*Units!C$14)/Units!C$84</f>
        <v>7.349214500674262</v>
      </c>
      <c r="D1415" s="344" t="s">
        <v>435</v>
      </c>
      <c r="E1415" s="446">
        <f t="shared" ca="1" si="113"/>
        <v>0.76404875371845293</v>
      </c>
      <c r="H1415" s="476" t="s">
        <v>1997</v>
      </c>
      <c r="I1415" s="748">
        <f ca="1">I1413/I$1412</f>
        <v>4.5371364076479771E-2</v>
      </c>
      <c r="J1415" s="749">
        <f ca="1">J1413/J$1412</f>
        <v>5.7155595136776331E-5</v>
      </c>
      <c r="K1415" s="750">
        <f ca="1">K1413/K1413</f>
        <v>1</v>
      </c>
      <c r="L1415" s="751">
        <f ca="1">L1413/L$1412</f>
        <v>0.25054744407296925</v>
      </c>
      <c r="O1415" s="367"/>
    </row>
    <row r="1416" spans="1:15" ht="15.75" customHeight="1" x14ac:dyDescent="0.2">
      <c r="A1416" s="317" t="s">
        <v>1692</v>
      </c>
      <c r="B1416" s="344" t="s">
        <v>267</v>
      </c>
      <c r="C1416" s="446">
        <f ca="1">(N1385*C$730*Units!C$14)/Units!C$84</f>
        <v>4.4843005194236337E-6</v>
      </c>
      <c r="D1416" s="344" t="s">
        <v>435</v>
      </c>
      <c r="E1416" s="446">
        <f t="shared" ca="1" si="113"/>
        <v>4.6620277892967959E-7</v>
      </c>
      <c r="H1416" s="377" t="s">
        <v>1998</v>
      </c>
      <c r="I1416" s="642">
        <f ca="1">I1414/I$1412</f>
        <v>0</v>
      </c>
      <c r="J1416" s="752">
        <f ca="1">J1414/J$1412</f>
        <v>5.3826170533786415E-5</v>
      </c>
      <c r="K1416" s="642">
        <f ca="1">K1414/K1413</f>
        <v>0</v>
      </c>
      <c r="L1416" s="641">
        <f ca="1">L1414/L$1412</f>
        <v>0.3858007182584155</v>
      </c>
      <c r="O1416" s="367"/>
    </row>
    <row r="1417" spans="1:15" ht="15.75" customHeight="1" x14ac:dyDescent="0.2">
      <c r="A1417" s="317" t="s">
        <v>1693</v>
      </c>
      <c r="B1417" s="344" t="s">
        <v>267</v>
      </c>
      <c r="C1417" s="446">
        <f ca="1">(N1386*C$730*Units!C$14)/Units!C$84</f>
        <v>9.2704411638468056E-18</v>
      </c>
      <c r="D1417" s="344" t="s">
        <v>435</v>
      </c>
      <c r="E1417" s="446">
        <f t="shared" ca="1" si="113"/>
        <v>9.6378585997286534E-19</v>
      </c>
      <c r="O1417" s="367"/>
    </row>
    <row r="1418" spans="1:15" ht="15.75" customHeight="1" x14ac:dyDescent="0.2">
      <c r="A1418" s="317" t="s">
        <v>1678</v>
      </c>
      <c r="B1418" s="344" t="s">
        <v>267</v>
      </c>
      <c r="C1418" s="446">
        <f ca="1">(N1387*C$730*Units!C$14)/Units!C$84</f>
        <v>0.14348260360204099</v>
      </c>
      <c r="D1418" s="344" t="s">
        <v>435</v>
      </c>
      <c r="E1418" s="446">
        <f t="shared" ca="1" si="113"/>
        <v>1.4916928122367406E-2</v>
      </c>
      <c r="O1418" s="367"/>
    </row>
    <row r="1419" spans="1:15" ht="15.75" customHeight="1" x14ac:dyDescent="0.2">
      <c r="A1419" s="318" t="s">
        <v>482</v>
      </c>
      <c r="B1419" s="347" t="s">
        <v>267</v>
      </c>
      <c r="C1419" s="464">
        <f ca="1">(N1388*C$730*Units!C$14)/Units!C$84</f>
        <v>7.4439400080516901E-10</v>
      </c>
      <c r="D1419" s="347" t="s">
        <v>435</v>
      </c>
      <c r="E1419" s="464">
        <f t="shared" ca="1" si="113"/>
        <v>7.7389673214532189E-11</v>
      </c>
      <c r="O1419" s="367"/>
    </row>
    <row r="1420" spans="1:15" ht="15.75" customHeight="1" x14ac:dyDescent="0.2">
      <c r="A1420" s="375"/>
      <c r="B1420" s="172"/>
      <c r="C1420" s="472"/>
      <c r="D1420" s="172"/>
      <c r="E1420" s="472"/>
      <c r="O1420" s="367"/>
    </row>
    <row r="1421" spans="1:15" ht="15.75" customHeight="1" x14ac:dyDescent="0.2">
      <c r="A1421" s="753" t="s">
        <v>1961</v>
      </c>
      <c r="B1421" s="754"/>
      <c r="C1421" s="755"/>
      <c r="D1421" s="754"/>
      <c r="E1421" s="756"/>
      <c r="O1421" s="367"/>
    </row>
    <row r="1422" spans="1:15" ht="15.75" customHeight="1" x14ac:dyDescent="0.2">
      <c r="A1422" s="373" t="s">
        <v>580</v>
      </c>
      <c r="B1422" s="373" t="s">
        <v>372</v>
      </c>
      <c r="C1422" s="373" t="s">
        <v>42</v>
      </c>
      <c r="D1422" s="374" t="s">
        <v>372</v>
      </c>
      <c r="E1422" s="373" t="s">
        <v>42</v>
      </c>
      <c r="O1422" s="367"/>
    </row>
    <row r="1423" spans="1:15" ht="15.75" customHeight="1" x14ac:dyDescent="0.2">
      <c r="A1423" s="373" t="s">
        <v>536</v>
      </c>
      <c r="B1423" s="455" t="s">
        <v>391</v>
      </c>
      <c r="C1423" s="757">
        <f ca="1">E1202</f>
        <v>96187.768972952224</v>
      </c>
      <c r="D1423" s="433" t="s">
        <v>444</v>
      </c>
      <c r="E1423" s="758">
        <f ca="1">C1423/Units!C14</f>
        <v>96.187768972952227</v>
      </c>
      <c r="O1423" s="367"/>
    </row>
    <row r="1424" spans="1:15" ht="15.75" customHeight="1" x14ac:dyDescent="0.2">
      <c r="A1424" s="316" t="s">
        <v>393</v>
      </c>
      <c r="B1424" s="342" t="s">
        <v>267</v>
      </c>
      <c r="C1424" s="471">
        <f ca="1">J1362*C$1423/Units!C$15</f>
        <v>19.064317211563282</v>
      </c>
      <c r="D1424" s="342" t="s">
        <v>435</v>
      </c>
      <c r="E1424" s="461">
        <f ca="1">C1424/E$1423</f>
        <v>0.19819897493333194</v>
      </c>
      <c r="O1424" s="367"/>
    </row>
    <row r="1425" spans="1:15" ht="15.75" customHeight="1" x14ac:dyDescent="0.2">
      <c r="A1425" s="317" t="s">
        <v>400</v>
      </c>
      <c r="B1425" s="344" t="s">
        <v>267</v>
      </c>
      <c r="C1425" s="472">
        <f ca="1">J1363*C$1423/Units!C$15</f>
        <v>1.0655845587287995</v>
      </c>
      <c r="D1425" s="344" t="s">
        <v>435</v>
      </c>
      <c r="E1425" s="446">
        <f t="shared" ref="E1425:E1457" ca="1" si="117">C1425/E$1423</f>
        <v>1.1078171061732801E-2</v>
      </c>
      <c r="O1425" s="367"/>
    </row>
    <row r="1426" spans="1:15" ht="15.75" customHeight="1" x14ac:dyDescent="0.2">
      <c r="A1426" s="317" t="s">
        <v>394</v>
      </c>
      <c r="B1426" s="344" t="s">
        <v>267</v>
      </c>
      <c r="C1426" s="472">
        <f ca="1">J1364*C$1423/Units!C$15</f>
        <v>61.175646564400381</v>
      </c>
      <c r="D1426" s="344" t="s">
        <v>435</v>
      </c>
      <c r="E1426" s="446">
        <f t="shared" ca="1" si="117"/>
        <v>0.63600234434798908</v>
      </c>
      <c r="O1426" s="367"/>
    </row>
    <row r="1427" spans="1:15" ht="15.75" customHeight="1" x14ac:dyDescent="0.2">
      <c r="A1427" s="317" t="s">
        <v>401</v>
      </c>
      <c r="B1427" s="344" t="s">
        <v>267</v>
      </c>
      <c r="C1427" s="472">
        <f ca="1">J1365*C$1423/Units!C$15</f>
        <v>3.4083205605246643</v>
      </c>
      <c r="D1427" s="344" t="s">
        <v>435</v>
      </c>
      <c r="E1427" s="446">
        <f t="shared" ca="1" si="117"/>
        <v>3.5434032797694644E-2</v>
      </c>
      <c r="O1427" s="367"/>
    </row>
    <row r="1428" spans="1:15" ht="15.75" customHeight="1" x14ac:dyDescent="0.2">
      <c r="A1428" s="317" t="s">
        <v>396</v>
      </c>
      <c r="B1428" s="344" t="s">
        <v>267</v>
      </c>
      <c r="C1428" s="472">
        <f ca="1">J1366*C$1423/Units!C$15</f>
        <v>40.525595803441647</v>
      </c>
      <c r="D1428" s="344" t="s">
        <v>435</v>
      </c>
      <c r="E1428" s="446">
        <f t="shared" ca="1" si="117"/>
        <v>0.4213175566514839</v>
      </c>
      <c r="O1428" s="367"/>
    </row>
    <row r="1429" spans="1:15" ht="15.75" customHeight="1" x14ac:dyDescent="0.2">
      <c r="A1429" s="317" t="s">
        <v>402</v>
      </c>
      <c r="B1429" s="344" t="s">
        <v>267</v>
      </c>
      <c r="C1429" s="472">
        <f ca="1">J1367*C$1423/Units!C$15</f>
        <v>2.2528716750996405</v>
      </c>
      <c r="D1429" s="344" t="s">
        <v>435</v>
      </c>
      <c r="E1429" s="446">
        <f t="shared" ca="1" si="117"/>
        <v>2.3421602342530084E-2</v>
      </c>
      <c r="O1429" s="367"/>
    </row>
    <row r="1430" spans="1:15" ht="15.75" customHeight="1" x14ac:dyDescent="0.2">
      <c r="A1430" s="317" t="s">
        <v>395</v>
      </c>
      <c r="B1430" s="344" t="s">
        <v>267</v>
      </c>
      <c r="C1430" s="472">
        <f ca="1">J1368*C$1423/Units!C$15</f>
        <v>0</v>
      </c>
      <c r="D1430" s="344" t="s">
        <v>435</v>
      </c>
      <c r="E1430" s="446">
        <f t="shared" ca="1" si="117"/>
        <v>0</v>
      </c>
      <c r="O1430" s="367"/>
    </row>
    <row r="1431" spans="1:15" ht="15.75" customHeight="1" x14ac:dyDescent="0.2">
      <c r="A1431" s="317" t="s">
        <v>403</v>
      </c>
      <c r="B1431" s="344" t="s">
        <v>267</v>
      </c>
      <c r="C1431" s="472">
        <f ca="1">J1369*C$1423/Units!C$15</f>
        <v>0</v>
      </c>
      <c r="D1431" s="344" t="s">
        <v>435</v>
      </c>
      <c r="E1431" s="446">
        <f t="shared" ca="1" si="117"/>
        <v>0</v>
      </c>
      <c r="O1431" s="367"/>
    </row>
    <row r="1432" spans="1:15" ht="15.75" customHeight="1" x14ac:dyDescent="0.2">
      <c r="A1432" s="317" t="s">
        <v>397</v>
      </c>
      <c r="B1432" s="344" t="s">
        <v>267</v>
      </c>
      <c r="C1432" s="472">
        <f ca="1">J1370*C$1423/Units!C$15</f>
        <v>68.099075459841885</v>
      </c>
      <c r="D1432" s="344" t="s">
        <v>435</v>
      </c>
      <c r="E1432" s="446">
        <f t="shared" ca="1" si="117"/>
        <v>0.70798061112105826</v>
      </c>
      <c r="O1432" s="367"/>
    </row>
    <row r="1433" spans="1:15" ht="15.75" customHeight="1" x14ac:dyDescent="0.2">
      <c r="A1433" s="317" t="s">
        <v>404</v>
      </c>
      <c r="B1433" s="344" t="s">
        <v>267</v>
      </c>
      <c r="C1433" s="472">
        <f ca="1">J1371*C$1423/Units!C$15</f>
        <v>3.7797013586736559</v>
      </c>
      <c r="D1433" s="344" t="s">
        <v>435</v>
      </c>
      <c r="E1433" s="446">
        <f t="shared" ca="1" si="117"/>
        <v>3.929503094864898E-2</v>
      </c>
      <c r="O1433" s="367"/>
    </row>
    <row r="1434" spans="1:15" ht="15.75" customHeight="1" x14ac:dyDescent="0.2">
      <c r="A1434" s="317" t="s">
        <v>398</v>
      </c>
      <c r="B1434" s="344" t="s">
        <v>267</v>
      </c>
      <c r="C1434" s="472">
        <f ca="1">J1372*C$1423/Units!C$15</f>
        <v>11.207402690554702</v>
      </c>
      <c r="D1434" s="344" t="s">
        <v>435</v>
      </c>
      <c r="E1434" s="446">
        <f t="shared" ca="1" si="117"/>
        <v>0.11651588149119246</v>
      </c>
      <c r="O1434" s="367"/>
    </row>
    <row r="1435" spans="1:15" ht="15.75" customHeight="1" x14ac:dyDescent="0.2">
      <c r="A1435" s="317" t="s">
        <v>405</v>
      </c>
      <c r="B1435" s="344" t="s">
        <v>267</v>
      </c>
      <c r="C1435" s="472">
        <f ca="1">J1373*C$1423/Units!C$15</f>
        <v>0.6220442038405134</v>
      </c>
      <c r="D1435" s="344" t="s">
        <v>435</v>
      </c>
      <c r="E1435" s="446">
        <f t="shared" ca="1" si="117"/>
        <v>6.4669781873767209E-3</v>
      </c>
      <c r="O1435" s="367"/>
    </row>
    <row r="1436" spans="1:15" ht="15.75" customHeight="1" x14ac:dyDescent="0.2">
      <c r="A1436" s="317" t="s">
        <v>578</v>
      </c>
      <c r="B1436" s="344" t="s">
        <v>267</v>
      </c>
      <c r="C1436" s="472">
        <f ca="1">J1374*C$1423/Units!C$15</f>
        <v>284.23220531126282</v>
      </c>
      <c r="D1436" s="344" t="s">
        <v>435</v>
      </c>
      <c r="E1436" s="446">
        <f t="shared" ca="1" si="117"/>
        <v>2.95497242888738</v>
      </c>
      <c r="O1436" s="367"/>
    </row>
    <row r="1437" spans="1:15" ht="15.75" customHeight="1" x14ac:dyDescent="0.2">
      <c r="A1437" s="317" t="s">
        <v>420</v>
      </c>
      <c r="B1437" s="344" t="s">
        <v>267</v>
      </c>
      <c r="C1437" s="472">
        <f ca="1">J1375*C$1423/Units!C$15</f>
        <v>15.756724650112414</v>
      </c>
      <c r="D1437" s="344" t="s">
        <v>435</v>
      </c>
      <c r="E1437" s="446">
        <f t="shared" ca="1" si="117"/>
        <v>0.16381214387603862</v>
      </c>
      <c r="O1437" s="367"/>
    </row>
    <row r="1438" spans="1:15" ht="15.75" customHeight="1" x14ac:dyDescent="0.2">
      <c r="A1438" s="317" t="s">
        <v>407</v>
      </c>
      <c r="B1438" s="344" t="s">
        <v>267</v>
      </c>
      <c r="C1438" s="472">
        <f ca="1">J1376*C$1423/Units!C$15</f>
        <v>16.638839528239536</v>
      </c>
      <c r="D1438" s="344" t="s">
        <v>435</v>
      </c>
      <c r="E1438" s="446">
        <f t="shared" ca="1" si="117"/>
        <v>0.17298290318926451</v>
      </c>
      <c r="O1438" s="367"/>
    </row>
    <row r="1439" spans="1:15" ht="15.75" customHeight="1" x14ac:dyDescent="0.2">
      <c r="A1439" s="317" t="s">
        <v>421</v>
      </c>
      <c r="B1439" s="344" t="s">
        <v>267</v>
      </c>
      <c r="C1439" s="472">
        <f ca="1">J1377*C$1423/Units!C$15</f>
        <v>0.92152185793674912</v>
      </c>
      <c r="D1439" s="344" t="s">
        <v>435</v>
      </c>
      <c r="E1439" s="446">
        <f t="shared" ca="1" si="117"/>
        <v>9.580447366399349E-3</v>
      </c>
      <c r="O1439" s="367"/>
    </row>
    <row r="1440" spans="1:15" ht="15.75" customHeight="1" x14ac:dyDescent="0.2">
      <c r="A1440" s="317" t="s">
        <v>1686</v>
      </c>
      <c r="B1440" s="344" t="s">
        <v>267</v>
      </c>
      <c r="C1440" s="472">
        <f ca="1">J1378*C$1423/Units!C$15</f>
        <v>10.613262240701108</v>
      </c>
      <c r="D1440" s="344" t="s">
        <v>435</v>
      </c>
      <c r="E1440" s="446">
        <f t="shared" ca="1" si="117"/>
        <v>0.11033899999994315</v>
      </c>
      <c r="O1440" s="367"/>
    </row>
    <row r="1441" spans="1:15" ht="15.75" customHeight="1" x14ac:dyDescent="0.2">
      <c r="A1441" s="317" t="s">
        <v>1687</v>
      </c>
      <c r="B1441" s="344" t="s">
        <v>267</v>
      </c>
      <c r="C1441" s="472">
        <f ca="1">J1379*C$1423/Units!C$15</f>
        <v>5.4704807775660536E-12</v>
      </c>
      <c r="D1441" s="344" t="s">
        <v>435</v>
      </c>
      <c r="E1441" s="446">
        <f t="shared" ca="1" si="117"/>
        <v>5.6872935467547228E-14</v>
      </c>
      <c r="O1441" s="367"/>
    </row>
    <row r="1442" spans="1:15" ht="15.75" customHeight="1" x14ac:dyDescent="0.2">
      <c r="A1442" s="317" t="s">
        <v>1164</v>
      </c>
      <c r="B1442" s="344" t="s">
        <v>267</v>
      </c>
      <c r="C1442" s="472">
        <f ca="1">J1380*C$1423/Units!C$15</f>
        <v>0</v>
      </c>
      <c r="D1442" s="344" t="s">
        <v>435</v>
      </c>
      <c r="E1442" s="446">
        <f t="shared" ca="1" si="117"/>
        <v>0</v>
      </c>
      <c r="O1442" s="367"/>
    </row>
    <row r="1443" spans="1:15" ht="15.75" customHeight="1" x14ac:dyDescent="0.2">
      <c r="A1443" s="317" t="s">
        <v>1688</v>
      </c>
      <c r="B1443" s="344" t="s">
        <v>267</v>
      </c>
      <c r="C1443" s="472">
        <f ca="1">J1381*C$1423/Units!C$15</f>
        <v>0</v>
      </c>
      <c r="D1443" s="344" t="s">
        <v>435</v>
      </c>
      <c r="E1443" s="446">
        <f t="shared" ca="1" si="117"/>
        <v>0</v>
      </c>
      <c r="O1443" s="367"/>
    </row>
    <row r="1444" spans="1:15" ht="15.75" customHeight="1" x14ac:dyDescent="0.2">
      <c r="A1444" s="317" t="s">
        <v>1689</v>
      </c>
      <c r="B1444" s="344" t="s">
        <v>267</v>
      </c>
      <c r="C1444" s="472">
        <f ca="1">J1382*C$1423/Units!C$15</f>
        <v>0</v>
      </c>
      <c r="D1444" s="344" t="s">
        <v>435</v>
      </c>
      <c r="E1444" s="446">
        <f t="shared" ca="1" si="117"/>
        <v>0</v>
      </c>
      <c r="O1444" s="367"/>
    </row>
    <row r="1445" spans="1:15" ht="15.75" customHeight="1" x14ac:dyDescent="0.2">
      <c r="A1445" s="317" t="s">
        <v>1690</v>
      </c>
      <c r="B1445" s="344" t="s">
        <v>267</v>
      </c>
      <c r="C1445" s="472">
        <f ca="1">J1383*C$1423/Units!C$15</f>
        <v>5.2095574294997648E-3</v>
      </c>
      <c r="D1445" s="344" t="s">
        <v>435</v>
      </c>
      <c r="E1445" s="446">
        <f t="shared" ca="1" si="117"/>
        <v>5.4160289661824674E-5</v>
      </c>
      <c r="O1445" s="367"/>
    </row>
    <row r="1446" spans="1:15" ht="15.75" customHeight="1" x14ac:dyDescent="0.2">
      <c r="A1446" s="317" t="s">
        <v>1691</v>
      </c>
      <c r="B1446" s="344" t="s">
        <v>267</v>
      </c>
      <c r="C1446" s="472">
        <f ca="1">J1384*C$1423/Units!C$15</f>
        <v>37.353242206578933</v>
      </c>
      <c r="D1446" s="344" t="s">
        <v>435</v>
      </c>
      <c r="E1446" s="446">
        <f t="shared" ca="1" si="117"/>
        <v>0.38833671479668663</v>
      </c>
      <c r="O1446" s="367"/>
    </row>
    <row r="1447" spans="1:15" ht="15.75" customHeight="1" x14ac:dyDescent="0.2">
      <c r="A1447" s="317" t="s">
        <v>1692</v>
      </c>
      <c r="B1447" s="344" t="s">
        <v>267</v>
      </c>
      <c r="C1447" s="472">
        <f ca="1">J1385*C$1423/Units!C$15</f>
        <v>2.2791981838841577</v>
      </c>
      <c r="D1447" s="344" t="s">
        <v>435</v>
      </c>
      <c r="E1447" s="446">
        <f t="shared" ca="1" si="117"/>
        <v>2.3695301473569502E-2</v>
      </c>
      <c r="O1447" s="367"/>
    </row>
    <row r="1448" spans="1:15" ht="15.75" customHeight="1" x14ac:dyDescent="0.2">
      <c r="A1448" s="317" t="s">
        <v>1693</v>
      </c>
      <c r="B1448" s="344" t="s">
        <v>267</v>
      </c>
      <c r="C1448" s="472">
        <f ca="1">J1386*C$1423/Units!C$15</f>
        <v>4.7118101413864086E-7</v>
      </c>
      <c r="D1448" s="344" t="s">
        <v>435</v>
      </c>
      <c r="E1448" s="446">
        <f t="shared" ca="1" si="117"/>
        <v>4.8985543502015921E-9</v>
      </c>
      <c r="O1448" s="367"/>
    </row>
    <row r="1449" spans="1:15" ht="15.75" customHeight="1" x14ac:dyDescent="0.2">
      <c r="A1449" s="317" t="s">
        <v>1678</v>
      </c>
      <c r="B1449" s="344" t="s">
        <v>267</v>
      </c>
      <c r="C1449" s="472">
        <f ca="1">J1387*C$1423/Units!C$15</f>
        <v>28.494635703954824</v>
      </c>
      <c r="D1449" s="344" t="s">
        <v>435</v>
      </c>
      <c r="E1449" s="446">
        <f t="shared" ca="1" si="117"/>
        <v>0.29623969874971784</v>
      </c>
      <c r="O1449" s="367"/>
    </row>
    <row r="1450" spans="1:15" ht="15.75" customHeight="1" x14ac:dyDescent="0.2">
      <c r="A1450" s="317" t="s">
        <v>482</v>
      </c>
      <c r="B1450" s="344" t="s">
        <v>267</v>
      </c>
      <c r="C1450" s="472">
        <f ca="1">J1388*C$1423/Units!C$15</f>
        <v>1.4783141189703839E-2</v>
      </c>
      <c r="D1450" s="344" t="s">
        <v>435</v>
      </c>
      <c r="E1450" s="446">
        <f t="shared" ca="1" si="117"/>
        <v>1.5369044679538024E-4</v>
      </c>
      <c r="O1450" s="367"/>
    </row>
    <row r="1451" spans="1:15" ht="15.75" customHeight="1" x14ac:dyDescent="0.2">
      <c r="A1451" s="306" t="s">
        <v>409</v>
      </c>
      <c r="B1451" s="344" t="s">
        <v>267</v>
      </c>
      <c r="C1451" s="472">
        <f ca="1">E1221*C$1423/Units!C$47</f>
        <v>0</v>
      </c>
      <c r="D1451" s="344" t="s">
        <v>435</v>
      </c>
      <c r="E1451" s="446">
        <f t="shared" ca="1" si="117"/>
        <v>0</v>
      </c>
      <c r="O1451" s="367"/>
    </row>
    <row r="1452" spans="1:15" ht="15.75" customHeight="1" x14ac:dyDescent="0.2">
      <c r="A1452" s="306" t="s">
        <v>410</v>
      </c>
      <c r="B1452" s="344" t="s">
        <v>267</v>
      </c>
      <c r="C1452" s="472">
        <f ca="1">E1222*C$1423/Units!C$47</f>
        <v>0</v>
      </c>
      <c r="D1452" s="344" t="s">
        <v>435</v>
      </c>
      <c r="E1452" s="446">
        <f t="shared" ca="1" si="117"/>
        <v>0</v>
      </c>
      <c r="O1452" s="367"/>
    </row>
    <row r="1453" spans="1:15" ht="15.75" customHeight="1" x14ac:dyDescent="0.2">
      <c r="A1453" s="306" t="s">
        <v>412</v>
      </c>
      <c r="B1453" s="344" t="s">
        <v>267</v>
      </c>
      <c r="C1453" s="472">
        <f ca="1">E1223*C$1423/Units!C$47</f>
        <v>168.97133526808219</v>
      </c>
      <c r="D1453" s="344" t="s">
        <v>435</v>
      </c>
      <c r="E1453" s="446">
        <f t="shared" ca="1" si="117"/>
        <v>1.7566821340413512</v>
      </c>
      <c r="O1453" s="367"/>
    </row>
    <row r="1454" spans="1:15" ht="15.75" customHeight="1" x14ac:dyDescent="0.2">
      <c r="A1454" s="306" t="s">
        <v>411</v>
      </c>
      <c r="B1454" s="344" t="s">
        <v>267</v>
      </c>
      <c r="C1454" s="472">
        <f ca="1">E1224*C$1423/Units!C$47</f>
        <v>0</v>
      </c>
      <c r="D1454" s="344" t="s">
        <v>435</v>
      </c>
      <c r="E1454" s="446">
        <f t="shared" ca="1" si="117"/>
        <v>0</v>
      </c>
      <c r="O1454" s="367"/>
    </row>
    <row r="1455" spans="1:15" ht="15.75" customHeight="1" x14ac:dyDescent="0.2">
      <c r="A1455" s="306" t="s">
        <v>413</v>
      </c>
      <c r="B1455" s="344" t="s">
        <v>267</v>
      </c>
      <c r="C1455" s="472">
        <f ca="1">E1225*C$1423/Units!C$47</f>
        <v>257.94094681756752</v>
      </c>
      <c r="D1455" s="344" t="s">
        <v>435</v>
      </c>
      <c r="E1455" s="446">
        <f t="shared" ca="1" si="117"/>
        <v>2.6816397715815605</v>
      </c>
      <c r="O1455" s="367"/>
    </row>
    <row r="1456" spans="1:15" ht="15.75" customHeight="1" x14ac:dyDescent="0.2">
      <c r="A1456" s="306" t="s">
        <v>414</v>
      </c>
      <c r="B1456" s="344" t="s">
        <v>267</v>
      </c>
      <c r="C1456" s="472">
        <f ca="1">E1226*C$1423/Units!C$47</f>
        <v>1.6975930307415898</v>
      </c>
      <c r="D1456" s="344" t="s">
        <v>435</v>
      </c>
      <c r="E1456" s="446">
        <f t="shared" ca="1" si="117"/>
        <v>1.7648741091177082E-2</v>
      </c>
      <c r="O1456" s="367"/>
    </row>
    <row r="1457" spans="1:15" ht="15.75" customHeight="1" x14ac:dyDescent="0.2">
      <c r="A1457" s="307" t="s">
        <v>415</v>
      </c>
      <c r="B1457" s="347" t="s">
        <v>267</v>
      </c>
      <c r="C1457" s="416">
        <f ca="1">E1227*C$1423/Units!C$47</f>
        <v>69.339268880883736</v>
      </c>
      <c r="D1457" s="347" t="s">
        <v>435</v>
      </c>
      <c r="E1457" s="464">
        <f t="shared" ca="1" si="117"/>
        <v>0.72087407392078895</v>
      </c>
      <c r="O1457" s="367"/>
    </row>
    <row r="1458" spans="1:15" ht="15.75" customHeight="1" x14ac:dyDescent="0.2">
      <c r="B1458" s="172"/>
      <c r="C1458" s="472"/>
      <c r="D1458" s="172"/>
      <c r="E1458" s="472"/>
      <c r="O1458" s="367"/>
    </row>
    <row r="1459" spans="1:15" ht="15.75" customHeight="1" x14ac:dyDescent="0.2">
      <c r="A1459" s="1516" t="s">
        <v>2778</v>
      </c>
      <c r="B1459" s="1516"/>
      <c r="C1459" s="472"/>
      <c r="D1459" s="172"/>
      <c r="E1459" s="472"/>
      <c r="O1459" s="367"/>
    </row>
    <row r="1460" spans="1:15" ht="15.75" customHeight="1" x14ac:dyDescent="0.2">
      <c r="A1460" s="440">
        <f ca="1">E1392*C1251</f>
        <v>192.37553794590443</v>
      </c>
      <c r="B1460" s="368" t="s">
        <v>267</v>
      </c>
      <c r="C1460" s="472"/>
      <c r="D1460" s="172"/>
      <c r="E1460" s="472"/>
      <c r="O1460" s="367"/>
    </row>
    <row r="1461" spans="1:15" ht="15.75" customHeight="1" x14ac:dyDescent="0.2">
      <c r="A1461" s="414"/>
      <c r="B1461" s="178"/>
      <c r="C1461" s="415"/>
      <c r="D1461" s="178"/>
      <c r="E1461" s="416"/>
      <c r="F1461" s="248"/>
      <c r="G1461" s="248"/>
      <c r="H1461" s="248"/>
      <c r="I1461" s="248"/>
      <c r="J1461" s="248"/>
      <c r="K1461" s="248"/>
      <c r="L1461" s="248"/>
      <c r="M1461" s="248"/>
      <c r="N1461" s="248"/>
      <c r="O1461" s="369"/>
    </row>
    <row r="1462" spans="1:15" ht="15.75" customHeight="1" x14ac:dyDescent="0.2"/>
    <row r="1463" spans="1:15" ht="15.75" customHeight="1" thickBot="1" x14ac:dyDescent="0.25"/>
    <row r="1464" spans="1:15" ht="46" customHeight="1" thickBot="1" x14ac:dyDescent="0.25">
      <c r="A1464" s="2061" t="s">
        <v>1725</v>
      </c>
      <c r="B1464" s="644"/>
      <c r="C1464" s="644"/>
      <c r="D1464" s="644"/>
      <c r="E1464" s="645"/>
      <c r="F1464" s="645"/>
      <c r="G1464" s="645"/>
      <c r="H1464" s="645"/>
      <c r="I1464" s="646"/>
    </row>
    <row r="1465" spans="1:15" ht="15.75" customHeight="1" x14ac:dyDescent="0.2">
      <c r="A1465" s="373" t="s">
        <v>580</v>
      </c>
      <c r="B1465" s="373" t="s">
        <v>372</v>
      </c>
      <c r="C1465" s="373" t="s">
        <v>42</v>
      </c>
      <c r="D1465" s="374" t="s">
        <v>372</v>
      </c>
      <c r="E1465" s="373" t="s">
        <v>42</v>
      </c>
      <c r="F1465" s="374" t="s">
        <v>372</v>
      </c>
      <c r="G1465" s="373" t="s">
        <v>42</v>
      </c>
      <c r="H1465" s="374" t="s">
        <v>372</v>
      </c>
      <c r="I1465" s="373" t="s">
        <v>42</v>
      </c>
    </row>
    <row r="1466" spans="1:15" ht="15.75" customHeight="1" x14ac:dyDescent="0.2">
      <c r="A1466" s="647" t="s">
        <v>1701</v>
      </c>
      <c r="B1466" s="432"/>
      <c r="C1466" s="432"/>
      <c r="D1466" s="432"/>
      <c r="E1466" s="432"/>
      <c r="F1466" s="432"/>
      <c r="G1466" s="432"/>
      <c r="H1466" s="398"/>
      <c r="I1466" s="399"/>
    </row>
    <row r="1467" spans="1:15" ht="15.75" customHeight="1" x14ac:dyDescent="0.2">
      <c r="A1467" s="519" t="s">
        <v>1694</v>
      </c>
      <c r="B1467" s="1543" t="s">
        <v>1695</v>
      </c>
      <c r="C1467" s="1544"/>
      <c r="D1467" s="1540" t="s">
        <v>1711</v>
      </c>
      <c r="E1467" s="1541"/>
      <c r="F1467" s="385"/>
      <c r="G1467" s="385"/>
      <c r="H1467" s="385"/>
      <c r="I1467" s="386"/>
    </row>
    <row r="1468" spans="1:15" ht="15.75" customHeight="1" x14ac:dyDescent="0.2">
      <c r="A1468" s="316" t="s">
        <v>447</v>
      </c>
      <c r="B1468" s="400" t="s">
        <v>267</v>
      </c>
      <c r="C1468" s="401">
        <v>50.9</v>
      </c>
      <c r="D1468" s="500" t="s">
        <v>1713</v>
      </c>
      <c r="E1468" s="607">
        <f>C1468/C1473</f>
        <v>5.1403756816804681E-3</v>
      </c>
      <c r="F1468" s="385"/>
      <c r="G1468" s="385"/>
      <c r="H1468" s="385"/>
      <c r="I1468" s="386"/>
    </row>
    <row r="1469" spans="1:15" ht="15.75" customHeight="1" x14ac:dyDescent="0.2">
      <c r="A1469" s="317" t="s">
        <v>448</v>
      </c>
      <c r="B1469" s="402" t="s">
        <v>267</v>
      </c>
      <c r="C1469" s="403">
        <v>20</v>
      </c>
      <c r="D1469" s="496"/>
      <c r="E1469" s="385"/>
      <c r="F1469" s="385"/>
      <c r="G1469" s="385"/>
      <c r="H1469" s="385"/>
      <c r="I1469" s="386"/>
    </row>
    <row r="1470" spans="1:15" ht="15.75" customHeight="1" x14ac:dyDescent="0.2">
      <c r="A1470" s="317" t="s">
        <v>449</v>
      </c>
      <c r="B1470" s="402" t="s">
        <v>267</v>
      </c>
      <c r="C1470" s="403">
        <v>10.9</v>
      </c>
      <c r="D1470" s="496"/>
      <c r="E1470" s="385"/>
      <c r="F1470" s="385"/>
      <c r="G1470" s="385"/>
      <c r="H1470" s="385"/>
      <c r="I1470" s="386"/>
    </row>
    <row r="1471" spans="1:15" ht="15.75" customHeight="1" x14ac:dyDescent="0.2">
      <c r="A1471" s="317" t="s">
        <v>1438</v>
      </c>
      <c r="B1471" s="402" t="s">
        <v>267</v>
      </c>
      <c r="C1471" s="403">
        <v>11.4</v>
      </c>
      <c r="D1471" s="496"/>
      <c r="E1471" s="385"/>
      <c r="F1471" s="385"/>
      <c r="G1471" s="385"/>
      <c r="H1471" s="385"/>
      <c r="I1471" s="386"/>
    </row>
    <row r="1472" spans="1:15" ht="15.75" customHeight="1" x14ac:dyDescent="0.2">
      <c r="A1472" s="317" t="s">
        <v>452</v>
      </c>
      <c r="B1472" s="402" t="s">
        <v>267</v>
      </c>
      <c r="C1472" s="403">
        <v>4.9000000000000004</v>
      </c>
      <c r="D1472" s="496"/>
      <c r="E1472" s="385"/>
      <c r="F1472" s="385"/>
      <c r="G1472" s="385"/>
      <c r="H1472" s="385"/>
      <c r="I1472" s="386"/>
    </row>
    <row r="1473" spans="1:9" ht="15.75" customHeight="1" x14ac:dyDescent="0.2">
      <c r="A1473" s="317" t="s">
        <v>721</v>
      </c>
      <c r="B1473" s="402" t="s">
        <v>267</v>
      </c>
      <c r="C1473" s="403">
        <v>9902</v>
      </c>
      <c r="D1473" s="500" t="s">
        <v>1710</v>
      </c>
      <c r="E1473" s="607">
        <f>C1474/C1473</f>
        <v>9.2910523126641081E-2</v>
      </c>
      <c r="F1473" s="385"/>
      <c r="G1473" s="385"/>
      <c r="H1473" s="385"/>
      <c r="I1473" s="386"/>
    </row>
    <row r="1474" spans="1:9" ht="15.75" customHeight="1" x14ac:dyDescent="0.2">
      <c r="A1474" s="354" t="s">
        <v>1567</v>
      </c>
      <c r="B1474" s="402" t="s">
        <v>267</v>
      </c>
      <c r="C1474" s="403">
        <v>920</v>
      </c>
      <c r="D1474" s="385"/>
      <c r="E1474" s="385"/>
      <c r="F1474" s="385"/>
      <c r="G1474" s="385"/>
      <c r="H1474" s="385"/>
      <c r="I1474" s="386"/>
    </row>
    <row r="1475" spans="1:9" ht="15.75" customHeight="1" x14ac:dyDescent="0.2">
      <c r="A1475" s="371" t="s">
        <v>1702</v>
      </c>
      <c r="B1475" s="400" t="s">
        <v>902</v>
      </c>
      <c r="C1475" s="401">
        <v>30</v>
      </c>
      <c r="D1475" s="385"/>
      <c r="E1475" s="385"/>
      <c r="F1475" s="385"/>
      <c r="G1475" s="385"/>
      <c r="H1475" s="385"/>
      <c r="I1475" s="386"/>
    </row>
    <row r="1476" spans="1:9" ht="15.75" customHeight="1" x14ac:dyDescent="0.2">
      <c r="A1476" s="354" t="s">
        <v>1703</v>
      </c>
      <c r="B1476" s="402" t="s">
        <v>902</v>
      </c>
      <c r="C1476" s="403">
        <v>30</v>
      </c>
      <c r="D1476" s="385"/>
      <c r="E1476" s="385"/>
      <c r="F1476" s="385"/>
      <c r="G1476" s="385"/>
      <c r="H1476" s="385"/>
      <c r="I1476" s="386"/>
    </row>
    <row r="1477" spans="1:9" ht="15.75" customHeight="1" x14ac:dyDescent="0.2">
      <c r="A1477" s="355" t="s">
        <v>385</v>
      </c>
      <c r="B1477" s="494" t="s">
        <v>1708</v>
      </c>
      <c r="C1477" s="405">
        <v>0.12</v>
      </c>
      <c r="D1477" s="385"/>
      <c r="E1477" s="385"/>
      <c r="F1477" s="385"/>
      <c r="G1477" s="385"/>
      <c r="H1477" s="385"/>
      <c r="I1477" s="386"/>
    </row>
    <row r="1478" spans="1:9" ht="15.75" customHeight="1" x14ac:dyDescent="0.2">
      <c r="A1478" s="519" t="s">
        <v>1698</v>
      </c>
      <c r="B1478" s="1545" t="s">
        <v>1695</v>
      </c>
      <c r="C1478" s="1545"/>
      <c r="D1478" s="1537" t="s">
        <v>1696</v>
      </c>
      <c r="E1478" s="1537"/>
      <c r="F1478" s="413"/>
      <c r="G1478" s="385"/>
      <c r="H1478" s="385"/>
      <c r="I1478" s="386"/>
    </row>
    <row r="1479" spans="1:9" ht="15.75" customHeight="1" x14ac:dyDescent="0.2">
      <c r="A1479" s="317" t="s">
        <v>447</v>
      </c>
      <c r="B1479" s="400" t="s">
        <v>267</v>
      </c>
      <c r="C1479" s="401">
        <f>4.1+0.1</f>
        <v>4.1999999999999993</v>
      </c>
      <c r="D1479" s="400" t="s">
        <v>1712</v>
      </c>
      <c r="E1479" s="399">
        <f t="shared" ref="E1479:E1484" si="118">C1479/C1468</f>
        <v>8.2514734774066789E-2</v>
      </c>
      <c r="F1479" s="385"/>
      <c r="G1479" s="385"/>
      <c r="H1479" s="385"/>
      <c r="I1479" s="386"/>
    </row>
    <row r="1480" spans="1:9" ht="15.75" customHeight="1" x14ac:dyDescent="0.2">
      <c r="A1480" s="317" t="s">
        <v>448</v>
      </c>
      <c r="B1480" s="402" t="s">
        <v>267</v>
      </c>
      <c r="C1480" s="403">
        <f>9.1+0.2</f>
        <v>9.2999999999999989</v>
      </c>
      <c r="D1480" s="402" t="s">
        <v>1712</v>
      </c>
      <c r="E1480" s="386">
        <f t="shared" si="118"/>
        <v>0.46499999999999997</v>
      </c>
      <c r="F1480" s="385"/>
      <c r="G1480" s="385"/>
      <c r="H1480" s="385"/>
      <c r="I1480" s="386"/>
    </row>
    <row r="1481" spans="1:9" ht="15.75" customHeight="1" x14ac:dyDescent="0.2">
      <c r="A1481" s="317" t="s">
        <v>449</v>
      </c>
      <c r="B1481" s="402" t="s">
        <v>267</v>
      </c>
      <c r="C1481" s="403">
        <v>10.8</v>
      </c>
      <c r="D1481" s="402" t="s">
        <v>1712</v>
      </c>
      <c r="E1481" s="386">
        <f t="shared" si="118"/>
        <v>0.99082568807339455</v>
      </c>
      <c r="F1481" s="385"/>
      <c r="G1481" s="385"/>
      <c r="H1481" s="385"/>
      <c r="I1481" s="386"/>
    </row>
    <row r="1482" spans="1:9" ht="15.75" customHeight="1" x14ac:dyDescent="0.2">
      <c r="A1482" s="317" t="s">
        <v>1438</v>
      </c>
      <c r="B1482" s="402" t="s">
        <v>267</v>
      </c>
      <c r="C1482" s="403">
        <v>11.4</v>
      </c>
      <c r="D1482" s="402" t="s">
        <v>1712</v>
      </c>
      <c r="E1482" s="386">
        <f t="shared" si="118"/>
        <v>1</v>
      </c>
      <c r="F1482" s="385"/>
      <c r="G1482" s="385"/>
      <c r="H1482" s="385"/>
      <c r="I1482" s="386"/>
    </row>
    <row r="1483" spans="1:9" ht="15.75" customHeight="1" x14ac:dyDescent="0.2">
      <c r="A1483" s="317" t="s">
        <v>452</v>
      </c>
      <c r="B1483" s="402" t="s">
        <v>267</v>
      </c>
      <c r="C1483" s="403">
        <v>4.9000000000000004</v>
      </c>
      <c r="D1483" s="402" t="s">
        <v>1712</v>
      </c>
      <c r="E1483" s="386">
        <f t="shared" si="118"/>
        <v>1</v>
      </c>
      <c r="F1483" s="385"/>
      <c r="G1483" s="385"/>
      <c r="H1483" s="385"/>
      <c r="I1483" s="386"/>
    </row>
    <row r="1484" spans="1:9" ht="15.75" customHeight="1" x14ac:dyDescent="0.2">
      <c r="A1484" s="317" t="s">
        <v>721</v>
      </c>
      <c r="B1484" s="402" t="s">
        <v>267</v>
      </c>
      <c r="C1484" s="403">
        <v>1.7</v>
      </c>
      <c r="D1484" s="494" t="s">
        <v>1712</v>
      </c>
      <c r="E1484" s="393">
        <f t="shared" si="118"/>
        <v>1.7168248838618462E-4</v>
      </c>
      <c r="F1484" s="385"/>
      <c r="G1484" s="385"/>
      <c r="H1484" s="385"/>
      <c r="I1484" s="386"/>
    </row>
    <row r="1485" spans="1:9" ht="15.75" customHeight="1" x14ac:dyDescent="0.2">
      <c r="A1485" s="355" t="s">
        <v>1567</v>
      </c>
      <c r="B1485" s="494" t="s">
        <v>267</v>
      </c>
      <c r="C1485" s="405">
        <v>920</v>
      </c>
      <c r="D1485" s="500" t="s">
        <v>267</v>
      </c>
      <c r="E1485" s="591">
        <f>C1485</f>
        <v>920</v>
      </c>
      <c r="F1485" s="385"/>
      <c r="G1485" s="385"/>
      <c r="H1485" s="385"/>
      <c r="I1485" s="386"/>
    </row>
    <row r="1486" spans="1:9" ht="15.75" customHeight="1" x14ac:dyDescent="0.2">
      <c r="A1486" s="371" t="s">
        <v>1702</v>
      </c>
      <c r="B1486" s="400" t="s">
        <v>902</v>
      </c>
      <c r="C1486" s="401">
        <v>123</v>
      </c>
      <c r="D1486" s="496"/>
      <c r="E1486" s="534"/>
      <c r="F1486" s="385"/>
      <c r="G1486" s="385"/>
      <c r="H1486" s="385"/>
      <c r="I1486" s="386"/>
    </row>
    <row r="1487" spans="1:9" ht="15.75" customHeight="1" x14ac:dyDescent="0.2">
      <c r="A1487" s="354" t="s">
        <v>1703</v>
      </c>
      <c r="B1487" s="402" t="s">
        <v>902</v>
      </c>
      <c r="C1487" s="403">
        <v>234</v>
      </c>
      <c r="D1487" s="496"/>
      <c r="E1487" s="534"/>
      <c r="F1487" s="385"/>
      <c r="G1487" s="385"/>
      <c r="H1487" s="385"/>
      <c r="I1487" s="386"/>
    </row>
    <row r="1488" spans="1:9" ht="15.75" customHeight="1" x14ac:dyDescent="0.2">
      <c r="A1488" s="354" t="s">
        <v>1704</v>
      </c>
      <c r="B1488" s="402" t="s">
        <v>267</v>
      </c>
      <c r="C1488" s="403">
        <v>130</v>
      </c>
      <c r="D1488" s="496"/>
      <c r="E1488" s="534"/>
      <c r="F1488" s="385"/>
      <c r="G1488" s="385"/>
      <c r="H1488" s="385"/>
      <c r="I1488" s="386"/>
    </row>
    <row r="1489" spans="1:9" ht="15.75" customHeight="1" x14ac:dyDescent="0.2">
      <c r="A1489" s="354" t="s">
        <v>1705</v>
      </c>
      <c r="B1489" s="402" t="s">
        <v>267</v>
      </c>
      <c r="C1489" s="403">
        <v>1657</v>
      </c>
      <c r="D1489" s="496"/>
      <c r="E1489" s="534"/>
      <c r="F1489" s="385"/>
      <c r="G1489" s="385"/>
      <c r="H1489" s="385"/>
      <c r="I1489" s="386"/>
    </row>
    <row r="1490" spans="1:9" ht="15.75" customHeight="1" x14ac:dyDescent="0.2">
      <c r="A1490" s="354" t="s">
        <v>1707</v>
      </c>
      <c r="B1490" s="402" t="s">
        <v>550</v>
      </c>
      <c r="C1490" s="403">
        <v>0.03</v>
      </c>
      <c r="D1490" s="496"/>
      <c r="E1490" s="534"/>
      <c r="F1490" s="385"/>
      <c r="G1490" s="385"/>
      <c r="H1490" s="385"/>
      <c r="I1490" s="386"/>
    </row>
    <row r="1491" spans="1:9" ht="15.75" customHeight="1" x14ac:dyDescent="0.2">
      <c r="A1491" s="354" t="s">
        <v>1706</v>
      </c>
      <c r="B1491" s="402" t="s">
        <v>550</v>
      </c>
      <c r="C1491" s="403">
        <v>0.12</v>
      </c>
      <c r="D1491" s="496"/>
      <c r="E1491" s="534"/>
      <c r="F1491" s="385"/>
      <c r="G1491" s="385"/>
      <c r="H1491" s="385"/>
      <c r="I1491" s="386"/>
    </row>
    <row r="1492" spans="1:9" ht="15.75" customHeight="1" x14ac:dyDescent="0.2">
      <c r="A1492" s="355" t="s">
        <v>385</v>
      </c>
      <c r="B1492" s="494" t="s">
        <v>1708</v>
      </c>
      <c r="C1492" s="405">
        <v>0.12</v>
      </c>
      <c r="D1492" s="496"/>
      <c r="E1492" s="534"/>
      <c r="F1492" s="385"/>
      <c r="G1492" s="385"/>
      <c r="H1492" s="385"/>
      <c r="I1492" s="386"/>
    </row>
    <row r="1493" spans="1:9" ht="15.75" customHeight="1" x14ac:dyDescent="0.2">
      <c r="A1493" s="519" t="s">
        <v>1697</v>
      </c>
      <c r="B1493" s="1545" t="s">
        <v>1695</v>
      </c>
      <c r="C1493" s="1545"/>
      <c r="D1493" s="1537" t="s">
        <v>1699</v>
      </c>
      <c r="E1493" s="1537"/>
      <c r="F1493" s="1542" t="s">
        <v>1700</v>
      </c>
      <c r="G1493" s="1542"/>
      <c r="H1493" s="1540" t="s">
        <v>1711</v>
      </c>
      <c r="I1493" s="1541"/>
    </row>
    <row r="1494" spans="1:9" ht="15.75" customHeight="1" x14ac:dyDescent="0.2">
      <c r="A1494" s="317" t="s">
        <v>447</v>
      </c>
      <c r="B1494" s="400" t="s">
        <v>267</v>
      </c>
      <c r="C1494" s="401">
        <f t="shared" ref="C1494:C1499" si="119">C1479</f>
        <v>4.1999999999999993</v>
      </c>
      <c r="D1494" s="400" t="s">
        <v>267</v>
      </c>
      <c r="E1494" s="399">
        <v>0.1</v>
      </c>
      <c r="F1494" s="400" t="s">
        <v>267</v>
      </c>
      <c r="G1494" s="467">
        <f>C1494-E1494</f>
        <v>4.0999999999999996</v>
      </c>
      <c r="H1494" s="522" t="s">
        <v>1722</v>
      </c>
      <c r="I1494" s="399">
        <f t="shared" ref="I1494:I1499" si="120">G1494/C1494</f>
        <v>0.97619047619047628</v>
      </c>
    </row>
    <row r="1495" spans="1:9" ht="15.75" customHeight="1" x14ac:dyDescent="0.2">
      <c r="A1495" s="317" t="s">
        <v>448</v>
      </c>
      <c r="B1495" s="402" t="s">
        <v>267</v>
      </c>
      <c r="C1495" s="403">
        <f t="shared" si="119"/>
        <v>9.2999999999999989</v>
      </c>
      <c r="D1495" s="402" t="s">
        <v>267</v>
      </c>
      <c r="E1495" s="386">
        <v>0.2</v>
      </c>
      <c r="F1495" s="402" t="s">
        <v>267</v>
      </c>
      <c r="G1495" s="469">
        <f t="shared" ref="G1495:G1500" si="121">C1495-E1495</f>
        <v>9.1</v>
      </c>
      <c r="H1495" s="406" t="s">
        <v>1722</v>
      </c>
      <c r="I1495" s="386">
        <f t="shared" si="120"/>
        <v>0.978494623655914</v>
      </c>
    </row>
    <row r="1496" spans="1:9" ht="15.75" customHeight="1" x14ac:dyDescent="0.2">
      <c r="A1496" s="317" t="s">
        <v>449</v>
      </c>
      <c r="B1496" s="402" t="s">
        <v>267</v>
      </c>
      <c r="C1496" s="403">
        <f t="shared" si="119"/>
        <v>10.8</v>
      </c>
      <c r="D1496" s="402" t="s">
        <v>267</v>
      </c>
      <c r="E1496" s="386">
        <v>0</v>
      </c>
      <c r="F1496" s="402" t="s">
        <v>267</v>
      </c>
      <c r="G1496" s="469">
        <f t="shared" si="121"/>
        <v>10.8</v>
      </c>
      <c r="H1496" s="406" t="s">
        <v>1722</v>
      </c>
      <c r="I1496" s="386">
        <f t="shared" si="120"/>
        <v>1</v>
      </c>
    </row>
    <row r="1497" spans="1:9" ht="15.75" customHeight="1" x14ac:dyDescent="0.2">
      <c r="A1497" s="317" t="s">
        <v>1438</v>
      </c>
      <c r="B1497" s="402" t="s">
        <v>267</v>
      </c>
      <c r="C1497" s="403">
        <f t="shared" si="119"/>
        <v>11.4</v>
      </c>
      <c r="D1497" s="402" t="s">
        <v>267</v>
      </c>
      <c r="E1497" s="386">
        <v>0</v>
      </c>
      <c r="F1497" s="402" t="s">
        <v>267</v>
      </c>
      <c r="G1497" s="469">
        <f t="shared" si="121"/>
        <v>11.4</v>
      </c>
      <c r="H1497" s="406" t="s">
        <v>1722</v>
      </c>
      <c r="I1497" s="386">
        <f t="shared" si="120"/>
        <v>1</v>
      </c>
    </row>
    <row r="1498" spans="1:9" ht="15.75" customHeight="1" x14ac:dyDescent="0.2">
      <c r="A1498" s="317" t="s">
        <v>452</v>
      </c>
      <c r="B1498" s="402" t="s">
        <v>267</v>
      </c>
      <c r="C1498" s="403">
        <f t="shared" si="119"/>
        <v>4.9000000000000004</v>
      </c>
      <c r="D1498" s="402" t="s">
        <v>267</v>
      </c>
      <c r="E1498" s="386">
        <v>0</v>
      </c>
      <c r="F1498" s="402" t="s">
        <v>267</v>
      </c>
      <c r="G1498" s="469">
        <f t="shared" si="121"/>
        <v>4.9000000000000004</v>
      </c>
      <c r="H1498" s="406" t="s">
        <v>1722</v>
      </c>
      <c r="I1498" s="386">
        <f t="shared" si="120"/>
        <v>1</v>
      </c>
    </row>
    <row r="1499" spans="1:9" ht="15.75" customHeight="1" x14ac:dyDescent="0.2">
      <c r="A1499" s="317" t="s">
        <v>721</v>
      </c>
      <c r="B1499" s="402" t="s">
        <v>267</v>
      </c>
      <c r="C1499" s="403">
        <f t="shared" si="119"/>
        <v>1.7</v>
      </c>
      <c r="D1499" s="402" t="s">
        <v>267</v>
      </c>
      <c r="E1499" s="386">
        <v>1.7</v>
      </c>
      <c r="F1499" s="402" t="s">
        <v>267</v>
      </c>
      <c r="G1499" s="469">
        <f t="shared" si="121"/>
        <v>0</v>
      </c>
      <c r="H1499" s="404" t="s">
        <v>1722</v>
      </c>
      <c r="I1499" s="393">
        <f t="shared" si="120"/>
        <v>0</v>
      </c>
    </row>
    <row r="1500" spans="1:9" ht="15.75" customHeight="1" x14ac:dyDescent="0.2">
      <c r="A1500" s="355" t="s">
        <v>1567</v>
      </c>
      <c r="B1500" s="494" t="s">
        <v>267</v>
      </c>
      <c r="C1500" s="405">
        <v>0</v>
      </c>
      <c r="D1500" s="494" t="s">
        <v>267</v>
      </c>
      <c r="E1500" s="393">
        <v>0</v>
      </c>
      <c r="F1500" s="494" t="s">
        <v>267</v>
      </c>
      <c r="G1500" s="474">
        <f t="shared" si="121"/>
        <v>0</v>
      </c>
      <c r="H1500" s="385"/>
      <c r="I1500" s="386"/>
    </row>
    <row r="1501" spans="1:9" ht="15.75" customHeight="1" x14ac:dyDescent="0.2">
      <c r="A1501" s="371" t="s">
        <v>1702</v>
      </c>
      <c r="B1501" s="400" t="s">
        <v>902</v>
      </c>
      <c r="C1501" s="401">
        <v>104</v>
      </c>
      <c r="D1501" s="385"/>
      <c r="E1501" s="385"/>
      <c r="F1501" s="385"/>
      <c r="G1501" s="385"/>
      <c r="H1501" s="385"/>
      <c r="I1501" s="386"/>
    </row>
    <row r="1502" spans="1:9" ht="15.75" customHeight="1" x14ac:dyDescent="0.2">
      <c r="A1502" s="354" t="s">
        <v>1703</v>
      </c>
      <c r="B1502" s="402" t="s">
        <v>902</v>
      </c>
      <c r="C1502" s="386">
        <v>160</v>
      </c>
      <c r="D1502" s="385"/>
      <c r="E1502" s="385"/>
      <c r="F1502" s="385"/>
      <c r="G1502" s="385"/>
      <c r="H1502" s="385"/>
      <c r="I1502" s="386"/>
    </row>
    <row r="1503" spans="1:9" ht="15.75" customHeight="1" x14ac:dyDescent="0.2">
      <c r="A1503" s="354" t="s">
        <v>385</v>
      </c>
      <c r="B1503" s="402" t="s">
        <v>1708</v>
      </c>
      <c r="C1503" s="386">
        <v>0.12</v>
      </c>
      <c r="D1503" s="385"/>
      <c r="E1503" s="385"/>
      <c r="F1503" s="385"/>
      <c r="G1503" s="385"/>
      <c r="H1503" s="385"/>
      <c r="I1503" s="386"/>
    </row>
    <row r="1504" spans="1:9" ht="15.75" customHeight="1" x14ac:dyDescent="0.2">
      <c r="A1504" s="354" t="s">
        <v>1704</v>
      </c>
      <c r="B1504" s="402" t="s">
        <v>267</v>
      </c>
      <c r="C1504" s="386">
        <v>10</v>
      </c>
      <c r="D1504" s="385"/>
      <c r="E1504" s="385"/>
      <c r="F1504" s="385"/>
      <c r="G1504" s="385"/>
      <c r="H1504" s="385"/>
      <c r="I1504" s="386"/>
    </row>
    <row r="1505" spans="1:9" ht="15.75" customHeight="1" x14ac:dyDescent="0.2">
      <c r="A1505" s="354" t="s">
        <v>1705</v>
      </c>
      <c r="B1505" s="402" t="s">
        <v>267</v>
      </c>
      <c r="C1505" s="386">
        <v>53.1</v>
      </c>
      <c r="D1505" s="385"/>
      <c r="E1505" s="385"/>
      <c r="F1505" s="385"/>
      <c r="G1505" s="385"/>
      <c r="H1505" s="385"/>
      <c r="I1505" s="386"/>
    </row>
    <row r="1506" spans="1:9" ht="15.75" customHeight="1" x14ac:dyDescent="0.2">
      <c r="A1506" s="354" t="s">
        <v>1709</v>
      </c>
      <c r="B1506" s="402" t="s">
        <v>550</v>
      </c>
      <c r="C1506" s="648">
        <v>6.0000000000000001E-3</v>
      </c>
      <c r="D1506" s="385"/>
      <c r="E1506" s="385"/>
      <c r="F1506" s="385"/>
      <c r="G1506" s="385"/>
      <c r="H1506" s="385"/>
      <c r="I1506" s="386"/>
    </row>
    <row r="1507" spans="1:9" ht="15.75" customHeight="1" x14ac:dyDescent="0.2">
      <c r="A1507" s="355" t="s">
        <v>1706</v>
      </c>
      <c r="B1507" s="494" t="s">
        <v>550</v>
      </c>
      <c r="C1507" s="649">
        <v>7.0000000000000001E-3</v>
      </c>
      <c r="D1507" s="391"/>
      <c r="E1507" s="391"/>
      <c r="F1507" s="391"/>
      <c r="G1507" s="391"/>
      <c r="H1507" s="391"/>
      <c r="I1507" s="393"/>
    </row>
    <row r="1508" spans="1:9" ht="15.75" customHeight="1" x14ac:dyDescent="0.2">
      <c r="A1508" s="650" t="s">
        <v>1714</v>
      </c>
      <c r="B1508" s="559"/>
      <c r="C1508" s="651"/>
      <c r="D1508" s="398"/>
      <c r="E1508" s="398"/>
      <c r="F1508" s="398"/>
      <c r="G1508" s="398"/>
      <c r="H1508" s="398"/>
      <c r="I1508" s="399"/>
    </row>
    <row r="1509" spans="1:9" ht="15.75" customHeight="1" x14ac:dyDescent="0.2">
      <c r="A1509" s="373" t="s">
        <v>580</v>
      </c>
      <c r="B1509" s="373" t="s">
        <v>372</v>
      </c>
      <c r="C1509" s="652" t="s">
        <v>1715</v>
      </c>
      <c r="D1509" s="653" t="s">
        <v>1716</v>
      </c>
      <c r="E1509" s="654" t="s">
        <v>1717</v>
      </c>
      <c r="F1509" s="655" t="s">
        <v>1718</v>
      </c>
      <c r="G1509" s="656" t="s">
        <v>1719</v>
      </c>
      <c r="H1509" s="657" t="s">
        <v>1720</v>
      </c>
      <c r="I1509" s="658" t="s">
        <v>1721</v>
      </c>
    </row>
    <row r="1510" spans="1:9" ht="15.75" customHeight="1" x14ac:dyDescent="0.2">
      <c r="A1510" s="371" t="s">
        <v>1567</v>
      </c>
      <c r="B1510" s="659" t="s">
        <v>267</v>
      </c>
      <c r="C1510" s="660">
        <f ca="1">C1392*E1473</f>
        <v>1787.3711867322972</v>
      </c>
      <c r="D1510" s="467">
        <v>0</v>
      </c>
      <c r="E1510" s="661">
        <f ca="1">C1510</f>
        <v>1787.3711867322972</v>
      </c>
      <c r="F1510" s="467">
        <f ca="1">E1510</f>
        <v>1787.3711867322972</v>
      </c>
      <c r="G1510" s="661">
        <f ca="1">E1510-F1510</f>
        <v>0</v>
      </c>
      <c r="H1510" s="398"/>
      <c r="I1510" s="371"/>
    </row>
    <row r="1511" spans="1:9" ht="15.75" customHeight="1" x14ac:dyDescent="0.2">
      <c r="A1511" s="355" t="s">
        <v>721</v>
      </c>
      <c r="B1511" s="662" t="s">
        <v>267</v>
      </c>
      <c r="C1511" s="663">
        <f t="shared" ref="C1511:C1538" ca="1" si="122">C1392</f>
        <v>19237.553794590443</v>
      </c>
      <c r="D1511" s="474">
        <f ca="1">C1511-E1511</f>
        <v>19234.251043484524</v>
      </c>
      <c r="E1511" s="664">
        <f ca="1">C1511*E1484</f>
        <v>3.3027511059183756</v>
      </c>
      <c r="F1511" s="393"/>
      <c r="G1511" s="664">
        <f ca="1">E1511</f>
        <v>3.3027511059183756</v>
      </c>
      <c r="H1511" s="535">
        <f ca="1">G1511-I1511</f>
        <v>3.3027511059183756</v>
      </c>
      <c r="I1511" s="475">
        <f ca="1">G1511*I1499</f>
        <v>0</v>
      </c>
    </row>
    <row r="1512" spans="1:9" ht="15.75" customHeight="1" x14ac:dyDescent="0.2">
      <c r="A1512" s="316" t="s">
        <v>393</v>
      </c>
      <c r="B1512" s="659" t="s">
        <v>267</v>
      </c>
      <c r="C1512" s="660">
        <f t="shared" ca="1" si="122"/>
        <v>5.6861854747800042E-3</v>
      </c>
      <c r="D1512" s="467">
        <f ca="1">C1512</f>
        <v>5.6861854747800042E-3</v>
      </c>
      <c r="E1512" s="661">
        <f ca="1">C1512-D1512</f>
        <v>0</v>
      </c>
      <c r="F1512" s="399"/>
      <c r="G1512" s="661">
        <f t="shared" ref="G1512:G1527" ca="1" si="123">E1512</f>
        <v>0</v>
      </c>
      <c r="H1512" s="533">
        <f t="shared" ref="H1512:H1527" ca="1" si="124">G1512-I1512</f>
        <v>0</v>
      </c>
      <c r="I1512" s="569">
        <f ca="1">G1512*I1494</f>
        <v>0</v>
      </c>
    </row>
    <row r="1513" spans="1:9" ht="15.75" customHeight="1" x14ac:dyDescent="0.2">
      <c r="A1513" s="317" t="s">
        <v>400</v>
      </c>
      <c r="B1513" s="665" t="s">
        <v>267</v>
      </c>
      <c r="C1513" s="666">
        <f t="shared" ca="1" si="122"/>
        <v>31.78247284050893</v>
      </c>
      <c r="D1513" s="469">
        <f ca="1">C1513-E1513</f>
        <v>29.159950523610355</v>
      </c>
      <c r="E1513" s="667">
        <f ca="1">C1513*E1479</f>
        <v>2.6225223168985754</v>
      </c>
      <c r="F1513" s="469"/>
      <c r="G1513" s="667">
        <f t="shared" ca="1" si="123"/>
        <v>2.6225223168985754</v>
      </c>
      <c r="H1513" s="534">
        <f t="shared" ca="1" si="124"/>
        <v>6.2441007545203764E-2</v>
      </c>
      <c r="I1513" s="571">
        <f ca="1">G1513*I1494</f>
        <v>2.5600813093533716</v>
      </c>
    </row>
    <row r="1514" spans="1:9" ht="15.75" customHeight="1" x14ac:dyDescent="0.2">
      <c r="A1514" s="317" t="s">
        <v>394</v>
      </c>
      <c r="B1514" s="665" t="s">
        <v>267</v>
      </c>
      <c r="C1514" s="666">
        <f t="shared" ca="1" si="122"/>
        <v>1.8302424723012672E-2</v>
      </c>
      <c r="D1514" s="469">
        <f ca="1">C1514</f>
        <v>1.8302424723012672E-2</v>
      </c>
      <c r="E1514" s="667">
        <f ca="1">C1514-D1514</f>
        <v>0</v>
      </c>
      <c r="F1514" s="386"/>
      <c r="G1514" s="667">
        <f t="shared" ca="1" si="123"/>
        <v>0</v>
      </c>
      <c r="H1514" s="534">
        <f t="shared" ca="1" si="124"/>
        <v>0</v>
      </c>
      <c r="I1514" s="571">
        <f ca="1">G1514*I1495</f>
        <v>0</v>
      </c>
    </row>
    <row r="1515" spans="1:9" ht="15.75" customHeight="1" x14ac:dyDescent="0.2">
      <c r="A1515" s="317" t="s">
        <v>401</v>
      </c>
      <c r="B1515" s="665" t="s">
        <v>267</v>
      </c>
      <c r="C1515" s="666">
        <f t="shared" ca="1" si="122"/>
        <v>101.96954833199896</v>
      </c>
      <c r="D1515" s="469">
        <f ca="1">C1515-E1515</f>
        <v>54.553708357619449</v>
      </c>
      <c r="E1515" s="667">
        <f ca="1">C1515*E1480</f>
        <v>47.415839974379516</v>
      </c>
      <c r="F1515" s="386"/>
      <c r="G1515" s="667">
        <f t="shared" ca="1" si="123"/>
        <v>47.415839974379516</v>
      </c>
      <c r="H1515" s="534">
        <f t="shared" ca="1" si="124"/>
        <v>1.0196954833199854</v>
      </c>
      <c r="I1515" s="571">
        <f ca="1">G1515*I1495</f>
        <v>46.39614449105953</v>
      </c>
    </row>
    <row r="1516" spans="1:9" ht="15.75" customHeight="1" x14ac:dyDescent="0.2">
      <c r="A1516" s="317" t="s">
        <v>396</v>
      </c>
      <c r="B1516" s="665" t="s">
        <v>267</v>
      </c>
      <c r="C1516" s="666">
        <f t="shared" ca="1" si="122"/>
        <v>1.2149650400637712E-2</v>
      </c>
      <c r="D1516" s="469">
        <f ca="1">C1516</f>
        <v>1.2149650400637712E-2</v>
      </c>
      <c r="E1516" s="667">
        <f ca="1">C1516-D1516</f>
        <v>0</v>
      </c>
      <c r="F1516" s="386"/>
      <c r="G1516" s="667">
        <f t="shared" ca="1" si="123"/>
        <v>0</v>
      </c>
      <c r="H1516" s="534">
        <f t="shared" ca="1" si="124"/>
        <v>0</v>
      </c>
      <c r="I1516" s="571">
        <f ca="1">G1516*I1496</f>
        <v>0</v>
      </c>
    </row>
    <row r="1517" spans="1:9" ht="15.75" customHeight="1" x14ac:dyDescent="0.2">
      <c r="A1517" s="317" t="s">
        <v>402</v>
      </c>
      <c r="B1517" s="665" t="s">
        <v>267</v>
      </c>
      <c r="C1517" s="666">
        <f t="shared" ca="1" si="122"/>
        <v>67.54151964284064</v>
      </c>
      <c r="D1517" s="469">
        <f ca="1">C1517-E1517</f>
        <v>0.61964696920037454</v>
      </c>
      <c r="E1517" s="667">
        <f ca="1">C1517*E1481</f>
        <v>66.921872673640266</v>
      </c>
      <c r="F1517" s="386"/>
      <c r="G1517" s="667">
        <f t="shared" ca="1" si="123"/>
        <v>66.921872673640266</v>
      </c>
      <c r="H1517" s="534">
        <f t="shared" ca="1" si="124"/>
        <v>0</v>
      </c>
      <c r="I1517" s="571">
        <f ca="1">G1517*I1496</f>
        <v>66.921872673640266</v>
      </c>
    </row>
    <row r="1518" spans="1:9" ht="15.75" customHeight="1" x14ac:dyDescent="0.2">
      <c r="A1518" s="317" t="s">
        <v>395</v>
      </c>
      <c r="B1518" s="665" t="s">
        <v>267</v>
      </c>
      <c r="C1518" s="666">
        <f t="shared" ca="1" si="122"/>
        <v>0</v>
      </c>
      <c r="D1518" s="469">
        <f ca="1">C1518</f>
        <v>0</v>
      </c>
      <c r="E1518" s="667">
        <f ca="1">C1518-D1518</f>
        <v>0</v>
      </c>
      <c r="F1518" s="386"/>
      <c r="G1518" s="667">
        <f t="shared" ca="1" si="123"/>
        <v>0</v>
      </c>
      <c r="H1518" s="534">
        <f t="shared" ca="1" si="124"/>
        <v>0</v>
      </c>
      <c r="I1518" s="571">
        <f ca="1">G1518*I1496</f>
        <v>0</v>
      </c>
    </row>
    <row r="1519" spans="1:9" ht="15.75" customHeight="1" x14ac:dyDescent="0.2">
      <c r="A1519" s="317" t="s">
        <v>403</v>
      </c>
      <c r="B1519" s="665" t="s">
        <v>267</v>
      </c>
      <c r="C1519" s="666">
        <f t="shared" ca="1" si="122"/>
        <v>0</v>
      </c>
      <c r="D1519" s="469">
        <f ca="1">C1519-E1519</f>
        <v>0</v>
      </c>
      <c r="E1519" s="667">
        <f ca="1">C1519*E1481</f>
        <v>0</v>
      </c>
      <c r="F1519" s="386"/>
      <c r="G1519" s="667">
        <f t="shared" ca="1" si="123"/>
        <v>0</v>
      </c>
      <c r="H1519" s="534">
        <f t="shared" ca="1" si="124"/>
        <v>0</v>
      </c>
      <c r="I1519" s="571">
        <f ca="1">G1519*I1496</f>
        <v>0</v>
      </c>
    </row>
    <row r="1520" spans="1:9" ht="15.75" customHeight="1" x14ac:dyDescent="0.2">
      <c r="A1520" s="317" t="s">
        <v>397</v>
      </c>
      <c r="B1520" s="665" t="s">
        <v>267</v>
      </c>
      <c r="C1520" s="666">
        <f t="shared" ca="1" si="122"/>
        <v>2.044701371823723E-2</v>
      </c>
      <c r="D1520" s="469">
        <f ca="1">C1520</f>
        <v>2.044701371823723E-2</v>
      </c>
      <c r="E1520" s="667">
        <f ca="1">C1520-D1520</f>
        <v>0</v>
      </c>
      <c r="F1520" s="386"/>
      <c r="G1520" s="667">
        <f t="shared" ca="1" si="123"/>
        <v>0</v>
      </c>
      <c r="H1520" s="534">
        <f t="shared" ca="1" si="124"/>
        <v>0</v>
      </c>
      <c r="I1520" s="571">
        <f ca="1">G1520*I1497</f>
        <v>0</v>
      </c>
    </row>
    <row r="1521" spans="1:9" ht="15.75" customHeight="1" x14ac:dyDescent="0.2">
      <c r="A1521" s="317" t="s">
        <v>404</v>
      </c>
      <c r="B1521" s="665" t="s">
        <v>267</v>
      </c>
      <c r="C1521" s="666">
        <f t="shared" ca="1" si="122"/>
        <v>113.4870114018134</v>
      </c>
      <c r="D1521" s="469">
        <f ca="1">C1521-E1521</f>
        <v>0</v>
      </c>
      <c r="E1521" s="667">
        <f ca="1">C1521*E1482</f>
        <v>113.4870114018134</v>
      </c>
      <c r="F1521" s="386"/>
      <c r="G1521" s="667">
        <f t="shared" ca="1" si="123"/>
        <v>113.4870114018134</v>
      </c>
      <c r="H1521" s="534">
        <f t="shared" ca="1" si="124"/>
        <v>0</v>
      </c>
      <c r="I1521" s="571">
        <f ca="1">G1521*I1497</f>
        <v>113.4870114018134</v>
      </c>
    </row>
    <row r="1522" spans="1:9" ht="15.75" customHeight="1" x14ac:dyDescent="0.2">
      <c r="A1522" s="317" t="s">
        <v>398</v>
      </c>
      <c r="B1522" s="665" t="s">
        <v>267</v>
      </c>
      <c r="C1522" s="666">
        <f t="shared" ca="1" si="122"/>
        <v>3.3650664860305707E-3</v>
      </c>
      <c r="D1522" s="469">
        <f ca="1">C1522</f>
        <v>3.3650664860305707E-3</v>
      </c>
      <c r="E1522" s="667">
        <f ca="1">C1522-D1522</f>
        <v>0</v>
      </c>
      <c r="F1522" s="386"/>
      <c r="G1522" s="667">
        <f t="shared" ca="1" si="123"/>
        <v>0</v>
      </c>
      <c r="H1522" s="534">
        <f t="shared" ca="1" si="124"/>
        <v>0</v>
      </c>
      <c r="I1522" s="571">
        <f ca="1">G1522*I1497</f>
        <v>0</v>
      </c>
    </row>
    <row r="1523" spans="1:9" ht="15.75" customHeight="1" x14ac:dyDescent="0.2">
      <c r="A1523" s="317" t="s">
        <v>405</v>
      </c>
      <c r="B1523" s="665" t="s">
        <v>267</v>
      </c>
      <c r="C1523" s="666">
        <f t="shared" ca="1" si="122"/>
        <v>18.677120479818161</v>
      </c>
      <c r="D1523" s="469">
        <f ca="1">C1523-E1523</f>
        <v>0</v>
      </c>
      <c r="E1523" s="667">
        <f ca="1">C1523*E1482</f>
        <v>18.677120479818161</v>
      </c>
      <c r="F1523" s="386"/>
      <c r="G1523" s="667">
        <f t="shared" ca="1" si="123"/>
        <v>18.677120479818161</v>
      </c>
      <c r="H1523" s="534">
        <f t="shared" ca="1" si="124"/>
        <v>0</v>
      </c>
      <c r="I1523" s="571">
        <f ca="1">G1523*I1497</f>
        <v>18.677120479818161</v>
      </c>
    </row>
    <row r="1524" spans="1:9" ht="15.75" customHeight="1" x14ac:dyDescent="0.2">
      <c r="A1524" s="317" t="s">
        <v>578</v>
      </c>
      <c r="B1524" s="665" t="s">
        <v>267</v>
      </c>
      <c r="C1524" s="666">
        <f t="shared" ca="1" si="122"/>
        <v>8.5439353760020889E-2</v>
      </c>
      <c r="D1524" s="469">
        <f ca="1">C1524</f>
        <v>8.5439353760020889E-2</v>
      </c>
      <c r="E1524" s="667">
        <f ca="1">C1524-D1524</f>
        <v>0</v>
      </c>
      <c r="F1524" s="386"/>
      <c r="G1524" s="667">
        <f t="shared" ca="1" si="123"/>
        <v>0</v>
      </c>
      <c r="H1524" s="534">
        <f t="shared" ca="1" si="124"/>
        <v>0</v>
      </c>
      <c r="I1524" s="571">
        <f ca="1">G1524*I1498</f>
        <v>0</v>
      </c>
    </row>
    <row r="1525" spans="1:9" ht="15.75" customHeight="1" x14ac:dyDescent="0.2">
      <c r="A1525" s="317" t="s">
        <v>420</v>
      </c>
      <c r="B1525" s="665" t="s">
        <v>267</v>
      </c>
      <c r="C1525" s="666">
        <f t="shared" ca="1" si="122"/>
        <v>473.64244667697852</v>
      </c>
      <c r="D1525" s="469">
        <f ca="1">C1525-E1525</f>
        <v>0</v>
      </c>
      <c r="E1525" s="667">
        <f ca="1">C1525*E1483</f>
        <v>473.64244667697852</v>
      </c>
      <c r="F1525" s="386"/>
      <c r="G1525" s="667">
        <f t="shared" ca="1" si="123"/>
        <v>473.64244667697852</v>
      </c>
      <c r="H1525" s="534">
        <f t="shared" ca="1" si="124"/>
        <v>0</v>
      </c>
      <c r="I1525" s="571">
        <f ca="1">G1525*I1498</f>
        <v>473.64244667697852</v>
      </c>
    </row>
    <row r="1526" spans="1:9" ht="15.75" customHeight="1" x14ac:dyDescent="0.2">
      <c r="A1526" s="317" t="s">
        <v>407</v>
      </c>
      <c r="B1526" s="665" t="s">
        <v>267</v>
      </c>
      <c r="C1526" s="666">
        <f t="shared" ca="1" si="122"/>
        <v>5.0015855699837714E-3</v>
      </c>
      <c r="D1526" s="469">
        <f ca="1">C1526</f>
        <v>5.0015855699837714E-3</v>
      </c>
      <c r="E1526" s="667">
        <f ca="1">C1526-D1526</f>
        <v>0</v>
      </c>
      <c r="F1526" s="386"/>
      <c r="G1526" s="667">
        <f t="shared" ca="1" si="123"/>
        <v>0</v>
      </c>
      <c r="H1526" s="534">
        <f t="shared" ca="1" si="124"/>
        <v>0</v>
      </c>
      <c r="I1526" s="571">
        <f ca="1">G1526*I1498</f>
        <v>0</v>
      </c>
    </row>
    <row r="1527" spans="1:9" ht="15.75" customHeight="1" x14ac:dyDescent="0.2">
      <c r="A1527" s="318" t="s">
        <v>421</v>
      </c>
      <c r="B1527" s="662" t="s">
        <v>267</v>
      </c>
      <c r="C1527" s="663">
        <f t="shared" ca="1" si="122"/>
        <v>27.700672389192444</v>
      </c>
      <c r="D1527" s="474">
        <f ca="1">C1527-E1527</f>
        <v>0</v>
      </c>
      <c r="E1527" s="664">
        <f ca="1">C1527*E1483</f>
        <v>27.700672389192444</v>
      </c>
      <c r="F1527" s="393"/>
      <c r="G1527" s="664">
        <f t="shared" ca="1" si="123"/>
        <v>27.700672389192444</v>
      </c>
      <c r="H1527" s="535">
        <f t="shared" ca="1" si="124"/>
        <v>0</v>
      </c>
      <c r="I1527" s="475">
        <f ca="1">G1527*I1498</f>
        <v>27.700672389192444</v>
      </c>
    </row>
    <row r="1528" spans="1:9" ht="15.75" customHeight="1" x14ac:dyDescent="0.2">
      <c r="A1528" s="316" t="s">
        <v>1686</v>
      </c>
      <c r="B1528" s="659" t="s">
        <v>267</v>
      </c>
      <c r="C1528" s="660">
        <f t="shared" ca="1" si="122"/>
        <v>7.9951558012616086</v>
      </c>
      <c r="D1528" s="467">
        <f ca="1">C1528</f>
        <v>7.9951558012616086</v>
      </c>
      <c r="E1528" s="661">
        <f ca="1">C1528-D1528</f>
        <v>0</v>
      </c>
      <c r="F1528" s="399"/>
      <c r="G1528" s="534"/>
      <c r="H1528" s="385"/>
      <c r="I1528" s="386"/>
    </row>
    <row r="1529" spans="1:9" ht="15.75" customHeight="1" x14ac:dyDescent="0.2">
      <c r="A1529" s="317" t="s">
        <v>1687</v>
      </c>
      <c r="B1529" s="665" t="s">
        <v>267</v>
      </c>
      <c r="C1529" s="666">
        <f t="shared" ca="1" si="122"/>
        <v>4.1210087089639435E-7</v>
      </c>
      <c r="D1529" s="469">
        <f t="shared" ref="D1529:D1538" ca="1" si="125">C1529</f>
        <v>4.1210087089639435E-7</v>
      </c>
      <c r="E1529" s="667">
        <f t="shared" ref="E1529:E1538" ca="1" si="126">C1529-D1529</f>
        <v>0</v>
      </c>
      <c r="F1529" s="386"/>
      <c r="G1529" s="534"/>
      <c r="H1529" s="385"/>
      <c r="I1529" s="386"/>
    </row>
    <row r="1530" spans="1:9" ht="15.75" customHeight="1" x14ac:dyDescent="0.2">
      <c r="A1530" s="317" t="s">
        <v>1164</v>
      </c>
      <c r="B1530" s="665" t="s">
        <v>267</v>
      </c>
      <c r="C1530" s="666">
        <f t="shared" ca="1" si="122"/>
        <v>0</v>
      </c>
      <c r="D1530" s="469">
        <f t="shared" ca="1" si="125"/>
        <v>0</v>
      </c>
      <c r="E1530" s="667">
        <f t="shared" ca="1" si="126"/>
        <v>0</v>
      </c>
      <c r="F1530" s="386"/>
      <c r="G1530" s="534"/>
      <c r="H1530" s="476">
        <f ca="1">D1513/(D1511/1000)</f>
        <v>1.5160429411930805</v>
      </c>
      <c r="I1530" s="476" t="s">
        <v>1933</v>
      </c>
    </row>
    <row r="1531" spans="1:9" ht="15.75" customHeight="1" x14ac:dyDescent="0.2">
      <c r="A1531" s="317" t="s">
        <v>1688</v>
      </c>
      <c r="B1531" s="665" t="s">
        <v>267</v>
      </c>
      <c r="C1531" s="666">
        <f t="shared" ca="1" si="122"/>
        <v>0</v>
      </c>
      <c r="D1531" s="469">
        <f t="shared" ca="1" si="125"/>
        <v>0</v>
      </c>
      <c r="E1531" s="667">
        <f t="shared" ca="1" si="126"/>
        <v>0</v>
      </c>
      <c r="F1531" s="386"/>
      <c r="G1531" s="534"/>
      <c r="H1531" s="476">
        <f ca="1">D1515/(D1511/1000)</f>
        <v>2.8362793141404463</v>
      </c>
      <c r="I1531" s="476" t="s">
        <v>1932</v>
      </c>
    </row>
    <row r="1532" spans="1:9" ht="15.75" customHeight="1" x14ac:dyDescent="0.2">
      <c r="A1532" s="317" t="s">
        <v>1689</v>
      </c>
      <c r="B1532" s="665" t="s">
        <v>267</v>
      </c>
      <c r="C1532" s="666">
        <f t="shared" ca="1" si="122"/>
        <v>0</v>
      </c>
      <c r="D1532" s="469">
        <f t="shared" ca="1" si="125"/>
        <v>0</v>
      </c>
      <c r="E1532" s="667">
        <f t="shared" ca="1" si="126"/>
        <v>0</v>
      </c>
      <c r="F1532" s="386"/>
      <c r="G1532" s="534"/>
      <c r="H1532" s="385"/>
      <c r="I1532" s="386"/>
    </row>
    <row r="1533" spans="1:9" ht="15.75" customHeight="1" x14ac:dyDescent="0.2">
      <c r="A1533" s="317" t="s">
        <v>1690</v>
      </c>
      <c r="B1533" s="665" t="s">
        <v>267</v>
      </c>
      <c r="C1533" s="666">
        <f t="shared" ca="1" si="122"/>
        <v>102.49754168925072</v>
      </c>
      <c r="D1533" s="469">
        <f t="shared" ca="1" si="125"/>
        <v>102.49754168925072</v>
      </c>
      <c r="E1533" s="667">
        <f t="shared" ca="1" si="126"/>
        <v>0</v>
      </c>
      <c r="F1533" s="386"/>
      <c r="G1533" s="534"/>
      <c r="H1533" s="385"/>
      <c r="I1533" s="386"/>
    </row>
    <row r="1534" spans="1:9" ht="15.75" customHeight="1" x14ac:dyDescent="0.2">
      <c r="A1534" s="317" t="s">
        <v>1691</v>
      </c>
      <c r="B1534" s="665" t="s">
        <v>267</v>
      </c>
      <c r="C1534" s="666">
        <f t="shared" ca="1" si="122"/>
        <v>7.349214500674262</v>
      </c>
      <c r="D1534" s="469">
        <f t="shared" ca="1" si="125"/>
        <v>7.349214500674262</v>
      </c>
      <c r="E1534" s="667">
        <f t="shared" ca="1" si="126"/>
        <v>0</v>
      </c>
      <c r="F1534" s="386"/>
      <c r="G1534" s="534"/>
      <c r="H1534" s="385"/>
      <c r="I1534" s="386"/>
    </row>
    <row r="1535" spans="1:9" ht="15.75" customHeight="1" x14ac:dyDescent="0.2">
      <c r="A1535" s="317" t="s">
        <v>1692</v>
      </c>
      <c r="B1535" s="665" t="s">
        <v>267</v>
      </c>
      <c r="C1535" s="666">
        <f t="shared" ca="1" si="122"/>
        <v>4.4843005194236337E-6</v>
      </c>
      <c r="D1535" s="469">
        <f t="shared" ca="1" si="125"/>
        <v>4.4843005194236337E-6</v>
      </c>
      <c r="E1535" s="667">
        <f t="shared" ca="1" si="126"/>
        <v>0</v>
      </c>
      <c r="F1535" s="386"/>
      <c r="G1535" s="534"/>
      <c r="H1535" s="385"/>
      <c r="I1535" s="386"/>
    </row>
    <row r="1536" spans="1:9" ht="15.75" customHeight="1" x14ac:dyDescent="0.2">
      <c r="A1536" s="317" t="s">
        <v>1693</v>
      </c>
      <c r="B1536" s="665" t="s">
        <v>267</v>
      </c>
      <c r="C1536" s="666">
        <f t="shared" ca="1" si="122"/>
        <v>9.2704411638468056E-18</v>
      </c>
      <c r="D1536" s="469">
        <f t="shared" ca="1" si="125"/>
        <v>9.2704411638468056E-18</v>
      </c>
      <c r="E1536" s="667">
        <f t="shared" ca="1" si="126"/>
        <v>0</v>
      </c>
      <c r="F1536" s="386"/>
      <c r="G1536" s="534"/>
      <c r="H1536" s="385"/>
      <c r="I1536" s="386"/>
    </row>
    <row r="1537" spans="1:15" ht="15.75" customHeight="1" x14ac:dyDescent="0.2">
      <c r="A1537" s="317" t="s">
        <v>1678</v>
      </c>
      <c r="B1537" s="665" t="s">
        <v>267</v>
      </c>
      <c r="C1537" s="666">
        <f t="shared" ca="1" si="122"/>
        <v>0.14348260360204099</v>
      </c>
      <c r="D1537" s="469">
        <f t="shared" ca="1" si="125"/>
        <v>0.14348260360204099</v>
      </c>
      <c r="E1537" s="667">
        <f t="shared" ca="1" si="126"/>
        <v>0</v>
      </c>
      <c r="F1537" s="386"/>
      <c r="G1537" s="534"/>
      <c r="H1537" s="385"/>
      <c r="I1537" s="386"/>
    </row>
    <row r="1538" spans="1:15" ht="15.75" customHeight="1" x14ac:dyDescent="0.2">
      <c r="A1538" s="318" t="s">
        <v>482</v>
      </c>
      <c r="B1538" s="662" t="s">
        <v>267</v>
      </c>
      <c r="C1538" s="663">
        <f t="shared" ca="1" si="122"/>
        <v>7.4439400080516901E-10</v>
      </c>
      <c r="D1538" s="474">
        <f t="shared" ca="1" si="125"/>
        <v>7.4439400080516901E-10</v>
      </c>
      <c r="E1538" s="664">
        <f t="shared" ca="1" si="126"/>
        <v>0</v>
      </c>
      <c r="F1538" s="393"/>
      <c r="G1538" s="534"/>
      <c r="H1538" s="385"/>
      <c r="I1538" s="386"/>
    </row>
    <row r="1539" spans="1:15" ht="15.75" customHeight="1" x14ac:dyDescent="0.2">
      <c r="A1539" s="376"/>
      <c r="B1539" s="495"/>
      <c r="C1539" s="392"/>
      <c r="D1539" s="391"/>
      <c r="E1539" s="391"/>
      <c r="F1539" s="391"/>
      <c r="G1539" s="391"/>
      <c r="H1539" s="391"/>
      <c r="I1539" s="393"/>
    </row>
    <row r="1540" spans="1:15" ht="15.75" customHeight="1" x14ac:dyDescent="0.2"/>
    <row r="1541" spans="1:15" ht="15.75" customHeight="1" thickBot="1" x14ac:dyDescent="0.25"/>
    <row r="1542" spans="1:15" ht="44" customHeight="1" thickBot="1" x14ac:dyDescent="0.25">
      <c r="A1542" s="2062" t="s">
        <v>1942</v>
      </c>
      <c r="B1542" s="760"/>
      <c r="C1542" s="760"/>
      <c r="D1542" s="760"/>
      <c r="E1542" s="760"/>
      <c r="F1542" s="760"/>
      <c r="G1542" s="760"/>
      <c r="H1542" s="760"/>
      <c r="I1542" s="760"/>
      <c r="J1542" s="760"/>
      <c r="K1542" s="760"/>
      <c r="L1542" s="760"/>
      <c r="M1542" s="760"/>
      <c r="N1542" s="760"/>
      <c r="O1542" s="761"/>
    </row>
    <row r="1543" spans="1:15" ht="15.75" customHeight="1" x14ac:dyDescent="0.2"/>
    <row r="1544" spans="1:15" ht="15.75" customHeight="1" x14ac:dyDescent="0.2">
      <c r="A1544" s="762" t="s">
        <v>1963</v>
      </c>
      <c r="B1544" s="763"/>
      <c r="C1544" s="763"/>
      <c r="D1544" s="763"/>
      <c r="E1544" s="763"/>
      <c r="F1544" s="763"/>
      <c r="G1544" s="763"/>
      <c r="H1544" s="763"/>
      <c r="I1544" s="764"/>
    </row>
    <row r="1545" spans="1:15" ht="15.75" customHeight="1" x14ac:dyDescent="0.2">
      <c r="A1545" s="301" t="s">
        <v>580</v>
      </c>
      <c r="B1545" s="301" t="s">
        <v>372</v>
      </c>
      <c r="C1545" s="301" t="s">
        <v>42</v>
      </c>
      <c r="D1545" s="557" t="s">
        <v>372</v>
      </c>
      <c r="E1545" s="301" t="s">
        <v>42</v>
      </c>
      <c r="F1545" s="557" t="s">
        <v>372</v>
      </c>
      <c r="G1545" s="301" t="s">
        <v>42</v>
      </c>
      <c r="H1545" s="301" t="s">
        <v>372</v>
      </c>
      <c r="I1545" s="301" t="s">
        <v>42</v>
      </c>
    </row>
    <row r="1546" spans="1:15" ht="15.75" customHeight="1" x14ac:dyDescent="0.2">
      <c r="B1546" s="1523" t="s">
        <v>1965</v>
      </c>
      <c r="C1546" s="1524"/>
      <c r="D1546" s="1523" t="s">
        <v>1966</v>
      </c>
      <c r="E1546" s="1524"/>
      <c r="F1546" s="1523" t="s">
        <v>484</v>
      </c>
      <c r="G1546" s="1524"/>
      <c r="H1546" s="1525" t="s">
        <v>1967</v>
      </c>
      <c r="I1546" s="1526"/>
    </row>
    <row r="1547" spans="1:15" ht="15.75" customHeight="1" x14ac:dyDescent="0.2">
      <c r="A1547" s="316" t="s">
        <v>1964</v>
      </c>
      <c r="B1547" s="342" t="s">
        <v>302</v>
      </c>
      <c r="C1547" s="461">
        <v>7.03</v>
      </c>
      <c r="D1547" s="341" t="s">
        <v>302</v>
      </c>
      <c r="E1547" s="220">
        <v>0.2</v>
      </c>
      <c r="F1547" s="342" t="s">
        <v>302</v>
      </c>
      <c r="G1547" s="220">
        <v>155.80000000000001</v>
      </c>
      <c r="H1547" s="342" t="s">
        <v>1992</v>
      </c>
      <c r="I1547" s="366">
        <v>51.1</v>
      </c>
    </row>
    <row r="1548" spans="1:15" ht="15.75" customHeight="1" x14ac:dyDescent="0.2">
      <c r="A1548" s="317" t="s">
        <v>412</v>
      </c>
      <c r="B1548" s="344" t="s">
        <v>302</v>
      </c>
      <c r="C1548" s="446">
        <v>12</v>
      </c>
      <c r="D1548" s="172" t="s">
        <v>302</v>
      </c>
      <c r="E1548" s="76">
        <v>0.95</v>
      </c>
      <c r="F1548" s="344" t="s">
        <v>302</v>
      </c>
      <c r="G1548" s="76">
        <v>476.4</v>
      </c>
      <c r="H1548" s="344" t="s">
        <v>1992</v>
      </c>
      <c r="I1548" s="367">
        <v>139.6</v>
      </c>
    </row>
    <row r="1549" spans="1:15" ht="15.75" customHeight="1" x14ac:dyDescent="0.2">
      <c r="A1549" s="429" t="s">
        <v>409</v>
      </c>
      <c r="B1549" s="490" t="s">
        <v>302</v>
      </c>
      <c r="C1549" s="491">
        <v>1.05</v>
      </c>
      <c r="D1549" s="209" t="s">
        <v>302</v>
      </c>
      <c r="E1549" s="208">
        <v>0.75</v>
      </c>
      <c r="F1549" s="490" t="s">
        <v>302</v>
      </c>
      <c r="G1549" s="208">
        <v>8.58</v>
      </c>
      <c r="H1549" s="490" t="s">
        <v>1992</v>
      </c>
      <c r="I1549" s="521">
        <v>9.9</v>
      </c>
    </row>
    <row r="1550" spans="1:15" ht="15.75" customHeight="1" x14ac:dyDescent="0.2">
      <c r="A1550" s="317" t="s">
        <v>400</v>
      </c>
      <c r="B1550" s="344" t="s">
        <v>302</v>
      </c>
      <c r="C1550" s="446">
        <v>1</v>
      </c>
      <c r="D1550" s="172" t="s">
        <v>302</v>
      </c>
      <c r="F1550" s="344" t="s">
        <v>302</v>
      </c>
      <c r="G1550" s="76">
        <v>0</v>
      </c>
      <c r="H1550" s="344" t="s">
        <v>1992</v>
      </c>
      <c r="I1550" s="367">
        <v>0</v>
      </c>
    </row>
    <row r="1551" spans="1:15" ht="15.75" customHeight="1" x14ac:dyDescent="0.2">
      <c r="A1551" s="317" t="s">
        <v>402</v>
      </c>
      <c r="B1551" s="344" t="s">
        <v>302</v>
      </c>
      <c r="C1551" s="446">
        <v>1</v>
      </c>
      <c r="D1551" s="172" t="s">
        <v>302</v>
      </c>
      <c r="F1551" s="344" t="s">
        <v>302</v>
      </c>
      <c r="G1551" s="76">
        <v>0.74</v>
      </c>
      <c r="H1551" s="344" t="s">
        <v>1992</v>
      </c>
      <c r="I1551" s="367">
        <v>1.27</v>
      </c>
    </row>
    <row r="1552" spans="1:15" ht="15.75" customHeight="1" x14ac:dyDescent="0.2">
      <c r="A1552" s="318" t="s">
        <v>1918</v>
      </c>
      <c r="B1552" s="376"/>
      <c r="C1552" s="369"/>
      <c r="D1552" s="178" t="s">
        <v>302</v>
      </c>
      <c r="E1552" s="248">
        <v>3.28</v>
      </c>
      <c r="F1552" s="376"/>
      <c r="G1552" s="248"/>
      <c r="H1552" s="376"/>
      <c r="I1552" s="369"/>
    </row>
    <row r="1553" spans="1:11" ht="15.75" customHeight="1" x14ac:dyDescent="0.2"/>
    <row r="1554" spans="1:11" ht="15.75" customHeight="1" x14ac:dyDescent="0.2">
      <c r="A1554" s="762" t="s">
        <v>868</v>
      </c>
      <c r="B1554" s="763"/>
      <c r="C1554" s="763"/>
      <c r="D1554" s="763"/>
      <c r="E1554" s="763"/>
      <c r="F1554" s="763"/>
      <c r="G1554" s="764"/>
      <c r="H1554" s="172"/>
    </row>
    <row r="1555" spans="1:11" ht="15.75" customHeight="1" x14ac:dyDescent="0.2">
      <c r="A1555" s="301" t="s">
        <v>580</v>
      </c>
      <c r="B1555" s="301" t="s">
        <v>372</v>
      </c>
      <c r="C1555" s="301" t="s">
        <v>42</v>
      </c>
      <c r="D1555" s="301" t="s">
        <v>372</v>
      </c>
      <c r="E1555" s="301" t="s">
        <v>42</v>
      </c>
      <c r="F1555" s="301" t="s">
        <v>372</v>
      </c>
      <c r="G1555" s="301" t="s">
        <v>42</v>
      </c>
    </row>
    <row r="1556" spans="1:11" ht="15.75" customHeight="1" x14ac:dyDescent="0.2">
      <c r="A1556" s="316" t="s">
        <v>375</v>
      </c>
      <c r="B1556" s="387" t="s">
        <v>902</v>
      </c>
      <c r="C1556" s="366">
        <v>35</v>
      </c>
      <c r="D1556" s="342"/>
      <c r="E1556" s="366"/>
      <c r="F1556" s="387"/>
      <c r="G1556" s="366"/>
    </row>
    <row r="1557" spans="1:11" ht="15.75" customHeight="1" x14ac:dyDescent="0.2">
      <c r="A1557" s="317" t="s">
        <v>1968</v>
      </c>
      <c r="B1557" s="375" t="s">
        <v>1708</v>
      </c>
      <c r="C1557" s="367">
        <v>10.34</v>
      </c>
      <c r="D1557" s="344"/>
      <c r="E1557" s="367"/>
      <c r="F1557" s="375"/>
      <c r="G1557" s="367"/>
    </row>
    <row r="1558" spans="1:11" ht="15.75" customHeight="1" x14ac:dyDescent="0.2">
      <c r="A1558" s="317" t="s">
        <v>1969</v>
      </c>
      <c r="B1558" s="375" t="s">
        <v>1041</v>
      </c>
      <c r="C1558" s="367">
        <v>2.5</v>
      </c>
      <c r="D1558" s="344"/>
      <c r="E1558" s="367"/>
      <c r="F1558" s="375"/>
      <c r="G1558" s="367"/>
    </row>
    <row r="1559" spans="1:11" ht="15.75" customHeight="1" x14ac:dyDescent="0.2">
      <c r="A1559" s="317" t="s">
        <v>1970</v>
      </c>
      <c r="B1559" s="375" t="s">
        <v>1971</v>
      </c>
      <c r="C1559" s="367">
        <v>1</v>
      </c>
      <c r="D1559" s="433" t="s">
        <v>1044</v>
      </c>
      <c r="E1559" s="437">
        <f>C1559*Units!C56</f>
        <v>60</v>
      </c>
      <c r="F1559" s="433" t="s">
        <v>391</v>
      </c>
      <c r="G1559" s="437">
        <f>E1559/Units!C15</f>
        <v>0.06</v>
      </c>
    </row>
    <row r="1560" spans="1:11" ht="15.75" customHeight="1" x14ac:dyDescent="0.2">
      <c r="A1560" s="318" t="s">
        <v>1246</v>
      </c>
      <c r="B1560" s="376" t="s">
        <v>24</v>
      </c>
      <c r="C1560" s="369">
        <v>200</v>
      </c>
      <c r="D1560" s="347"/>
      <c r="E1560" s="369"/>
      <c r="F1560" s="376"/>
      <c r="G1560" s="369"/>
    </row>
    <row r="1561" spans="1:11" ht="15.75" customHeight="1" x14ac:dyDescent="0.2">
      <c r="D1561" s="172"/>
    </row>
    <row r="1562" spans="1:11" ht="15.75" customHeight="1" x14ac:dyDescent="0.2">
      <c r="A1562" s="762" t="s">
        <v>2019</v>
      </c>
      <c r="B1562" s="763"/>
      <c r="C1562" s="763"/>
      <c r="D1562" s="765"/>
      <c r="E1562" s="763"/>
      <c r="F1562" s="763"/>
      <c r="G1562" s="763"/>
      <c r="H1562" s="763"/>
      <c r="I1562" s="763"/>
      <c r="J1562" s="763"/>
      <c r="K1562" s="764"/>
    </row>
    <row r="1563" spans="1:11" ht="15.75" customHeight="1" x14ac:dyDescent="0.2">
      <c r="A1563" s="301" t="s">
        <v>580</v>
      </c>
      <c r="B1563" s="301" t="s">
        <v>372</v>
      </c>
      <c r="C1563" s="301" t="s">
        <v>42</v>
      </c>
      <c r="D1563" s="373" t="s">
        <v>372</v>
      </c>
      <c r="E1563" s="373" t="s">
        <v>42</v>
      </c>
      <c r="F1563" s="373" t="s">
        <v>372</v>
      </c>
      <c r="G1563" s="373" t="s">
        <v>42</v>
      </c>
      <c r="H1563" s="373" t="s">
        <v>372</v>
      </c>
      <c r="I1563" s="373" t="s">
        <v>42</v>
      </c>
      <c r="J1563" s="373" t="s">
        <v>372</v>
      </c>
      <c r="K1563" s="373" t="s">
        <v>42</v>
      </c>
    </row>
    <row r="1564" spans="1:11" ht="15.75" customHeight="1" x14ac:dyDescent="0.2">
      <c r="B1564" s="1523" t="s">
        <v>2025</v>
      </c>
      <c r="C1564" s="1524"/>
      <c r="D1564" s="1520" t="s">
        <v>2024</v>
      </c>
      <c r="E1564" s="1520"/>
      <c r="F1564" s="1520" t="s">
        <v>2026</v>
      </c>
      <c r="G1564" s="1520"/>
      <c r="H1564" s="1520" t="s">
        <v>2027</v>
      </c>
      <c r="I1564" s="1520"/>
      <c r="J1564" s="1520" t="s">
        <v>2029</v>
      </c>
      <c r="K1564" s="1520"/>
    </row>
    <row r="1565" spans="1:11" ht="15.75" customHeight="1" x14ac:dyDescent="0.2">
      <c r="A1565" s="316" t="s">
        <v>1964</v>
      </c>
      <c r="B1565" s="342" t="s">
        <v>302</v>
      </c>
      <c r="C1565" s="461">
        <f>Units!C19</f>
        <v>749.4</v>
      </c>
      <c r="D1565" s="342" t="s">
        <v>1081</v>
      </c>
      <c r="E1565" s="366">
        <f>G1547/C1565</f>
        <v>0.20789965305577798</v>
      </c>
      <c r="F1565" s="342" t="s">
        <v>1044</v>
      </c>
      <c r="G1565" s="366">
        <f>G$1559*C1547</f>
        <v>0.42180000000000001</v>
      </c>
      <c r="H1565" s="342" t="s">
        <v>1044</v>
      </c>
      <c r="I1565" s="366">
        <f>I$1573*G1547</f>
        <v>0.25554835397771508</v>
      </c>
      <c r="J1565" s="342" t="s">
        <v>1044</v>
      </c>
      <c r="K1565" s="366">
        <f t="shared" ref="K1565:K1570" si="127">E1547*K$1573</f>
        <v>1.1671953332506143E-2</v>
      </c>
    </row>
    <row r="1566" spans="1:11" ht="15.75" customHeight="1" x14ac:dyDescent="0.2">
      <c r="A1566" s="317" t="s">
        <v>412</v>
      </c>
      <c r="B1566" s="344" t="s">
        <v>302</v>
      </c>
      <c r="C1566" s="446">
        <f>Units!C20</f>
        <v>810</v>
      </c>
      <c r="D1566" s="344" t="s">
        <v>1081</v>
      </c>
      <c r="E1566" s="367">
        <f>G1548/C1566</f>
        <v>0.58814814814814809</v>
      </c>
      <c r="F1566" s="344" t="s">
        <v>1044</v>
      </c>
      <c r="G1566" s="367">
        <f>G$1559*C1548</f>
        <v>0.72</v>
      </c>
      <c r="H1566" s="344" t="s">
        <v>1044</v>
      </c>
      <c r="I1566" s="367">
        <f>I$1573*G1548</f>
        <v>0.78140716197036864</v>
      </c>
      <c r="J1566" s="344" t="s">
        <v>1044</v>
      </c>
      <c r="K1566" s="367">
        <f t="shared" si="127"/>
        <v>5.5441778329404175E-2</v>
      </c>
    </row>
    <row r="1567" spans="1:11" ht="15.75" customHeight="1" x14ac:dyDescent="0.2">
      <c r="A1567" s="317" t="s">
        <v>409</v>
      </c>
      <c r="B1567" s="344" t="s">
        <v>302</v>
      </c>
      <c r="C1567" s="446">
        <f>Units!C22</f>
        <v>789</v>
      </c>
      <c r="D1567" s="344" t="s">
        <v>1081</v>
      </c>
      <c r="E1567" s="367">
        <f>G1549/C1567</f>
        <v>1.0874524714828897E-2</v>
      </c>
      <c r="F1567" s="344" t="s">
        <v>1044</v>
      </c>
      <c r="G1567" s="367">
        <f>G$1559*C1549</f>
        <v>6.3E-2</v>
      </c>
      <c r="H1567" s="344" t="s">
        <v>1044</v>
      </c>
      <c r="I1567" s="367">
        <f>I$1573*G1549</f>
        <v>1.407320203548649E-2</v>
      </c>
      <c r="J1567" s="344" t="s">
        <v>1044</v>
      </c>
      <c r="K1567" s="367">
        <f t="shared" si="127"/>
        <v>4.3769824996898035E-2</v>
      </c>
    </row>
    <row r="1568" spans="1:11" ht="15.75" customHeight="1" x14ac:dyDescent="0.2">
      <c r="A1568" s="317" t="s">
        <v>400</v>
      </c>
      <c r="B1568" s="344" t="s">
        <v>302</v>
      </c>
      <c r="C1568" s="446">
        <f>Units!C23</f>
        <v>1049</v>
      </c>
      <c r="D1568" s="344" t="s">
        <v>1081</v>
      </c>
      <c r="E1568" s="367">
        <f>G1550/C1568</f>
        <v>0</v>
      </c>
      <c r="F1568" s="344" t="s">
        <v>1044</v>
      </c>
      <c r="G1568" s="367">
        <f>G$1559*C1550</f>
        <v>0.06</v>
      </c>
      <c r="H1568" s="344" t="s">
        <v>1044</v>
      </c>
      <c r="I1568" s="367">
        <f>I$1573*G1550</f>
        <v>0</v>
      </c>
      <c r="J1568" s="344" t="s">
        <v>1044</v>
      </c>
      <c r="K1568" s="367">
        <f t="shared" si="127"/>
        <v>0</v>
      </c>
    </row>
    <row r="1569" spans="1:11" ht="15.75" customHeight="1" x14ac:dyDescent="0.2">
      <c r="A1569" s="317" t="s">
        <v>402</v>
      </c>
      <c r="B1569" s="344" t="s">
        <v>302</v>
      </c>
      <c r="C1569" s="446">
        <f>Units!C24</f>
        <v>964</v>
      </c>
      <c r="D1569" s="344" t="s">
        <v>1081</v>
      </c>
      <c r="E1569" s="367">
        <f>G1551/C1569</f>
        <v>7.6763485477178417E-4</v>
      </c>
      <c r="F1569" s="344" t="s">
        <v>1044</v>
      </c>
      <c r="G1569" s="367">
        <f>G$1559*C1551</f>
        <v>0.06</v>
      </c>
      <c r="H1569" s="344" t="s">
        <v>1044</v>
      </c>
      <c r="I1569" s="367">
        <f>I$1573*G1551</f>
        <v>1.2137726697272729E-3</v>
      </c>
      <c r="J1569" s="344" t="s">
        <v>1044</v>
      </c>
      <c r="K1569" s="367">
        <f t="shared" si="127"/>
        <v>0</v>
      </c>
    </row>
    <row r="1570" spans="1:11" ht="15.75" customHeight="1" x14ac:dyDescent="0.2">
      <c r="A1570" s="317" t="s">
        <v>1918</v>
      </c>
      <c r="B1570" s="344" t="s">
        <v>302</v>
      </c>
      <c r="C1570" s="446"/>
      <c r="D1570" s="344"/>
      <c r="E1570" s="367"/>
      <c r="F1570" s="347"/>
      <c r="G1570" s="369"/>
      <c r="H1570" s="347"/>
      <c r="I1570" s="369"/>
      <c r="J1570" s="347" t="s">
        <v>1044</v>
      </c>
      <c r="K1570" s="369">
        <f t="shared" si="127"/>
        <v>0.19142003465310073</v>
      </c>
    </row>
    <row r="1571" spans="1:11" ht="15.75" customHeight="1" x14ac:dyDescent="0.2">
      <c r="A1571" s="377" t="s">
        <v>751</v>
      </c>
      <c r="B1571" s="439"/>
      <c r="C1571" s="437"/>
      <c r="D1571" s="433" t="s">
        <v>1081</v>
      </c>
      <c r="E1571" s="437">
        <f>SUM(E1565:E1569)</f>
        <v>0.80768996077352673</v>
      </c>
      <c r="F1571" s="433" t="s">
        <v>1044</v>
      </c>
      <c r="G1571" s="437">
        <f>SUM(G1565:G1569)</f>
        <v>1.3248</v>
      </c>
      <c r="H1571" s="455" t="s">
        <v>1044</v>
      </c>
      <c r="I1571" s="437">
        <f>SUM(I1565:I1569)</f>
        <v>1.0522424906532974</v>
      </c>
      <c r="J1571" s="455" t="s">
        <v>1044</v>
      </c>
      <c r="K1571" s="437">
        <f>SUM(K1565:K1570)</f>
        <v>0.30230359131190909</v>
      </c>
    </row>
    <row r="1572" spans="1:11" ht="15.75" customHeight="1" x14ac:dyDescent="0.2">
      <c r="A1572" s="1566" t="s">
        <v>2028</v>
      </c>
      <c r="B1572" s="220"/>
      <c r="C1572" s="220"/>
      <c r="D1572" s="341"/>
      <c r="E1572" s="220"/>
      <c r="F1572" s="220"/>
      <c r="G1572" s="220"/>
      <c r="H1572" s="342" t="s">
        <v>1044</v>
      </c>
      <c r="I1572" s="366">
        <f>G1571/E1571</f>
        <v>1.6402333374692879</v>
      </c>
      <c r="J1572" s="342" t="s">
        <v>1044</v>
      </c>
      <c r="K1572" s="366">
        <f>E1559-I1572</f>
        <v>58.35976666253071</v>
      </c>
    </row>
    <row r="1573" spans="1:11" ht="15.75" customHeight="1" x14ac:dyDescent="0.2">
      <c r="A1573" s="1567"/>
      <c r="B1573" s="248"/>
      <c r="C1573" s="248"/>
      <c r="D1573" s="178"/>
      <c r="E1573" s="248"/>
      <c r="F1573" s="248"/>
      <c r="G1573" s="248"/>
      <c r="H1573" s="347" t="s">
        <v>391</v>
      </c>
      <c r="I1573" s="369">
        <f>I1572/Units!C15</f>
        <v>1.6402333374692878E-3</v>
      </c>
      <c r="J1573" s="347" t="s">
        <v>391</v>
      </c>
      <c r="K1573" s="369">
        <f>K1572/Units!C15</f>
        <v>5.8359766662530711E-2</v>
      </c>
    </row>
    <row r="1574" spans="1:11" ht="15.75" customHeight="1" x14ac:dyDescent="0.2"/>
    <row r="1575" spans="1:11" ht="15.75" customHeight="1" x14ac:dyDescent="0.2">
      <c r="A1575" s="762" t="s">
        <v>1993</v>
      </c>
      <c r="B1575" s="763"/>
      <c r="C1575" s="763"/>
      <c r="D1575" s="763"/>
      <c r="E1575" s="763"/>
      <c r="F1575" s="763"/>
      <c r="G1575" s="764"/>
    </row>
    <row r="1576" spans="1:11" ht="15.75" customHeight="1" x14ac:dyDescent="0.2">
      <c r="A1576" s="301" t="s">
        <v>580</v>
      </c>
      <c r="B1576" s="301" t="s">
        <v>372</v>
      </c>
      <c r="C1576" s="301" t="s">
        <v>42</v>
      </c>
      <c r="D1576" s="301" t="s">
        <v>372</v>
      </c>
      <c r="E1576" s="301" t="s">
        <v>42</v>
      </c>
      <c r="F1576" s="387"/>
      <c r="G1576" s="366"/>
    </row>
    <row r="1577" spans="1:11" ht="15.75" customHeight="1" x14ac:dyDescent="0.2">
      <c r="A1577" s="373" t="s">
        <v>536</v>
      </c>
      <c r="B1577" s="433" t="str">
        <f>B1423</f>
        <v>L/hr</v>
      </c>
      <c r="C1577" s="434">
        <f ca="1">C1423</f>
        <v>96187.768972952224</v>
      </c>
      <c r="D1577" s="455" t="str">
        <f>D1423</f>
        <v>m3/hr</v>
      </c>
      <c r="E1577" s="434">
        <f ca="1">E1423</f>
        <v>96.187768972952227</v>
      </c>
      <c r="F1577" s="375"/>
      <c r="G1577" s="367"/>
    </row>
    <row r="1578" spans="1:11" ht="15.75" customHeight="1" x14ac:dyDescent="0.2">
      <c r="A1578" s="317" t="s">
        <v>400</v>
      </c>
      <c r="B1578" s="344" t="str">
        <f>B1425</f>
        <v>kg/hr</v>
      </c>
      <c r="C1578" s="363">
        <f ca="1">C1425</f>
        <v>1.0655845587287995</v>
      </c>
      <c r="D1578" s="344" t="str">
        <f>D1425</f>
        <v>kg/m3</v>
      </c>
      <c r="E1578" s="363">
        <f ca="1">E1425</f>
        <v>1.1078171061732801E-2</v>
      </c>
      <c r="F1578" s="375"/>
      <c r="G1578" s="367"/>
    </row>
    <row r="1579" spans="1:11" ht="15.75" customHeight="1" x14ac:dyDescent="0.2">
      <c r="A1579" s="317" t="s">
        <v>401</v>
      </c>
      <c r="B1579" s="344" t="str">
        <f>B1427</f>
        <v>kg/hr</v>
      </c>
      <c r="C1579" s="363">
        <f ca="1">C1427</f>
        <v>3.4083205605246643</v>
      </c>
      <c r="D1579" s="344" t="str">
        <f>D1427</f>
        <v>kg/m3</v>
      </c>
      <c r="E1579" s="363">
        <f ca="1">E1427</f>
        <v>3.5434032797694644E-2</v>
      </c>
      <c r="F1579" s="375"/>
      <c r="G1579" s="367"/>
    </row>
    <row r="1580" spans="1:11" ht="15.75" customHeight="1" x14ac:dyDescent="0.2">
      <c r="A1580" s="317" t="s">
        <v>402</v>
      </c>
      <c r="B1580" s="344" t="str">
        <f>B1429</f>
        <v>kg/hr</v>
      </c>
      <c r="C1580" s="363">
        <f ca="1">C1429</f>
        <v>2.2528716750996405</v>
      </c>
      <c r="D1580" s="344" t="str">
        <f>D1429</f>
        <v>kg/m3</v>
      </c>
      <c r="E1580" s="363">
        <f ca="1">E1429</f>
        <v>2.3421602342530084E-2</v>
      </c>
      <c r="F1580" s="375"/>
      <c r="G1580" s="367"/>
    </row>
    <row r="1581" spans="1:11" ht="15.75" customHeight="1" x14ac:dyDescent="0.2">
      <c r="A1581" s="317" t="s">
        <v>403</v>
      </c>
      <c r="B1581" s="344" t="str">
        <f>B1431</f>
        <v>kg/hr</v>
      </c>
      <c r="C1581" s="363">
        <f ca="1">C1431</f>
        <v>0</v>
      </c>
      <c r="D1581" s="344" t="str">
        <f>D1431</f>
        <v>kg/m3</v>
      </c>
      <c r="E1581" s="363">
        <f ca="1">E1431</f>
        <v>0</v>
      </c>
      <c r="F1581" s="375"/>
      <c r="G1581" s="367"/>
    </row>
    <row r="1582" spans="1:11" ht="15.75" customHeight="1" x14ac:dyDescent="0.2">
      <c r="A1582" s="317" t="s">
        <v>404</v>
      </c>
      <c r="B1582" s="344" t="str">
        <f>B1433</f>
        <v>kg/hr</v>
      </c>
      <c r="C1582" s="363">
        <f ca="1">C1433</f>
        <v>3.7797013586736559</v>
      </c>
      <c r="D1582" s="344" t="str">
        <f>D1433</f>
        <v>kg/m3</v>
      </c>
      <c r="E1582" s="363">
        <f ca="1">E1433</f>
        <v>3.929503094864898E-2</v>
      </c>
      <c r="F1582" s="375"/>
      <c r="G1582" s="367"/>
    </row>
    <row r="1583" spans="1:11" ht="15.75" customHeight="1" x14ac:dyDescent="0.2">
      <c r="A1583" s="317" t="s">
        <v>405</v>
      </c>
      <c r="B1583" s="344" t="str">
        <f>B1435</f>
        <v>kg/hr</v>
      </c>
      <c r="C1583" s="363">
        <f ca="1">C1435</f>
        <v>0.6220442038405134</v>
      </c>
      <c r="D1583" s="344" t="str">
        <f>D1435</f>
        <v>kg/m3</v>
      </c>
      <c r="E1583" s="363">
        <f ca="1">E1435</f>
        <v>6.4669781873767209E-3</v>
      </c>
      <c r="F1583" s="375"/>
      <c r="G1583" s="367"/>
    </row>
    <row r="1584" spans="1:11" ht="15.75" customHeight="1" x14ac:dyDescent="0.2">
      <c r="A1584" s="317" t="s">
        <v>420</v>
      </c>
      <c r="B1584" s="344" t="str">
        <f>B1437</f>
        <v>kg/hr</v>
      </c>
      <c r="C1584" s="363">
        <f ca="1">C1437</f>
        <v>15.756724650112414</v>
      </c>
      <c r="D1584" s="344" t="str">
        <f>D1437</f>
        <v>kg/m3</v>
      </c>
      <c r="E1584" s="363">
        <f ca="1">E1437</f>
        <v>0.16381214387603862</v>
      </c>
      <c r="F1584" s="375"/>
      <c r="G1584" s="367"/>
    </row>
    <row r="1585" spans="1:7" ht="15.75" customHeight="1" x14ac:dyDescent="0.2">
      <c r="A1585" s="317" t="s">
        <v>421</v>
      </c>
      <c r="B1585" s="344" t="str">
        <f>B1439</f>
        <v>kg/hr</v>
      </c>
      <c r="C1585" s="363">
        <f ca="1">C1439</f>
        <v>0.92152185793674912</v>
      </c>
      <c r="D1585" s="344" t="str">
        <f>D1439</f>
        <v>kg/m3</v>
      </c>
      <c r="E1585" s="363">
        <f ca="1">E1439</f>
        <v>9.580447366399349E-3</v>
      </c>
      <c r="F1585" s="1530" t="s">
        <v>2066</v>
      </c>
      <c r="G1585" s="1530"/>
    </row>
    <row r="1586" spans="1:7" ht="15.75" customHeight="1" x14ac:dyDescent="0.2">
      <c r="A1586" s="316" t="s">
        <v>393</v>
      </c>
      <c r="B1586" s="342" t="str">
        <f>B1424</f>
        <v>kg/hr</v>
      </c>
      <c r="C1586" s="361">
        <f ca="1">C1424</f>
        <v>19.064317211563282</v>
      </c>
      <c r="D1586" s="342" t="str">
        <f>D1424</f>
        <v>kg/m3</v>
      </c>
      <c r="E1586" s="361">
        <f ca="1">E1424</f>
        <v>0.19819897493333194</v>
      </c>
      <c r="F1586" s="368" t="s">
        <v>267</v>
      </c>
      <c r="G1586" s="440">
        <f ca="1">SUM(C1578:C1593)</f>
        <v>528.74985143422055</v>
      </c>
    </row>
    <row r="1587" spans="1:7" ht="15.75" customHeight="1" x14ac:dyDescent="0.2">
      <c r="A1587" s="317" t="s">
        <v>394</v>
      </c>
      <c r="B1587" s="344" t="str">
        <f>B1426</f>
        <v>kg/hr</v>
      </c>
      <c r="C1587" s="363">
        <f ca="1">C1426</f>
        <v>61.175646564400381</v>
      </c>
      <c r="D1587" s="344" t="str">
        <f>D1426</f>
        <v>kg/m3</v>
      </c>
      <c r="E1587" s="363">
        <f ca="1">E1426</f>
        <v>0.63600234434798908</v>
      </c>
      <c r="F1587" s="375"/>
      <c r="G1587" s="367"/>
    </row>
    <row r="1588" spans="1:7" ht="15.75" customHeight="1" x14ac:dyDescent="0.2">
      <c r="A1588" s="317" t="s">
        <v>396</v>
      </c>
      <c r="B1588" s="344" t="str">
        <f>B1428</f>
        <v>kg/hr</v>
      </c>
      <c r="C1588" s="363">
        <f ca="1">C1428</f>
        <v>40.525595803441647</v>
      </c>
      <c r="D1588" s="344" t="str">
        <f>D1428</f>
        <v>kg/m3</v>
      </c>
      <c r="E1588" s="363">
        <f ca="1">E1428</f>
        <v>0.4213175566514839</v>
      </c>
      <c r="F1588" s="375"/>
      <c r="G1588" s="367"/>
    </row>
    <row r="1589" spans="1:7" ht="15.75" customHeight="1" x14ac:dyDescent="0.2">
      <c r="A1589" s="317" t="s">
        <v>395</v>
      </c>
      <c r="B1589" s="344" t="str">
        <f>B1430</f>
        <v>kg/hr</v>
      </c>
      <c r="C1589" s="363">
        <f ca="1">C1430</f>
        <v>0</v>
      </c>
      <c r="D1589" s="344" t="str">
        <f>D1430</f>
        <v>kg/m3</v>
      </c>
      <c r="E1589" s="363">
        <f ca="1">E1430</f>
        <v>0</v>
      </c>
      <c r="F1589" s="375"/>
      <c r="G1589" s="367"/>
    </row>
    <row r="1590" spans="1:7" ht="15.75" customHeight="1" x14ac:dyDescent="0.2">
      <c r="A1590" s="317" t="s">
        <v>397</v>
      </c>
      <c r="B1590" s="344" t="str">
        <f>B1432</f>
        <v>kg/hr</v>
      </c>
      <c r="C1590" s="363">
        <f ca="1">C1432</f>
        <v>68.099075459841885</v>
      </c>
      <c r="D1590" s="344" t="str">
        <f>D1432</f>
        <v>kg/m3</v>
      </c>
      <c r="E1590" s="363">
        <f ca="1">E1432</f>
        <v>0.70798061112105826</v>
      </c>
      <c r="F1590" s="375"/>
      <c r="G1590" s="367"/>
    </row>
    <row r="1591" spans="1:7" ht="15.75" customHeight="1" x14ac:dyDescent="0.2">
      <c r="A1591" s="317" t="s">
        <v>398</v>
      </c>
      <c r="B1591" s="344" t="str">
        <f>B1434</f>
        <v>kg/hr</v>
      </c>
      <c r="C1591" s="363">
        <f ca="1">C1434</f>
        <v>11.207402690554702</v>
      </c>
      <c r="D1591" s="344" t="str">
        <f>D1434</f>
        <v>kg/m3</v>
      </c>
      <c r="E1591" s="363">
        <f ca="1">E1434</f>
        <v>0.11651588149119246</v>
      </c>
      <c r="F1591" s="375"/>
      <c r="G1591" s="367"/>
    </row>
    <row r="1592" spans="1:7" ht="15.75" customHeight="1" x14ac:dyDescent="0.2">
      <c r="A1592" s="317" t="s">
        <v>578</v>
      </c>
      <c r="B1592" s="344" t="str">
        <f>B1436</f>
        <v>kg/hr</v>
      </c>
      <c r="C1592" s="363">
        <f ca="1">C1436</f>
        <v>284.23220531126282</v>
      </c>
      <c r="D1592" s="344" t="str">
        <f>D1436</f>
        <v>kg/m3</v>
      </c>
      <c r="E1592" s="363">
        <f ca="1">E1436</f>
        <v>2.95497242888738</v>
      </c>
      <c r="F1592" s="375"/>
      <c r="G1592" s="367"/>
    </row>
    <row r="1593" spans="1:7" ht="15.75" customHeight="1" x14ac:dyDescent="0.2">
      <c r="A1593" s="318" t="s">
        <v>407</v>
      </c>
      <c r="B1593" s="347" t="str">
        <f>B1438</f>
        <v>kg/hr</v>
      </c>
      <c r="C1593" s="365">
        <f ca="1">C1438</f>
        <v>16.638839528239536</v>
      </c>
      <c r="D1593" s="347" t="str">
        <f>D1438</f>
        <v>kg/m3</v>
      </c>
      <c r="E1593" s="365">
        <f ca="1">E1438</f>
        <v>0.17298290318926451</v>
      </c>
      <c r="F1593" s="375"/>
      <c r="G1593" s="367"/>
    </row>
    <row r="1594" spans="1:7" ht="15.75" customHeight="1" x14ac:dyDescent="0.2">
      <c r="A1594" s="317" t="s">
        <v>1686</v>
      </c>
      <c r="B1594" s="344" t="str">
        <f t="shared" ref="B1594:E1611" si="128">B1440</f>
        <v>kg/hr</v>
      </c>
      <c r="C1594" s="363">
        <f t="shared" ca="1" si="128"/>
        <v>10.613262240701108</v>
      </c>
      <c r="D1594" s="344" t="str">
        <f t="shared" si="128"/>
        <v>kg/m3</v>
      </c>
      <c r="E1594" s="363">
        <f t="shared" ca="1" si="128"/>
        <v>0.11033899999994315</v>
      </c>
      <c r="F1594" s="375"/>
      <c r="G1594" s="367"/>
    </row>
    <row r="1595" spans="1:7" ht="15.75" customHeight="1" x14ac:dyDescent="0.2">
      <c r="A1595" s="317" t="s">
        <v>1687</v>
      </c>
      <c r="B1595" s="344" t="str">
        <f t="shared" si="128"/>
        <v>kg/hr</v>
      </c>
      <c r="C1595" s="363">
        <f t="shared" ca="1" si="128"/>
        <v>5.4704807775660536E-12</v>
      </c>
      <c r="D1595" s="344" t="str">
        <f t="shared" si="128"/>
        <v>kg/m3</v>
      </c>
      <c r="E1595" s="363">
        <f t="shared" ca="1" si="128"/>
        <v>5.6872935467547228E-14</v>
      </c>
      <c r="F1595" s="375"/>
      <c r="G1595" s="367"/>
    </row>
    <row r="1596" spans="1:7" ht="15.75" customHeight="1" x14ac:dyDescent="0.2">
      <c r="A1596" s="317" t="s">
        <v>1164</v>
      </c>
      <c r="B1596" s="344" t="str">
        <f t="shared" si="128"/>
        <v>kg/hr</v>
      </c>
      <c r="C1596" s="363">
        <f t="shared" ca="1" si="128"/>
        <v>0</v>
      </c>
      <c r="D1596" s="344" t="str">
        <f t="shared" si="128"/>
        <v>kg/m3</v>
      </c>
      <c r="E1596" s="363">
        <f t="shared" ca="1" si="128"/>
        <v>0</v>
      </c>
      <c r="F1596" s="375"/>
      <c r="G1596" s="367"/>
    </row>
    <row r="1597" spans="1:7" ht="15.75" customHeight="1" x14ac:dyDescent="0.2">
      <c r="A1597" s="317" t="s">
        <v>1688</v>
      </c>
      <c r="B1597" s="344" t="str">
        <f t="shared" si="128"/>
        <v>kg/hr</v>
      </c>
      <c r="C1597" s="363">
        <f t="shared" ca="1" si="128"/>
        <v>0</v>
      </c>
      <c r="D1597" s="344" t="str">
        <f t="shared" si="128"/>
        <v>kg/m3</v>
      </c>
      <c r="E1597" s="363">
        <f t="shared" ca="1" si="128"/>
        <v>0</v>
      </c>
      <c r="F1597" s="375"/>
      <c r="G1597" s="367"/>
    </row>
    <row r="1598" spans="1:7" ht="15.75" customHeight="1" x14ac:dyDescent="0.2">
      <c r="A1598" s="317" t="s">
        <v>1689</v>
      </c>
      <c r="B1598" s="344" t="str">
        <f t="shared" si="128"/>
        <v>kg/hr</v>
      </c>
      <c r="C1598" s="363">
        <f t="shared" ca="1" si="128"/>
        <v>0</v>
      </c>
      <c r="D1598" s="344" t="str">
        <f t="shared" si="128"/>
        <v>kg/m3</v>
      </c>
      <c r="E1598" s="363">
        <f t="shared" ca="1" si="128"/>
        <v>0</v>
      </c>
      <c r="F1598" s="1530" t="s">
        <v>2065</v>
      </c>
      <c r="G1598" s="1530"/>
    </row>
    <row r="1599" spans="1:7" ht="15.75" customHeight="1" x14ac:dyDescent="0.2">
      <c r="A1599" s="317" t="s">
        <v>1690</v>
      </c>
      <c r="B1599" s="344" t="str">
        <f t="shared" si="128"/>
        <v>kg/hr</v>
      </c>
      <c r="C1599" s="363">
        <f t="shared" ca="1" si="128"/>
        <v>5.2095574294997648E-3</v>
      </c>
      <c r="D1599" s="344" t="str">
        <f t="shared" si="128"/>
        <v>kg/m3</v>
      </c>
      <c r="E1599" s="363">
        <f t="shared" ca="1" si="128"/>
        <v>5.4160289661824674E-5</v>
      </c>
      <c r="F1599" s="368" t="s">
        <v>267</v>
      </c>
      <c r="G1599" s="440">
        <f ca="1">SUM(C1594:C1604)</f>
        <v>78.760331504924707</v>
      </c>
    </row>
    <row r="1600" spans="1:7" ht="15.75" customHeight="1" x14ac:dyDescent="0.2">
      <c r="A1600" s="317" t="s">
        <v>1691</v>
      </c>
      <c r="B1600" s="344" t="str">
        <f t="shared" si="128"/>
        <v>kg/hr</v>
      </c>
      <c r="C1600" s="363">
        <f t="shared" ca="1" si="128"/>
        <v>37.353242206578933</v>
      </c>
      <c r="D1600" s="344" t="str">
        <f t="shared" si="128"/>
        <v>kg/m3</v>
      </c>
      <c r="E1600" s="363">
        <f t="shared" ca="1" si="128"/>
        <v>0.38833671479668663</v>
      </c>
      <c r="F1600" s="375"/>
      <c r="G1600" s="367"/>
    </row>
    <row r="1601" spans="1:9" ht="15.75" customHeight="1" x14ac:dyDescent="0.2">
      <c r="A1601" s="317" t="s">
        <v>1692</v>
      </c>
      <c r="B1601" s="344" t="str">
        <f t="shared" si="128"/>
        <v>kg/hr</v>
      </c>
      <c r="C1601" s="363">
        <f t="shared" ca="1" si="128"/>
        <v>2.2791981838841577</v>
      </c>
      <c r="D1601" s="344" t="str">
        <f t="shared" si="128"/>
        <v>kg/m3</v>
      </c>
      <c r="E1601" s="363">
        <f t="shared" ca="1" si="128"/>
        <v>2.3695301473569502E-2</v>
      </c>
      <c r="F1601" s="375"/>
      <c r="G1601" s="367"/>
    </row>
    <row r="1602" spans="1:9" ht="15.75" customHeight="1" x14ac:dyDescent="0.2">
      <c r="A1602" s="317" t="s">
        <v>1693</v>
      </c>
      <c r="B1602" s="344" t="str">
        <f t="shared" si="128"/>
        <v>kg/hr</v>
      </c>
      <c r="C1602" s="363">
        <f t="shared" ca="1" si="128"/>
        <v>4.7118101413864086E-7</v>
      </c>
      <c r="D1602" s="344" t="str">
        <f t="shared" si="128"/>
        <v>kg/m3</v>
      </c>
      <c r="E1602" s="363">
        <f t="shared" ca="1" si="128"/>
        <v>4.8985543502015921E-9</v>
      </c>
      <c r="F1602" s="375"/>
      <c r="G1602" s="367"/>
    </row>
    <row r="1603" spans="1:9" ht="15.75" customHeight="1" x14ac:dyDescent="0.2">
      <c r="A1603" s="317" t="s">
        <v>1678</v>
      </c>
      <c r="B1603" s="344" t="str">
        <f t="shared" si="128"/>
        <v>kg/hr</v>
      </c>
      <c r="C1603" s="363">
        <f t="shared" ca="1" si="128"/>
        <v>28.494635703954824</v>
      </c>
      <c r="D1603" s="344" t="str">
        <f t="shared" si="128"/>
        <v>kg/m3</v>
      </c>
      <c r="E1603" s="363">
        <f t="shared" ca="1" si="128"/>
        <v>0.29623969874971784</v>
      </c>
      <c r="F1603" s="375"/>
      <c r="G1603" s="367"/>
    </row>
    <row r="1604" spans="1:9" ht="15.75" customHeight="1" x14ac:dyDescent="0.2">
      <c r="A1604" s="317" t="s">
        <v>482</v>
      </c>
      <c r="B1604" s="344" t="str">
        <f t="shared" si="128"/>
        <v>kg/hr</v>
      </c>
      <c r="C1604" s="363">
        <f t="shared" ca="1" si="128"/>
        <v>1.4783141189703839E-2</v>
      </c>
      <c r="D1604" s="344" t="str">
        <f t="shared" si="128"/>
        <v>kg/m3</v>
      </c>
      <c r="E1604" s="363">
        <f t="shared" ca="1" si="128"/>
        <v>1.5369044679538024E-4</v>
      </c>
      <c r="F1604" s="375"/>
      <c r="G1604" s="367"/>
    </row>
    <row r="1605" spans="1:9" ht="15.75" customHeight="1" x14ac:dyDescent="0.2">
      <c r="A1605" s="305" t="s">
        <v>409</v>
      </c>
      <c r="B1605" s="342" t="str">
        <f t="shared" si="128"/>
        <v>kg/hr</v>
      </c>
      <c r="C1605" s="361">
        <f t="shared" ca="1" si="128"/>
        <v>0</v>
      </c>
      <c r="D1605" s="342" t="str">
        <f t="shared" si="128"/>
        <v>kg/m3</v>
      </c>
      <c r="E1605" s="361">
        <f t="shared" ca="1" si="128"/>
        <v>0</v>
      </c>
      <c r="F1605" s="375"/>
      <c r="G1605" s="363"/>
      <c r="H1605" s="594"/>
    </row>
    <row r="1606" spans="1:9" ht="15.75" customHeight="1" x14ac:dyDescent="0.2">
      <c r="A1606" s="306" t="s">
        <v>410</v>
      </c>
      <c r="B1606" s="344" t="str">
        <f t="shared" si="128"/>
        <v>kg/hr</v>
      </c>
      <c r="C1606" s="363">
        <f t="shared" ca="1" si="128"/>
        <v>0</v>
      </c>
      <c r="D1606" s="344" t="str">
        <f t="shared" si="128"/>
        <v>kg/m3</v>
      </c>
      <c r="E1606" s="363">
        <f t="shared" ca="1" si="128"/>
        <v>0</v>
      </c>
      <c r="F1606" s="1530" t="s">
        <v>1919</v>
      </c>
      <c r="G1606" s="1530"/>
      <c r="H1606" s="436"/>
    </row>
    <row r="1607" spans="1:9" ht="15.75" customHeight="1" x14ac:dyDescent="0.2">
      <c r="A1607" s="306" t="s">
        <v>412</v>
      </c>
      <c r="B1607" s="344" t="str">
        <f t="shared" si="128"/>
        <v>kg/hr</v>
      </c>
      <c r="C1607" s="363">
        <f t="shared" ca="1" si="128"/>
        <v>168.97133526808219</v>
      </c>
      <c r="D1607" s="344" t="str">
        <f t="shared" si="128"/>
        <v>kg/m3</v>
      </c>
      <c r="E1607" s="363">
        <f t="shared" ca="1" si="128"/>
        <v>1.7566821340413512</v>
      </c>
      <c r="F1607" s="368" t="s">
        <v>267</v>
      </c>
      <c r="G1607" s="440">
        <f ca="1">SUM(C1605:C1611)</f>
        <v>497.94914399727509</v>
      </c>
      <c r="H1607" s="436"/>
      <c r="I1607" s="436"/>
    </row>
    <row r="1608" spans="1:9" ht="15.75" customHeight="1" x14ac:dyDescent="0.2">
      <c r="A1608" s="306" t="s">
        <v>411</v>
      </c>
      <c r="B1608" s="344" t="str">
        <f t="shared" si="128"/>
        <v>kg/hr</v>
      </c>
      <c r="C1608" s="363">
        <f t="shared" ca="1" si="128"/>
        <v>0</v>
      </c>
      <c r="D1608" s="344" t="str">
        <f t="shared" si="128"/>
        <v>kg/m3</v>
      </c>
      <c r="E1608" s="363">
        <f t="shared" ca="1" si="128"/>
        <v>0</v>
      </c>
      <c r="F1608" s="375"/>
      <c r="G1608" s="367"/>
      <c r="H1608" s="436"/>
    </row>
    <row r="1609" spans="1:9" ht="15.75" customHeight="1" x14ac:dyDescent="0.2">
      <c r="A1609" s="306" t="s">
        <v>413</v>
      </c>
      <c r="B1609" s="344" t="str">
        <f t="shared" si="128"/>
        <v>kg/hr</v>
      </c>
      <c r="C1609" s="363">
        <f t="shared" ca="1" si="128"/>
        <v>257.94094681756752</v>
      </c>
      <c r="D1609" s="344" t="str">
        <f t="shared" si="128"/>
        <v>kg/m3</v>
      </c>
      <c r="E1609" s="363">
        <f t="shared" ca="1" si="128"/>
        <v>2.6816397715815605</v>
      </c>
      <c r="F1609" s="375"/>
      <c r="G1609" s="367"/>
      <c r="H1609" s="436"/>
    </row>
    <row r="1610" spans="1:9" ht="15.75" customHeight="1" x14ac:dyDescent="0.2">
      <c r="A1610" s="306" t="s">
        <v>414</v>
      </c>
      <c r="B1610" s="344" t="str">
        <f t="shared" si="128"/>
        <v>kg/hr</v>
      </c>
      <c r="C1610" s="363">
        <f t="shared" ca="1" si="128"/>
        <v>1.6975930307415898</v>
      </c>
      <c r="D1610" s="344" t="str">
        <f t="shared" si="128"/>
        <v>kg/m3</v>
      </c>
      <c r="E1610" s="363">
        <f t="shared" ca="1" si="128"/>
        <v>1.7648741091177082E-2</v>
      </c>
      <c r="F1610" s="375"/>
      <c r="G1610" s="367"/>
      <c r="H1610" s="436"/>
    </row>
    <row r="1611" spans="1:9" ht="15.75" customHeight="1" x14ac:dyDescent="0.2">
      <c r="A1611" s="307" t="s">
        <v>415</v>
      </c>
      <c r="B1611" s="347" t="str">
        <f t="shared" si="128"/>
        <v>kg/hr</v>
      </c>
      <c r="C1611" s="365">
        <f t="shared" ca="1" si="128"/>
        <v>69.339268880883736</v>
      </c>
      <c r="D1611" s="347" t="str">
        <f t="shared" si="128"/>
        <v>kg/m3</v>
      </c>
      <c r="E1611" s="365">
        <f t="shared" ca="1" si="128"/>
        <v>0.72087407392078895</v>
      </c>
      <c r="F1611" s="376"/>
      <c r="G1611" s="369"/>
      <c r="H1611" s="436"/>
    </row>
    <row r="1612" spans="1:9" ht="15.75" customHeight="1" x14ac:dyDescent="0.2">
      <c r="A1612" s="39"/>
      <c r="B1612" s="172"/>
      <c r="C1612" s="436"/>
      <c r="D1612" s="172"/>
      <c r="E1612" s="436"/>
    </row>
    <row r="1613" spans="1:9" ht="15.75" customHeight="1" x14ac:dyDescent="0.2">
      <c r="A1613" s="762" t="s">
        <v>2005</v>
      </c>
      <c r="B1613" s="763"/>
      <c r="C1613" s="763"/>
      <c r="D1613" s="763"/>
      <c r="E1613" s="763"/>
      <c r="F1613" s="763"/>
      <c r="G1613" s="764"/>
    </row>
    <row r="1614" spans="1:9" ht="15.75" customHeight="1" x14ac:dyDescent="0.2">
      <c r="A1614" s="373" t="s">
        <v>580</v>
      </c>
      <c r="B1614" s="373" t="s">
        <v>372</v>
      </c>
      <c r="C1614" s="373" t="s">
        <v>42</v>
      </c>
      <c r="D1614" s="373" t="s">
        <v>372</v>
      </c>
      <c r="E1614" s="373" t="s">
        <v>42</v>
      </c>
    </row>
    <row r="1615" spans="1:9" ht="15.75" customHeight="1" x14ac:dyDescent="0.2">
      <c r="A1615" s="739" t="s">
        <v>2006</v>
      </c>
      <c r="B1615" s="342" t="s">
        <v>2008</v>
      </c>
      <c r="C1615" s="366">
        <f>I1548-I1547</f>
        <v>88.5</v>
      </c>
      <c r="D1615" s="341" t="s">
        <v>2048</v>
      </c>
      <c r="E1615" s="461">
        <f>I1549/I1548</f>
        <v>7.0916905444126085E-2</v>
      </c>
    </row>
    <row r="1616" spans="1:9" ht="15.75" customHeight="1" x14ac:dyDescent="0.2">
      <c r="A1616" s="740" t="s">
        <v>2007</v>
      </c>
      <c r="B1616" s="344" t="s">
        <v>2009</v>
      </c>
      <c r="C1616" s="367">
        <f>Units!C439-Units!C437</f>
        <v>-3.0000000000000027E-2</v>
      </c>
      <c r="D1616" s="172" t="s">
        <v>2014</v>
      </c>
      <c r="E1616" s="766">
        <f>C1616/Units!C437</f>
        <v>-1.7751479289940846E-2</v>
      </c>
    </row>
    <row r="1617" spans="1:15" ht="15.75" customHeight="1" x14ac:dyDescent="0.2">
      <c r="A1617" s="740" t="s">
        <v>2010</v>
      </c>
      <c r="B1617" s="344" t="s">
        <v>2011</v>
      </c>
      <c r="C1617" s="367">
        <f>Units!C402-Units!C400</f>
        <v>-11.8</v>
      </c>
      <c r="D1617" s="172" t="s">
        <v>2014</v>
      </c>
      <c r="E1617" s="446">
        <f>C1617/Units!C402</f>
        <v>-6.9411764705882355</v>
      </c>
    </row>
    <row r="1618" spans="1:15" ht="15.75" customHeight="1" x14ac:dyDescent="0.2">
      <c r="A1618" s="740" t="s">
        <v>2012</v>
      </c>
      <c r="B1618" s="344" t="s">
        <v>2013</v>
      </c>
      <c r="C1618" s="367">
        <f>Units!C114-Units!C112</f>
        <v>28.050000000000004</v>
      </c>
      <c r="D1618" s="172" t="s">
        <v>2014</v>
      </c>
      <c r="E1618" s="446">
        <f>C1618/Units!C114</f>
        <v>0.37844036697247707</v>
      </c>
    </row>
    <row r="1619" spans="1:15" ht="15.75" customHeight="1" x14ac:dyDescent="0.2">
      <c r="A1619" s="742" t="s">
        <v>2015</v>
      </c>
      <c r="B1619" s="347" t="s">
        <v>1081</v>
      </c>
      <c r="C1619" s="464">
        <f>E1615/3</f>
        <v>2.3638968481375363E-2</v>
      </c>
      <c r="D1619" s="178"/>
      <c r="E1619" s="369"/>
    </row>
    <row r="1620" spans="1:15" ht="15.75" customHeight="1" x14ac:dyDescent="0.2">
      <c r="A1620" s="739" t="s">
        <v>2016</v>
      </c>
      <c r="B1620" s="342" t="s">
        <v>2033</v>
      </c>
      <c r="C1620" s="366">
        <f>C$1619/C1616</f>
        <v>-0.7879656160458447</v>
      </c>
      <c r="D1620" s="172"/>
      <c r="E1620" s="367"/>
    </row>
    <row r="1621" spans="1:15" ht="15.75" customHeight="1" x14ac:dyDescent="0.2">
      <c r="A1621" s="740" t="s">
        <v>2017</v>
      </c>
      <c r="B1621" s="344" t="s">
        <v>2034</v>
      </c>
      <c r="C1621" s="367">
        <f>C$1619/C1617</f>
        <v>-2.003302413675878E-3</v>
      </c>
      <c r="D1621" s="172"/>
      <c r="E1621" s="367"/>
    </row>
    <row r="1622" spans="1:15" ht="15.75" customHeight="1" x14ac:dyDescent="0.2">
      <c r="A1622" s="742" t="s">
        <v>2018</v>
      </c>
      <c r="B1622" s="347" t="s">
        <v>2035</v>
      </c>
      <c r="C1622" s="369">
        <f>C$1619/C1618</f>
        <v>8.4274397438058324E-4</v>
      </c>
      <c r="D1622" s="172"/>
      <c r="E1622" s="367"/>
    </row>
    <row r="1623" spans="1:15" ht="15.75" customHeight="1" x14ac:dyDescent="0.2">
      <c r="A1623" s="739" t="s">
        <v>2030</v>
      </c>
      <c r="B1623" s="342" t="s">
        <v>2032</v>
      </c>
      <c r="C1623" s="366">
        <f>I1572/E1559</f>
        <v>2.7337222291154799E-2</v>
      </c>
      <c r="D1623" s="172"/>
      <c r="E1623" s="367"/>
    </row>
    <row r="1624" spans="1:15" ht="15.75" customHeight="1" x14ac:dyDescent="0.2">
      <c r="A1624" s="742" t="s">
        <v>2031</v>
      </c>
      <c r="B1624" s="347" t="s">
        <v>2032</v>
      </c>
      <c r="C1624" s="369">
        <f>K1572/E1559</f>
        <v>0.97266277770884513</v>
      </c>
      <c r="D1624" s="172"/>
      <c r="E1624" s="367"/>
    </row>
    <row r="1625" spans="1:15" ht="15.75" customHeight="1" x14ac:dyDescent="0.2">
      <c r="A1625" s="739" t="s">
        <v>2036</v>
      </c>
      <c r="B1625" s="342" t="s">
        <v>2032</v>
      </c>
      <c r="C1625" s="366">
        <f>I1566/G1566</f>
        <v>1.0852877249588453</v>
      </c>
      <c r="D1625" s="172"/>
      <c r="E1625" s="367"/>
    </row>
    <row r="1626" spans="1:15" ht="15.75" customHeight="1" x14ac:dyDescent="0.2">
      <c r="A1626" s="742" t="s">
        <v>2037</v>
      </c>
      <c r="B1626" s="347" t="s">
        <v>2032</v>
      </c>
      <c r="C1626" s="369">
        <f>K1566/G1566</f>
        <v>7.7002469901950241E-2</v>
      </c>
      <c r="D1626" s="172"/>
      <c r="E1626" s="367"/>
    </row>
    <row r="1627" spans="1:15" ht="15.75" customHeight="1" x14ac:dyDescent="0.2">
      <c r="A1627" s="738" t="s">
        <v>2050</v>
      </c>
      <c r="B1627" s="455"/>
      <c r="C1627" s="437">
        <v>0.92</v>
      </c>
      <c r="D1627" s="178"/>
      <c r="E1627" s="369"/>
    </row>
    <row r="1628" spans="1:15" ht="15.75" customHeight="1" x14ac:dyDescent="0.2">
      <c r="D1628" s="172"/>
    </row>
    <row r="1629" spans="1:15" ht="15.75" customHeight="1" x14ac:dyDescent="0.2">
      <c r="A1629" s="762" t="s">
        <v>1999</v>
      </c>
      <c r="B1629" s="763"/>
      <c r="C1629" s="763"/>
      <c r="D1629" s="763"/>
      <c r="E1629" s="763"/>
      <c r="F1629" s="763"/>
      <c r="G1629" s="763"/>
      <c r="H1629" s="763"/>
      <c r="I1629" s="763"/>
      <c r="J1629" s="763"/>
      <c r="K1629" s="763"/>
      <c r="L1629" s="763"/>
      <c r="M1629" s="763"/>
      <c r="N1629" s="763"/>
      <c r="O1629" s="764"/>
    </row>
    <row r="1630" spans="1:15" ht="15.75" customHeight="1" x14ac:dyDescent="0.2">
      <c r="B1630" s="1557" t="s">
        <v>2041</v>
      </c>
      <c r="C1630" s="1558"/>
      <c r="D1630" s="1557" t="s">
        <v>2042</v>
      </c>
      <c r="E1630" s="1558"/>
      <c r="F1630" s="1557" t="s">
        <v>2043</v>
      </c>
      <c r="G1630" s="1558"/>
      <c r="H1630" s="1557" t="s">
        <v>2044</v>
      </c>
      <c r="I1630" s="1558"/>
      <c r="J1630" s="1557" t="s">
        <v>2049</v>
      </c>
      <c r="K1630" s="1558"/>
      <c r="L1630" s="1557" t="s">
        <v>2057</v>
      </c>
      <c r="M1630" s="1558"/>
      <c r="N1630" s="1557" t="s">
        <v>2058</v>
      </c>
      <c r="O1630" s="1558"/>
    </row>
    <row r="1631" spans="1:15" ht="15.75" customHeight="1" x14ac:dyDescent="0.2">
      <c r="A1631" s="373" t="s">
        <v>580</v>
      </c>
      <c r="B1631" s="429" t="s">
        <v>372</v>
      </c>
      <c r="C1631" s="429" t="s">
        <v>42</v>
      </c>
      <c r="D1631" s="430" t="s">
        <v>372</v>
      </c>
      <c r="E1631" s="429" t="s">
        <v>42</v>
      </c>
      <c r="F1631" s="429" t="s">
        <v>372</v>
      </c>
      <c r="G1631" s="429" t="s">
        <v>42</v>
      </c>
      <c r="H1631" s="429" t="s">
        <v>372</v>
      </c>
      <c r="I1631" s="429" t="s">
        <v>42</v>
      </c>
      <c r="J1631" s="430" t="s">
        <v>372</v>
      </c>
      <c r="K1631" s="430" t="s">
        <v>42</v>
      </c>
      <c r="L1631" s="373" t="s">
        <v>372</v>
      </c>
      <c r="M1631" s="373" t="s">
        <v>42</v>
      </c>
      <c r="N1631" s="373" t="s">
        <v>372</v>
      </c>
      <c r="O1631" s="373" t="s">
        <v>42</v>
      </c>
    </row>
    <row r="1632" spans="1:15" ht="15.75" customHeight="1" x14ac:dyDescent="0.2">
      <c r="A1632" s="316" t="s">
        <v>409</v>
      </c>
      <c r="B1632" s="767" t="s">
        <v>2045</v>
      </c>
      <c r="C1632" s="461">
        <f>((1/3)-(((1/3)-C$1619)/(Units!C$439-Units!C$437))*(Units!C$439-Units!C437))</f>
        <v>2.3638968481375366E-2</v>
      </c>
      <c r="D1632" s="342" t="s">
        <v>2046</v>
      </c>
      <c r="E1632" s="461">
        <f>((1/3)-(((1/3)-C$1619)/(Units!C$402-Units!C$400))*(Units!C$402-Units!C400))</f>
        <v>2.3638968481375366E-2</v>
      </c>
      <c r="F1632" s="342" t="s">
        <v>2047</v>
      </c>
      <c r="G1632" s="768">
        <f>((1/3)-(((1/3)-C$1619)/(Units!C$114-Units!C$112))*(Units!C$114-Units!C112))</f>
        <v>2.3638968481375366E-2</v>
      </c>
      <c r="H1632" s="341" t="s">
        <v>1992</v>
      </c>
      <c r="I1632" s="471">
        <f>((I$1548*SUM(C1632,E1632,G1632)))</f>
        <v>9.9000000000000039</v>
      </c>
      <c r="J1632" s="342" t="s">
        <v>1992</v>
      </c>
      <c r="K1632" s="471">
        <f>IF(I1632&gt;0,I1632,0)^(C$1627)</f>
        <v>8.2410847244098733</v>
      </c>
      <c r="L1632" s="342" t="s">
        <v>2052</v>
      </c>
      <c r="M1632" s="366">
        <f ca="1">(K1632*((C1605/C$1577)/(1-(C1605/C$1577))))/(1+(K1632*((C1605/C$1577)/(1-(C1605/C$1577)))))</f>
        <v>0</v>
      </c>
      <c r="N1632" s="342" t="s">
        <v>2052</v>
      </c>
      <c r="O1632" s="366">
        <f ca="1">(K1632*((G1673/G$1672)/(1-(G1673/G$1672))))/(1+(K1632*((G1673/G$1672)/(1-(G1673/G$1672)))))</f>
        <v>0</v>
      </c>
    </row>
    <row r="1633" spans="1:15" ht="15.75" customHeight="1" x14ac:dyDescent="0.2">
      <c r="A1633" s="317" t="s">
        <v>410</v>
      </c>
      <c r="B1633" s="769" t="s">
        <v>2045</v>
      </c>
      <c r="C1633" s="446">
        <f>((1/3)-(((1/3)-C$1619)/(Units!C$439-Units!C$437))*(Units!C$439-Units!C438))</f>
        <v>0.12687042343202801</v>
      </c>
      <c r="D1633" s="344" t="s">
        <v>2046</v>
      </c>
      <c r="E1633" s="446">
        <f>((1/3)-(((1/3)-C$1619)/(Units!C$402-Units!C$400))*(Units!C$402-Units!C401))</f>
        <v>0.25197294934680203</v>
      </c>
      <c r="F1633" s="344" t="s">
        <v>2047</v>
      </c>
      <c r="G1633" s="766">
        <f>((1/3)-(((1/3)-C$1619)/(Units!C$114-Units!C$112))*(Units!C$114-Units!C113))</f>
        <v>0.17843094692074971</v>
      </c>
      <c r="H1633" s="172" t="s">
        <v>1992</v>
      </c>
      <c r="I1633" s="472">
        <f t="shared" ref="I1633:I1665" si="129">(I$1548*SUM(C1633,E1633,G1633))</f>
        <v>77.795495030061332</v>
      </c>
      <c r="J1633" s="344" t="s">
        <v>1992</v>
      </c>
      <c r="K1633" s="472">
        <f t="shared" ref="K1633:K1665" si="130">IF(I1633&gt;0,I1633,0)^(C$1627)</f>
        <v>54.913369475330114</v>
      </c>
      <c r="L1633" s="344" t="s">
        <v>2052</v>
      </c>
      <c r="M1633" s="367">
        <f t="shared" ref="M1633:M1638" ca="1" si="131">(K1633*((C1606/C$1577)/(1-(C1606/C$1577))))/(1+(K1633*((C1606/C$1577)/(1-(C1606/C$1577)))))</f>
        <v>0</v>
      </c>
      <c r="N1633" s="344" t="s">
        <v>2052</v>
      </c>
      <c r="O1633" s="367">
        <f t="shared" ref="O1633:O1665" ca="1" si="132">(K1633*((G1674/G$1672)/(1-(G1674/G$1672))))/(1+(K1633*((G1674/G$1672)/(1-(G1674/G$1672)))))</f>
        <v>0</v>
      </c>
    </row>
    <row r="1634" spans="1:15" ht="15.75" customHeight="1" x14ac:dyDescent="0.2">
      <c r="A1634" s="306" t="s">
        <v>412</v>
      </c>
      <c r="B1634" s="769" t="s">
        <v>2045</v>
      </c>
      <c r="C1634" s="446">
        <f>((1/3)-(((1/3)-C$1619)/(Units!C$439-Units!C$437))*(Units!C$439-Units!C439))</f>
        <v>0.33333333333333331</v>
      </c>
      <c r="D1634" s="344" t="s">
        <v>2046</v>
      </c>
      <c r="E1634" s="446">
        <f>((1/3)-(((1/3)-C$1619)/(Units!C$402-Units!C$400))*(Units!C$402-Units!C402))</f>
        <v>0.33333333333333331</v>
      </c>
      <c r="F1634" s="344" t="s">
        <v>2047</v>
      </c>
      <c r="G1634" s="766">
        <f>((1/3)-(((1/3)-C$1619)/(Units!C$114-Units!C$112))*(Units!C$114-Units!C114))</f>
        <v>0.33333333333333331</v>
      </c>
      <c r="H1634" s="172" t="s">
        <v>1992</v>
      </c>
      <c r="I1634" s="472">
        <f t="shared" si="129"/>
        <v>139.6</v>
      </c>
      <c r="J1634" s="344" t="s">
        <v>1992</v>
      </c>
      <c r="K1634" s="472">
        <f t="shared" si="130"/>
        <v>94.036094734381138</v>
      </c>
      <c r="L1634" s="344" t="s">
        <v>2052</v>
      </c>
      <c r="M1634" s="367">
        <f t="shared" ca="1" si="131"/>
        <v>0.14198605811252843</v>
      </c>
      <c r="N1634" s="344" t="s">
        <v>2052</v>
      </c>
      <c r="O1634" s="367">
        <f t="shared" ca="1" si="132"/>
        <v>9.0259045954677111E-2</v>
      </c>
    </row>
    <row r="1635" spans="1:15" ht="15.75" customHeight="1" x14ac:dyDescent="0.2">
      <c r="A1635" s="306" t="s">
        <v>411</v>
      </c>
      <c r="B1635" s="769" t="s">
        <v>2045</v>
      </c>
      <c r="C1635" s="446">
        <f>((1/3)-(((1/3)-C$1619)/(Units!C$439-Units!C$437))*(Units!C$439-Units!C440))</f>
        <v>0.33333333333333331</v>
      </c>
      <c r="D1635" s="344" t="s">
        <v>2046</v>
      </c>
      <c r="E1635" s="446">
        <f>((1/3)-(((1/3)-C$1619)/(Units!C$402-Units!C$400))*(Units!C$402-Units!C403))</f>
        <v>0.32545974778624964</v>
      </c>
      <c r="F1635" s="344" t="s">
        <v>2047</v>
      </c>
      <c r="G1635" s="766">
        <f>((1/3)-(((1/3)-C$1619)/(Units!C$114-Units!C$112))*(Units!C$114-Units!C115))</f>
        <v>0.33333333333333331</v>
      </c>
      <c r="H1635" s="172" t="s">
        <v>1992</v>
      </c>
      <c r="I1635" s="472">
        <f t="shared" si="129"/>
        <v>138.50084745762712</v>
      </c>
      <c r="J1635" s="344" t="s">
        <v>1992</v>
      </c>
      <c r="K1635" s="472">
        <f t="shared" si="130"/>
        <v>93.3547104565653</v>
      </c>
      <c r="L1635" s="344" t="s">
        <v>2052</v>
      </c>
      <c r="M1635" s="367">
        <f t="shared" ca="1" si="131"/>
        <v>0</v>
      </c>
      <c r="N1635" s="344" t="s">
        <v>2052</v>
      </c>
      <c r="O1635" s="367">
        <f t="shared" ca="1" si="132"/>
        <v>0</v>
      </c>
    </row>
    <row r="1636" spans="1:15" ht="15.75" customHeight="1" x14ac:dyDescent="0.2">
      <c r="A1636" s="306" t="s">
        <v>413</v>
      </c>
      <c r="B1636" s="769" t="s">
        <v>2045</v>
      </c>
      <c r="C1636" s="446">
        <f>((1/3)-(((1/3)-C$1619)/(Units!C$439-Units!C$437))*(Units!C$439-Units!C441))</f>
        <v>0.5397962432346386</v>
      </c>
      <c r="D1636" s="344" t="s">
        <v>2046</v>
      </c>
      <c r="E1636" s="446">
        <f>((1/3)-(((1/3)-C$1619)/(Units!C$402-Units!C$400))*(Units!C$402-Units!C404))</f>
        <v>0.35957861849027889</v>
      </c>
      <c r="F1636" s="344" t="s">
        <v>2047</v>
      </c>
      <c r="G1636" s="766">
        <f>((1/3)-(((1/3)-C$1619)/(Units!C$114-Units!C$112))*(Units!C$114-Units!C116))</f>
        <v>0.48823571974591695</v>
      </c>
      <c r="H1636" s="172" t="s">
        <v>1992</v>
      </c>
      <c r="I1636" s="472">
        <f t="shared" si="129"/>
        <v>193.7104371733285</v>
      </c>
      <c r="J1636" s="344" t="s">
        <v>1992</v>
      </c>
      <c r="K1636" s="472">
        <f>IF(I1636&gt;0,I1636,0)^(C$1627)</f>
        <v>127.11031048814939</v>
      </c>
      <c r="L1636" s="344" t="s">
        <v>2052</v>
      </c>
      <c r="M1636" s="367">
        <f t="shared" ca="1" si="131"/>
        <v>0.25472167158670084</v>
      </c>
      <c r="N1636" s="344" t="s">
        <v>2052</v>
      </c>
      <c r="O1636" s="367">
        <f t="shared" ca="1" si="132"/>
        <v>0.15295431221923825</v>
      </c>
    </row>
    <row r="1637" spans="1:15" ht="15.75" customHeight="1" x14ac:dyDescent="0.2">
      <c r="A1637" s="306" t="s">
        <v>414</v>
      </c>
      <c r="B1637" s="769" t="s">
        <v>2045</v>
      </c>
      <c r="C1637" s="446">
        <f>((1/3)-(((1/3)-C$1619)/(Units!C$439-Units!C$437))*(Units!C$439-Units!C442))</f>
        <v>0.64302769818529126</v>
      </c>
      <c r="D1637" s="344" t="s">
        <v>2046</v>
      </c>
      <c r="E1637" s="446">
        <f>((1/3)-(((1/3)-C$1619)/(Units!C$402-Units!C$400))*(Units!C$402-Units!C405))</f>
        <v>0.35800390138086219</v>
      </c>
      <c r="F1637" s="344" t="s">
        <v>2047</v>
      </c>
      <c r="G1637" s="766">
        <f>((1/3)-(((1/3)-C$1619)/(Units!C$114-Units!C$112))*(Units!C$114-Units!C117))</f>
        <v>0.48823571974591695</v>
      </c>
      <c r="H1637" s="172" t="s">
        <v>1992</v>
      </c>
      <c r="I1637" s="472">
        <f>(I$1548*SUM(C1637,E1637,G1637))</f>
        <v>207.90171777596504</v>
      </c>
      <c r="J1637" s="344" t="s">
        <v>1992</v>
      </c>
      <c r="K1637" s="472">
        <f t="shared" si="130"/>
        <v>135.65300897396483</v>
      </c>
      <c r="L1637" s="344" t="s">
        <v>2052</v>
      </c>
      <c r="M1637" s="367">
        <f t="shared" ca="1" si="131"/>
        <v>2.388428837358513E-3</v>
      </c>
      <c r="N1637" s="344" t="s">
        <v>2052</v>
      </c>
      <c r="O1637" s="367">
        <f t="shared" ca="1" si="132"/>
        <v>7.8184708905665453E-4</v>
      </c>
    </row>
    <row r="1638" spans="1:15" ht="15.75" customHeight="1" x14ac:dyDescent="0.2">
      <c r="A1638" s="306" t="s">
        <v>415</v>
      </c>
      <c r="B1638" s="769" t="s">
        <v>2045</v>
      </c>
      <c r="C1638" s="446">
        <f>((1/3)-(((1/3)-C$1619)/(Units!C$439-Units!C$437))*(Units!C$439-Units!C443))</f>
        <v>0.95272206303724705</v>
      </c>
      <c r="D1638" s="344" t="s">
        <v>2046</v>
      </c>
      <c r="E1638" s="446">
        <f>((1/3)-(((1/3)-C$1619)/(Units!C$402-Units!C$400))*(Units!C$402-Units!C406))</f>
        <v>0.37112654395933498</v>
      </c>
      <c r="F1638" s="344" t="s">
        <v>2047</v>
      </c>
      <c r="G1638" s="766">
        <f>((1/3)-(((1/3)-C$1619)/(Units!C$114-Units!C$112))*(Units!C$114-Units!C118))</f>
        <v>0.64965217657784646</v>
      </c>
      <c r="H1638" s="172" t="s">
        <v>1992</v>
      </c>
      <c r="I1638" s="472">
        <f t="shared" si="129"/>
        <v>275.5007093869902</v>
      </c>
      <c r="J1638" s="347" t="s">
        <v>1992</v>
      </c>
      <c r="K1638" s="416">
        <f t="shared" si="130"/>
        <v>175.75711037836567</v>
      </c>
      <c r="L1638" s="347" t="s">
        <v>2052</v>
      </c>
      <c r="M1638" s="369">
        <f t="shared" ca="1" si="131"/>
        <v>0.11252329867475512</v>
      </c>
      <c r="N1638" s="347" t="s">
        <v>2052</v>
      </c>
      <c r="O1638" s="369">
        <f t="shared" ca="1" si="132"/>
        <v>2.7455827783321212E-2</v>
      </c>
    </row>
    <row r="1639" spans="1:15" ht="15.75" customHeight="1" x14ac:dyDescent="0.2">
      <c r="A1639" s="316" t="s">
        <v>400</v>
      </c>
      <c r="B1639" s="767" t="s">
        <v>2045</v>
      </c>
      <c r="C1639" s="461">
        <f>((1/3)-(((1/3)-C$1619)/(Units!C$439-Units!C$437))*(Units!C$439-Units!C444))</f>
        <v>-0.49251830627188792</v>
      </c>
      <c r="D1639" s="342" t="s">
        <v>2046</v>
      </c>
      <c r="E1639" s="461">
        <f>((1/3)-(((1/3)-C$1619)/(Units!C$402-Units!C$400))*(Units!C$402-Units!C407))</f>
        <v>5.5133310669710056E-2</v>
      </c>
      <c r="F1639" s="342" t="s">
        <v>2047</v>
      </c>
      <c r="G1639" s="461">
        <f>((1/3)-(((1/3)-C$1619)/(Units!C$114-Units!C$112))*(Units!C$114-Units!C103))</f>
        <v>0.17798931502791263</v>
      </c>
      <c r="H1639" s="341" t="s">
        <v>1992</v>
      </c>
      <c r="I1639" s="471">
        <f t="shared" si="129"/>
        <v>-36.211637008167422</v>
      </c>
      <c r="J1639" s="342" t="s">
        <v>1992</v>
      </c>
      <c r="K1639" s="471">
        <f t="shared" si="130"/>
        <v>0</v>
      </c>
      <c r="L1639" s="342" t="s">
        <v>2052</v>
      </c>
      <c r="M1639" s="366">
        <f t="shared" ref="M1639:M1665" ca="1" si="133">(K1639*((C1578/C$1577)/(1-(C1578/C$1577))))/(1+(K1639*((C1578/C$1577)/(1-(C1578/C$1577)))))</f>
        <v>0</v>
      </c>
      <c r="N1639" s="342" t="s">
        <v>2052</v>
      </c>
      <c r="O1639" s="366">
        <f t="shared" ca="1" si="132"/>
        <v>0</v>
      </c>
    </row>
    <row r="1640" spans="1:15" ht="15.75" customHeight="1" x14ac:dyDescent="0.2">
      <c r="A1640" s="317" t="s">
        <v>401</v>
      </c>
      <c r="B1640" s="769" t="s">
        <v>2045</v>
      </c>
      <c r="C1640" s="446">
        <f>((1/3)-(((1/3)-C$1619)/(Units!C$439-Units!C$437))*(Units!C$439-Units!C445))</f>
        <v>0.12687042343202801</v>
      </c>
      <c r="D1640" s="344" t="s">
        <v>2046</v>
      </c>
      <c r="E1640" s="446">
        <f>((1/3)-(((1/3)-C$1619)/(Units!C$402-Units!C$400))*(Units!C$402-Units!C408))</f>
        <v>0.32545974778624964</v>
      </c>
      <c r="F1640" s="344" t="s">
        <v>2047</v>
      </c>
      <c r="G1640" s="446">
        <f>((1/3)-(((1/3)-C$1619)/(Units!C$114-Units!C$112))*(Units!C$114-Units!C104))</f>
        <v>0.33289170144049623</v>
      </c>
      <c r="H1640" s="172" t="s">
        <v>1992</v>
      </c>
      <c r="I1640" s="472">
        <f t="shared" si="129"/>
        <v>109.61697342316482</v>
      </c>
      <c r="J1640" s="344" t="s">
        <v>1992</v>
      </c>
      <c r="K1640" s="472">
        <f t="shared" si="130"/>
        <v>75.281381843628409</v>
      </c>
      <c r="L1640" s="344" t="s">
        <v>2052</v>
      </c>
      <c r="M1640" s="367">
        <f t="shared" ca="1" si="133"/>
        <v>2.6605202274893485E-3</v>
      </c>
      <c r="N1640" s="344" t="s">
        <v>2052</v>
      </c>
      <c r="O1640" s="367">
        <f t="shared" ca="1" si="132"/>
        <v>1.6744187997212469E-3</v>
      </c>
    </row>
    <row r="1641" spans="1:15" ht="15.75" customHeight="1" x14ac:dyDescent="0.2">
      <c r="A1641" s="317" t="s">
        <v>402</v>
      </c>
      <c r="B1641" s="769" t="s">
        <v>2045</v>
      </c>
      <c r="C1641" s="446">
        <f>((1/3)-(((1/3)-C$1619)/(Units!C$439-Units!C$437))*(Units!C$439-Units!C446))</f>
        <v>0.5397962432346386</v>
      </c>
      <c r="D1641" s="344" t="s">
        <v>2046</v>
      </c>
      <c r="E1641" s="446">
        <f>((1/3)-(((1/3)-C$1619)/(Units!C$402-Units!C$400))*(Units!C$402-Units!C409))</f>
        <v>0.35564182571673708</v>
      </c>
      <c r="F1641" s="344" t="s">
        <v>2047</v>
      </c>
      <c r="G1641" s="446">
        <f>((1/3)-(((1/3)-C$1619)/(Units!C$114-Units!C$112))*(Units!C$114-Units!C105))</f>
        <v>0.48779408785307987</v>
      </c>
      <c r="H1641" s="172" t="s">
        <v>1992</v>
      </c>
      <c r="I1641" s="472">
        <f t="shared" si="129"/>
        <v>193.09920908990199</v>
      </c>
      <c r="J1641" s="344" t="s">
        <v>1992</v>
      </c>
      <c r="K1641" s="472">
        <f t="shared" si="130"/>
        <v>126.74127021842837</v>
      </c>
      <c r="L1641" s="344" t="s">
        <v>2052</v>
      </c>
      <c r="M1641" s="367">
        <f t="shared" ca="1" si="133"/>
        <v>2.9597669342301914E-3</v>
      </c>
      <c r="N1641" s="344" t="s">
        <v>2052</v>
      </c>
      <c r="O1641" s="367">
        <f t="shared" ca="1" si="132"/>
        <v>1.1022918341642735E-3</v>
      </c>
    </row>
    <row r="1642" spans="1:15" ht="15.75" customHeight="1" x14ac:dyDescent="0.2">
      <c r="A1642" s="317" t="s">
        <v>403</v>
      </c>
      <c r="B1642" s="769" t="s">
        <v>2045</v>
      </c>
      <c r="C1642" s="446">
        <f>((1/3)-(((1/3)-C$1619)/(Units!C$439-Units!C$437))*(Units!C$439-Units!C447))</f>
        <v>0.5397962432346386</v>
      </c>
      <c r="D1642" s="344" t="s">
        <v>2046</v>
      </c>
      <c r="E1642" s="446">
        <f>((1/3)-(((1/3)-C$1619)/(Units!C$402-Units!C$400))*(Units!C$402-Units!C410))</f>
        <v>0.34908050442750066</v>
      </c>
      <c r="F1642" s="344" t="s">
        <v>2047</v>
      </c>
      <c r="G1642" s="446">
        <f>((1/3)-(((1/3)-C$1619)/(Units!C$114-Units!C$112))*(Units!C$114-Units!C106))</f>
        <v>0.48779408785307987</v>
      </c>
      <c r="H1642" s="172" t="s">
        <v>1992</v>
      </c>
      <c r="I1642" s="472">
        <f t="shared" si="129"/>
        <v>192.18324863792458</v>
      </c>
      <c r="J1642" s="344" t="s">
        <v>1992</v>
      </c>
      <c r="K1642" s="472">
        <f t="shared" si="130"/>
        <v>126.18806706605933</v>
      </c>
      <c r="L1642" s="344" t="s">
        <v>2052</v>
      </c>
      <c r="M1642" s="367">
        <f t="shared" ca="1" si="133"/>
        <v>0</v>
      </c>
      <c r="N1642" s="344" t="s">
        <v>2052</v>
      </c>
      <c r="O1642" s="367">
        <f t="shared" ca="1" si="132"/>
        <v>0</v>
      </c>
    </row>
    <row r="1643" spans="1:15" ht="15.75" customHeight="1" x14ac:dyDescent="0.2">
      <c r="A1643" s="317" t="s">
        <v>404</v>
      </c>
      <c r="B1643" s="769" t="s">
        <v>2045</v>
      </c>
      <c r="C1643" s="446">
        <f>((1/3)-(((1/3)-C$1619)/(Units!C$439-Units!C$437))*(Units!C$439-Units!C448))</f>
        <v>0.64302769818529126</v>
      </c>
      <c r="D1643" s="344" t="s">
        <v>2046</v>
      </c>
      <c r="E1643" s="446">
        <f>((1/3)-(((1/3)-C$1619)/(Units!C$402-Units!C$400))*(Units!C$402-Units!C411))</f>
        <v>0.37322616677189063</v>
      </c>
      <c r="F1643" s="344" t="s">
        <v>2047</v>
      </c>
      <c r="G1643" s="446">
        <f>((1/3)-(((1/3)-C$1619)/(Units!C$114-Units!C$112))*(Units!C$114-Units!C107))</f>
        <v>0.64258606629245407</v>
      </c>
      <c r="H1643" s="172" t="s">
        <v>1992</v>
      </c>
      <c r="I1643" s="472">
        <f t="shared" si="129"/>
        <v>231.57405440244918</v>
      </c>
      <c r="J1643" s="344" t="s">
        <v>1992</v>
      </c>
      <c r="K1643" s="472">
        <f t="shared" si="130"/>
        <v>149.80099823650366</v>
      </c>
      <c r="L1643" s="344" t="s">
        <v>2052</v>
      </c>
      <c r="M1643" s="367">
        <f t="shared" ca="1" si="133"/>
        <v>5.8522161357754338E-3</v>
      </c>
      <c r="N1643" s="344" t="s">
        <v>2052</v>
      </c>
      <c r="O1643" s="367">
        <f t="shared" ca="1" si="132"/>
        <v>1.5203908981274129E-3</v>
      </c>
    </row>
    <row r="1644" spans="1:15" ht="15.75" customHeight="1" x14ac:dyDescent="0.2">
      <c r="A1644" s="317" t="s">
        <v>405</v>
      </c>
      <c r="B1644" s="769" t="s">
        <v>2045</v>
      </c>
      <c r="C1644" s="446">
        <f>((1/3)-(((1/3)-C$1619)/(Units!C$439-Units!C$437))*(Units!C$439-Units!C449))</f>
        <v>0.64302769818529126</v>
      </c>
      <c r="D1644" s="344" t="s">
        <v>2046</v>
      </c>
      <c r="E1644" s="446">
        <f>((1/3)-(((1/3)-C$1619)/(Units!C$402-Units!C$400))*(Units!C$402-Units!C412))</f>
        <v>0.37165144966247388</v>
      </c>
      <c r="F1644" s="344" t="s">
        <v>2047</v>
      </c>
      <c r="G1644" s="446">
        <f>((1/3)-(((1/3)-C$1619)/(Units!C$114-Units!C$112))*(Units!C$114-Units!C108))</f>
        <v>0.64258606629245407</v>
      </c>
      <c r="H1644" s="172" t="s">
        <v>1992</v>
      </c>
      <c r="I1644" s="472">
        <f t="shared" si="129"/>
        <v>231.35422389397462</v>
      </c>
      <c r="J1644" s="344" t="s">
        <v>1992</v>
      </c>
      <c r="K1644" s="472">
        <f t="shared" si="130"/>
        <v>149.67016529792605</v>
      </c>
      <c r="L1644" s="344" t="s">
        <v>2052</v>
      </c>
      <c r="M1644" s="367">
        <f t="shared" ca="1" si="133"/>
        <v>9.6698399070038038E-4</v>
      </c>
      <c r="N1644" s="344" t="s">
        <v>2052</v>
      </c>
      <c r="O1644" s="367">
        <f t="shared" ca="1" si="132"/>
        <v>2.4742507172771828E-4</v>
      </c>
    </row>
    <row r="1645" spans="1:15" ht="15.75" customHeight="1" x14ac:dyDescent="0.2">
      <c r="A1645" s="317" t="s">
        <v>420</v>
      </c>
      <c r="B1645" s="769" t="s">
        <v>2045</v>
      </c>
      <c r="C1645" s="446">
        <f>((1/3)-(((1/3)-C$1619)/(Units!C$439-Units!C$437))*(Units!C$439-Units!C450))</f>
        <v>0.74625915313594171</v>
      </c>
      <c r="D1645" s="344" t="s">
        <v>2046</v>
      </c>
      <c r="E1645" s="446">
        <f>((1/3)-(((1/3)-C$1619)/(Units!C$402-Units!C$400))*(Units!C$402-Units!C413))</f>
        <v>0.37637560099072409</v>
      </c>
      <c r="F1645" s="344" t="s">
        <v>2047</v>
      </c>
      <c r="G1645" s="446">
        <f>((1/3)-(((1/3)-C$1619)/(Units!C$114-Units!C$112))*(Units!C$114-Units!C109))</f>
        <v>0.79748845270503765</v>
      </c>
      <c r="H1645" s="172" t="s">
        <v>1992</v>
      </c>
      <c r="I1645" s="472">
        <f t="shared" si="129"/>
        <v>268.0491996737058</v>
      </c>
      <c r="J1645" s="344" t="s">
        <v>1992</v>
      </c>
      <c r="K1645" s="472">
        <f t="shared" si="130"/>
        <v>171.3789010687413</v>
      </c>
      <c r="L1645" s="344" t="s">
        <v>2052</v>
      </c>
      <c r="M1645" s="367">
        <f t="shared" ca="1" si="133"/>
        <v>2.7311672777993054E-2</v>
      </c>
      <c r="N1645" s="344" t="s">
        <v>2052</v>
      </c>
      <c r="O1645" s="367">
        <f t="shared" ca="1" si="132"/>
        <v>4.7361259577986441E-3</v>
      </c>
    </row>
    <row r="1646" spans="1:15" ht="15.75" customHeight="1" x14ac:dyDescent="0.2">
      <c r="A1646" s="318" t="s">
        <v>421</v>
      </c>
      <c r="B1646" s="770" t="s">
        <v>2045</v>
      </c>
      <c r="C1646" s="464">
        <f>((1/3)-(((1/3)-C$1619)/(Units!C$439-Units!C$437))*(Units!C$439-Units!C451))</f>
        <v>0.95272206303724705</v>
      </c>
      <c r="D1646" s="347" t="s">
        <v>2046</v>
      </c>
      <c r="E1646" s="464">
        <f>((1/3)-(((1/3)-C$1619)/(Units!C$402-Units!C$400))*(Units!C$402-Units!C414))</f>
        <v>0.37716295954543244</v>
      </c>
      <c r="F1646" s="347" t="s">
        <v>2047</v>
      </c>
      <c r="G1646" s="464">
        <f>((1/3)-(((1/3)-C$1619)/(Units!C$114-Units!C$112))*(Units!C$114-Units!C110))</f>
        <v>0.95228043114441219</v>
      </c>
      <c r="H1646" s="178" t="s">
        <v>1992</v>
      </c>
      <c r="I1646" s="416">
        <f t="shared" si="129"/>
        <v>318.59029734030196</v>
      </c>
      <c r="J1646" s="347" t="s">
        <v>1992</v>
      </c>
      <c r="K1646" s="416">
        <f t="shared" si="130"/>
        <v>200.8972267365117</v>
      </c>
      <c r="L1646" s="347" t="s">
        <v>2052</v>
      </c>
      <c r="M1646" s="369">
        <f t="shared" ca="1" si="133"/>
        <v>1.92100637815493E-3</v>
      </c>
      <c r="N1646" s="347" t="s">
        <v>2052</v>
      </c>
      <c r="O1646" s="369">
        <f t="shared" ca="1" si="132"/>
        <v>3.4632769159578328E-7</v>
      </c>
    </row>
    <row r="1647" spans="1:15" ht="15.75" customHeight="1" x14ac:dyDescent="0.2">
      <c r="A1647" s="316" t="s">
        <v>393</v>
      </c>
      <c r="B1647" s="767" t="s">
        <v>2045</v>
      </c>
      <c r="C1647" s="461"/>
      <c r="D1647" s="342" t="s">
        <v>2046</v>
      </c>
      <c r="E1647" s="366"/>
      <c r="F1647" s="342" t="s">
        <v>2047</v>
      </c>
      <c r="G1647" s="461">
        <f>((1/3)-(((1/3)-C$1619)/(Units!C$114-Units!C$112))*(Units!C$114-Units!C94))</f>
        <v>0.16683810973377797</v>
      </c>
      <c r="H1647" s="341" t="s">
        <v>1992</v>
      </c>
      <c r="I1647" s="471">
        <f t="shared" si="129"/>
        <v>23.290600118835403</v>
      </c>
      <c r="J1647" s="342" t="s">
        <v>1992</v>
      </c>
      <c r="K1647" s="471">
        <f t="shared" si="130"/>
        <v>18.105320814662445</v>
      </c>
      <c r="L1647" s="342" t="s">
        <v>2052</v>
      </c>
      <c r="M1647" s="366">
        <f t="shared" ca="1" si="133"/>
        <v>3.5763313437490278E-3</v>
      </c>
      <c r="N1647" s="342" t="s">
        <v>2052</v>
      </c>
      <c r="O1647" s="366">
        <f t="shared" ca="1" si="132"/>
        <v>3.2718093649490251E-3</v>
      </c>
    </row>
    <row r="1648" spans="1:15" ht="15.75" customHeight="1" x14ac:dyDescent="0.2">
      <c r="A1648" s="317" t="s">
        <v>394</v>
      </c>
      <c r="B1648" s="769" t="s">
        <v>2045</v>
      </c>
      <c r="C1648" s="446"/>
      <c r="D1648" s="344" t="s">
        <v>2046</v>
      </c>
      <c r="E1648" s="367"/>
      <c r="F1648" s="344" t="s">
        <v>2047</v>
      </c>
      <c r="G1648" s="446">
        <f>((1/3)-(((1/3)-C$1619)/(Units!C$114-Units!C$112))*(Units!C$114-Units!C95))</f>
        <v>0.32174049614636152</v>
      </c>
      <c r="H1648" s="172" t="s">
        <v>1992</v>
      </c>
      <c r="I1648" s="472">
        <f t="shared" si="129"/>
        <v>44.914973262032063</v>
      </c>
      <c r="J1648" s="344" t="s">
        <v>1992</v>
      </c>
      <c r="K1648" s="472">
        <f t="shared" si="130"/>
        <v>33.128353662695666</v>
      </c>
      <c r="L1648" s="344" t="s">
        <v>2052</v>
      </c>
      <c r="M1648" s="367">
        <f t="shared" ca="1" si="133"/>
        <v>2.0647799483228937E-2</v>
      </c>
      <c r="N1648" s="344" t="s">
        <v>2052</v>
      </c>
      <c r="O1648" s="367">
        <f t="shared" ca="1" si="132"/>
        <v>1.7447136418019055E-2</v>
      </c>
    </row>
    <row r="1649" spans="1:15" ht="15.75" customHeight="1" x14ac:dyDescent="0.2">
      <c r="A1649" s="317" t="s">
        <v>396</v>
      </c>
      <c r="B1649" s="769" t="s">
        <v>2045</v>
      </c>
      <c r="C1649" s="446"/>
      <c r="D1649" s="344" t="s">
        <v>2046</v>
      </c>
      <c r="E1649" s="367"/>
      <c r="F1649" s="344" t="s">
        <v>2047</v>
      </c>
      <c r="G1649" s="446">
        <f>((1/3)-(((1/3)-C$1619)/(Units!C$114-Units!C$112))*(Units!C$114-Units!C96))</f>
        <v>0.4766428825589451</v>
      </c>
      <c r="H1649" s="172" t="s">
        <v>1992</v>
      </c>
      <c r="I1649" s="472">
        <f t="shared" si="129"/>
        <v>66.539346405228727</v>
      </c>
      <c r="J1649" s="344" t="s">
        <v>1992</v>
      </c>
      <c r="K1649" s="472">
        <f t="shared" si="130"/>
        <v>47.558948949806833</v>
      </c>
      <c r="L1649" s="344" t="s">
        <v>2052</v>
      </c>
      <c r="M1649" s="367">
        <f t="shared" ca="1" si="133"/>
        <v>1.9651925972058008E-2</v>
      </c>
      <c r="N1649" s="344" t="s">
        <v>2052</v>
      </c>
      <c r="O1649" s="367">
        <f t="shared" ca="1" si="132"/>
        <v>1.5223825896505809E-2</v>
      </c>
    </row>
    <row r="1650" spans="1:15" ht="15.75" customHeight="1" x14ac:dyDescent="0.2">
      <c r="A1650" s="317" t="s">
        <v>395</v>
      </c>
      <c r="B1650" s="769" t="s">
        <v>2045</v>
      </c>
      <c r="C1650" s="446"/>
      <c r="D1650" s="344" t="s">
        <v>2046</v>
      </c>
      <c r="E1650" s="367"/>
      <c r="F1650" s="344" t="s">
        <v>2047</v>
      </c>
      <c r="G1650" s="446">
        <f>((1/3)-(((1/3)-C$1619)/(Units!C$114-Units!C$112))*(Units!C$114-Units!C97))</f>
        <v>0.4766428825589451</v>
      </c>
      <c r="H1650" s="172" t="s">
        <v>1992</v>
      </c>
      <c r="I1650" s="472">
        <f t="shared" si="129"/>
        <v>66.539346405228727</v>
      </c>
      <c r="J1650" s="344" t="s">
        <v>1992</v>
      </c>
      <c r="K1650" s="472">
        <f t="shared" si="130"/>
        <v>47.558948949806833</v>
      </c>
      <c r="L1650" s="344" t="s">
        <v>2052</v>
      </c>
      <c r="M1650" s="367">
        <f t="shared" ca="1" si="133"/>
        <v>0</v>
      </c>
      <c r="N1650" s="344" t="s">
        <v>2052</v>
      </c>
      <c r="O1650" s="367">
        <f t="shared" ca="1" si="132"/>
        <v>0</v>
      </c>
    </row>
    <row r="1651" spans="1:15" ht="15.75" customHeight="1" x14ac:dyDescent="0.2">
      <c r="A1651" s="317" t="s">
        <v>397</v>
      </c>
      <c r="B1651" s="769" t="s">
        <v>2045</v>
      </c>
      <c r="C1651" s="446"/>
      <c r="D1651" s="344" t="s">
        <v>2046</v>
      </c>
      <c r="E1651" s="367"/>
      <c r="F1651" s="344" t="s">
        <v>2047</v>
      </c>
      <c r="G1651" s="446">
        <f>((1/3)-(((1/3)-C$1619)/(Units!C$114-Units!C$112))*(Units!C$114-Units!C98))</f>
        <v>0.63143486099831958</v>
      </c>
      <c r="H1651" s="172" t="s">
        <v>1992</v>
      </c>
      <c r="I1651" s="472">
        <f t="shared" si="129"/>
        <v>88.148306595365412</v>
      </c>
      <c r="J1651" s="344" t="s">
        <v>1992</v>
      </c>
      <c r="K1651" s="472">
        <f t="shared" si="130"/>
        <v>61.602289824018115</v>
      </c>
      <c r="L1651" s="344" t="s">
        <v>2052</v>
      </c>
      <c r="M1651" s="367">
        <f t="shared" ca="1" si="133"/>
        <v>4.181897344519709E-2</v>
      </c>
      <c r="N1651" s="344" t="s">
        <v>2052</v>
      </c>
      <c r="O1651" s="367">
        <f t="shared" ca="1" si="132"/>
        <v>3.0009083469639455E-2</v>
      </c>
    </row>
    <row r="1652" spans="1:15" ht="15.75" customHeight="1" x14ac:dyDescent="0.2">
      <c r="A1652" s="317" t="s">
        <v>398</v>
      </c>
      <c r="B1652" s="769" t="s">
        <v>2045</v>
      </c>
      <c r="C1652" s="446"/>
      <c r="D1652" s="344" t="s">
        <v>2046</v>
      </c>
      <c r="E1652" s="367"/>
      <c r="F1652" s="344" t="s">
        <v>2047</v>
      </c>
      <c r="G1652" s="446">
        <f>((1/3)-(((1/3)-C$1619)/(Units!C$114-Units!C$112))*(Units!C$114-Units!C99))</f>
        <v>0.63143486099831958</v>
      </c>
      <c r="H1652" s="172" t="s">
        <v>1992</v>
      </c>
      <c r="I1652" s="472">
        <f t="shared" si="129"/>
        <v>88.148306595365412</v>
      </c>
      <c r="J1652" s="344" t="s">
        <v>1992</v>
      </c>
      <c r="K1652" s="472">
        <f t="shared" si="130"/>
        <v>61.602289824018115</v>
      </c>
      <c r="L1652" s="344" t="s">
        <v>2052</v>
      </c>
      <c r="M1652" s="367">
        <f t="shared" ca="1" si="133"/>
        <v>7.1273181860233075E-3</v>
      </c>
      <c r="N1652" s="344" t="s">
        <v>2052</v>
      </c>
      <c r="O1652" s="367">
        <f t="shared" ca="1" si="132"/>
        <v>4.988754245419706E-3</v>
      </c>
    </row>
    <row r="1653" spans="1:15" ht="15.75" customHeight="1" x14ac:dyDescent="0.2">
      <c r="A1653" s="317" t="s">
        <v>578</v>
      </c>
      <c r="B1653" s="769" t="s">
        <v>2045</v>
      </c>
      <c r="C1653" s="446"/>
      <c r="D1653" s="344" t="s">
        <v>2046</v>
      </c>
      <c r="E1653" s="367"/>
      <c r="F1653" s="344" t="s">
        <v>2047</v>
      </c>
      <c r="G1653" s="446">
        <f>((1/3)-(((1/3)-C$1619)/(Units!C$114-Units!C$112))*(Units!C$114-Units!C100))</f>
        <v>0.78633724741090316</v>
      </c>
      <c r="H1653" s="172" t="s">
        <v>1992</v>
      </c>
      <c r="I1653" s="472">
        <f t="shared" si="129"/>
        <v>109.77267973856208</v>
      </c>
      <c r="J1653" s="344" t="s">
        <v>1992</v>
      </c>
      <c r="K1653" s="472">
        <f t="shared" si="130"/>
        <v>75.379755579950157</v>
      </c>
      <c r="L1653" s="344" t="s">
        <v>2052</v>
      </c>
      <c r="M1653" s="367">
        <f t="shared" ca="1" si="133"/>
        <v>0.18260936410571726</v>
      </c>
      <c r="N1653" s="344" t="s">
        <v>2052</v>
      </c>
      <c r="O1653" s="367">
        <f t="shared" ca="1" si="132"/>
        <v>0.13434863493178723</v>
      </c>
    </row>
    <row r="1654" spans="1:15" ht="15.75" customHeight="1" x14ac:dyDescent="0.2">
      <c r="A1654" s="318" t="s">
        <v>407</v>
      </c>
      <c r="B1654" s="770" t="s">
        <v>2045</v>
      </c>
      <c r="C1654" s="464"/>
      <c r="D1654" s="347" t="s">
        <v>2046</v>
      </c>
      <c r="E1654" s="369"/>
      <c r="F1654" s="347" t="s">
        <v>2047</v>
      </c>
      <c r="G1654" s="464">
        <f>((1/3)-(((1/3)-C$1619)/(Units!C$114-Units!C$112))*(Units!C$114-Units!C101))</f>
        <v>0.94112922585027725</v>
      </c>
      <c r="H1654" s="172" t="s">
        <v>1992</v>
      </c>
      <c r="I1654" s="472">
        <f t="shared" si="129"/>
        <v>131.38163992869869</v>
      </c>
      <c r="J1654" s="347" t="s">
        <v>1992</v>
      </c>
      <c r="K1654" s="416">
        <f t="shared" si="130"/>
        <v>88.930739609771663</v>
      </c>
      <c r="L1654" s="347" t="s">
        <v>2052</v>
      </c>
      <c r="M1654" s="369">
        <f t="shared" ca="1" si="133"/>
        <v>1.5153012403802988E-2</v>
      </c>
      <c r="N1654" s="347" t="s">
        <v>2052</v>
      </c>
      <c r="O1654" s="369">
        <f t="shared" ca="1" si="132"/>
        <v>8.6331935956282142E-3</v>
      </c>
    </row>
    <row r="1655" spans="1:15" ht="15.75" customHeight="1" x14ac:dyDescent="0.2">
      <c r="A1655" s="317" t="s">
        <v>1686</v>
      </c>
      <c r="B1655" s="767" t="s">
        <v>2045</v>
      </c>
      <c r="C1655" s="771"/>
      <c r="D1655" s="342" t="s">
        <v>2046</v>
      </c>
      <c r="E1655" s="366"/>
      <c r="F1655" s="342" t="s">
        <v>2047</v>
      </c>
      <c r="G1655" s="461">
        <f>((1/3)-(((1/3)-C$1619)/(Units!C$114-Units!C$112))*(Units!C$114-Units!C140))</f>
        <v>-9.3614299066852535E-2</v>
      </c>
      <c r="H1655" s="342" t="s">
        <v>1992</v>
      </c>
      <c r="I1655" s="471">
        <f t="shared" si="129"/>
        <v>-13.068556149732613</v>
      </c>
      <c r="J1655" s="344" t="s">
        <v>1992</v>
      </c>
      <c r="K1655" s="472">
        <f t="shared" si="130"/>
        <v>0</v>
      </c>
      <c r="L1655" s="344" t="s">
        <v>2052</v>
      </c>
      <c r="M1655" s="367">
        <f t="shared" ca="1" si="133"/>
        <v>0</v>
      </c>
      <c r="N1655" s="344" t="s">
        <v>2052</v>
      </c>
      <c r="O1655" s="367">
        <f t="shared" ca="1" si="132"/>
        <v>0</v>
      </c>
    </row>
    <row r="1656" spans="1:15" ht="15.75" customHeight="1" x14ac:dyDescent="0.2">
      <c r="A1656" s="317" t="s">
        <v>1687</v>
      </c>
      <c r="B1656" s="769" t="s">
        <v>2045</v>
      </c>
      <c r="C1656" s="772">
        <f>((1/3)-(((1/3)-C$1619)/(Units!C$439-Units!C$437))*(Units!C$439-Units!C461))</f>
        <v>6.32075772047118</v>
      </c>
      <c r="D1656" s="344" t="s">
        <v>2046</v>
      </c>
      <c r="E1656" s="367">
        <f>((1/3)-(((1/3)-C$1619)/(Units!C$402-Units!C$400))*(Units!C$402-Units!C424))</f>
        <v>-21.116938225438297</v>
      </c>
      <c r="F1656" s="344" t="s">
        <v>2047</v>
      </c>
      <c r="G1656" s="446">
        <f>((1/3)-(((1/3)-C$1619)/(Units!C$114-Units!C$112))*(Units!C$114-Units!C141))</f>
        <v>-8.2485175367359775E-2</v>
      </c>
      <c r="H1656" s="344" t="s">
        <v>1992</v>
      </c>
      <c r="I1656" s="472">
        <f t="shared" si="129"/>
        <v>-2077.0617289746929</v>
      </c>
      <c r="J1656" s="344" t="s">
        <v>1992</v>
      </c>
      <c r="K1656" s="472">
        <f t="shared" si="130"/>
        <v>0</v>
      </c>
      <c r="L1656" s="344" t="s">
        <v>2052</v>
      </c>
      <c r="M1656" s="367">
        <f t="shared" ca="1" si="133"/>
        <v>0</v>
      </c>
      <c r="N1656" s="344" t="s">
        <v>2052</v>
      </c>
      <c r="O1656" s="367">
        <f t="shared" ca="1" si="132"/>
        <v>0</v>
      </c>
    </row>
    <row r="1657" spans="1:15" ht="15.75" customHeight="1" x14ac:dyDescent="0.2">
      <c r="A1657" s="317" t="s">
        <v>1164</v>
      </c>
      <c r="B1657" s="769" t="s">
        <v>2045</v>
      </c>
      <c r="C1657" s="772">
        <f>((1/3)-(((1/3)-C$1619)/(Units!C$439-Units!C$437))*(Units!C$439-Units!C462))</f>
        <v>-12.467367080547584</v>
      </c>
      <c r="D1657" s="344" t="s">
        <v>2046</v>
      </c>
      <c r="E1657" s="367"/>
      <c r="F1657" s="344" t="s">
        <v>2047</v>
      </c>
      <c r="G1657" s="446">
        <f>((1/3)-(((1/3)-C$1619)/(Units!C$114-Units!C$112))*(Units!C$114-Units!C128))</f>
        <v>0.59785979634538522</v>
      </c>
      <c r="H1657" s="344" t="s">
        <v>1992</v>
      </c>
      <c r="I1657" s="472">
        <f t="shared" si="129"/>
        <v>-1656.9832168746268</v>
      </c>
      <c r="J1657" s="344" t="s">
        <v>1992</v>
      </c>
      <c r="K1657" s="472">
        <f t="shared" si="130"/>
        <v>0</v>
      </c>
      <c r="L1657" s="344" t="s">
        <v>2052</v>
      </c>
      <c r="M1657" s="367">
        <f t="shared" ca="1" si="133"/>
        <v>0</v>
      </c>
      <c r="N1657" s="344" t="s">
        <v>2052</v>
      </c>
      <c r="O1657" s="367">
        <f t="shared" ca="1" si="132"/>
        <v>0</v>
      </c>
    </row>
    <row r="1658" spans="1:15" ht="15.75" customHeight="1" x14ac:dyDescent="0.2">
      <c r="A1658" s="317" t="s">
        <v>1688</v>
      </c>
      <c r="B1658" s="769" t="s">
        <v>2045</v>
      </c>
      <c r="C1658" s="772">
        <f>((1/3)-(((1/3)-C$1619)/(Units!C$439-Units!C$437))*(Units!C$439-Units!C463))</f>
        <v>-15.564310729067165</v>
      </c>
      <c r="D1658" s="344" t="s">
        <v>2046</v>
      </c>
      <c r="E1658" s="367"/>
      <c r="F1658" s="344" t="s">
        <v>2047</v>
      </c>
      <c r="G1658" s="446">
        <f>((1/3)-(((1/3)-C$1619)/(Units!C$114-Units!C$112))*(Units!C$114-Units!C129))</f>
        <v>0.58665338706464598</v>
      </c>
      <c r="H1658" s="344" t="s">
        <v>1992</v>
      </c>
      <c r="I1658" s="472">
        <f t="shared" si="129"/>
        <v>-2090.8809649435516</v>
      </c>
      <c r="J1658" s="344" t="s">
        <v>1992</v>
      </c>
      <c r="K1658" s="472">
        <f t="shared" si="130"/>
        <v>0</v>
      </c>
      <c r="L1658" s="344" t="s">
        <v>2052</v>
      </c>
      <c r="M1658" s="367">
        <f t="shared" ca="1" si="133"/>
        <v>0</v>
      </c>
      <c r="N1658" s="344" t="s">
        <v>2052</v>
      </c>
      <c r="O1658" s="367">
        <f t="shared" ca="1" si="132"/>
        <v>0</v>
      </c>
    </row>
    <row r="1659" spans="1:15" ht="15.75" customHeight="1" x14ac:dyDescent="0.2">
      <c r="A1659" s="317" t="s">
        <v>1689</v>
      </c>
      <c r="B1659" s="769" t="s">
        <v>2045</v>
      </c>
      <c r="C1659" s="772">
        <f>((1/3)-(((1/3)-C$1619)/(Units!C$439-Units!C$437))*(Units!C$439-Units!C464))</f>
        <v>-14.531996179560638</v>
      </c>
      <c r="D1659" s="344" t="s">
        <v>2046</v>
      </c>
      <c r="E1659" s="367"/>
      <c r="F1659" s="344" t="s">
        <v>2047</v>
      </c>
      <c r="G1659" s="446">
        <f>((1/3)-(((1/3)-C$1619)/(Units!C$114-Units!C$112))*(Units!C$114-Units!C130))</f>
        <v>0.57556842655443696</v>
      </c>
      <c r="H1659" s="344" t="s">
        <v>1992</v>
      </c>
      <c r="I1659" s="472">
        <f t="shared" si="129"/>
        <v>-1948.3173143196657</v>
      </c>
      <c r="J1659" s="344" t="s">
        <v>1992</v>
      </c>
      <c r="K1659" s="472">
        <f t="shared" si="130"/>
        <v>0</v>
      </c>
      <c r="L1659" s="344" t="s">
        <v>2052</v>
      </c>
      <c r="M1659" s="367">
        <f t="shared" ca="1" si="133"/>
        <v>0</v>
      </c>
      <c r="N1659" s="344" t="s">
        <v>2052</v>
      </c>
      <c r="O1659" s="367">
        <f t="shared" ca="1" si="132"/>
        <v>0</v>
      </c>
    </row>
    <row r="1660" spans="1:15" ht="15.75" customHeight="1" x14ac:dyDescent="0.2">
      <c r="A1660" s="317" t="s">
        <v>1690</v>
      </c>
      <c r="B1660" s="769" t="s">
        <v>2045</v>
      </c>
      <c r="C1660" s="772">
        <f>((1/3)-(((1/3)-C$1619)/(Units!C$439-Units!C$437))*(Units!C$439-Units!C465))</f>
        <v>-16.080468003820428</v>
      </c>
      <c r="D1660" s="344" t="s">
        <v>2046</v>
      </c>
      <c r="E1660" s="367"/>
      <c r="F1660" s="344" t="s">
        <v>2047</v>
      </c>
      <c r="G1660" s="446">
        <f>((1/3)-(((1/3)-C$1619)/(Units!C$114-Units!C$112))*(Units!C$114-Units!C124))</f>
        <v>0.59692132857310665</v>
      </c>
      <c r="H1660" s="344" t="s">
        <v>1992</v>
      </c>
      <c r="I1660" s="472">
        <f t="shared" si="129"/>
        <v>-2161.5031158645261</v>
      </c>
      <c r="J1660" s="344" t="s">
        <v>1992</v>
      </c>
      <c r="K1660" s="472">
        <f t="shared" si="130"/>
        <v>0</v>
      </c>
      <c r="L1660" s="344" t="s">
        <v>2052</v>
      </c>
      <c r="M1660" s="367">
        <f t="shared" ca="1" si="133"/>
        <v>0</v>
      </c>
      <c r="N1660" s="344" t="s">
        <v>2052</v>
      </c>
      <c r="O1660" s="367">
        <f t="shared" ca="1" si="132"/>
        <v>0</v>
      </c>
    </row>
    <row r="1661" spans="1:15" ht="15.75" customHeight="1" x14ac:dyDescent="0.2">
      <c r="A1661" s="317" t="s">
        <v>1691</v>
      </c>
      <c r="B1661" s="769" t="s">
        <v>2045</v>
      </c>
      <c r="C1661" s="772">
        <f>((1/3)-(((1/3)-C$1619)/(Units!C$439-Units!C$437))*(Units!C$439-Units!C466))</f>
        <v>-36.210601719197676</v>
      </c>
      <c r="D1661" s="344" t="s">
        <v>2046</v>
      </c>
      <c r="E1661" s="367"/>
      <c r="F1661" s="344" t="s">
        <v>2047</v>
      </c>
      <c r="G1661" s="446">
        <f>((1/3)-(((1/3)-C$1619)/(Units!C$114-Units!C$112))*(Units!C$114-Units!C125))</f>
        <v>0.58583636806289752</v>
      </c>
      <c r="H1661" s="344" t="s">
        <v>1992</v>
      </c>
      <c r="I1661" s="472">
        <f t="shared" si="129"/>
        <v>-4973.2172430184146</v>
      </c>
      <c r="J1661" s="344" t="s">
        <v>1992</v>
      </c>
      <c r="K1661" s="472">
        <f t="shared" si="130"/>
        <v>0</v>
      </c>
      <c r="L1661" s="344" t="s">
        <v>2052</v>
      </c>
      <c r="M1661" s="367">
        <f t="shared" ca="1" si="133"/>
        <v>0</v>
      </c>
      <c r="N1661" s="344" t="s">
        <v>2052</v>
      </c>
      <c r="O1661" s="367">
        <f t="shared" ca="1" si="132"/>
        <v>0</v>
      </c>
    </row>
    <row r="1662" spans="1:15" ht="15.75" customHeight="1" x14ac:dyDescent="0.2">
      <c r="A1662" s="317" t="s">
        <v>1692</v>
      </c>
      <c r="B1662" s="769" t="s">
        <v>2045</v>
      </c>
      <c r="C1662" s="772">
        <f>((1/3)-(((1/3)-C$1619)/(Units!C$439-Units!C$437))*(Units!C$439-Units!C467))</f>
        <v>-26.919770773638941</v>
      </c>
      <c r="D1662" s="344" t="s">
        <v>2046</v>
      </c>
      <c r="E1662" s="367"/>
      <c r="F1662" s="344" t="s">
        <v>2047</v>
      </c>
      <c r="G1662" s="446">
        <f>((1/3)-(((1/3)-C$1619)/(Units!C$114-Units!C$112))*(Units!C$114-Units!C126))</f>
        <v>0.57468516276876291</v>
      </c>
      <c r="H1662" s="344" t="s">
        <v>1992</v>
      </c>
      <c r="I1662" s="472">
        <f t="shared" si="129"/>
        <v>-3677.773951277477</v>
      </c>
      <c r="J1662" s="344" t="s">
        <v>1992</v>
      </c>
      <c r="K1662" s="472">
        <f t="shared" si="130"/>
        <v>0</v>
      </c>
      <c r="L1662" s="344" t="s">
        <v>2052</v>
      </c>
      <c r="M1662" s="367">
        <f t="shared" ca="1" si="133"/>
        <v>0</v>
      </c>
      <c r="N1662" s="344" t="s">
        <v>2052</v>
      </c>
      <c r="O1662" s="367">
        <f t="shared" ca="1" si="132"/>
        <v>0</v>
      </c>
    </row>
    <row r="1663" spans="1:15" ht="15.75" customHeight="1" x14ac:dyDescent="0.2">
      <c r="A1663" s="317" t="s">
        <v>1693</v>
      </c>
      <c r="B1663" s="769" t="s">
        <v>2045</v>
      </c>
      <c r="C1663" s="772"/>
      <c r="D1663" s="344" t="s">
        <v>2046</v>
      </c>
      <c r="E1663" s="367"/>
      <c r="F1663" s="344" t="s">
        <v>2047</v>
      </c>
      <c r="G1663" s="446">
        <f>((1/3)-(((1/3)-C$1619)/(Units!C$114-Units!C$112))*(Units!C$114-Units!C127))</f>
        <v>0.5635339574746282</v>
      </c>
      <c r="H1663" s="344" t="s">
        <v>1992</v>
      </c>
      <c r="I1663" s="472">
        <f t="shared" si="129"/>
        <v>78.669340463458099</v>
      </c>
      <c r="J1663" s="344" t="s">
        <v>1992</v>
      </c>
      <c r="K1663" s="472">
        <f t="shared" si="130"/>
        <v>55.480589694381052</v>
      </c>
      <c r="L1663" s="344" t="s">
        <v>2052</v>
      </c>
      <c r="M1663" s="367">
        <f t="shared" ca="1" si="133"/>
        <v>2.7177468392662978E-10</v>
      </c>
      <c r="N1663" s="344" t="s">
        <v>2052</v>
      </c>
      <c r="O1663" s="367">
        <f t="shared" ca="1" si="132"/>
        <v>1.9757518701191148E-10</v>
      </c>
    </row>
    <row r="1664" spans="1:15" ht="15.75" customHeight="1" x14ac:dyDescent="0.2">
      <c r="A1664" s="317" t="s">
        <v>1678</v>
      </c>
      <c r="B1664" s="769" t="s">
        <v>2045</v>
      </c>
      <c r="C1664" s="772"/>
      <c r="D1664" s="344" t="s">
        <v>2046</v>
      </c>
      <c r="E1664" s="367"/>
      <c r="F1664" s="344" t="s">
        <v>2047</v>
      </c>
      <c r="G1664" s="446">
        <f>((1/3)-(((1/3)-C$1619)/(Units!C$114-Units!C$112))*(Units!C$114-Units!C122))</f>
        <v>-0.28583458042416404</v>
      </c>
      <c r="H1664" s="344" t="s">
        <v>1992</v>
      </c>
      <c r="I1664" s="472">
        <f t="shared" si="129"/>
        <v>-39.902507427213301</v>
      </c>
      <c r="J1664" s="344" t="s">
        <v>1992</v>
      </c>
      <c r="K1664" s="472">
        <f t="shared" si="130"/>
        <v>0</v>
      </c>
      <c r="L1664" s="344" t="s">
        <v>2052</v>
      </c>
      <c r="M1664" s="367">
        <f t="shared" ca="1" si="133"/>
        <v>0</v>
      </c>
      <c r="N1664" s="344" t="s">
        <v>2052</v>
      </c>
      <c r="O1664" s="367">
        <f t="shared" ca="1" si="132"/>
        <v>0</v>
      </c>
    </row>
    <row r="1665" spans="1:17" ht="15.75" customHeight="1" x14ac:dyDescent="0.2">
      <c r="A1665" s="317" t="s">
        <v>482</v>
      </c>
      <c r="B1665" s="769" t="s">
        <v>2045</v>
      </c>
      <c r="C1665" s="772">
        <f>((1/3)-(((1/3)-C$1619)/(Units!C$439-Units!C$437))*(Units!C$439-Units!C470))</f>
        <v>2.2947309773957314</v>
      </c>
      <c r="D1665" s="344" t="s">
        <v>2046</v>
      </c>
      <c r="E1665" s="367">
        <f>((1/3)-(((1/3)-C$1619)/(Units!C$402-Units!C$400))*(Units!C$402-Units!C433))</f>
        <v>-22.324221342657793</v>
      </c>
      <c r="F1665" s="344" t="s">
        <v>2047</v>
      </c>
      <c r="G1665" s="446">
        <f>((1/3)-(((1/3)-C$1619)/(Units!C$114-Units!C$112))*(Units!C$114-Units!C121))</f>
        <v>-0.29697474492097781</v>
      </c>
      <c r="H1665" s="344" t="s">
        <v>1992</v>
      </c>
      <c r="I1665" s="472">
        <f t="shared" si="129"/>
        <v>-2837.5745293815521</v>
      </c>
      <c r="J1665" s="347" t="s">
        <v>1992</v>
      </c>
      <c r="K1665" s="416">
        <f t="shared" si="130"/>
        <v>0</v>
      </c>
      <c r="L1665" s="347" t="s">
        <v>2052</v>
      </c>
      <c r="M1665" s="369">
        <f t="shared" ca="1" si="133"/>
        <v>0</v>
      </c>
      <c r="N1665" s="344" t="s">
        <v>2052</v>
      </c>
      <c r="O1665" s="367">
        <f t="shared" ca="1" si="132"/>
        <v>0</v>
      </c>
    </row>
    <row r="1666" spans="1:17" ht="15.75" customHeight="1" x14ac:dyDescent="0.2">
      <c r="A1666" s="377" t="s">
        <v>2051</v>
      </c>
      <c r="B1666" s="757"/>
      <c r="C1666" s="773"/>
      <c r="D1666" s="455"/>
      <c r="E1666" s="735"/>
      <c r="F1666" s="455"/>
      <c r="G1666" s="774"/>
      <c r="H1666" s="455"/>
      <c r="I1666" s="774"/>
      <c r="J1666" s="178"/>
      <c r="K1666" s="416"/>
      <c r="L1666" s="433" t="s">
        <v>2052</v>
      </c>
      <c r="M1666" s="437">
        <f ca="1">SUM(M1632:M1665)</f>
        <v>0.84387634886723761</v>
      </c>
      <c r="N1666" s="433" t="s">
        <v>2052</v>
      </c>
      <c r="O1666" s="437">
        <f ca="1">SUM(O1632:O1665)</f>
        <v>0.4946544700550477</v>
      </c>
    </row>
    <row r="1667" spans="1:17" ht="15.75" customHeight="1" x14ac:dyDescent="0.2"/>
    <row r="1668" spans="1:17" ht="15.75" customHeight="1" x14ac:dyDescent="0.2"/>
    <row r="1669" spans="1:17" ht="15.75" customHeight="1" x14ac:dyDescent="0.2">
      <c r="A1669" s="762" t="s">
        <v>1999</v>
      </c>
      <c r="B1669" s="763"/>
      <c r="C1669" s="763"/>
      <c r="D1669" s="763"/>
      <c r="E1669" s="763"/>
      <c r="F1669" s="763"/>
      <c r="G1669" s="763"/>
      <c r="H1669" s="763"/>
      <c r="I1669" s="763"/>
      <c r="J1669" s="763"/>
      <c r="K1669" s="763"/>
      <c r="L1669" s="763"/>
      <c r="M1669" s="763"/>
      <c r="N1669" s="763"/>
      <c r="O1669" s="763"/>
      <c r="P1669" s="763"/>
      <c r="Q1669" s="764"/>
    </row>
    <row r="1670" spans="1:17" ht="15.75" customHeight="1" x14ac:dyDescent="0.2">
      <c r="B1670" s="1557" t="s">
        <v>2053</v>
      </c>
      <c r="C1670" s="1562"/>
      <c r="D1670" s="1562"/>
      <c r="E1670" s="1558"/>
      <c r="F1670" s="1557" t="s">
        <v>2054</v>
      </c>
      <c r="G1670" s="1562"/>
      <c r="H1670" s="1562"/>
      <c r="I1670" s="1558"/>
      <c r="J1670" s="1557" t="s">
        <v>2055</v>
      </c>
      <c r="K1670" s="1562"/>
      <c r="L1670" s="1562"/>
      <c r="M1670" s="1558"/>
      <c r="N1670" s="1557" t="s">
        <v>2056</v>
      </c>
      <c r="O1670" s="1562"/>
      <c r="P1670" s="1562"/>
      <c r="Q1670" s="1558"/>
    </row>
    <row r="1671" spans="1:17" ht="15.75" customHeight="1" x14ac:dyDescent="0.2">
      <c r="A1671" s="373" t="s">
        <v>580</v>
      </c>
      <c r="B1671" s="301" t="s">
        <v>372</v>
      </c>
      <c r="C1671" s="301" t="s">
        <v>42</v>
      </c>
      <c r="D1671" s="301" t="s">
        <v>372</v>
      </c>
      <c r="E1671" s="301" t="s">
        <v>42</v>
      </c>
      <c r="F1671" s="301" t="s">
        <v>372</v>
      </c>
      <c r="G1671" s="301" t="s">
        <v>42</v>
      </c>
      <c r="H1671" s="301" t="s">
        <v>372</v>
      </c>
      <c r="I1671" s="301" t="s">
        <v>42</v>
      </c>
      <c r="J1671" s="301" t="s">
        <v>372</v>
      </c>
      <c r="K1671" s="301" t="s">
        <v>42</v>
      </c>
      <c r="L1671" s="301" t="s">
        <v>372</v>
      </c>
      <c r="M1671" s="301" t="s">
        <v>42</v>
      </c>
      <c r="N1671" s="301" t="s">
        <v>372</v>
      </c>
      <c r="O1671" s="301" t="s">
        <v>42</v>
      </c>
      <c r="P1671" s="301" t="s">
        <v>372</v>
      </c>
      <c r="Q1671" s="301" t="s">
        <v>42</v>
      </c>
    </row>
    <row r="1672" spans="1:17" ht="15.75" customHeight="1" x14ac:dyDescent="0.2">
      <c r="A1672" s="373" t="s">
        <v>536</v>
      </c>
      <c r="B1672" s="433" t="s">
        <v>267</v>
      </c>
      <c r="C1672" s="434">
        <f ca="1">C1577*C1623*0.1824</f>
        <v>479.62197139173998</v>
      </c>
      <c r="D1672" s="455" t="s">
        <v>444</v>
      </c>
      <c r="E1672" s="484">
        <f ca="1">C1672/Units!C15</f>
        <v>0.47962197139173995</v>
      </c>
      <c r="F1672" s="433" t="s">
        <v>267</v>
      </c>
      <c r="G1672" s="434">
        <f ca="1">C1577-C1672</f>
        <v>95708.147001560486</v>
      </c>
      <c r="H1672" s="455" t="s">
        <v>444</v>
      </c>
      <c r="I1672" s="434">
        <f ca="1">G1672/Units!C15</f>
        <v>95.708147001560491</v>
      </c>
      <c r="J1672" s="433" t="s">
        <v>267</v>
      </c>
      <c r="K1672" s="470">
        <f ca="1">G1672*(C1672/G1672)*1.17</f>
        <v>561.15770652833567</v>
      </c>
      <c r="L1672" s="455" t="s">
        <v>444</v>
      </c>
      <c r="M1672" s="470">
        <f ca="1">K1672/Units!C15</f>
        <v>0.56115770652833563</v>
      </c>
      <c r="N1672" s="433" t="s">
        <v>267</v>
      </c>
      <c r="O1672" s="470">
        <f ca="1">G1672-K1672</f>
        <v>95146.989295032152</v>
      </c>
      <c r="P1672" s="455" t="s">
        <v>444</v>
      </c>
      <c r="Q1672" s="434">
        <f ca="1">I1672-M1672</f>
        <v>95.146989295032157</v>
      </c>
    </row>
    <row r="1673" spans="1:17" ht="15.75" customHeight="1" x14ac:dyDescent="0.2">
      <c r="A1673" s="316" t="s">
        <v>409</v>
      </c>
      <c r="B1673" s="767" t="s">
        <v>267</v>
      </c>
      <c r="C1673" s="674">
        <f ca="1">M1632*C$1672</f>
        <v>0</v>
      </c>
      <c r="D1673" s="341" t="s">
        <v>435</v>
      </c>
      <c r="E1673" s="674">
        <f ca="1">C1673/E$1672</f>
        <v>0</v>
      </c>
      <c r="F1673" s="342" t="s">
        <v>267</v>
      </c>
      <c r="G1673" s="361">
        <f ca="1">C1605-C1673</f>
        <v>0</v>
      </c>
      <c r="H1673" s="341" t="s">
        <v>435</v>
      </c>
      <c r="I1673" s="366">
        <f ca="1">G1673/I$1672</f>
        <v>0</v>
      </c>
      <c r="J1673" s="767" t="s">
        <v>267</v>
      </c>
      <c r="K1673" s="361">
        <f ca="1">K$1672*O1632</f>
        <v>0</v>
      </c>
      <c r="L1673" s="342" t="s">
        <v>435</v>
      </c>
      <c r="M1673" s="366">
        <f ca="1">K1673/M$1672</f>
        <v>0</v>
      </c>
      <c r="N1673" s="767" t="s">
        <v>267</v>
      </c>
      <c r="O1673" s="461">
        <f ca="1">G1673-K1673</f>
        <v>0</v>
      </c>
      <c r="P1673" s="341" t="s">
        <v>435</v>
      </c>
      <c r="Q1673" s="461">
        <f ca="1">O1673/Q$1672</f>
        <v>0</v>
      </c>
    </row>
    <row r="1674" spans="1:17" ht="15.75" customHeight="1" x14ac:dyDescent="0.2">
      <c r="A1674" s="317" t="s">
        <v>410</v>
      </c>
      <c r="B1674" s="769" t="s">
        <v>267</v>
      </c>
      <c r="C1674" s="436">
        <f t="shared" ref="C1674:C1706" ca="1" si="134">M1633*C$1672</f>
        <v>0</v>
      </c>
      <c r="D1674" s="172" t="s">
        <v>435</v>
      </c>
      <c r="E1674" s="436">
        <f t="shared" ref="E1674:E1706" ca="1" si="135">C1674/E$1672</f>
        <v>0</v>
      </c>
      <c r="F1674" s="344" t="s">
        <v>267</v>
      </c>
      <c r="G1674" s="363">
        <f t="shared" ref="G1674:G1679" ca="1" si="136">C1606-C1674</f>
        <v>0</v>
      </c>
      <c r="H1674" s="172" t="s">
        <v>435</v>
      </c>
      <c r="I1674" s="367">
        <f t="shared" ref="I1674:I1711" ca="1" si="137">G1674/I$1672</f>
        <v>0</v>
      </c>
      <c r="J1674" s="769" t="s">
        <v>267</v>
      </c>
      <c r="K1674" s="363">
        <f t="shared" ref="K1674:K1706" ca="1" si="138">K$1672*O1633</f>
        <v>0</v>
      </c>
      <c r="L1674" s="344" t="s">
        <v>435</v>
      </c>
      <c r="M1674" s="367">
        <f t="shared" ref="M1674:M1706" ca="1" si="139">K1674/M$1672</f>
        <v>0</v>
      </c>
      <c r="N1674" s="769" t="s">
        <v>267</v>
      </c>
      <c r="O1674" s="446">
        <f t="shared" ref="O1674:O1686" ca="1" si="140">G1674-K1674</f>
        <v>0</v>
      </c>
      <c r="P1674" s="172" t="s">
        <v>435</v>
      </c>
      <c r="Q1674" s="446">
        <f t="shared" ref="Q1674:Q1706" ca="1" si="141">O1674/Q$1672</f>
        <v>0</v>
      </c>
    </row>
    <row r="1675" spans="1:17" ht="15.75" customHeight="1" x14ac:dyDescent="0.2">
      <c r="A1675" s="306" t="s">
        <v>412</v>
      </c>
      <c r="B1675" s="769" t="s">
        <v>267</v>
      </c>
      <c r="C1675" s="436">
        <f t="shared" ca="1" si="134"/>
        <v>68.099633102073042</v>
      </c>
      <c r="D1675" s="172" t="s">
        <v>435</v>
      </c>
      <c r="E1675" s="436">
        <f t="shared" ca="1" si="135"/>
        <v>141.98605811252844</v>
      </c>
      <c r="F1675" s="344" t="s">
        <v>267</v>
      </c>
      <c r="G1675" s="363">
        <f t="shared" ca="1" si="136"/>
        <v>100.87170216600914</v>
      </c>
      <c r="H1675" s="172" t="s">
        <v>435</v>
      </c>
      <c r="I1675" s="367">
        <f t="shared" ca="1" si="137"/>
        <v>1.0539510514644532</v>
      </c>
      <c r="J1675" s="769" t="s">
        <v>267</v>
      </c>
      <c r="K1675" s="363">
        <f t="shared" ca="1" si="138"/>
        <v>50.64955922136226</v>
      </c>
      <c r="L1675" s="344" t="s">
        <v>435</v>
      </c>
      <c r="M1675" s="367">
        <f t="shared" ca="1" si="139"/>
        <v>90.25904595467712</v>
      </c>
      <c r="N1675" s="769" t="s">
        <v>267</v>
      </c>
      <c r="O1675" s="446">
        <f t="shared" ca="1" si="140"/>
        <v>50.222142944646883</v>
      </c>
      <c r="P1675" s="172" t="s">
        <v>435</v>
      </c>
      <c r="Q1675" s="446">
        <f t="shared" ca="1" si="141"/>
        <v>0.52783743675711969</v>
      </c>
    </row>
    <row r="1676" spans="1:17" ht="15.75" customHeight="1" x14ac:dyDescent="0.2">
      <c r="A1676" s="306" t="s">
        <v>411</v>
      </c>
      <c r="B1676" s="769" t="s">
        <v>267</v>
      </c>
      <c r="C1676" s="436">
        <f t="shared" ca="1" si="134"/>
        <v>0</v>
      </c>
      <c r="D1676" s="172" t="s">
        <v>435</v>
      </c>
      <c r="E1676" s="436">
        <f t="shared" ca="1" si="135"/>
        <v>0</v>
      </c>
      <c r="F1676" s="344" t="s">
        <v>267</v>
      </c>
      <c r="G1676" s="363">
        <f t="shared" ca="1" si="136"/>
        <v>0</v>
      </c>
      <c r="H1676" s="172" t="s">
        <v>435</v>
      </c>
      <c r="I1676" s="367">
        <f t="shared" ca="1" si="137"/>
        <v>0</v>
      </c>
      <c r="J1676" s="769" t="s">
        <v>267</v>
      </c>
      <c r="K1676" s="363">
        <f t="shared" ca="1" si="138"/>
        <v>0</v>
      </c>
      <c r="L1676" s="344" t="s">
        <v>435</v>
      </c>
      <c r="M1676" s="367">
        <f t="shared" ca="1" si="139"/>
        <v>0</v>
      </c>
      <c r="N1676" s="769" t="s">
        <v>267</v>
      </c>
      <c r="O1676" s="446">
        <f t="shared" ca="1" si="140"/>
        <v>0</v>
      </c>
      <c r="P1676" s="172" t="s">
        <v>435</v>
      </c>
      <c r="Q1676" s="446">
        <f t="shared" ca="1" si="141"/>
        <v>0</v>
      </c>
    </row>
    <row r="1677" spans="1:17" ht="15.75" customHeight="1" x14ac:dyDescent="0.2">
      <c r="A1677" s="306" t="s">
        <v>413</v>
      </c>
      <c r="B1677" s="769" t="s">
        <v>267</v>
      </c>
      <c r="C1677" s="436">
        <f t="shared" ca="1" si="134"/>
        <v>122.17011028261281</v>
      </c>
      <c r="D1677" s="172" t="s">
        <v>435</v>
      </c>
      <c r="E1677" s="436">
        <f t="shared" ca="1" si="135"/>
        <v>254.72167158670084</v>
      </c>
      <c r="F1677" s="344" t="s">
        <v>267</v>
      </c>
      <c r="G1677" s="363">
        <f t="shared" ca="1" si="136"/>
        <v>135.7708365349547</v>
      </c>
      <c r="H1677" s="172" t="s">
        <v>435</v>
      </c>
      <c r="I1677" s="367">
        <f t="shared" ca="1" si="137"/>
        <v>1.4185922597868392</v>
      </c>
      <c r="J1677" s="769" t="s">
        <v>267</v>
      </c>
      <c r="K1677" s="363">
        <f t="shared" ca="1" si="138"/>
        <v>85.831491048566718</v>
      </c>
      <c r="L1677" s="344" t="s">
        <v>435</v>
      </c>
      <c r="M1677" s="367">
        <f t="shared" ca="1" si="139"/>
        <v>152.95431221923826</v>
      </c>
      <c r="N1677" s="769" t="s">
        <v>267</v>
      </c>
      <c r="O1677" s="446">
        <f t="shared" ca="1" si="140"/>
        <v>49.939345486387978</v>
      </c>
      <c r="P1677" s="172" t="s">
        <v>435</v>
      </c>
      <c r="Q1677" s="446">
        <f t="shared" ca="1" si="141"/>
        <v>0.52486522018616755</v>
      </c>
    </row>
    <row r="1678" spans="1:17" ht="15.75" customHeight="1" x14ac:dyDescent="0.2">
      <c r="A1678" s="306" t="s">
        <v>414</v>
      </c>
      <c r="B1678" s="769" t="s">
        <v>267</v>
      </c>
      <c r="C1678" s="436">
        <f t="shared" ca="1" si="134"/>
        <v>1.1455429475027714</v>
      </c>
      <c r="D1678" s="172" t="s">
        <v>435</v>
      </c>
      <c r="E1678" s="436">
        <f t="shared" ca="1" si="135"/>
        <v>2.388428837358513</v>
      </c>
      <c r="F1678" s="344" t="s">
        <v>267</v>
      </c>
      <c r="G1678" s="363">
        <f t="shared" ca="1" si="136"/>
        <v>0.55205008323881843</v>
      </c>
      <c r="H1678" s="172" t="s">
        <v>435</v>
      </c>
      <c r="I1678" s="367">
        <f t="shared" ca="1" si="137"/>
        <v>5.7680573758242069E-3</v>
      </c>
      <c r="J1678" s="769" t="s">
        <v>267</v>
      </c>
      <c r="K1678" s="363">
        <f t="shared" ca="1" si="138"/>
        <v>0.43873951935088767</v>
      </c>
      <c r="L1678" s="344" t="s">
        <v>435</v>
      </c>
      <c r="M1678" s="367">
        <f t="shared" ca="1" si="139"/>
        <v>0.78184708905665457</v>
      </c>
      <c r="N1678" s="769" t="s">
        <v>267</v>
      </c>
      <c r="O1678" s="446">
        <f t="shared" ca="1" si="140"/>
        <v>0.11331056388793076</v>
      </c>
      <c r="P1678" s="172" t="s">
        <v>435</v>
      </c>
      <c r="Q1678" s="446">
        <f t="shared" ca="1" si="141"/>
        <v>1.1909001506771478E-3</v>
      </c>
    </row>
    <row r="1679" spans="1:17" ht="15.75" customHeight="1" x14ac:dyDescent="0.2">
      <c r="A1679" s="307" t="s">
        <v>415</v>
      </c>
      <c r="B1679" s="770" t="s">
        <v>267</v>
      </c>
      <c r="C1679" s="675">
        <f t="shared" ca="1" si="134"/>
        <v>53.968646337887613</v>
      </c>
      <c r="D1679" s="178" t="s">
        <v>435</v>
      </c>
      <c r="E1679" s="675">
        <f t="shared" ca="1" si="135"/>
        <v>112.52329867475513</v>
      </c>
      <c r="F1679" s="347" t="s">
        <v>267</v>
      </c>
      <c r="G1679" s="365">
        <f t="shared" ca="1" si="136"/>
        <v>15.370622542996124</v>
      </c>
      <c r="H1679" s="178" t="s">
        <v>435</v>
      </c>
      <c r="I1679" s="369">
        <f t="shared" ca="1" si="137"/>
        <v>0.16059889387207038</v>
      </c>
      <c r="J1679" s="770" t="s">
        <v>267</v>
      </c>
      <c r="K1679" s="365">
        <f ca="1">K$1672*O1638</f>
        <v>15.40704934972549</v>
      </c>
      <c r="L1679" s="347" t="s">
        <v>435</v>
      </c>
      <c r="M1679" s="369">
        <f t="shared" ca="1" si="139"/>
        <v>27.455827783321215</v>
      </c>
      <c r="N1679" s="770" t="s">
        <v>267</v>
      </c>
      <c r="O1679" s="464">
        <f t="shared" ca="1" si="140"/>
        <v>-3.642680672936649E-2</v>
      </c>
      <c r="P1679" s="178" t="s">
        <v>435</v>
      </c>
      <c r="Q1679" s="464">
        <f t="shared" ca="1" si="141"/>
        <v>-3.8284770752350454E-4</v>
      </c>
    </row>
    <row r="1680" spans="1:17" ht="15.75" customHeight="1" x14ac:dyDescent="0.2">
      <c r="A1680" s="317" t="s">
        <v>400</v>
      </c>
      <c r="B1680" s="767" t="s">
        <v>267</v>
      </c>
      <c r="C1680" s="674">
        <f t="shared" ca="1" si="134"/>
        <v>0</v>
      </c>
      <c r="D1680" s="341" t="s">
        <v>435</v>
      </c>
      <c r="E1680" s="674">
        <f t="shared" ca="1" si="135"/>
        <v>0</v>
      </c>
      <c r="F1680" s="342" t="s">
        <v>267</v>
      </c>
      <c r="G1680" s="361">
        <f ca="1">C1578-C1680</f>
        <v>1.0655845587287995</v>
      </c>
      <c r="H1680" s="341" t="s">
        <v>435</v>
      </c>
      <c r="I1680" s="366">
        <f t="shared" ca="1" si="137"/>
        <v>1.1133687069622459E-2</v>
      </c>
      <c r="J1680" s="767" t="s">
        <v>267</v>
      </c>
      <c r="K1680" s="361">
        <f t="shared" ca="1" si="138"/>
        <v>0</v>
      </c>
      <c r="L1680" s="342" t="s">
        <v>435</v>
      </c>
      <c r="M1680" s="366">
        <f t="shared" ca="1" si="139"/>
        <v>0</v>
      </c>
      <c r="N1680" s="767" t="s">
        <v>267</v>
      </c>
      <c r="O1680" s="461">
        <f t="shared" ca="1" si="140"/>
        <v>1.0655845587287995</v>
      </c>
      <c r="P1680" s="341" t="s">
        <v>435</v>
      </c>
      <c r="Q1680" s="461">
        <f t="shared" ca="1" si="141"/>
        <v>1.1199351305006938E-2</v>
      </c>
    </row>
    <row r="1681" spans="1:17" ht="15.75" customHeight="1" x14ac:dyDescent="0.2">
      <c r="A1681" s="317" t="s">
        <v>401</v>
      </c>
      <c r="B1681" s="769" t="s">
        <v>267</v>
      </c>
      <c r="C1681" s="436">
        <f t="shared" ca="1" si="134"/>
        <v>1.276043956436042</v>
      </c>
      <c r="D1681" s="172" t="s">
        <v>435</v>
      </c>
      <c r="E1681" s="436">
        <f t="shared" ca="1" si="135"/>
        <v>2.6605202274893487</v>
      </c>
      <c r="F1681" s="344" t="s">
        <v>267</v>
      </c>
      <c r="G1681" s="363">
        <f t="shared" ref="G1681:G1706" ca="1" si="142">C1579-C1681</f>
        <v>2.1322766040886223</v>
      </c>
      <c r="H1681" s="172" t="s">
        <v>435</v>
      </c>
      <c r="I1681" s="367">
        <f t="shared" ca="1" si="137"/>
        <v>2.2278945637238763E-2</v>
      </c>
      <c r="J1681" s="769" t="s">
        <v>267</v>
      </c>
      <c r="K1681" s="363">
        <f t="shared" ca="1" si="138"/>
        <v>0.93961301341950354</v>
      </c>
      <c r="L1681" s="344" t="s">
        <v>435</v>
      </c>
      <c r="M1681" s="367">
        <f t="shared" ca="1" si="139"/>
        <v>1.674418799721247</v>
      </c>
      <c r="N1681" s="769" t="s">
        <v>267</v>
      </c>
      <c r="O1681" s="446">
        <f t="shared" ca="1" si="140"/>
        <v>1.1926635906691188</v>
      </c>
      <c r="P1681" s="172" t="s">
        <v>435</v>
      </c>
      <c r="Q1681" s="446">
        <f t="shared" ca="1" si="141"/>
        <v>1.2534958799073535E-2</v>
      </c>
    </row>
    <row r="1682" spans="1:17" ht="15.75" customHeight="1" x14ac:dyDescent="0.2">
      <c r="A1682" s="317" t="s">
        <v>402</v>
      </c>
      <c r="B1682" s="769" t="s">
        <v>267</v>
      </c>
      <c r="C1682" s="436">
        <f t="shared" ca="1" si="134"/>
        <v>1.4195692518555707</v>
      </c>
      <c r="D1682" s="172" t="s">
        <v>435</v>
      </c>
      <c r="E1682" s="436">
        <f t="shared" ca="1" si="135"/>
        <v>2.9597669342301915</v>
      </c>
      <c r="F1682" s="344" t="s">
        <v>267</v>
      </c>
      <c r="G1682" s="363">
        <f t="shared" ca="1" si="142"/>
        <v>0.83330242324406978</v>
      </c>
      <c r="H1682" s="172" t="s">
        <v>435</v>
      </c>
      <c r="I1682" s="367">
        <f t="shared" ca="1" si="137"/>
        <v>8.7067031318711352E-3</v>
      </c>
      <c r="J1682" s="769" t="s">
        <v>267</v>
      </c>
      <c r="K1682" s="363">
        <f t="shared" ca="1" si="138"/>
        <v>0.61855955758453618</v>
      </c>
      <c r="L1682" s="344" t="s">
        <v>435</v>
      </c>
      <c r="M1682" s="367">
        <f t="shared" ca="1" si="139"/>
        <v>1.1022918341642736</v>
      </c>
      <c r="N1682" s="769" t="s">
        <v>267</v>
      </c>
      <c r="O1682" s="446">
        <f t="shared" ca="1" si="140"/>
        <v>0.2147428656595336</v>
      </c>
      <c r="P1682" s="172" t="s">
        <v>435</v>
      </c>
      <c r="Q1682" s="446">
        <f t="shared" ca="1" si="141"/>
        <v>2.2569591245147872E-3</v>
      </c>
    </row>
    <row r="1683" spans="1:17" ht="15.75" customHeight="1" x14ac:dyDescent="0.2">
      <c r="A1683" s="317" t="s">
        <v>403</v>
      </c>
      <c r="B1683" s="769" t="s">
        <v>267</v>
      </c>
      <c r="C1683" s="436">
        <f t="shared" ca="1" si="134"/>
        <v>0</v>
      </c>
      <c r="D1683" s="172" t="s">
        <v>435</v>
      </c>
      <c r="E1683" s="436">
        <f t="shared" ca="1" si="135"/>
        <v>0</v>
      </c>
      <c r="F1683" s="344" t="s">
        <v>267</v>
      </c>
      <c r="G1683" s="363">
        <f t="shared" ca="1" si="142"/>
        <v>0</v>
      </c>
      <c r="H1683" s="172" t="s">
        <v>435</v>
      </c>
      <c r="I1683" s="367">
        <f t="shared" ca="1" si="137"/>
        <v>0</v>
      </c>
      <c r="J1683" s="769" t="s">
        <v>267</v>
      </c>
      <c r="K1683" s="363">
        <f t="shared" ca="1" si="138"/>
        <v>0</v>
      </c>
      <c r="L1683" s="344" t="s">
        <v>435</v>
      </c>
      <c r="M1683" s="367">
        <f t="shared" ca="1" si="139"/>
        <v>0</v>
      </c>
      <c r="N1683" s="769" t="s">
        <v>267</v>
      </c>
      <c r="O1683" s="446">
        <f t="shared" ca="1" si="140"/>
        <v>0</v>
      </c>
      <c r="P1683" s="172" t="s">
        <v>435</v>
      </c>
      <c r="Q1683" s="446">
        <f t="shared" ca="1" si="141"/>
        <v>0</v>
      </c>
    </row>
    <row r="1684" spans="1:17" ht="15.75" customHeight="1" x14ac:dyDescent="0.2">
      <c r="A1684" s="317" t="s">
        <v>404</v>
      </c>
      <c r="B1684" s="769" t="s">
        <v>267</v>
      </c>
      <c r="C1684" s="436">
        <f t="shared" ca="1" si="134"/>
        <v>2.8068514400511644</v>
      </c>
      <c r="D1684" s="172" t="s">
        <v>435</v>
      </c>
      <c r="E1684" s="436">
        <f t="shared" ca="1" si="135"/>
        <v>5.8522161357754348</v>
      </c>
      <c r="F1684" s="344" t="s">
        <v>267</v>
      </c>
      <c r="G1684" s="363">
        <f t="shared" ca="1" si="142"/>
        <v>0.97284991862249148</v>
      </c>
      <c r="H1684" s="172" t="s">
        <v>435</v>
      </c>
      <c r="I1684" s="367">
        <f t="shared" ca="1" si="137"/>
        <v>1.0164755552174984E-2</v>
      </c>
      <c r="J1684" s="769" t="s">
        <v>267</v>
      </c>
      <c r="K1684" s="363">
        <f t="shared" ca="1" si="138"/>
        <v>0.85317906941973543</v>
      </c>
      <c r="L1684" s="344" t="s">
        <v>435</v>
      </c>
      <c r="M1684" s="367">
        <f t="shared" ca="1" si="139"/>
        <v>1.520390898127413</v>
      </c>
      <c r="N1684" s="769" t="s">
        <v>267</v>
      </c>
      <c r="O1684" s="446">
        <f t="shared" ca="1" si="140"/>
        <v>0.11967084920275606</v>
      </c>
      <c r="P1684" s="172" t="s">
        <v>435</v>
      </c>
      <c r="Q1684" s="446">
        <f t="shared" ca="1" si="141"/>
        <v>1.2577470930969787E-3</v>
      </c>
    </row>
    <row r="1685" spans="1:17" ht="15.75" customHeight="1" x14ac:dyDescent="0.2">
      <c r="A1685" s="317" t="s">
        <v>405</v>
      </c>
      <c r="B1685" s="769" t="s">
        <v>267</v>
      </c>
      <c r="C1685" s="436">
        <f t="shared" ca="1" si="134"/>
        <v>0.46378676792396839</v>
      </c>
      <c r="D1685" s="172" t="s">
        <v>435</v>
      </c>
      <c r="E1685" s="436">
        <f t="shared" ca="1" si="135"/>
        <v>0.96698399070038044</v>
      </c>
      <c r="F1685" s="344" t="s">
        <v>267</v>
      </c>
      <c r="G1685" s="363">
        <f t="shared" ca="1" si="142"/>
        <v>0.15825743591654501</v>
      </c>
      <c r="H1685" s="172" t="s">
        <v>435</v>
      </c>
      <c r="I1685" s="367">
        <f t="shared" ca="1" si="137"/>
        <v>1.6535419488788625E-3</v>
      </c>
      <c r="J1685" s="769" t="s">
        <v>267</v>
      </c>
      <c r="K1685" s="363">
        <f t="shared" ca="1" si="138"/>
        <v>0.13884448578833533</v>
      </c>
      <c r="L1685" s="344" t="s">
        <v>435</v>
      </c>
      <c r="M1685" s="367">
        <f t="shared" ca="1" si="139"/>
        <v>0.2474250717277183</v>
      </c>
      <c r="N1685" s="769" t="s">
        <v>267</v>
      </c>
      <c r="O1685" s="446">
        <f t="shared" ca="1" si="140"/>
        <v>1.9412950128209677E-2</v>
      </c>
      <c r="P1685" s="172" t="s">
        <v>435</v>
      </c>
      <c r="Q1685" s="446">
        <f t="shared" ca="1" si="141"/>
        <v>2.0403115507957825E-4</v>
      </c>
    </row>
    <row r="1686" spans="1:17" ht="15.75" customHeight="1" x14ac:dyDescent="0.2">
      <c r="A1686" s="317" t="s">
        <v>420</v>
      </c>
      <c r="B1686" s="769" t="s">
        <v>267</v>
      </c>
      <c r="C1686" s="436">
        <f t="shared" ca="1" si="134"/>
        <v>13.099278339787148</v>
      </c>
      <c r="D1686" s="172" t="s">
        <v>435</v>
      </c>
      <c r="E1686" s="436">
        <f t="shared" ca="1" si="135"/>
        <v>27.311672777993056</v>
      </c>
      <c r="F1686" s="344" t="s">
        <v>267</v>
      </c>
      <c r="G1686" s="363">
        <f t="shared" ca="1" si="142"/>
        <v>2.6574463103252661</v>
      </c>
      <c r="H1686" s="172" t="s">
        <v>435</v>
      </c>
      <c r="I1686" s="367">
        <f t="shared" ca="1" si="137"/>
        <v>2.7766145240299526E-2</v>
      </c>
      <c r="J1686" s="769" t="s">
        <v>267</v>
      </c>
      <c r="K1686" s="363">
        <f ca="1">K$1672*O1645</f>
        <v>2.6577135803076044</v>
      </c>
      <c r="L1686" s="344" t="s">
        <v>435</v>
      </c>
      <c r="M1686" s="367">
        <f t="shared" ca="1" si="139"/>
        <v>4.7361259577986452</v>
      </c>
      <c r="N1686" s="769" t="s">
        <v>267</v>
      </c>
      <c r="O1686" s="446">
        <f t="shared" ca="1" si="140"/>
        <v>-2.672699823382807E-4</v>
      </c>
      <c r="P1686" s="172" t="s">
        <v>435</v>
      </c>
      <c r="Q1686" s="446">
        <f t="shared" ca="1" si="141"/>
        <v>-2.8090219597966352E-6</v>
      </c>
    </row>
    <row r="1687" spans="1:17" ht="15.75" customHeight="1" x14ac:dyDescent="0.2">
      <c r="A1687" s="317" t="s">
        <v>421</v>
      </c>
      <c r="B1687" s="770" t="s">
        <v>267</v>
      </c>
      <c r="C1687" s="675">
        <f t="shared" ca="1" si="134"/>
        <v>0.92135686614677381</v>
      </c>
      <c r="D1687" s="178" t="s">
        <v>435</v>
      </c>
      <c r="E1687" s="675">
        <f t="shared" ca="1" si="135"/>
        <v>1.92100637815493</v>
      </c>
      <c r="F1687" s="347" t="s">
        <v>267</v>
      </c>
      <c r="G1687" s="365">
        <f ca="1">C1585-C1687</f>
        <v>1.6499178997531061E-4</v>
      </c>
      <c r="H1687" s="178" t="s">
        <v>435</v>
      </c>
      <c r="I1687" s="369">
        <f ca="1">G1687/I$1672</f>
        <v>1.7239053846964614E-6</v>
      </c>
      <c r="J1687" s="770" t="s">
        <v>267</v>
      </c>
      <c r="K1687" s="365">
        <f ca="1">K$1672*O1646</f>
        <v>1.9434445312314249E-4</v>
      </c>
      <c r="L1687" s="347" t="s">
        <v>435</v>
      </c>
      <c r="M1687" s="369">
        <f t="shared" ca="1" si="139"/>
        <v>3.4632769159578331E-4</v>
      </c>
      <c r="N1687" s="770" t="s">
        <v>267</v>
      </c>
      <c r="O1687" s="464">
        <f ca="1">G1687-K1687</f>
        <v>-2.9352663147831881E-5</v>
      </c>
      <c r="P1687" s="178" t="s">
        <v>435</v>
      </c>
      <c r="Q1687" s="464">
        <f t="shared" ca="1" si="141"/>
        <v>-3.0849807613791152E-7</v>
      </c>
    </row>
    <row r="1688" spans="1:17" ht="15.75" customHeight="1" x14ac:dyDescent="0.2">
      <c r="A1688" s="316" t="s">
        <v>393</v>
      </c>
      <c r="B1688" s="767" t="s">
        <v>267</v>
      </c>
      <c r="C1688" s="674">
        <f t="shared" ca="1" si="134"/>
        <v>1.7152870894389791</v>
      </c>
      <c r="D1688" s="341" t="s">
        <v>435</v>
      </c>
      <c r="E1688" s="674">
        <f t="shared" ca="1" si="135"/>
        <v>3.5763313437490276</v>
      </c>
      <c r="F1688" s="342" t="s">
        <v>267</v>
      </c>
      <c r="G1688" s="361">
        <f t="shared" ca="1" si="142"/>
        <v>17.349030122124301</v>
      </c>
      <c r="H1688" s="341" t="s">
        <v>435</v>
      </c>
      <c r="I1688" s="366">
        <f t="shared" ca="1" si="137"/>
        <v>0.18127014957087645</v>
      </c>
      <c r="J1688" s="767" t="s">
        <v>267</v>
      </c>
      <c r="K1688" s="361">
        <f t="shared" ca="1" si="138"/>
        <v>1.8360010394327253</v>
      </c>
      <c r="L1688" s="342" t="s">
        <v>435</v>
      </c>
      <c r="M1688" s="366">
        <f ca="1">K1688/M$1672</f>
        <v>3.2718093649490254</v>
      </c>
      <c r="N1688" s="767" t="s">
        <v>267</v>
      </c>
      <c r="O1688" s="461">
        <f t="shared" ref="O1688:O1706" ca="1" si="143">G1688-K1688</f>
        <v>15.513029082691576</v>
      </c>
      <c r="P1688" s="341" t="s">
        <v>435</v>
      </c>
      <c r="Q1688" s="461">
        <f t="shared" ca="1" si="141"/>
        <v>0.16304277410805626</v>
      </c>
    </row>
    <row r="1689" spans="1:17" ht="15.75" customHeight="1" x14ac:dyDescent="0.2">
      <c r="A1689" s="317" t="s">
        <v>394</v>
      </c>
      <c r="B1689" s="769" t="s">
        <v>267</v>
      </c>
      <c r="C1689" s="436">
        <f t="shared" ca="1" si="134"/>
        <v>9.9031382930476131</v>
      </c>
      <c r="D1689" s="172" t="s">
        <v>435</v>
      </c>
      <c r="E1689" s="436">
        <f t="shared" ca="1" si="135"/>
        <v>20.64779948322894</v>
      </c>
      <c r="F1689" s="344" t="s">
        <v>267</v>
      </c>
      <c r="G1689" s="363">
        <f t="shared" ca="1" si="142"/>
        <v>51.27250827135277</v>
      </c>
      <c r="H1689" s="172" t="s">
        <v>435</v>
      </c>
      <c r="I1689" s="367">
        <f t="shared" ca="1" si="137"/>
        <v>0.53571728089685811</v>
      </c>
      <c r="J1689" s="769" t="s">
        <v>267</v>
      </c>
      <c r="K1689" s="363">
        <f t="shared" ca="1" si="138"/>
        <v>9.7905950578225749</v>
      </c>
      <c r="L1689" s="344" t="s">
        <v>435</v>
      </c>
      <c r="M1689" s="367">
        <f t="shared" ca="1" si="139"/>
        <v>17.447136418019056</v>
      </c>
      <c r="N1689" s="769" t="s">
        <v>267</v>
      </c>
      <c r="O1689" s="446">
        <f t="shared" ca="1" si="143"/>
        <v>41.481913213530191</v>
      </c>
      <c r="P1689" s="172" t="s">
        <v>435</v>
      </c>
      <c r="Q1689" s="446">
        <f t="shared" ca="1" si="141"/>
        <v>0.43597714989071185</v>
      </c>
    </row>
    <row r="1690" spans="1:17" ht="15.75" customHeight="1" x14ac:dyDescent="0.2">
      <c r="A1690" s="317" t="s">
        <v>396</v>
      </c>
      <c r="B1690" s="769" t="s">
        <v>267</v>
      </c>
      <c r="C1690" s="436">
        <f t="shared" ca="1" si="134"/>
        <v>9.4254954763629968</v>
      </c>
      <c r="D1690" s="172" t="s">
        <v>435</v>
      </c>
      <c r="E1690" s="436">
        <f t="shared" ca="1" si="135"/>
        <v>19.651925972058006</v>
      </c>
      <c r="F1690" s="344" t="s">
        <v>267</v>
      </c>
      <c r="G1690" s="363">
        <f t="shared" ca="1" si="142"/>
        <v>31.10010032707865</v>
      </c>
      <c r="H1690" s="172" t="s">
        <v>435</v>
      </c>
      <c r="I1690" s="367">
        <f t="shared" ca="1" si="137"/>
        <v>0.32494726208179092</v>
      </c>
      <c r="J1690" s="769" t="s">
        <v>267</v>
      </c>
      <c r="K1690" s="363">
        <f t="shared" ca="1" si="138"/>
        <v>8.5429672246698836</v>
      </c>
      <c r="L1690" s="344" t="s">
        <v>435</v>
      </c>
      <c r="M1690" s="367">
        <f t="shared" ca="1" si="139"/>
        <v>15.22382589650581</v>
      </c>
      <c r="N1690" s="769" t="s">
        <v>267</v>
      </c>
      <c r="O1690" s="446">
        <f t="shared" ca="1" si="143"/>
        <v>22.557133102408766</v>
      </c>
      <c r="P1690" s="172" t="s">
        <v>435</v>
      </c>
      <c r="Q1690" s="446">
        <f t="shared" ca="1" si="141"/>
        <v>0.23707668807536852</v>
      </c>
    </row>
    <row r="1691" spans="1:17" ht="15.75" customHeight="1" x14ac:dyDescent="0.2">
      <c r="A1691" s="317" t="s">
        <v>395</v>
      </c>
      <c r="B1691" s="769" t="s">
        <v>267</v>
      </c>
      <c r="C1691" s="436">
        <f t="shared" ca="1" si="134"/>
        <v>0</v>
      </c>
      <c r="D1691" s="172" t="s">
        <v>435</v>
      </c>
      <c r="E1691" s="436">
        <f t="shared" ca="1" si="135"/>
        <v>0</v>
      </c>
      <c r="F1691" s="344" t="s">
        <v>267</v>
      </c>
      <c r="G1691" s="363">
        <f t="shared" ca="1" si="142"/>
        <v>0</v>
      </c>
      <c r="H1691" s="172" t="s">
        <v>435</v>
      </c>
      <c r="I1691" s="367">
        <f t="shared" ca="1" si="137"/>
        <v>0</v>
      </c>
      <c r="J1691" s="769" t="s">
        <v>267</v>
      </c>
      <c r="K1691" s="363">
        <f t="shared" ca="1" si="138"/>
        <v>0</v>
      </c>
      <c r="L1691" s="344" t="s">
        <v>435</v>
      </c>
      <c r="M1691" s="367">
        <f t="shared" ca="1" si="139"/>
        <v>0</v>
      </c>
      <c r="N1691" s="769" t="s">
        <v>267</v>
      </c>
      <c r="O1691" s="446">
        <f t="shared" ca="1" si="143"/>
        <v>0</v>
      </c>
      <c r="P1691" s="172" t="s">
        <v>435</v>
      </c>
      <c r="Q1691" s="446">
        <f t="shared" ca="1" si="141"/>
        <v>0</v>
      </c>
    </row>
    <row r="1692" spans="1:17" ht="15.75" customHeight="1" x14ac:dyDescent="0.2">
      <c r="A1692" s="317" t="s">
        <v>397</v>
      </c>
      <c r="B1692" s="769" t="s">
        <v>267</v>
      </c>
      <c r="C1692" s="436">
        <f t="shared" ca="1" si="134"/>
        <v>20.057298485364253</v>
      </c>
      <c r="D1692" s="172" t="s">
        <v>435</v>
      </c>
      <c r="E1692" s="436">
        <f t="shared" ca="1" si="135"/>
        <v>41.818973445197095</v>
      </c>
      <c r="F1692" s="344" t="s">
        <v>267</v>
      </c>
      <c r="G1692" s="363">
        <f t="shared" ca="1" si="142"/>
        <v>48.041776974477628</v>
      </c>
      <c r="H1692" s="172" t="s">
        <v>435</v>
      </c>
      <c r="I1692" s="367">
        <f t="shared" ca="1" si="137"/>
        <v>0.50196120685205958</v>
      </c>
      <c r="J1692" s="769" t="s">
        <v>267</v>
      </c>
      <c r="K1692" s="363">
        <f t="shared" ca="1" si="138"/>
        <v>16.839828454840266</v>
      </c>
      <c r="L1692" s="344" t="s">
        <v>435</v>
      </c>
      <c r="M1692" s="367">
        <f t="shared" ca="1" si="139"/>
        <v>30.009083469639457</v>
      </c>
      <c r="N1692" s="769" t="s">
        <v>267</v>
      </c>
      <c r="O1692" s="446">
        <f t="shared" ca="1" si="143"/>
        <v>31.201948519637362</v>
      </c>
      <c r="P1692" s="172" t="s">
        <v>435</v>
      </c>
      <c r="Q1692" s="446">
        <f t="shared" ca="1" si="141"/>
        <v>0.3279341653458549</v>
      </c>
    </row>
    <row r="1693" spans="1:17" ht="15.75" customHeight="1" x14ac:dyDescent="0.2">
      <c r="A1693" s="317" t="s">
        <v>398</v>
      </c>
      <c r="B1693" s="769" t="s">
        <v>267</v>
      </c>
      <c r="C1693" s="436">
        <f t="shared" ca="1" si="134"/>
        <v>3.4184183991166988</v>
      </c>
      <c r="D1693" s="172" t="s">
        <v>435</v>
      </c>
      <c r="E1693" s="436">
        <f t="shared" ca="1" si="135"/>
        <v>7.1273181860233077</v>
      </c>
      <c r="F1693" s="344" t="s">
        <v>267</v>
      </c>
      <c r="G1693" s="363">
        <f t="shared" ca="1" si="142"/>
        <v>7.7889842914380027</v>
      </c>
      <c r="H1693" s="172" t="s">
        <v>435</v>
      </c>
      <c r="I1693" s="367">
        <f t="shared" ca="1" si="137"/>
        <v>8.1382667363845279E-2</v>
      </c>
      <c r="J1693" s="769" t="s">
        <v>267</v>
      </c>
      <c r="K1693" s="363">
        <f t="shared" ca="1" si="138"/>
        <v>2.7994778907932201</v>
      </c>
      <c r="L1693" s="344" t="s">
        <v>435</v>
      </c>
      <c r="M1693" s="367">
        <f t="shared" ca="1" si="139"/>
        <v>4.988754245419706</v>
      </c>
      <c r="N1693" s="769" t="s">
        <v>267</v>
      </c>
      <c r="O1693" s="446">
        <f t="shared" ca="1" si="143"/>
        <v>4.9895064006447827</v>
      </c>
      <c r="P1693" s="172" t="s">
        <v>435</v>
      </c>
      <c r="Q1693" s="446">
        <f t="shared" ca="1" si="141"/>
        <v>5.2439981943866891E-2</v>
      </c>
    </row>
    <row r="1694" spans="1:17" ht="15.75" customHeight="1" x14ac:dyDescent="0.2">
      <c r="A1694" s="317" t="s">
        <v>578</v>
      </c>
      <c r="B1694" s="769" t="s">
        <v>267</v>
      </c>
      <c r="C1694" s="436">
        <f t="shared" ca="1" si="134"/>
        <v>87.583463206976148</v>
      </c>
      <c r="D1694" s="172" t="s">
        <v>435</v>
      </c>
      <c r="E1694" s="436">
        <f t="shared" ca="1" si="135"/>
        <v>182.60936410571725</v>
      </c>
      <c r="F1694" s="344" t="s">
        <v>267</v>
      </c>
      <c r="G1694" s="363">
        <f t="shared" ca="1" si="142"/>
        <v>196.64874210428667</v>
      </c>
      <c r="H1694" s="172" t="s">
        <v>435</v>
      </c>
      <c r="I1694" s="367">
        <f t="shared" ca="1" si="137"/>
        <v>2.0546708745816629</v>
      </c>
      <c r="J1694" s="769" t="s">
        <v>267</v>
      </c>
      <c r="K1694" s="363">
        <f t="shared" ca="1" si="138"/>
        <v>75.390771853534361</v>
      </c>
      <c r="L1694" s="344" t="s">
        <v>435</v>
      </c>
      <c r="M1694" s="367">
        <f t="shared" ca="1" si="139"/>
        <v>134.34863493178725</v>
      </c>
      <c r="N1694" s="769" t="s">
        <v>267</v>
      </c>
      <c r="O1694" s="446">
        <f t="shared" ca="1" si="143"/>
        <v>121.25797025075231</v>
      </c>
      <c r="P1694" s="172" t="s">
        <v>435</v>
      </c>
      <c r="Q1694" s="446">
        <f t="shared" ca="1" si="141"/>
        <v>1.2744278210922169</v>
      </c>
    </row>
    <row r="1695" spans="1:17" ht="15.75" customHeight="1" x14ac:dyDescent="0.2">
      <c r="A1695" s="318" t="s">
        <v>407</v>
      </c>
      <c r="B1695" s="770" t="s">
        <v>267</v>
      </c>
      <c r="C1695" s="675">
        <f t="shared" ca="1" si="134"/>
        <v>7.267717681635478</v>
      </c>
      <c r="D1695" s="178" t="s">
        <v>435</v>
      </c>
      <c r="E1695" s="675">
        <f t="shared" ca="1" si="135"/>
        <v>15.15301240380299</v>
      </c>
      <c r="F1695" s="347" t="s">
        <v>267</v>
      </c>
      <c r="G1695" s="365">
        <f t="shared" ca="1" si="142"/>
        <v>9.3711218466040584</v>
      </c>
      <c r="H1695" s="178" t="s">
        <v>435</v>
      </c>
      <c r="I1695" s="369">
        <f t="shared" ca="1" si="137"/>
        <v>9.7913522936049172E-2</v>
      </c>
      <c r="J1695" s="770" t="s">
        <v>267</v>
      </c>
      <c r="K1695" s="365">
        <f t="shared" ca="1" si="138"/>
        <v>4.8445831181378445</v>
      </c>
      <c r="L1695" s="347" t="s">
        <v>435</v>
      </c>
      <c r="M1695" s="369">
        <f t="shared" ca="1" si="139"/>
        <v>8.6331935956282155</v>
      </c>
      <c r="N1695" s="770" t="s">
        <v>267</v>
      </c>
      <c r="O1695" s="464">
        <f t="shared" ca="1" si="143"/>
        <v>4.526538728466214</v>
      </c>
      <c r="P1695" s="178" t="s">
        <v>435</v>
      </c>
      <c r="Q1695" s="464">
        <f t="shared" ca="1" si="141"/>
        <v>4.757416668677035E-2</v>
      </c>
    </row>
    <row r="1696" spans="1:17" ht="15.75" customHeight="1" x14ac:dyDescent="0.2">
      <c r="A1696" s="316" t="s">
        <v>1686</v>
      </c>
      <c r="B1696" s="769" t="s">
        <v>267</v>
      </c>
      <c r="C1696" s="436">
        <f t="shared" ca="1" si="134"/>
        <v>0</v>
      </c>
      <c r="D1696" s="172" t="s">
        <v>435</v>
      </c>
      <c r="E1696" s="436">
        <f t="shared" ca="1" si="135"/>
        <v>0</v>
      </c>
      <c r="F1696" s="344" t="s">
        <v>267</v>
      </c>
      <c r="G1696" s="363">
        <f ca="1">C1594-C1696</f>
        <v>10.613262240701108</v>
      </c>
      <c r="H1696" s="172" t="s">
        <v>435</v>
      </c>
      <c r="I1696" s="367">
        <f t="shared" ca="1" si="137"/>
        <v>0.11089194152435175</v>
      </c>
      <c r="J1696" s="767" t="s">
        <v>267</v>
      </c>
      <c r="K1696" s="361">
        <f t="shared" ca="1" si="138"/>
        <v>0</v>
      </c>
      <c r="L1696" s="342" t="s">
        <v>435</v>
      </c>
      <c r="M1696" s="366">
        <f ca="1">K1696/M$1672</f>
        <v>0</v>
      </c>
      <c r="N1696" s="767" t="s">
        <v>267</v>
      </c>
      <c r="O1696" s="461">
        <f t="shared" ca="1" si="143"/>
        <v>10.613262240701108</v>
      </c>
      <c r="P1696" s="341" t="s">
        <v>435</v>
      </c>
      <c r="Q1696" s="461">
        <f t="shared" ca="1" si="141"/>
        <v>0.11154595977589435</v>
      </c>
    </row>
    <row r="1697" spans="1:17" ht="15.75" customHeight="1" x14ac:dyDescent="0.2">
      <c r="A1697" s="317" t="s">
        <v>1687</v>
      </c>
      <c r="B1697" s="769" t="s">
        <v>267</v>
      </c>
      <c r="C1697" s="436">
        <f t="shared" ca="1" si="134"/>
        <v>0</v>
      </c>
      <c r="D1697" s="172" t="s">
        <v>435</v>
      </c>
      <c r="E1697" s="436">
        <f t="shared" ca="1" si="135"/>
        <v>0</v>
      </c>
      <c r="F1697" s="344" t="s">
        <v>267</v>
      </c>
      <c r="G1697" s="363">
        <f t="shared" ca="1" si="142"/>
        <v>5.4704807775660536E-12</v>
      </c>
      <c r="H1697" s="172" t="s">
        <v>435</v>
      </c>
      <c r="I1697" s="367">
        <f t="shared" ca="1" si="137"/>
        <v>5.7157942651181615E-14</v>
      </c>
      <c r="J1697" s="769" t="s">
        <v>267</v>
      </c>
      <c r="K1697" s="363">
        <f t="shared" ca="1" si="138"/>
        <v>0</v>
      </c>
      <c r="L1697" s="344" t="s">
        <v>435</v>
      </c>
      <c r="M1697" s="367">
        <f t="shared" ca="1" si="139"/>
        <v>0</v>
      </c>
      <c r="N1697" s="769" t="s">
        <v>267</v>
      </c>
      <c r="O1697" s="446">
        <f t="shared" ca="1" si="143"/>
        <v>5.4704807775660536E-12</v>
      </c>
      <c r="P1697" s="172" t="s">
        <v>435</v>
      </c>
      <c r="Q1697" s="446">
        <f t="shared" ca="1" si="141"/>
        <v>5.7495048641036503E-14</v>
      </c>
    </row>
    <row r="1698" spans="1:17" ht="15.75" customHeight="1" x14ac:dyDescent="0.2">
      <c r="A1698" s="317" t="s">
        <v>1164</v>
      </c>
      <c r="B1698" s="769" t="s">
        <v>267</v>
      </c>
      <c r="C1698" s="436">
        <f t="shared" ca="1" si="134"/>
        <v>0</v>
      </c>
      <c r="D1698" s="172" t="s">
        <v>435</v>
      </c>
      <c r="E1698" s="436">
        <f t="shared" ca="1" si="135"/>
        <v>0</v>
      </c>
      <c r="F1698" s="344" t="s">
        <v>267</v>
      </c>
      <c r="G1698" s="363">
        <f t="shared" ca="1" si="142"/>
        <v>0</v>
      </c>
      <c r="H1698" s="172" t="s">
        <v>435</v>
      </c>
      <c r="I1698" s="367">
        <f t="shared" ca="1" si="137"/>
        <v>0</v>
      </c>
      <c r="J1698" s="769" t="s">
        <v>267</v>
      </c>
      <c r="K1698" s="363">
        <f t="shared" ca="1" si="138"/>
        <v>0</v>
      </c>
      <c r="L1698" s="344" t="s">
        <v>435</v>
      </c>
      <c r="M1698" s="367">
        <f t="shared" ca="1" si="139"/>
        <v>0</v>
      </c>
      <c r="N1698" s="769" t="s">
        <v>267</v>
      </c>
      <c r="O1698" s="446">
        <f t="shared" ca="1" si="143"/>
        <v>0</v>
      </c>
      <c r="P1698" s="172" t="s">
        <v>435</v>
      </c>
      <c r="Q1698" s="446">
        <f t="shared" ca="1" si="141"/>
        <v>0</v>
      </c>
    </row>
    <row r="1699" spans="1:17" ht="15.75" customHeight="1" x14ac:dyDescent="0.2">
      <c r="A1699" s="317" t="s">
        <v>1688</v>
      </c>
      <c r="B1699" s="769" t="s">
        <v>267</v>
      </c>
      <c r="C1699" s="436">
        <f t="shared" ca="1" si="134"/>
        <v>0</v>
      </c>
      <c r="D1699" s="172" t="s">
        <v>435</v>
      </c>
      <c r="E1699" s="436">
        <f t="shared" ca="1" si="135"/>
        <v>0</v>
      </c>
      <c r="F1699" s="344" t="s">
        <v>267</v>
      </c>
      <c r="G1699" s="363">
        <f t="shared" ca="1" si="142"/>
        <v>0</v>
      </c>
      <c r="H1699" s="172" t="s">
        <v>435</v>
      </c>
      <c r="I1699" s="367">
        <f t="shared" ca="1" si="137"/>
        <v>0</v>
      </c>
      <c r="J1699" s="769" t="s">
        <v>267</v>
      </c>
      <c r="K1699" s="363">
        <f t="shared" ca="1" si="138"/>
        <v>0</v>
      </c>
      <c r="L1699" s="344" t="s">
        <v>435</v>
      </c>
      <c r="M1699" s="367">
        <f t="shared" ca="1" si="139"/>
        <v>0</v>
      </c>
      <c r="N1699" s="769" t="s">
        <v>267</v>
      </c>
      <c r="O1699" s="446">
        <f t="shared" ca="1" si="143"/>
        <v>0</v>
      </c>
      <c r="P1699" s="172" t="s">
        <v>435</v>
      </c>
      <c r="Q1699" s="446">
        <f t="shared" ca="1" si="141"/>
        <v>0</v>
      </c>
    </row>
    <row r="1700" spans="1:17" ht="15.75" customHeight="1" x14ac:dyDescent="0.2">
      <c r="A1700" s="317" t="s">
        <v>1689</v>
      </c>
      <c r="B1700" s="769" t="s">
        <v>267</v>
      </c>
      <c r="C1700" s="436">
        <f t="shared" ca="1" si="134"/>
        <v>0</v>
      </c>
      <c r="D1700" s="172" t="s">
        <v>435</v>
      </c>
      <c r="E1700" s="436">
        <f t="shared" ca="1" si="135"/>
        <v>0</v>
      </c>
      <c r="F1700" s="344" t="s">
        <v>267</v>
      </c>
      <c r="G1700" s="363">
        <f t="shared" ca="1" si="142"/>
        <v>0</v>
      </c>
      <c r="H1700" s="172" t="s">
        <v>435</v>
      </c>
      <c r="I1700" s="367">
        <f t="shared" ca="1" si="137"/>
        <v>0</v>
      </c>
      <c r="J1700" s="769" t="s">
        <v>267</v>
      </c>
      <c r="K1700" s="363">
        <f t="shared" ca="1" si="138"/>
        <v>0</v>
      </c>
      <c r="L1700" s="344" t="s">
        <v>435</v>
      </c>
      <c r="M1700" s="367">
        <f t="shared" ca="1" si="139"/>
        <v>0</v>
      </c>
      <c r="N1700" s="769" t="s">
        <v>267</v>
      </c>
      <c r="O1700" s="446">
        <f t="shared" ca="1" si="143"/>
        <v>0</v>
      </c>
      <c r="P1700" s="172" t="s">
        <v>435</v>
      </c>
      <c r="Q1700" s="446">
        <f t="shared" ca="1" si="141"/>
        <v>0</v>
      </c>
    </row>
    <row r="1701" spans="1:17" ht="15.75" customHeight="1" x14ac:dyDescent="0.2">
      <c r="A1701" s="317" t="s">
        <v>1690</v>
      </c>
      <c r="B1701" s="769" t="s">
        <v>267</v>
      </c>
      <c r="C1701" s="436">
        <f t="shared" ca="1" si="134"/>
        <v>0</v>
      </c>
      <c r="D1701" s="172" t="s">
        <v>435</v>
      </c>
      <c r="E1701" s="436">
        <f t="shared" ca="1" si="135"/>
        <v>0</v>
      </c>
      <c r="F1701" s="344" t="s">
        <v>267</v>
      </c>
      <c r="G1701" s="363">
        <f t="shared" ca="1" si="142"/>
        <v>5.2095574294997648E-3</v>
      </c>
      <c r="H1701" s="172" t="s">
        <v>435</v>
      </c>
      <c r="I1701" s="367">
        <f t="shared" ca="1" si="137"/>
        <v>5.4431702971062899E-5</v>
      </c>
      <c r="J1701" s="769" t="s">
        <v>267</v>
      </c>
      <c r="K1701" s="363">
        <f t="shared" ca="1" si="138"/>
        <v>0</v>
      </c>
      <c r="L1701" s="344" t="s">
        <v>435</v>
      </c>
      <c r="M1701" s="367">
        <f t="shared" ca="1" si="139"/>
        <v>0</v>
      </c>
      <c r="N1701" s="769" t="s">
        <v>267</v>
      </c>
      <c r="O1701" s="446">
        <f t="shared" ca="1" si="143"/>
        <v>5.2095574294997648E-3</v>
      </c>
      <c r="P1701" s="172" t="s">
        <v>435</v>
      </c>
      <c r="Q1701" s="446">
        <f t="shared" ca="1" si="141"/>
        <v>5.4752730150461712E-5</v>
      </c>
    </row>
    <row r="1702" spans="1:17" ht="15.75" customHeight="1" x14ac:dyDescent="0.2">
      <c r="A1702" s="317" t="s">
        <v>1691</v>
      </c>
      <c r="B1702" s="769" t="s">
        <v>267</v>
      </c>
      <c r="C1702" s="436">
        <f t="shared" ca="1" si="134"/>
        <v>0</v>
      </c>
      <c r="D1702" s="172" t="s">
        <v>435</v>
      </c>
      <c r="E1702" s="436">
        <f t="shared" ca="1" si="135"/>
        <v>0</v>
      </c>
      <c r="F1702" s="344" t="s">
        <v>267</v>
      </c>
      <c r="G1702" s="363">
        <f t="shared" ca="1" si="142"/>
        <v>37.353242206578933</v>
      </c>
      <c r="H1702" s="172" t="s">
        <v>435</v>
      </c>
      <c r="I1702" s="367">
        <f t="shared" ca="1" si="137"/>
        <v>0.39028278549755957</v>
      </c>
      <c r="J1702" s="769" t="s">
        <v>267</v>
      </c>
      <c r="K1702" s="363">
        <f t="shared" ca="1" si="138"/>
        <v>0</v>
      </c>
      <c r="L1702" s="344" t="s">
        <v>435</v>
      </c>
      <c r="M1702" s="367">
        <f t="shared" ca="1" si="139"/>
        <v>0</v>
      </c>
      <c r="N1702" s="769" t="s">
        <v>267</v>
      </c>
      <c r="O1702" s="446">
        <f t="shared" ca="1" si="143"/>
        <v>37.353242206578933</v>
      </c>
      <c r="P1702" s="172" t="s">
        <v>435</v>
      </c>
      <c r="Q1702" s="446">
        <f t="shared" ca="1" si="141"/>
        <v>0.39258459446103811</v>
      </c>
    </row>
    <row r="1703" spans="1:17" ht="15.75" customHeight="1" x14ac:dyDescent="0.2">
      <c r="A1703" s="317" t="s">
        <v>1692</v>
      </c>
      <c r="B1703" s="769" t="s">
        <v>267</v>
      </c>
      <c r="C1703" s="436">
        <f t="shared" ca="1" si="134"/>
        <v>0</v>
      </c>
      <c r="D1703" s="172" t="s">
        <v>435</v>
      </c>
      <c r="E1703" s="436">
        <f t="shared" ca="1" si="135"/>
        <v>0</v>
      </c>
      <c r="F1703" s="344" t="s">
        <v>267</v>
      </c>
      <c r="G1703" s="363">
        <f t="shared" ca="1" si="142"/>
        <v>2.2791981838841577</v>
      </c>
      <c r="H1703" s="172" t="s">
        <v>435</v>
      </c>
      <c r="I1703" s="367">
        <f t="shared" ca="1" si="137"/>
        <v>2.381404567206798E-2</v>
      </c>
      <c r="J1703" s="769" t="s">
        <v>267</v>
      </c>
      <c r="K1703" s="363">
        <f t="shared" ca="1" si="138"/>
        <v>0</v>
      </c>
      <c r="L1703" s="344" t="s">
        <v>435</v>
      </c>
      <c r="M1703" s="367">
        <f t="shared" ca="1" si="139"/>
        <v>0</v>
      </c>
      <c r="N1703" s="769" t="s">
        <v>267</v>
      </c>
      <c r="O1703" s="446">
        <f t="shared" ca="1" si="143"/>
        <v>2.2791981838841577</v>
      </c>
      <c r="P1703" s="172" t="s">
        <v>435</v>
      </c>
      <c r="Q1703" s="446">
        <f t="shared" ca="1" si="141"/>
        <v>2.3954496098839356E-2</v>
      </c>
    </row>
    <row r="1704" spans="1:17" ht="15.75" customHeight="1" x14ac:dyDescent="0.2">
      <c r="A1704" s="317" t="s">
        <v>1693</v>
      </c>
      <c r="B1704" s="769" t="s">
        <v>267</v>
      </c>
      <c r="C1704" s="436">
        <f t="shared" ca="1" si="134"/>
        <v>1.3034910967925721E-7</v>
      </c>
      <c r="D1704" s="172" t="s">
        <v>435</v>
      </c>
      <c r="E1704" s="436">
        <f t="shared" ca="1" si="135"/>
        <v>2.717746839266298E-7</v>
      </c>
      <c r="F1704" s="344" t="s">
        <v>267</v>
      </c>
      <c r="G1704" s="363">
        <f t="shared" ca="1" si="142"/>
        <v>3.4083190445938365E-7</v>
      </c>
      <c r="H1704" s="172" t="s">
        <v>435</v>
      </c>
      <c r="I1704" s="367">
        <f t="shared" ca="1" si="137"/>
        <v>3.561158742879292E-9</v>
      </c>
      <c r="J1704" s="769" t="s">
        <v>267</v>
      </c>
      <c r="K1704" s="363">
        <f t="shared" ca="1" si="138"/>
        <v>1.1087083881051125E-7</v>
      </c>
      <c r="L1704" s="344" t="s">
        <v>435</v>
      </c>
      <c r="M1704" s="367">
        <f t="shared" ca="1" si="139"/>
        <v>1.9757518701191149E-7</v>
      </c>
      <c r="N1704" s="769" t="s">
        <v>267</v>
      </c>
      <c r="O1704" s="446">
        <f t="shared" ca="1" si="143"/>
        <v>2.299610656488724E-7</v>
      </c>
      <c r="P1704" s="172" t="s">
        <v>435</v>
      </c>
      <c r="Q1704" s="446">
        <f t="shared" ca="1" si="141"/>
        <v>2.416903228916768E-9</v>
      </c>
    </row>
    <row r="1705" spans="1:17" ht="15.75" customHeight="1" x14ac:dyDescent="0.2">
      <c r="A1705" s="317" t="s">
        <v>1678</v>
      </c>
      <c r="B1705" s="769" t="s">
        <v>267</v>
      </c>
      <c r="C1705" s="436">
        <f t="shared" ca="1" si="134"/>
        <v>0</v>
      </c>
      <c r="D1705" s="172" t="s">
        <v>435</v>
      </c>
      <c r="E1705" s="436">
        <f t="shared" ca="1" si="135"/>
        <v>0</v>
      </c>
      <c r="F1705" s="344" t="s">
        <v>267</v>
      </c>
      <c r="G1705" s="363">
        <f t="shared" ca="1" si="142"/>
        <v>28.494635703954824</v>
      </c>
      <c r="H1705" s="172" t="s">
        <v>435</v>
      </c>
      <c r="I1705" s="367">
        <f t="shared" ca="1" si="137"/>
        <v>0.29772424392972763</v>
      </c>
      <c r="J1705" s="769" t="s">
        <v>267</v>
      </c>
      <c r="K1705" s="363">
        <f t="shared" ca="1" si="138"/>
        <v>0</v>
      </c>
      <c r="L1705" s="344" t="s">
        <v>435</v>
      </c>
      <c r="M1705" s="367">
        <f t="shared" ca="1" si="139"/>
        <v>0</v>
      </c>
      <c r="N1705" s="769" t="s">
        <v>267</v>
      </c>
      <c r="O1705" s="446">
        <f t="shared" ca="1" si="143"/>
        <v>28.494635703954824</v>
      </c>
      <c r="P1705" s="172" t="s">
        <v>435</v>
      </c>
      <c r="Q1705" s="446">
        <f t="shared" ca="1" si="141"/>
        <v>0.29948016132805366</v>
      </c>
    </row>
    <row r="1706" spans="1:17" ht="15.75" customHeight="1" x14ac:dyDescent="0.2">
      <c r="A1706" s="318" t="s">
        <v>482</v>
      </c>
      <c r="B1706" s="770" t="s">
        <v>267</v>
      </c>
      <c r="C1706" s="675">
        <f t="shared" ca="1" si="134"/>
        <v>0</v>
      </c>
      <c r="D1706" s="178" t="s">
        <v>435</v>
      </c>
      <c r="E1706" s="675">
        <f t="shared" ca="1" si="135"/>
        <v>0</v>
      </c>
      <c r="F1706" s="344" t="s">
        <v>267</v>
      </c>
      <c r="G1706" s="363">
        <f t="shared" ca="1" si="142"/>
        <v>1.4783141189703839E-2</v>
      </c>
      <c r="H1706" s="178" t="s">
        <v>435</v>
      </c>
      <c r="I1706" s="367">
        <f t="shared" ca="1" si="137"/>
        <v>1.544606353047751E-4</v>
      </c>
      <c r="J1706" s="770" t="s">
        <v>267</v>
      </c>
      <c r="K1706" s="365">
        <f t="shared" ca="1" si="138"/>
        <v>0</v>
      </c>
      <c r="L1706" s="347" t="s">
        <v>435</v>
      </c>
      <c r="M1706" s="369">
        <f t="shared" ca="1" si="139"/>
        <v>0</v>
      </c>
      <c r="N1706" s="770" t="s">
        <v>267</v>
      </c>
      <c r="O1706" s="464">
        <f t="shared" ca="1" si="143"/>
        <v>1.4783141189703839E-2</v>
      </c>
      <c r="P1706" s="178" t="s">
        <v>435</v>
      </c>
      <c r="Q1706" s="464">
        <f t="shared" ca="1" si="141"/>
        <v>1.55371612903738E-4</v>
      </c>
    </row>
    <row r="1707" spans="1:17" ht="15.75" customHeight="1" x14ac:dyDescent="0.2">
      <c r="A1707" s="377" t="s">
        <v>721</v>
      </c>
      <c r="B1707" s="775" t="s">
        <v>267</v>
      </c>
      <c r="C1707" s="460">
        <f ca="1">C1672*(1-M1666)</f>
        <v>74.880333337171749</v>
      </c>
      <c r="D1707" s="433" t="s">
        <v>435</v>
      </c>
      <c r="E1707" s="470">
        <f ca="1">C1707/E$1672</f>
        <v>156.12365113276238</v>
      </c>
      <c r="F1707" s="433" t="s">
        <v>267</v>
      </c>
      <c r="G1707" s="434">
        <f ca="1">G1672-SUM(G1673:G1706)</f>
        <v>95007.429312678636</v>
      </c>
      <c r="H1707" s="433" t="s">
        <v>435</v>
      </c>
      <c r="I1707" s="437">
        <f t="shared" ca="1" si="137"/>
        <v>992.678599358209</v>
      </c>
      <c r="J1707" s="775" t="s">
        <v>267</v>
      </c>
      <c r="K1707" s="434">
        <f ca="1">K1672*(1-O1666)</f>
        <v>283.57853858825581</v>
      </c>
      <c r="L1707" s="433" t="s">
        <v>435</v>
      </c>
      <c r="M1707" s="437">
        <f ca="1">K1707/M$1672</f>
        <v>505.34552994495232</v>
      </c>
      <c r="N1707" s="775" t="s">
        <v>267</v>
      </c>
      <c r="O1707" s="470">
        <f ca="1">O1672-SUM(O1708:O1710)</f>
        <v>94723.850774090373</v>
      </c>
      <c r="P1707" s="455" t="s">
        <v>435</v>
      </c>
      <c r="Q1707" s="437">
        <f ca="1">O1707/Q$1672</f>
        <v>995.55279127509004</v>
      </c>
    </row>
    <row r="1708" spans="1:17" ht="15.75" customHeight="1" x14ac:dyDescent="0.2">
      <c r="A1708" s="377" t="s">
        <v>1919</v>
      </c>
      <c r="B1708" s="433" t="s">
        <v>267</v>
      </c>
      <c r="C1708" s="434">
        <f ca="1">SUM(C1673:C1679)</f>
        <v>245.38393267007623</v>
      </c>
      <c r="D1708" s="433" t="s">
        <v>435</v>
      </c>
      <c r="E1708" s="470">
        <f ca="1">C1708/E$1672</f>
        <v>511.61945721134293</v>
      </c>
      <c r="F1708" s="433" t="s">
        <v>267</v>
      </c>
      <c r="G1708" s="434">
        <f ca="1">SUM(G1673:G1679)</f>
        <v>252.56521132719877</v>
      </c>
      <c r="H1708" s="433" t="s">
        <v>435</v>
      </c>
      <c r="I1708" s="437">
        <f t="shared" ca="1" si="137"/>
        <v>2.6389102624991869</v>
      </c>
      <c r="J1708" s="433" t="s">
        <v>267</v>
      </c>
      <c r="K1708" s="434">
        <f ca="1">SUM(K1673:K1679)</f>
        <v>152.32683913900536</v>
      </c>
      <c r="L1708" s="433" t="s">
        <v>435</v>
      </c>
      <c r="M1708" s="437">
        <f ca="1">K1708/M$1672</f>
        <v>271.45103304629322</v>
      </c>
      <c r="N1708" s="433" t="s">
        <v>267</v>
      </c>
      <c r="O1708" s="484">
        <f ca="1">SUM(O1673:O1679)</f>
        <v>100.23837218819342</v>
      </c>
      <c r="P1708" s="455" t="s">
        <v>435</v>
      </c>
      <c r="Q1708" s="437">
        <f ca="1">O1708/Q$1672</f>
        <v>1.0535107093864409</v>
      </c>
    </row>
    <row r="1709" spans="1:17" ht="15.75" customHeight="1" x14ac:dyDescent="0.2">
      <c r="A1709" s="377" t="s">
        <v>1918</v>
      </c>
      <c r="B1709" s="433" t="s">
        <v>267</v>
      </c>
      <c r="C1709" s="434">
        <f ca="1">SUM(C1680:C1695)</f>
        <v>159.35770525414284</v>
      </c>
      <c r="D1709" s="433" t="s">
        <v>435</v>
      </c>
      <c r="E1709" s="470">
        <f ca="1">C1709/E$1672</f>
        <v>332.25689138411997</v>
      </c>
      <c r="F1709" s="433" t="s">
        <v>267</v>
      </c>
      <c r="G1709" s="434">
        <f ca="1">SUM(G1680:G1695)</f>
        <v>369.39214618007787</v>
      </c>
      <c r="H1709" s="433" t="s">
        <v>435</v>
      </c>
      <c r="I1709" s="437">
        <f t="shared" ca="1" si="137"/>
        <v>3.8595684667686134</v>
      </c>
      <c r="J1709" s="433" t="s">
        <v>267</v>
      </c>
      <c r="K1709" s="434">
        <f ca="1">SUM(K1680:K1695)</f>
        <v>125.25232869020371</v>
      </c>
      <c r="L1709" s="433" t="s">
        <v>435</v>
      </c>
      <c r="M1709" s="437">
        <f ca="1">K1709/M$1672</f>
        <v>223.20343681117939</v>
      </c>
      <c r="N1709" s="433" t="s">
        <v>267</v>
      </c>
      <c r="O1709" s="484">
        <f ca="1">SUM(O1680:O1695)</f>
        <v>244.13981748987413</v>
      </c>
      <c r="P1709" s="455" t="s">
        <v>435</v>
      </c>
      <c r="Q1709" s="437">
        <f ca="1">O1709/Q$1672</f>
        <v>2.5659226770995813</v>
      </c>
    </row>
    <row r="1710" spans="1:17" ht="15.75" customHeight="1" x14ac:dyDescent="0.2">
      <c r="A1710" s="377" t="s">
        <v>2039</v>
      </c>
      <c r="B1710" s="433" t="s">
        <v>267</v>
      </c>
      <c r="C1710" s="434">
        <f ca="1">SUM(C1696:C1706)</f>
        <v>1.3034910967925721E-7</v>
      </c>
      <c r="D1710" s="433" t="s">
        <v>435</v>
      </c>
      <c r="E1710" s="470">
        <f ca="1">C1710/E$1672</f>
        <v>2.717746839266298E-7</v>
      </c>
      <c r="F1710" s="433" t="s">
        <v>267</v>
      </c>
      <c r="G1710" s="434">
        <f ca="1">SUM(G1696:G1706)</f>
        <v>78.7603313745756</v>
      </c>
      <c r="H1710" s="433" t="s">
        <v>435</v>
      </c>
      <c r="I1710" s="437">
        <f t="shared" ca="1" si="137"/>
        <v>0.82292191252319868</v>
      </c>
      <c r="J1710" s="433" t="s">
        <v>267</v>
      </c>
      <c r="K1710" s="434">
        <f ca="1">SUM(K1696:K1706)</f>
        <v>1.1087083881051125E-7</v>
      </c>
      <c r="L1710" s="433" t="s">
        <v>435</v>
      </c>
      <c r="M1710" s="437">
        <f ca="1">K1710/M$1672</f>
        <v>1.9757518701191149E-7</v>
      </c>
      <c r="N1710" s="433" t="s">
        <v>267</v>
      </c>
      <c r="O1710" s="484">
        <f ca="1">SUM(O1696:O1706)</f>
        <v>78.760331263704771</v>
      </c>
      <c r="P1710" s="455" t="s">
        <v>435</v>
      </c>
      <c r="Q1710" s="437">
        <f ca="1">O1710/Q$1672</f>
        <v>0.82777533842384043</v>
      </c>
    </row>
    <row r="1711" spans="1:17" ht="15.75" customHeight="1" x14ac:dyDescent="0.2">
      <c r="A1711" s="377" t="s">
        <v>2040</v>
      </c>
      <c r="B1711" s="433" t="s">
        <v>267</v>
      </c>
      <c r="C1711" s="434">
        <f ca="1">SUM(C1707:C1710)</f>
        <v>479.62197139173998</v>
      </c>
      <c r="D1711" s="433" t="s">
        <v>435</v>
      </c>
      <c r="E1711" s="470">
        <f ca="1">C1711/E$1672</f>
        <v>1000</v>
      </c>
      <c r="F1711" s="433" t="s">
        <v>267</v>
      </c>
      <c r="G1711" s="434">
        <f ca="1">SUM(G1707:G1710)</f>
        <v>95708.147001560486</v>
      </c>
      <c r="H1711" s="433" t="s">
        <v>435</v>
      </c>
      <c r="I1711" s="437">
        <f t="shared" ca="1" si="137"/>
        <v>1000</v>
      </c>
      <c r="J1711" s="433" t="s">
        <v>267</v>
      </c>
      <c r="K1711" s="434">
        <f ca="1">SUM(K1707:K1710)</f>
        <v>561.15770652833567</v>
      </c>
      <c r="L1711" s="433" t="s">
        <v>435</v>
      </c>
      <c r="M1711" s="437">
        <f ca="1">K1711/M$1672</f>
        <v>1000.0000000000001</v>
      </c>
      <c r="N1711" s="433" t="s">
        <v>267</v>
      </c>
      <c r="O1711" s="437">
        <f ca="1">SUM(O1707:O1710)</f>
        <v>95146.989295032152</v>
      </c>
      <c r="P1711" s="455" t="s">
        <v>435</v>
      </c>
      <c r="Q1711" s="437">
        <f ca="1">O1711/Q$1672</f>
        <v>1000</v>
      </c>
    </row>
    <row r="1712" spans="1:17" ht="15.75" customHeight="1" x14ac:dyDescent="0.2">
      <c r="B1712" s="623"/>
      <c r="C1712" s="453"/>
    </row>
    <row r="1713" spans="1:9" ht="15.75" customHeight="1" x14ac:dyDescent="0.2">
      <c r="A1713" s="762" t="s">
        <v>2059</v>
      </c>
      <c r="B1713" s="763"/>
      <c r="C1713" s="763"/>
      <c r="D1713" s="763"/>
      <c r="E1713" s="763"/>
      <c r="F1713" s="763"/>
      <c r="G1713" s="763"/>
      <c r="H1713" s="763"/>
      <c r="I1713" s="763"/>
    </row>
    <row r="1714" spans="1:9" ht="15.75" customHeight="1" x14ac:dyDescent="0.2">
      <c r="B1714" s="1557" t="s">
        <v>2060</v>
      </c>
      <c r="C1714" s="1562"/>
      <c r="D1714" s="1562"/>
      <c r="E1714" s="1558"/>
      <c r="F1714" s="1557" t="s">
        <v>2061</v>
      </c>
      <c r="G1714" s="1562"/>
      <c r="H1714" s="1562"/>
      <c r="I1714" s="1558"/>
    </row>
    <row r="1715" spans="1:9" ht="15.75" customHeight="1" x14ac:dyDescent="0.2">
      <c r="A1715" s="373" t="s">
        <v>580</v>
      </c>
      <c r="B1715" s="301" t="s">
        <v>372</v>
      </c>
      <c r="C1715" s="301" t="s">
        <v>42</v>
      </c>
      <c r="D1715" s="301" t="s">
        <v>372</v>
      </c>
      <c r="E1715" s="301" t="s">
        <v>42</v>
      </c>
      <c r="F1715" s="301" t="s">
        <v>372</v>
      </c>
      <c r="G1715" s="301" t="s">
        <v>42</v>
      </c>
      <c r="H1715" s="301" t="s">
        <v>372</v>
      </c>
      <c r="I1715" s="301" t="s">
        <v>42</v>
      </c>
    </row>
    <row r="1716" spans="1:9" ht="15.75" customHeight="1" x14ac:dyDescent="0.2">
      <c r="A1716" s="430" t="s">
        <v>536</v>
      </c>
      <c r="B1716" s="342" t="s">
        <v>267</v>
      </c>
      <c r="C1716" s="454">
        <f ca="1">SUM(C1672,K1672)</f>
        <v>1040.7796779200758</v>
      </c>
      <c r="D1716" s="342" t="s">
        <v>444</v>
      </c>
      <c r="E1716" s="461">
        <f ca="1">SUM(E1672,M1672)</f>
        <v>1.0407796779200755</v>
      </c>
      <c r="F1716" s="342" t="s">
        <v>267</v>
      </c>
      <c r="G1716" s="361">
        <f ca="1">O1672</f>
        <v>95146.989295032152</v>
      </c>
      <c r="H1716" s="342" t="s">
        <v>444</v>
      </c>
      <c r="I1716" s="361">
        <f ca="1">Q1672</f>
        <v>95.146989295032157</v>
      </c>
    </row>
    <row r="1717" spans="1:9" ht="15.75" customHeight="1" x14ac:dyDescent="0.2">
      <c r="A1717" s="316" t="s">
        <v>409</v>
      </c>
      <c r="B1717" s="767" t="s">
        <v>267</v>
      </c>
      <c r="C1717" s="454">
        <f ca="1">SUM(C1673,K1673)</f>
        <v>0</v>
      </c>
      <c r="D1717" s="342" t="s">
        <v>435</v>
      </c>
      <c r="E1717" s="361">
        <f ca="1">C1717/E$1716</f>
        <v>0</v>
      </c>
      <c r="F1717" s="767" t="s">
        <v>267</v>
      </c>
      <c r="G1717" s="461">
        <f ca="1">O1673</f>
        <v>0</v>
      </c>
      <c r="H1717" s="342" t="s">
        <v>435</v>
      </c>
      <c r="I1717" s="461">
        <f ca="1">Q1673</f>
        <v>0</v>
      </c>
    </row>
    <row r="1718" spans="1:9" ht="15.75" customHeight="1" x14ac:dyDescent="0.2">
      <c r="A1718" s="317" t="s">
        <v>410</v>
      </c>
      <c r="B1718" s="769" t="s">
        <v>267</v>
      </c>
      <c r="C1718" s="435">
        <f t="shared" ref="C1718:C1754" ca="1" si="144">SUM(C1674,K1674)</f>
        <v>0</v>
      </c>
      <c r="D1718" s="344" t="s">
        <v>435</v>
      </c>
      <c r="E1718" s="363">
        <f t="shared" ref="E1718:E1750" ca="1" si="145">C1718/E$1716</f>
        <v>0</v>
      </c>
      <c r="F1718" s="769" t="s">
        <v>267</v>
      </c>
      <c r="G1718" s="446">
        <f t="shared" ref="G1718:G1755" ca="1" si="146">O1674</f>
        <v>0</v>
      </c>
      <c r="H1718" s="344" t="s">
        <v>435</v>
      </c>
      <c r="I1718" s="446">
        <f t="shared" ref="I1718:I1755" ca="1" si="147">Q1674</f>
        <v>0</v>
      </c>
    </row>
    <row r="1719" spans="1:9" ht="15.75" customHeight="1" x14ac:dyDescent="0.2">
      <c r="A1719" s="306" t="s">
        <v>412</v>
      </c>
      <c r="B1719" s="769" t="s">
        <v>267</v>
      </c>
      <c r="C1719" s="435">
        <f ca="1">SUM(C1675,K1675)</f>
        <v>118.7491923234353</v>
      </c>
      <c r="D1719" s="344" t="s">
        <v>435</v>
      </c>
      <c r="E1719" s="363">
        <f t="shared" ca="1" si="145"/>
        <v>114.09637874631368</v>
      </c>
      <c r="F1719" s="769" t="s">
        <v>267</v>
      </c>
      <c r="G1719" s="446">
        <f t="shared" ca="1" si="146"/>
        <v>50.222142944646883</v>
      </c>
      <c r="H1719" s="344" t="s">
        <v>435</v>
      </c>
      <c r="I1719" s="446">
        <f t="shared" ca="1" si="147"/>
        <v>0.52783743675711969</v>
      </c>
    </row>
    <row r="1720" spans="1:9" ht="15.75" customHeight="1" x14ac:dyDescent="0.2">
      <c r="A1720" s="306" t="s">
        <v>411</v>
      </c>
      <c r="B1720" s="769" t="s">
        <v>267</v>
      </c>
      <c r="C1720" s="435">
        <f t="shared" ca="1" si="144"/>
        <v>0</v>
      </c>
      <c r="D1720" s="344" t="s">
        <v>435</v>
      </c>
      <c r="E1720" s="363">
        <f t="shared" ca="1" si="145"/>
        <v>0</v>
      </c>
      <c r="F1720" s="769" t="s">
        <v>267</v>
      </c>
      <c r="G1720" s="446">
        <f t="shared" ca="1" si="146"/>
        <v>0</v>
      </c>
      <c r="H1720" s="344" t="s">
        <v>435</v>
      </c>
      <c r="I1720" s="446">
        <f t="shared" ca="1" si="147"/>
        <v>0</v>
      </c>
    </row>
    <row r="1721" spans="1:9" ht="15.75" customHeight="1" x14ac:dyDescent="0.2">
      <c r="A1721" s="306" t="s">
        <v>413</v>
      </c>
      <c r="B1721" s="769" t="s">
        <v>267</v>
      </c>
      <c r="C1721" s="435">
        <f t="shared" ca="1" si="144"/>
        <v>208.00160133117953</v>
      </c>
      <c r="D1721" s="344" t="s">
        <v>435</v>
      </c>
      <c r="E1721" s="363">
        <f t="shared" ca="1" si="145"/>
        <v>199.85171284940535</v>
      </c>
      <c r="F1721" s="769" t="s">
        <v>267</v>
      </c>
      <c r="G1721" s="446">
        <f t="shared" ca="1" si="146"/>
        <v>49.939345486387978</v>
      </c>
      <c r="H1721" s="344" t="s">
        <v>435</v>
      </c>
      <c r="I1721" s="446">
        <f t="shared" ca="1" si="147"/>
        <v>0.52486522018616755</v>
      </c>
    </row>
    <row r="1722" spans="1:9" ht="15.75" customHeight="1" x14ac:dyDescent="0.2">
      <c r="A1722" s="306" t="s">
        <v>414</v>
      </c>
      <c r="B1722" s="769" t="s">
        <v>267</v>
      </c>
      <c r="C1722" s="435">
        <f t="shared" ca="1" si="144"/>
        <v>1.584282466853659</v>
      </c>
      <c r="D1722" s="344" t="s">
        <v>435</v>
      </c>
      <c r="E1722" s="363">
        <f t="shared" ca="1" si="145"/>
        <v>1.5222073417303221</v>
      </c>
      <c r="F1722" s="769" t="s">
        <v>267</v>
      </c>
      <c r="G1722" s="446">
        <f t="shared" ca="1" si="146"/>
        <v>0.11331056388793076</v>
      </c>
      <c r="H1722" s="344" t="s">
        <v>435</v>
      </c>
      <c r="I1722" s="446">
        <f t="shared" ca="1" si="147"/>
        <v>1.1909001506771478E-3</v>
      </c>
    </row>
    <row r="1723" spans="1:9" ht="15.75" customHeight="1" x14ac:dyDescent="0.2">
      <c r="A1723" s="307" t="s">
        <v>415</v>
      </c>
      <c r="B1723" s="770" t="s">
        <v>267</v>
      </c>
      <c r="C1723" s="452">
        <f t="shared" ca="1" si="144"/>
        <v>69.375695687613103</v>
      </c>
      <c r="D1723" s="347" t="s">
        <v>435</v>
      </c>
      <c r="E1723" s="365">
        <f t="shared" ca="1" si="145"/>
        <v>66.657427272461277</v>
      </c>
      <c r="F1723" s="770" t="s">
        <v>267</v>
      </c>
      <c r="G1723" s="464">
        <f t="shared" ca="1" si="146"/>
        <v>-3.642680672936649E-2</v>
      </c>
      <c r="H1723" s="347" t="s">
        <v>435</v>
      </c>
      <c r="I1723" s="464">
        <f t="shared" ca="1" si="147"/>
        <v>-3.8284770752350454E-4</v>
      </c>
    </row>
    <row r="1724" spans="1:9" ht="15.75" customHeight="1" x14ac:dyDescent="0.2">
      <c r="A1724" s="316" t="s">
        <v>400</v>
      </c>
      <c r="B1724" s="767" t="s">
        <v>267</v>
      </c>
      <c r="C1724" s="454">
        <f t="shared" ca="1" si="144"/>
        <v>0</v>
      </c>
      <c r="D1724" s="342" t="s">
        <v>435</v>
      </c>
      <c r="E1724" s="361">
        <f t="shared" ca="1" si="145"/>
        <v>0</v>
      </c>
      <c r="F1724" s="767" t="s">
        <v>267</v>
      </c>
      <c r="G1724" s="461">
        <f t="shared" ca="1" si="146"/>
        <v>1.0655845587287995</v>
      </c>
      <c r="H1724" s="342" t="s">
        <v>435</v>
      </c>
      <c r="I1724" s="461">
        <f t="shared" ca="1" si="147"/>
        <v>1.1199351305006938E-2</v>
      </c>
    </row>
    <row r="1725" spans="1:9" ht="15.75" customHeight="1" x14ac:dyDescent="0.2">
      <c r="A1725" s="317" t="s">
        <v>401</v>
      </c>
      <c r="B1725" s="769" t="s">
        <v>267</v>
      </c>
      <c r="C1725" s="435">
        <f t="shared" ca="1" si="144"/>
        <v>2.2156569698555453</v>
      </c>
      <c r="D1725" s="344" t="s">
        <v>435</v>
      </c>
      <c r="E1725" s="363">
        <f t="shared" ca="1" si="145"/>
        <v>2.128843420812538</v>
      </c>
      <c r="F1725" s="769" t="s">
        <v>267</v>
      </c>
      <c r="G1725" s="446">
        <f t="shared" ca="1" si="146"/>
        <v>1.1926635906691188</v>
      </c>
      <c r="H1725" s="344" t="s">
        <v>435</v>
      </c>
      <c r="I1725" s="446">
        <f t="shared" ca="1" si="147"/>
        <v>1.2534958799073535E-2</v>
      </c>
    </row>
    <row r="1726" spans="1:9" ht="15.75" customHeight="1" x14ac:dyDescent="0.2">
      <c r="A1726" s="317" t="s">
        <v>402</v>
      </c>
      <c r="B1726" s="769" t="s">
        <v>267</v>
      </c>
      <c r="C1726" s="435">
        <f t="shared" ca="1" si="144"/>
        <v>2.0381288094401069</v>
      </c>
      <c r="D1726" s="344" t="s">
        <v>435</v>
      </c>
      <c r="E1726" s="363">
        <f t="shared" ca="1" si="145"/>
        <v>1.9582711429504109</v>
      </c>
      <c r="F1726" s="769" t="s">
        <v>267</v>
      </c>
      <c r="G1726" s="446">
        <f t="shared" ca="1" si="146"/>
        <v>0.2147428656595336</v>
      </c>
      <c r="H1726" s="344" t="s">
        <v>435</v>
      </c>
      <c r="I1726" s="446">
        <f t="shared" ca="1" si="147"/>
        <v>2.2569591245147872E-3</v>
      </c>
    </row>
    <row r="1727" spans="1:9" ht="15.75" customHeight="1" x14ac:dyDescent="0.2">
      <c r="A1727" s="317" t="s">
        <v>403</v>
      </c>
      <c r="B1727" s="769" t="s">
        <v>267</v>
      </c>
      <c r="C1727" s="435">
        <f t="shared" ca="1" si="144"/>
        <v>0</v>
      </c>
      <c r="D1727" s="344" t="s">
        <v>435</v>
      </c>
      <c r="E1727" s="363">
        <f t="shared" ca="1" si="145"/>
        <v>0</v>
      </c>
      <c r="F1727" s="769" t="s">
        <v>267</v>
      </c>
      <c r="G1727" s="446">
        <f t="shared" ca="1" si="146"/>
        <v>0</v>
      </c>
      <c r="H1727" s="344" t="s">
        <v>435</v>
      </c>
      <c r="I1727" s="446">
        <f t="shared" ca="1" si="147"/>
        <v>0</v>
      </c>
    </row>
    <row r="1728" spans="1:9" ht="15.75" customHeight="1" x14ac:dyDescent="0.2">
      <c r="A1728" s="317" t="s">
        <v>404</v>
      </c>
      <c r="B1728" s="769" t="s">
        <v>267</v>
      </c>
      <c r="C1728" s="435">
        <f t="shared" ca="1" si="144"/>
        <v>3.6600305094709</v>
      </c>
      <c r="D1728" s="344" t="s">
        <v>435</v>
      </c>
      <c r="E1728" s="363">
        <f t="shared" ca="1" si="145"/>
        <v>3.5166237265366402</v>
      </c>
      <c r="F1728" s="769" t="s">
        <v>267</v>
      </c>
      <c r="G1728" s="446">
        <f t="shared" ca="1" si="146"/>
        <v>0.11967084920275606</v>
      </c>
      <c r="H1728" s="344" t="s">
        <v>435</v>
      </c>
      <c r="I1728" s="446">
        <f t="shared" ca="1" si="147"/>
        <v>1.2577470930969787E-3</v>
      </c>
    </row>
    <row r="1729" spans="1:9" ht="15.75" customHeight="1" x14ac:dyDescent="0.2">
      <c r="A1729" s="317" t="s">
        <v>405</v>
      </c>
      <c r="B1729" s="769" t="s">
        <v>267</v>
      </c>
      <c r="C1729" s="435">
        <f t="shared" ca="1" si="144"/>
        <v>0.60263125371230375</v>
      </c>
      <c r="D1729" s="344" t="s">
        <v>435</v>
      </c>
      <c r="E1729" s="363">
        <f t="shared" ca="1" si="145"/>
        <v>0.57901904360452117</v>
      </c>
      <c r="F1729" s="769" t="s">
        <v>267</v>
      </c>
      <c r="G1729" s="446">
        <f t="shared" ca="1" si="146"/>
        <v>1.9412950128209677E-2</v>
      </c>
      <c r="H1729" s="344" t="s">
        <v>435</v>
      </c>
      <c r="I1729" s="446">
        <f t="shared" ca="1" si="147"/>
        <v>2.0403115507957825E-4</v>
      </c>
    </row>
    <row r="1730" spans="1:9" ht="15.75" customHeight="1" x14ac:dyDescent="0.2">
      <c r="A1730" s="317" t="s">
        <v>420</v>
      </c>
      <c r="B1730" s="769" t="s">
        <v>267</v>
      </c>
      <c r="C1730" s="435">
        <f t="shared" ca="1" si="144"/>
        <v>15.756991920094752</v>
      </c>
      <c r="D1730" s="344" t="s">
        <v>435</v>
      </c>
      <c r="E1730" s="363">
        <f t="shared" ca="1" si="145"/>
        <v>15.139603755123259</v>
      </c>
      <c r="F1730" s="769" t="s">
        <v>267</v>
      </c>
      <c r="G1730" s="446">
        <f t="shared" ca="1" si="146"/>
        <v>-2.672699823382807E-4</v>
      </c>
      <c r="H1730" s="344" t="s">
        <v>435</v>
      </c>
      <c r="I1730" s="446">
        <f t="shared" ca="1" si="147"/>
        <v>-2.8090219597966352E-6</v>
      </c>
    </row>
    <row r="1731" spans="1:9" ht="15.75" customHeight="1" x14ac:dyDescent="0.2">
      <c r="A1731" s="318" t="s">
        <v>421</v>
      </c>
      <c r="B1731" s="770" t="s">
        <v>267</v>
      </c>
      <c r="C1731" s="452">
        <f t="shared" ca="1" si="144"/>
        <v>0.92155121059989697</v>
      </c>
      <c r="D1731" s="347" t="s">
        <v>435</v>
      </c>
      <c r="E1731" s="365">
        <f t="shared" ca="1" si="145"/>
        <v>0.88544312514013701</v>
      </c>
      <c r="F1731" s="770" t="s">
        <v>267</v>
      </c>
      <c r="G1731" s="464">
        <f t="shared" ca="1" si="146"/>
        <v>-2.9352663147831881E-5</v>
      </c>
      <c r="H1731" s="347" t="s">
        <v>435</v>
      </c>
      <c r="I1731" s="464">
        <f t="shared" ca="1" si="147"/>
        <v>-3.0849807613791152E-7</v>
      </c>
    </row>
    <row r="1732" spans="1:9" ht="15.75" customHeight="1" x14ac:dyDescent="0.2">
      <c r="A1732" s="316" t="s">
        <v>393</v>
      </c>
      <c r="B1732" s="767" t="s">
        <v>267</v>
      </c>
      <c r="C1732" s="454">
        <f t="shared" ca="1" si="144"/>
        <v>3.5512881288717044</v>
      </c>
      <c r="D1732" s="342" t="s">
        <v>435</v>
      </c>
      <c r="E1732" s="361">
        <f t="shared" ca="1" si="145"/>
        <v>3.4121420740734507</v>
      </c>
      <c r="F1732" s="767" t="s">
        <v>267</v>
      </c>
      <c r="G1732" s="461">
        <f t="shared" ca="1" si="146"/>
        <v>15.513029082691576</v>
      </c>
      <c r="H1732" s="342" t="s">
        <v>435</v>
      </c>
      <c r="I1732" s="461">
        <f t="shared" ca="1" si="147"/>
        <v>0.16304277410805626</v>
      </c>
    </row>
    <row r="1733" spans="1:9" ht="15.75" customHeight="1" x14ac:dyDescent="0.2">
      <c r="A1733" s="317" t="s">
        <v>394</v>
      </c>
      <c r="B1733" s="769" t="s">
        <v>267</v>
      </c>
      <c r="C1733" s="435">
        <f t="shared" ca="1" si="144"/>
        <v>19.69373335087019</v>
      </c>
      <c r="D1733" s="344" t="s">
        <v>435</v>
      </c>
      <c r="E1733" s="363">
        <f t="shared" ca="1" si="145"/>
        <v>18.922096355903797</v>
      </c>
      <c r="F1733" s="769" t="s">
        <v>267</v>
      </c>
      <c r="G1733" s="446">
        <f t="shared" ca="1" si="146"/>
        <v>41.481913213530191</v>
      </c>
      <c r="H1733" s="344" t="s">
        <v>435</v>
      </c>
      <c r="I1733" s="446">
        <f t="shared" ca="1" si="147"/>
        <v>0.43597714989071185</v>
      </c>
    </row>
    <row r="1734" spans="1:9" ht="15.75" customHeight="1" x14ac:dyDescent="0.2">
      <c r="A1734" s="317" t="s">
        <v>396</v>
      </c>
      <c r="B1734" s="769" t="s">
        <v>267</v>
      </c>
      <c r="C1734" s="435">
        <f t="shared" ca="1" si="144"/>
        <v>17.96846270103288</v>
      </c>
      <c r="D1734" s="344" t="s">
        <v>435</v>
      </c>
      <c r="E1734" s="363">
        <f t="shared" ca="1" si="145"/>
        <v>17.264425009663505</v>
      </c>
      <c r="F1734" s="769" t="s">
        <v>267</v>
      </c>
      <c r="G1734" s="446">
        <f t="shared" ca="1" si="146"/>
        <v>22.557133102408766</v>
      </c>
      <c r="H1734" s="344" t="s">
        <v>435</v>
      </c>
      <c r="I1734" s="446">
        <f t="shared" ca="1" si="147"/>
        <v>0.23707668807536852</v>
      </c>
    </row>
    <row r="1735" spans="1:9" ht="15.75" customHeight="1" x14ac:dyDescent="0.2">
      <c r="A1735" s="317" t="s">
        <v>395</v>
      </c>
      <c r="B1735" s="769" t="s">
        <v>267</v>
      </c>
      <c r="C1735" s="435">
        <f t="shared" ca="1" si="144"/>
        <v>0</v>
      </c>
      <c r="D1735" s="344" t="s">
        <v>435</v>
      </c>
      <c r="E1735" s="363">
        <f t="shared" ca="1" si="145"/>
        <v>0</v>
      </c>
      <c r="F1735" s="769" t="s">
        <v>267</v>
      </c>
      <c r="G1735" s="446">
        <f t="shared" ca="1" si="146"/>
        <v>0</v>
      </c>
      <c r="H1735" s="344" t="s">
        <v>435</v>
      </c>
      <c r="I1735" s="446">
        <f t="shared" ca="1" si="147"/>
        <v>0</v>
      </c>
    </row>
    <row r="1736" spans="1:9" ht="15.75" customHeight="1" x14ac:dyDescent="0.2">
      <c r="A1736" s="317" t="s">
        <v>397</v>
      </c>
      <c r="B1736" s="769" t="s">
        <v>267</v>
      </c>
      <c r="C1736" s="435">
        <f t="shared" ca="1" si="144"/>
        <v>36.897126940204515</v>
      </c>
      <c r="D1736" s="344" t="s">
        <v>435</v>
      </c>
      <c r="E1736" s="363">
        <f t="shared" ca="1" si="145"/>
        <v>35.451429080495508</v>
      </c>
      <c r="F1736" s="769" t="s">
        <v>267</v>
      </c>
      <c r="G1736" s="446">
        <f t="shared" ca="1" si="146"/>
        <v>31.201948519637362</v>
      </c>
      <c r="H1736" s="344" t="s">
        <v>435</v>
      </c>
      <c r="I1736" s="446">
        <f t="shared" ca="1" si="147"/>
        <v>0.3279341653458549</v>
      </c>
    </row>
    <row r="1737" spans="1:9" ht="15.75" customHeight="1" x14ac:dyDescent="0.2">
      <c r="A1737" s="317" t="s">
        <v>398</v>
      </c>
      <c r="B1737" s="769" t="s">
        <v>267</v>
      </c>
      <c r="C1737" s="435">
        <f t="shared" ca="1" si="144"/>
        <v>6.2178962899099188</v>
      </c>
      <c r="D1737" s="344" t="s">
        <v>435</v>
      </c>
      <c r="E1737" s="363">
        <f t="shared" ca="1" si="145"/>
        <v>5.9742675821033941</v>
      </c>
      <c r="F1737" s="769" t="s">
        <v>267</v>
      </c>
      <c r="G1737" s="446">
        <f t="shared" ca="1" si="146"/>
        <v>4.9895064006447827</v>
      </c>
      <c r="H1737" s="344" t="s">
        <v>435</v>
      </c>
      <c r="I1737" s="446">
        <f t="shared" ca="1" si="147"/>
        <v>5.2439981943866891E-2</v>
      </c>
    </row>
    <row r="1738" spans="1:9" ht="15.75" customHeight="1" x14ac:dyDescent="0.2">
      <c r="A1738" s="317" t="s">
        <v>578</v>
      </c>
      <c r="B1738" s="769" t="s">
        <v>267</v>
      </c>
      <c r="C1738" s="435">
        <f t="shared" ca="1" si="144"/>
        <v>162.97423506051052</v>
      </c>
      <c r="D1738" s="344" t="s">
        <v>435</v>
      </c>
      <c r="E1738" s="363">
        <f t="shared" ca="1" si="145"/>
        <v>156.58860229304534</v>
      </c>
      <c r="F1738" s="769" t="s">
        <v>267</v>
      </c>
      <c r="G1738" s="446">
        <f t="shared" ca="1" si="146"/>
        <v>121.25797025075231</v>
      </c>
      <c r="H1738" s="344" t="s">
        <v>435</v>
      </c>
      <c r="I1738" s="446">
        <f t="shared" ca="1" si="147"/>
        <v>1.2744278210922169</v>
      </c>
    </row>
    <row r="1739" spans="1:9" ht="15.75" customHeight="1" x14ac:dyDescent="0.2">
      <c r="A1739" s="318" t="s">
        <v>407</v>
      </c>
      <c r="B1739" s="770" t="s">
        <v>267</v>
      </c>
      <c r="C1739" s="452">
        <f t="shared" ca="1" si="144"/>
        <v>12.112300799773323</v>
      </c>
      <c r="D1739" s="347" t="s">
        <v>435</v>
      </c>
      <c r="E1739" s="365">
        <f t="shared" ca="1" si="145"/>
        <v>11.637718392022121</v>
      </c>
      <c r="F1739" s="770" t="s">
        <v>267</v>
      </c>
      <c r="G1739" s="464">
        <f t="shared" ca="1" si="146"/>
        <v>4.526538728466214</v>
      </c>
      <c r="H1739" s="347" t="s">
        <v>435</v>
      </c>
      <c r="I1739" s="464">
        <f t="shared" ca="1" si="147"/>
        <v>4.757416668677035E-2</v>
      </c>
    </row>
    <row r="1740" spans="1:9" ht="15.75" customHeight="1" x14ac:dyDescent="0.2">
      <c r="A1740" s="316" t="s">
        <v>1686</v>
      </c>
      <c r="B1740" s="767" t="s">
        <v>267</v>
      </c>
      <c r="C1740" s="454">
        <f t="shared" ca="1" si="144"/>
        <v>0</v>
      </c>
      <c r="D1740" s="342" t="s">
        <v>435</v>
      </c>
      <c r="E1740" s="361">
        <f t="shared" ca="1" si="145"/>
        <v>0</v>
      </c>
      <c r="F1740" s="767" t="s">
        <v>267</v>
      </c>
      <c r="G1740" s="461">
        <f t="shared" ca="1" si="146"/>
        <v>10.613262240701108</v>
      </c>
      <c r="H1740" s="342" t="s">
        <v>435</v>
      </c>
      <c r="I1740" s="461">
        <f t="shared" ca="1" si="147"/>
        <v>0.11154595977589435</v>
      </c>
    </row>
    <row r="1741" spans="1:9" ht="15.75" customHeight="1" x14ac:dyDescent="0.2">
      <c r="A1741" s="317" t="s">
        <v>1687</v>
      </c>
      <c r="B1741" s="769" t="s">
        <v>267</v>
      </c>
      <c r="C1741" s="435">
        <f t="shared" ca="1" si="144"/>
        <v>0</v>
      </c>
      <c r="D1741" s="344" t="s">
        <v>435</v>
      </c>
      <c r="E1741" s="363">
        <f t="shared" ca="1" si="145"/>
        <v>0</v>
      </c>
      <c r="F1741" s="769" t="s">
        <v>267</v>
      </c>
      <c r="G1741" s="446">
        <f t="shared" ca="1" si="146"/>
        <v>5.4704807775660536E-12</v>
      </c>
      <c r="H1741" s="344" t="s">
        <v>435</v>
      </c>
      <c r="I1741" s="446">
        <f t="shared" ca="1" si="147"/>
        <v>5.7495048641036503E-14</v>
      </c>
    </row>
    <row r="1742" spans="1:9" ht="15.75" customHeight="1" x14ac:dyDescent="0.2">
      <c r="A1742" s="317" t="s">
        <v>1164</v>
      </c>
      <c r="B1742" s="769" t="s">
        <v>267</v>
      </c>
      <c r="C1742" s="435">
        <f t="shared" ca="1" si="144"/>
        <v>0</v>
      </c>
      <c r="D1742" s="344" t="s">
        <v>435</v>
      </c>
      <c r="E1742" s="363">
        <f t="shared" ca="1" si="145"/>
        <v>0</v>
      </c>
      <c r="F1742" s="769" t="s">
        <v>267</v>
      </c>
      <c r="G1742" s="446">
        <f t="shared" ca="1" si="146"/>
        <v>0</v>
      </c>
      <c r="H1742" s="344" t="s">
        <v>435</v>
      </c>
      <c r="I1742" s="446">
        <f t="shared" ca="1" si="147"/>
        <v>0</v>
      </c>
    </row>
    <row r="1743" spans="1:9" ht="15.75" customHeight="1" x14ac:dyDescent="0.2">
      <c r="A1743" s="317" t="s">
        <v>1688</v>
      </c>
      <c r="B1743" s="769" t="s">
        <v>267</v>
      </c>
      <c r="C1743" s="435">
        <f t="shared" ca="1" si="144"/>
        <v>0</v>
      </c>
      <c r="D1743" s="344" t="s">
        <v>435</v>
      </c>
      <c r="E1743" s="363">
        <f t="shared" ca="1" si="145"/>
        <v>0</v>
      </c>
      <c r="F1743" s="769" t="s">
        <v>267</v>
      </c>
      <c r="G1743" s="446">
        <f t="shared" ca="1" si="146"/>
        <v>0</v>
      </c>
      <c r="H1743" s="344" t="s">
        <v>435</v>
      </c>
      <c r="I1743" s="446">
        <f t="shared" ca="1" si="147"/>
        <v>0</v>
      </c>
    </row>
    <row r="1744" spans="1:9" ht="15.75" customHeight="1" x14ac:dyDescent="0.2">
      <c r="A1744" s="317" t="s">
        <v>1689</v>
      </c>
      <c r="B1744" s="769" t="s">
        <v>267</v>
      </c>
      <c r="C1744" s="435">
        <f t="shared" ca="1" si="144"/>
        <v>0</v>
      </c>
      <c r="D1744" s="344" t="s">
        <v>435</v>
      </c>
      <c r="E1744" s="363">
        <f t="shared" ca="1" si="145"/>
        <v>0</v>
      </c>
      <c r="F1744" s="769" t="s">
        <v>267</v>
      </c>
      <c r="G1744" s="446">
        <f t="shared" ca="1" si="146"/>
        <v>0</v>
      </c>
      <c r="H1744" s="344" t="s">
        <v>435</v>
      </c>
      <c r="I1744" s="446">
        <f t="shared" ca="1" si="147"/>
        <v>0</v>
      </c>
    </row>
    <row r="1745" spans="1:17" ht="15.75" customHeight="1" x14ac:dyDescent="0.2">
      <c r="A1745" s="317" t="s">
        <v>1690</v>
      </c>
      <c r="B1745" s="769" t="s">
        <v>267</v>
      </c>
      <c r="C1745" s="435">
        <f t="shared" ca="1" si="144"/>
        <v>0</v>
      </c>
      <c r="D1745" s="344" t="s">
        <v>435</v>
      </c>
      <c r="E1745" s="363">
        <f t="shared" ca="1" si="145"/>
        <v>0</v>
      </c>
      <c r="F1745" s="769" t="s">
        <v>267</v>
      </c>
      <c r="G1745" s="446">
        <f t="shared" ca="1" si="146"/>
        <v>5.2095574294997648E-3</v>
      </c>
      <c r="H1745" s="344" t="s">
        <v>435</v>
      </c>
      <c r="I1745" s="446">
        <f t="shared" ca="1" si="147"/>
        <v>5.4752730150461712E-5</v>
      </c>
    </row>
    <row r="1746" spans="1:17" ht="15.75" customHeight="1" x14ac:dyDescent="0.2">
      <c r="A1746" s="317" t="s">
        <v>1691</v>
      </c>
      <c r="B1746" s="769" t="s">
        <v>267</v>
      </c>
      <c r="C1746" s="435">
        <f t="shared" ca="1" si="144"/>
        <v>0</v>
      </c>
      <c r="D1746" s="344" t="s">
        <v>435</v>
      </c>
      <c r="E1746" s="363">
        <f t="shared" ca="1" si="145"/>
        <v>0</v>
      </c>
      <c r="F1746" s="769" t="s">
        <v>267</v>
      </c>
      <c r="G1746" s="446">
        <f t="shared" ca="1" si="146"/>
        <v>37.353242206578933</v>
      </c>
      <c r="H1746" s="344" t="s">
        <v>435</v>
      </c>
      <c r="I1746" s="446">
        <f t="shared" ca="1" si="147"/>
        <v>0.39258459446103811</v>
      </c>
    </row>
    <row r="1747" spans="1:17" ht="15.75" customHeight="1" x14ac:dyDescent="0.2">
      <c r="A1747" s="317" t="s">
        <v>1692</v>
      </c>
      <c r="B1747" s="769" t="s">
        <v>267</v>
      </c>
      <c r="C1747" s="435">
        <f t="shared" ca="1" si="144"/>
        <v>0</v>
      </c>
      <c r="D1747" s="344" t="s">
        <v>435</v>
      </c>
      <c r="E1747" s="363">
        <f t="shared" ca="1" si="145"/>
        <v>0</v>
      </c>
      <c r="F1747" s="769" t="s">
        <v>267</v>
      </c>
      <c r="G1747" s="446">
        <f t="shared" ca="1" si="146"/>
        <v>2.2791981838841577</v>
      </c>
      <c r="H1747" s="344" t="s">
        <v>435</v>
      </c>
      <c r="I1747" s="446">
        <f t="shared" ca="1" si="147"/>
        <v>2.3954496098839356E-2</v>
      </c>
    </row>
    <row r="1748" spans="1:17" ht="15.75" customHeight="1" x14ac:dyDescent="0.2">
      <c r="A1748" s="317" t="s">
        <v>1693</v>
      </c>
      <c r="B1748" s="769" t="s">
        <v>267</v>
      </c>
      <c r="C1748" s="435">
        <f t="shared" ca="1" si="144"/>
        <v>2.4121994848976849E-7</v>
      </c>
      <c r="D1748" s="344" t="s">
        <v>435</v>
      </c>
      <c r="E1748" s="363">
        <f t="shared" ca="1" si="145"/>
        <v>2.3176850356247296E-7</v>
      </c>
      <c r="F1748" s="769" t="s">
        <v>267</v>
      </c>
      <c r="G1748" s="446">
        <f t="shared" ca="1" si="146"/>
        <v>2.299610656488724E-7</v>
      </c>
      <c r="H1748" s="344" t="s">
        <v>435</v>
      </c>
      <c r="I1748" s="446">
        <f t="shared" ca="1" si="147"/>
        <v>2.416903228916768E-9</v>
      </c>
    </row>
    <row r="1749" spans="1:17" ht="15.75" customHeight="1" x14ac:dyDescent="0.2">
      <c r="A1749" s="317" t="s">
        <v>1678</v>
      </c>
      <c r="B1749" s="769" t="s">
        <v>267</v>
      </c>
      <c r="C1749" s="435">
        <f t="shared" ca="1" si="144"/>
        <v>0</v>
      </c>
      <c r="D1749" s="344" t="s">
        <v>435</v>
      </c>
      <c r="E1749" s="363">
        <f t="shared" ca="1" si="145"/>
        <v>0</v>
      </c>
      <c r="F1749" s="769" t="s">
        <v>267</v>
      </c>
      <c r="G1749" s="446">
        <f t="shared" ca="1" si="146"/>
        <v>28.494635703954824</v>
      </c>
      <c r="H1749" s="344" t="s">
        <v>435</v>
      </c>
      <c r="I1749" s="446">
        <f t="shared" ca="1" si="147"/>
        <v>0.29948016132805366</v>
      </c>
    </row>
    <row r="1750" spans="1:17" ht="15.75" customHeight="1" x14ac:dyDescent="0.2">
      <c r="A1750" s="318" t="s">
        <v>482</v>
      </c>
      <c r="B1750" s="770" t="s">
        <v>267</v>
      </c>
      <c r="C1750" s="452">
        <f t="shared" ca="1" si="144"/>
        <v>0</v>
      </c>
      <c r="D1750" s="347" t="s">
        <v>435</v>
      </c>
      <c r="E1750" s="365">
        <f t="shared" ca="1" si="145"/>
        <v>0</v>
      </c>
      <c r="F1750" s="770" t="s">
        <v>267</v>
      </c>
      <c r="G1750" s="464">
        <f t="shared" ca="1" si="146"/>
        <v>1.4783141189703839E-2</v>
      </c>
      <c r="H1750" s="347" t="s">
        <v>435</v>
      </c>
      <c r="I1750" s="464">
        <f t="shared" ca="1" si="147"/>
        <v>1.55371612903738E-4</v>
      </c>
    </row>
    <row r="1751" spans="1:17" ht="15.75" customHeight="1" x14ac:dyDescent="0.2">
      <c r="A1751" s="377" t="s">
        <v>721</v>
      </c>
      <c r="B1751" s="775" t="s">
        <v>267</v>
      </c>
      <c r="C1751" s="460">
        <f t="shared" ca="1" si="144"/>
        <v>358.45887192542756</v>
      </c>
      <c r="D1751" s="433" t="s">
        <v>435</v>
      </c>
      <c r="E1751" s="434">
        <f ca="1">C1751/E$1716</f>
        <v>344.41378855684638</v>
      </c>
      <c r="F1751" s="775" t="s">
        <v>267</v>
      </c>
      <c r="G1751" s="484">
        <f t="shared" ca="1" si="146"/>
        <v>94723.850774090373</v>
      </c>
      <c r="H1751" s="433" t="s">
        <v>435</v>
      </c>
      <c r="I1751" s="484">
        <f t="shared" ca="1" si="147"/>
        <v>995.55279127509004</v>
      </c>
    </row>
    <row r="1752" spans="1:17" ht="15.75" customHeight="1" x14ac:dyDescent="0.2">
      <c r="A1752" s="377" t="s">
        <v>1919</v>
      </c>
      <c r="B1752" s="433" t="s">
        <v>267</v>
      </c>
      <c r="C1752" s="460">
        <f t="shared" ca="1" si="144"/>
        <v>397.71077180908162</v>
      </c>
      <c r="D1752" s="433" t="s">
        <v>435</v>
      </c>
      <c r="E1752" s="434">
        <f ca="1">C1752/E$1716</f>
        <v>382.12772620991063</v>
      </c>
      <c r="F1752" s="433" t="s">
        <v>267</v>
      </c>
      <c r="G1752" s="484">
        <f t="shared" ca="1" si="146"/>
        <v>100.23837218819342</v>
      </c>
      <c r="H1752" s="433" t="s">
        <v>435</v>
      </c>
      <c r="I1752" s="484">
        <f t="shared" ca="1" si="147"/>
        <v>1.0535107093864409</v>
      </c>
    </row>
    <row r="1753" spans="1:17" ht="15.75" customHeight="1" x14ac:dyDescent="0.2">
      <c r="A1753" s="377" t="s">
        <v>1918</v>
      </c>
      <c r="B1753" s="433" t="s">
        <v>267</v>
      </c>
      <c r="C1753" s="460">
        <f t="shared" ca="1" si="144"/>
        <v>284.61003394434658</v>
      </c>
      <c r="D1753" s="433" t="s">
        <v>435</v>
      </c>
      <c r="E1753" s="434">
        <f ca="1">C1753/E$1716</f>
        <v>273.45848500147463</v>
      </c>
      <c r="F1753" s="433" t="s">
        <v>267</v>
      </c>
      <c r="G1753" s="484">
        <f t="shared" ca="1" si="146"/>
        <v>244.13981748987413</v>
      </c>
      <c r="H1753" s="433" t="s">
        <v>435</v>
      </c>
      <c r="I1753" s="484">
        <f t="shared" ca="1" si="147"/>
        <v>2.5659226770995813</v>
      </c>
    </row>
    <row r="1754" spans="1:17" ht="15.75" customHeight="1" x14ac:dyDescent="0.2">
      <c r="A1754" s="377" t="s">
        <v>2039</v>
      </c>
      <c r="B1754" s="433" t="s">
        <v>267</v>
      </c>
      <c r="C1754" s="460">
        <f t="shared" ca="1" si="144"/>
        <v>2.4121994848976849E-7</v>
      </c>
      <c r="D1754" s="433" t="s">
        <v>435</v>
      </c>
      <c r="E1754" s="434">
        <f ca="1">C1754/E$1716</f>
        <v>2.3176850356247296E-7</v>
      </c>
      <c r="F1754" s="433" t="s">
        <v>267</v>
      </c>
      <c r="G1754" s="484">
        <f t="shared" ca="1" si="146"/>
        <v>78.760331263704771</v>
      </c>
      <c r="H1754" s="433" t="s">
        <v>435</v>
      </c>
      <c r="I1754" s="484">
        <f t="shared" ca="1" si="147"/>
        <v>0.82777533842384043</v>
      </c>
    </row>
    <row r="1755" spans="1:17" ht="15.75" customHeight="1" x14ac:dyDescent="0.2">
      <c r="A1755" s="377" t="s">
        <v>2040</v>
      </c>
      <c r="B1755" s="433" t="s">
        <v>267</v>
      </c>
      <c r="C1755" s="460">
        <f ca="1">SUM(C1711,K1711)</f>
        <v>1040.7796779200758</v>
      </c>
      <c r="D1755" s="433" t="s">
        <v>435</v>
      </c>
      <c r="E1755" s="434">
        <f ca="1">C1755/E$1716</f>
        <v>1000.0000000000002</v>
      </c>
      <c r="F1755" s="433" t="s">
        <v>267</v>
      </c>
      <c r="G1755" s="460">
        <f t="shared" ca="1" si="146"/>
        <v>95146.989295032152</v>
      </c>
      <c r="H1755" s="433" t="s">
        <v>435</v>
      </c>
      <c r="I1755" s="484">
        <f t="shared" ca="1" si="147"/>
        <v>1000</v>
      </c>
    </row>
    <row r="1756" spans="1:17" ht="15.75" customHeight="1" x14ac:dyDescent="0.2">
      <c r="A1756" s="39"/>
      <c r="B1756" s="623"/>
      <c r="C1756" s="453"/>
      <c r="I1756" s="472"/>
    </row>
    <row r="1757" spans="1:17" ht="15.75" customHeight="1" x14ac:dyDescent="0.2">
      <c r="A1757" s="39"/>
      <c r="B1757" s="623"/>
      <c r="C1757" s="453"/>
    </row>
    <row r="1758" spans="1:17" ht="15.75" customHeight="1" thickBot="1" x14ac:dyDescent="0.25"/>
    <row r="1759" spans="1:17" ht="42" customHeight="1" thickBot="1" x14ac:dyDescent="0.25">
      <c r="A1759" s="2063" t="s">
        <v>933</v>
      </c>
      <c r="B1759" s="672"/>
      <c r="C1759" s="672"/>
      <c r="D1759" s="776"/>
      <c r="E1759" s="672"/>
      <c r="F1759" s="776"/>
      <c r="G1759" s="776"/>
      <c r="H1759" s="776"/>
      <c r="I1759" s="776"/>
      <c r="J1759" s="776"/>
      <c r="K1759" s="776"/>
      <c r="L1759" s="776"/>
      <c r="M1759" s="776"/>
      <c r="N1759" s="776"/>
      <c r="O1759" s="776"/>
      <c r="P1759" s="776"/>
      <c r="Q1759" s="777"/>
    </row>
    <row r="1760" spans="1:17" ht="15.75" customHeight="1" x14ac:dyDescent="0.2">
      <c r="A1760" s="301" t="s">
        <v>580</v>
      </c>
      <c r="B1760" s="301" t="s">
        <v>372</v>
      </c>
      <c r="C1760" s="301" t="s">
        <v>42</v>
      </c>
      <c r="D1760" s="557" t="s">
        <v>372</v>
      </c>
      <c r="E1760" s="301" t="s">
        <v>42</v>
      </c>
      <c r="F1760" s="557" t="s">
        <v>372</v>
      </c>
      <c r="G1760" s="301" t="s">
        <v>42</v>
      </c>
    </row>
    <row r="1761" spans="1:10" ht="15.75" customHeight="1" x14ac:dyDescent="0.2">
      <c r="A1761" s="76" t="s">
        <v>1723</v>
      </c>
      <c r="B1761" s="433" t="s">
        <v>267</v>
      </c>
      <c r="C1761" s="434">
        <f ca="1">SUM(I1512:I1527)+C1716</f>
        <v>1790.1650273419314</v>
      </c>
      <c r="D1761" s="342" t="s">
        <v>1251</v>
      </c>
      <c r="E1761" s="594">
        <f ca="1">SUM(E1762:E1777)</f>
        <v>14080.662312634067</v>
      </c>
      <c r="F1761" s="433" t="s">
        <v>376</v>
      </c>
      <c r="G1761" s="434">
        <f ca="1">E1761/C1761</f>
        <v>7.8655666363571424</v>
      </c>
    </row>
    <row r="1762" spans="1:10" ht="15.75" customHeight="1" x14ac:dyDescent="0.2">
      <c r="A1762" s="316" t="s">
        <v>400</v>
      </c>
      <c r="B1762" s="342" t="s">
        <v>267</v>
      </c>
      <c r="C1762" s="674">
        <f ca="1">SUM(I1512:I1513)+C1724+C1732</f>
        <v>6.1113694382250756</v>
      </c>
      <c r="D1762" s="342" t="s">
        <v>1251</v>
      </c>
      <c r="E1762" s="426">
        <f ca="1">C1762/Units!C103*Units!C$84</f>
        <v>101.77134784721193</v>
      </c>
      <c r="F1762" s="341" t="s">
        <v>376</v>
      </c>
      <c r="G1762" s="426">
        <f ca="1">E1762/C$1761</f>
        <v>5.6850260335117718E-2</v>
      </c>
    </row>
    <row r="1763" spans="1:10" ht="15.75" customHeight="1" x14ac:dyDescent="0.2">
      <c r="A1763" s="317" t="s">
        <v>401</v>
      </c>
      <c r="B1763" s="344" t="s">
        <v>267</v>
      </c>
      <c r="C1763" s="436">
        <f t="shared" ref="C1763:C1769" ca="1" si="148">SUM(I1513:I1514)+C1725+C1733</f>
        <v>24.469471630079106</v>
      </c>
      <c r="D1763" s="344" t="s">
        <v>1251</v>
      </c>
      <c r="E1763" s="438">
        <f ca="1">C1763/Units!C104*Units!C$84</f>
        <v>330.31144209070067</v>
      </c>
      <c r="F1763" s="172" t="s">
        <v>376</v>
      </c>
      <c r="G1763" s="438">
        <f ca="1">E1763/C$1761</f>
        <v>0.18451452075407423</v>
      </c>
    </row>
    <row r="1764" spans="1:10" ht="15.75" customHeight="1" x14ac:dyDescent="0.2">
      <c r="A1764" s="317" t="s">
        <v>402</v>
      </c>
      <c r="B1764" s="344" t="s">
        <v>267</v>
      </c>
      <c r="C1764" s="436">
        <f t="shared" ca="1" si="148"/>
        <v>66.402736001532517</v>
      </c>
      <c r="D1764" s="344" t="s">
        <v>1251</v>
      </c>
      <c r="E1764" s="438">
        <f ca="1">C1764/Units!C105*Units!C$84</f>
        <v>753.63450234403035</v>
      </c>
      <c r="F1764" s="172" t="s">
        <v>376</v>
      </c>
      <c r="G1764" s="438">
        <f t="shared" ref="G1764:G1776" ca="1" si="149">E1764/C$1761</f>
        <v>0.42098604923761701</v>
      </c>
    </row>
    <row r="1765" spans="1:10" ht="15.75" customHeight="1" x14ac:dyDescent="0.2">
      <c r="A1765" s="317" t="s">
        <v>403</v>
      </c>
      <c r="B1765" s="344" t="s">
        <v>267</v>
      </c>
      <c r="C1765" s="436">
        <f t="shared" ca="1" si="148"/>
        <v>46.39614449105953</v>
      </c>
      <c r="D1765" s="344" t="s">
        <v>1251</v>
      </c>
      <c r="E1765" s="438">
        <f ca="1">C1765/Units!C106*Units!C$84</f>
        <v>526.5707012945129</v>
      </c>
      <c r="F1765" s="172" t="s">
        <v>376</v>
      </c>
      <c r="G1765" s="438">
        <f ca="1">E1765/C$1761</f>
        <v>0.2941464575902113</v>
      </c>
    </row>
    <row r="1766" spans="1:10" ht="15.75" customHeight="1" x14ac:dyDescent="0.2">
      <c r="A1766" s="317" t="s">
        <v>404</v>
      </c>
      <c r="B1766" s="344" t="s">
        <v>267</v>
      </c>
      <c r="C1766" s="436">
        <f t="shared" ca="1" si="148"/>
        <v>107.47903012331568</v>
      </c>
      <c r="D1766" s="344" t="s">
        <v>1251</v>
      </c>
      <c r="E1766" s="438">
        <f ca="1">C1766/Units!C107*Units!C$84</f>
        <v>1052.3747197034729</v>
      </c>
      <c r="F1766" s="172" t="s">
        <v>376</v>
      </c>
      <c r="G1766" s="438">
        <f t="shared" ca="1" si="149"/>
        <v>0.58786464020362272</v>
      </c>
    </row>
    <row r="1767" spans="1:10" ht="15.75" customHeight="1" x14ac:dyDescent="0.2">
      <c r="A1767" s="317" t="s">
        <v>405</v>
      </c>
      <c r="B1767" s="344" t="s">
        <v>267</v>
      </c>
      <c r="C1767" s="436">
        <f t="shared" ca="1" si="148"/>
        <v>73.742400217262485</v>
      </c>
      <c r="D1767" s="344" t="s">
        <v>1251</v>
      </c>
      <c r="E1767" s="438">
        <f ca="1">C1767/Units!C108*Units!C$84</f>
        <v>722.04445527526184</v>
      </c>
      <c r="F1767" s="172" t="s">
        <v>376</v>
      </c>
      <c r="G1767" s="438">
        <f t="shared" ca="1" si="149"/>
        <v>0.40333960514655243</v>
      </c>
    </row>
    <row r="1768" spans="1:10" ht="15.75" customHeight="1" x14ac:dyDescent="0.2">
      <c r="A1768" s="317" t="s">
        <v>420</v>
      </c>
      <c r="B1768" s="344" t="s">
        <v>267</v>
      </c>
      <c r="C1768" s="436">
        <f t="shared" ca="1" si="148"/>
        <v>178.73122698060527</v>
      </c>
      <c r="D1768" s="344" t="s">
        <v>1251</v>
      </c>
      <c r="E1768" s="438">
        <f ca="1">C1768/Units!C109*Units!C$84</f>
        <v>1538.664144116781</v>
      </c>
      <c r="F1768" s="172" t="s">
        <v>376</v>
      </c>
      <c r="G1768" s="438">
        <f t="shared" ca="1" si="149"/>
        <v>0.85950966565435405</v>
      </c>
    </row>
    <row r="1769" spans="1:10" ht="15.75" customHeight="1" x14ac:dyDescent="0.2">
      <c r="A1769" s="318" t="s">
        <v>421</v>
      </c>
      <c r="B1769" s="347" t="s">
        <v>267</v>
      </c>
      <c r="C1769" s="675">
        <f t="shared" ca="1" si="148"/>
        <v>13.03385201037322</v>
      </c>
      <c r="D1769" s="347" t="s">
        <v>1251</v>
      </c>
      <c r="E1769" s="487">
        <f ca="1">C1769/Units!C110*Units!C$84</f>
        <v>100.12176993680458</v>
      </c>
      <c r="F1769" s="172" t="s">
        <v>376</v>
      </c>
      <c r="G1769" s="438">
        <f t="shared" ca="1" si="149"/>
        <v>5.5928793383628522E-2</v>
      </c>
      <c r="I1769" s="377" t="s">
        <v>3291</v>
      </c>
      <c r="J1769" s="377" t="s">
        <v>2066</v>
      </c>
    </row>
    <row r="1770" spans="1:10" ht="15.75" customHeight="1" x14ac:dyDescent="0.2">
      <c r="A1770" s="316" t="s">
        <v>409</v>
      </c>
      <c r="B1770" s="342" t="s">
        <v>267</v>
      </c>
      <c r="C1770" s="361">
        <f ca="1">C1717+C1790</f>
        <v>56</v>
      </c>
      <c r="D1770" s="342" t="s">
        <v>1251</v>
      </c>
      <c r="E1770" s="426">
        <f ca="1">C1770/Units!C112*Units!C$84</f>
        <v>1215.5415671803778</v>
      </c>
      <c r="F1770" s="341" t="s">
        <v>376</v>
      </c>
      <c r="G1770" s="426">
        <f ca="1">E1770/C$1761</f>
        <v>0.67901090045605206</v>
      </c>
      <c r="I1770" s="1080">
        <f ca="1">SUM(G1770:G1776)</f>
        <v>3.2792089823518094</v>
      </c>
      <c r="J1770" s="1080">
        <f ca="1">SUM(G1762:G1769)</f>
        <v>2.8631399923051775</v>
      </c>
    </row>
    <row r="1771" spans="1:10" ht="15.75" customHeight="1" x14ac:dyDescent="0.2">
      <c r="A1771" s="317" t="s">
        <v>410</v>
      </c>
      <c r="B1771" s="344" t="s">
        <v>267</v>
      </c>
      <c r="C1771" s="363">
        <f ca="1">C1718+C1791</f>
        <v>0</v>
      </c>
      <c r="D1771" s="344" t="s">
        <v>1251</v>
      </c>
      <c r="E1771" s="438">
        <f ca="1">C1771/Units!C113*Units!C$84</f>
        <v>0</v>
      </c>
      <c r="F1771" s="172" t="s">
        <v>376</v>
      </c>
      <c r="G1771" s="438">
        <f t="shared" ca="1" si="149"/>
        <v>0</v>
      </c>
      <c r="I1771" s="377" t="s">
        <v>650</v>
      </c>
      <c r="J1771" s="377"/>
    </row>
    <row r="1772" spans="1:10" ht="15.75" customHeight="1" x14ac:dyDescent="0.2">
      <c r="A1772" s="306" t="s">
        <v>412</v>
      </c>
      <c r="B1772" s="344" t="s">
        <v>267</v>
      </c>
      <c r="C1772" s="363">
        <f ca="1">C1719+C1792</f>
        <v>118.7491923234353</v>
      </c>
      <c r="D1772" s="344" t="s">
        <v>1251</v>
      </c>
      <c r="E1772" s="438">
        <f ca="1">C1772/Units!C114*Units!C$84</f>
        <v>1602.1207814818576</v>
      </c>
      <c r="F1772" s="172" t="s">
        <v>376</v>
      </c>
      <c r="G1772" s="438">
        <f t="shared" ca="1" si="149"/>
        <v>0.89495703301762908</v>
      </c>
      <c r="I1772" s="640">
        <f ca="1">I1770/J1770</f>
        <v>1.145319122070467</v>
      </c>
      <c r="J1772" s="377"/>
    </row>
    <row r="1773" spans="1:10" ht="15.75" customHeight="1" x14ac:dyDescent="0.2">
      <c r="A1773" s="306" t="s">
        <v>411</v>
      </c>
      <c r="B1773" s="344" t="s">
        <v>267</v>
      </c>
      <c r="C1773" s="363">
        <f ca="1">C1720</f>
        <v>0</v>
      </c>
      <c r="D1773" s="344" t="s">
        <v>1251</v>
      </c>
      <c r="E1773" s="438">
        <f ca="1">C1773/Units!C115*Units!C$84</f>
        <v>0</v>
      </c>
      <c r="F1773" s="172" t="s">
        <v>376</v>
      </c>
      <c r="G1773" s="438">
        <f t="shared" ca="1" si="149"/>
        <v>0</v>
      </c>
    </row>
    <row r="1774" spans="1:10" ht="15.75" customHeight="1" x14ac:dyDescent="0.2">
      <c r="A1774" s="306" t="s">
        <v>413</v>
      </c>
      <c r="B1774" s="344" t="s">
        <v>267</v>
      </c>
      <c r="C1774" s="363">
        <f ca="1">C1721</f>
        <v>208.00160133117953</v>
      </c>
      <c r="D1774" s="344" t="s">
        <v>1251</v>
      </c>
      <c r="E1774" s="438">
        <f ca="1">C1774/Units!C116*Units!C$84</f>
        <v>2359.6324597978391</v>
      </c>
      <c r="F1774" s="172" t="s">
        <v>376</v>
      </c>
      <c r="G1774" s="438">
        <f t="shared" ca="1" si="149"/>
        <v>1.3181089026755612</v>
      </c>
      <c r="I1774" s="377" t="s">
        <v>3292</v>
      </c>
    </row>
    <row r="1775" spans="1:10" ht="15.75" customHeight="1" x14ac:dyDescent="0.2">
      <c r="A1775" s="306" t="s">
        <v>414</v>
      </c>
      <c r="B1775" s="344" t="s">
        <v>267</v>
      </c>
      <c r="C1775" s="363">
        <f ca="1">C1722</f>
        <v>1.584282466853659</v>
      </c>
      <c r="D1775" s="344" t="s">
        <v>1251</v>
      </c>
      <c r="E1775" s="438">
        <f ca="1">C1775/Units!C117*Units!C$84</f>
        <v>17.972574779962095</v>
      </c>
      <c r="F1775" s="172" t="s">
        <v>376</v>
      </c>
      <c r="G1775" s="438">
        <f t="shared" ca="1" si="149"/>
        <v>1.0039618976719756E-2</v>
      </c>
      <c r="I1775" s="640">
        <f ca="1">G1770/SUM(G1771:G1776)</f>
        <v>0.26113814373749461</v>
      </c>
    </row>
    <row r="1776" spans="1:10" ht="15.75" customHeight="1" x14ac:dyDescent="0.2">
      <c r="A1776" s="306" t="s">
        <v>415</v>
      </c>
      <c r="B1776" s="344" t="s">
        <v>267</v>
      </c>
      <c r="C1776" s="363">
        <f ca="1">C1723</f>
        <v>69.375695687613103</v>
      </c>
      <c r="D1776" s="347" t="s">
        <v>1251</v>
      </c>
      <c r="E1776" s="487">
        <f ca="1">C1776/Units!C118*Units!C$84</f>
        <v>675.05785431169704</v>
      </c>
      <c r="F1776" s="178" t="s">
        <v>376</v>
      </c>
      <c r="G1776" s="487">
        <f t="shared" ca="1" si="149"/>
        <v>0.37709252722584735</v>
      </c>
    </row>
    <row r="1777" spans="1:7" ht="15.75" customHeight="1" x14ac:dyDescent="0.2">
      <c r="A1777" s="738" t="s">
        <v>721</v>
      </c>
      <c r="B1777" s="433" t="s">
        <v>267</v>
      </c>
      <c r="C1777" s="434">
        <f ca="1">C1751</f>
        <v>358.45887192542756</v>
      </c>
      <c r="D1777" s="347" t="s">
        <v>1251</v>
      </c>
      <c r="E1777" s="487">
        <f ca="1">C1777/Units!C119*Units!C84</f>
        <v>3084.843992473559</v>
      </c>
      <c r="F1777" s="433" t="s">
        <v>376</v>
      </c>
      <c r="G1777" s="520">
        <f ca="1">E1777/C1761</f>
        <v>1.723217661700156</v>
      </c>
    </row>
    <row r="1778" spans="1:7" ht="15.75" customHeight="1" x14ac:dyDescent="0.2">
      <c r="A1778" s="316" t="s">
        <v>2067</v>
      </c>
      <c r="B1778" s="342" t="s">
        <v>1394</v>
      </c>
      <c r="C1778" s="426">
        <v>0.08</v>
      </c>
    </row>
    <row r="1779" spans="1:7" ht="15.75" customHeight="1" x14ac:dyDescent="0.2">
      <c r="A1779" s="317" t="s">
        <v>2069</v>
      </c>
      <c r="B1779" s="344" t="s">
        <v>1394</v>
      </c>
      <c r="C1779" s="438">
        <v>0.08</v>
      </c>
      <c r="E1779" s="778"/>
    </row>
    <row r="1780" spans="1:7" ht="15.75" customHeight="1" x14ac:dyDescent="0.2">
      <c r="A1780" s="317" t="s">
        <v>2068</v>
      </c>
      <c r="B1780" s="344" t="s">
        <v>1394</v>
      </c>
      <c r="C1780" s="438">
        <v>0.06</v>
      </c>
      <c r="D1780" s="779"/>
    </row>
    <row r="1781" spans="1:7" ht="15.75" customHeight="1" x14ac:dyDescent="0.2">
      <c r="A1781" s="377" t="s">
        <v>2186</v>
      </c>
      <c r="B1781" s="344" t="s">
        <v>1394</v>
      </c>
      <c r="C1781" s="438">
        <v>0.8</v>
      </c>
    </row>
    <row r="1782" spans="1:7" ht="15.75" customHeight="1" x14ac:dyDescent="0.2">
      <c r="A1782" s="316" t="s">
        <v>2187</v>
      </c>
      <c r="B1782" s="344" t="s">
        <v>1394</v>
      </c>
      <c r="C1782" s="438">
        <v>8.5</v>
      </c>
    </row>
    <row r="1783" spans="1:7" ht="15.75" customHeight="1" x14ac:dyDescent="0.2">
      <c r="A1783" s="317" t="s">
        <v>2188</v>
      </c>
      <c r="B1783" s="344" t="s">
        <v>1394</v>
      </c>
      <c r="C1783" s="438">
        <v>8.65</v>
      </c>
    </row>
    <row r="1784" spans="1:7" ht="15.75" customHeight="1" x14ac:dyDescent="0.2">
      <c r="A1784" s="317" t="s">
        <v>2189</v>
      </c>
      <c r="B1784" s="344" t="s">
        <v>1394</v>
      </c>
      <c r="C1784" s="438">
        <v>9.0500000000000007</v>
      </c>
    </row>
    <row r="1785" spans="1:7" ht="15.75" customHeight="1" x14ac:dyDescent="0.2">
      <c r="A1785" s="317" t="s">
        <v>2193</v>
      </c>
      <c r="B1785" s="344" t="s">
        <v>1394</v>
      </c>
      <c r="C1785" s="438">
        <v>12.75</v>
      </c>
    </row>
    <row r="1786" spans="1:7" ht="15.75" customHeight="1" x14ac:dyDescent="0.2">
      <c r="A1786" s="317" t="s">
        <v>2190</v>
      </c>
      <c r="B1786" s="344" t="s">
        <v>1394</v>
      </c>
      <c r="C1786" s="438">
        <v>11.565</v>
      </c>
    </row>
    <row r="1787" spans="1:7" ht="15.75" customHeight="1" x14ac:dyDescent="0.2">
      <c r="A1787" s="317" t="s">
        <v>2621</v>
      </c>
      <c r="B1787" s="344" t="s">
        <v>1394</v>
      </c>
      <c r="C1787" s="438">
        <v>20.57</v>
      </c>
    </row>
    <row r="1788" spans="1:7" ht="15.75" customHeight="1" x14ac:dyDescent="0.2">
      <c r="A1788" s="317" t="s">
        <v>2191</v>
      </c>
      <c r="B1788" s="344" t="s">
        <v>1394</v>
      </c>
      <c r="C1788" s="438">
        <v>26</v>
      </c>
    </row>
    <row r="1789" spans="1:7" ht="15.75" customHeight="1" x14ac:dyDescent="0.2">
      <c r="A1789" s="317" t="s">
        <v>2192</v>
      </c>
      <c r="B1789" s="347" t="s">
        <v>1394</v>
      </c>
      <c r="C1789" s="487">
        <v>1</v>
      </c>
    </row>
    <row r="1790" spans="1:7" ht="15.75" customHeight="1" x14ac:dyDescent="0.2">
      <c r="A1790" s="377" t="s">
        <v>2170</v>
      </c>
      <c r="B1790" s="455" t="s">
        <v>267</v>
      </c>
      <c r="C1790" s="484">
        <v>56</v>
      </c>
    </row>
    <row r="1791" spans="1:7" ht="15.75" customHeight="1" x14ac:dyDescent="0.2">
      <c r="A1791" s="377" t="s">
        <v>2171</v>
      </c>
      <c r="B1791" s="433" t="s">
        <v>267</v>
      </c>
      <c r="C1791" s="484">
        <v>0</v>
      </c>
    </row>
    <row r="1792" spans="1:7" ht="15.75" customHeight="1" x14ac:dyDescent="0.2">
      <c r="A1792" s="377" t="s">
        <v>2172</v>
      </c>
      <c r="B1792" s="433" t="s">
        <v>267</v>
      </c>
      <c r="C1792" s="484">
        <v>0</v>
      </c>
    </row>
    <row r="1793" spans="1:40" ht="15.75" customHeight="1" x14ac:dyDescent="0.2">
      <c r="A1793" s="377" t="s">
        <v>2173</v>
      </c>
      <c r="B1793" s="455" t="s">
        <v>267</v>
      </c>
      <c r="C1793" s="459">
        <f ca="1">SUM(C1762:C1777)</f>
        <v>1328.5358746269621</v>
      </c>
      <c r="E1793" s="436"/>
    </row>
    <row r="1794" spans="1:40" ht="15.75" customHeight="1" x14ac:dyDescent="0.2">
      <c r="B1794" s="172"/>
      <c r="C1794" s="472"/>
    </row>
    <row r="1795" spans="1:40" ht="15.75" customHeight="1" x14ac:dyDescent="0.2"/>
    <row r="1796" spans="1:40" ht="15.75" customHeight="1" x14ac:dyDescent="0.2">
      <c r="A1796" s="676" t="s">
        <v>1729</v>
      </c>
      <c r="B1796" s="680"/>
      <c r="C1796" s="680"/>
      <c r="D1796" s="780"/>
      <c r="E1796" s="780"/>
      <c r="F1796" s="780"/>
      <c r="G1796" s="780"/>
      <c r="H1796" s="780"/>
      <c r="I1796" s="781"/>
    </row>
    <row r="1797" spans="1:40" ht="15.75" customHeight="1" x14ac:dyDescent="0.2">
      <c r="A1797" s="76" t="s">
        <v>1730</v>
      </c>
      <c r="B1797" s="782" t="s">
        <v>1731</v>
      </c>
      <c r="C1797" s="783" t="s">
        <v>1732</v>
      </c>
      <c r="D1797" s="782" t="s">
        <v>1733</v>
      </c>
      <c r="E1797" s="784" t="s">
        <v>1734</v>
      </c>
      <c r="F1797" s="782" t="s">
        <v>1735</v>
      </c>
      <c r="G1797" s="784" t="s">
        <v>1736</v>
      </c>
      <c r="H1797" s="782" t="s">
        <v>1737</v>
      </c>
      <c r="I1797" s="782" t="s">
        <v>1738</v>
      </c>
    </row>
    <row r="1798" spans="1:40" ht="15.75" customHeight="1" x14ac:dyDescent="0.2">
      <c r="A1798" s="316" t="s">
        <v>409</v>
      </c>
      <c r="B1798" s="707">
        <f ca="1">G1762*G1770*C1778*C1782</f>
        <v>2.6249323593690296E-2</v>
      </c>
      <c r="C1798" s="593">
        <f ca="1">G1810*H1810*C1778*C1783</f>
        <v>8.3347240748831278E-2</v>
      </c>
      <c r="D1798" s="593">
        <f ca="1">L1810*M1810*C1778*C1784</f>
        <v>0.17355401601953976</v>
      </c>
      <c r="E1798" s="593">
        <f ca="1">Q1810*R1810*C1778*C1781*C1785</f>
        <v>9.5015783258638423E-2</v>
      </c>
      <c r="F1798" s="593">
        <f ca="1">V1810*W1810*C1778*C1786</f>
        <v>0.16362704667172523</v>
      </c>
      <c r="G1798" s="593">
        <f ca="1">AA1810*AB1810*C1778*C1781*C1787</f>
        <v>7.2860912484351434E-2</v>
      </c>
      <c r="H1798" s="593">
        <f ca="1">MIN(AF1810,AG1810)</f>
        <v>6.4356577679275676E-2</v>
      </c>
      <c r="I1798" s="426">
        <f ca="1">MIN(AK1810,AL1810)</f>
        <v>0</v>
      </c>
    </row>
    <row r="1799" spans="1:40" ht="15.75" customHeight="1" x14ac:dyDescent="0.2">
      <c r="A1799" s="317" t="s">
        <v>410</v>
      </c>
      <c r="B1799" s="709">
        <f ca="1">B1815*C1815*C1778*C1781*C1782</f>
        <v>0</v>
      </c>
      <c r="C1799" s="594">
        <f ca="1">G1815*H1815*C1778*C1783</f>
        <v>0</v>
      </c>
      <c r="D1799" s="594">
        <f ca="1">L1815*M1815*C1778*C1784</f>
        <v>0</v>
      </c>
      <c r="E1799" s="594">
        <f ca="1">Q1815*R1815*C1778*C1781*C1785</f>
        <v>0</v>
      </c>
      <c r="F1799" s="594">
        <f ca="1">V1815*W1815*C1778*C1786</f>
        <v>0</v>
      </c>
      <c r="G1799" s="594">
        <f ca="1">AA1815*AB1815*C1778*C1781*C1787</f>
        <v>0</v>
      </c>
      <c r="H1799" s="594">
        <f ca="1">MIN(AF1815,AG1815)</f>
        <v>0</v>
      </c>
      <c r="I1799" s="438">
        <f ca="1">MIN(AK1815,AL1815)</f>
        <v>0</v>
      </c>
    </row>
    <row r="1800" spans="1:40" ht="15.75" customHeight="1" x14ac:dyDescent="0.2">
      <c r="A1800" s="306" t="s">
        <v>412</v>
      </c>
      <c r="B1800" s="709">
        <f ca="1">B1820*C1820*C1779*C1782</f>
        <v>1.8622836016494268E-2</v>
      </c>
      <c r="C1800" s="594">
        <f ca="1">G1820*H1820*C1779*C1783</f>
        <v>6.1350192183639018E-2</v>
      </c>
      <c r="D1800" s="594">
        <f ca="1">L1820*M1820*C1779*C1784</f>
        <v>0.14599688013099588</v>
      </c>
      <c r="E1800" s="594">
        <f ca="1">Q1820*R1820*C1779*C1781*C1785</f>
        <v>0.10870413952249761</v>
      </c>
      <c r="F1800" s="594">
        <f ca="1">V1820*W1820*C1779*C1786</f>
        <v>0.21991366104469542</v>
      </c>
      <c r="G1800" s="594">
        <f ca="1">AA1820*AB1820*C1779*C1781*C1787</f>
        <v>0.14808400169100489</v>
      </c>
      <c r="H1800" s="594">
        <f ca="1">MIN(AG1820,AF1820)</f>
        <v>0.19228532242830199</v>
      </c>
      <c r="I1800" s="438">
        <f ca="1">MIN(AK1820,AL1820)</f>
        <v>0</v>
      </c>
    </row>
    <row r="1801" spans="1:40" ht="15.75" customHeight="1" x14ac:dyDescent="0.2">
      <c r="A1801" s="306" t="s">
        <v>411</v>
      </c>
      <c r="B1801" s="709">
        <f ca="1">B1825*C1825*C1779*C1781*C1782</f>
        <v>0</v>
      </c>
      <c r="C1801" s="594">
        <f ca="1">G1825*H1825*C1781*C1779*C1783</f>
        <v>0</v>
      </c>
      <c r="D1801" s="594">
        <f ca="1">L1825*M1825*C1779*C1781*C1784</f>
        <v>0</v>
      </c>
      <c r="E1801" s="594">
        <f ca="1">Q1825*R1825*C1779*C1781*C1785</f>
        <v>0</v>
      </c>
      <c r="F1801" s="594">
        <f ca="1">V1825*W1825*C1779*C1781*C1786</f>
        <v>0</v>
      </c>
      <c r="G1801" s="594">
        <f ca="1">AA1825*AB1825*C1779*C1781*C1787</f>
        <v>0</v>
      </c>
      <c r="H1801" s="594">
        <f ca="1">MIN(AF1825,AG1825)</f>
        <v>0</v>
      </c>
      <c r="I1801" s="438">
        <f ca="1">MIN(AK1825,AL1825)</f>
        <v>0</v>
      </c>
    </row>
    <row r="1802" spans="1:40" ht="15.75" customHeight="1" x14ac:dyDescent="0.2">
      <c r="A1802" s="306" t="s">
        <v>413</v>
      </c>
      <c r="B1802" s="709">
        <f ca="1">B1830*C1830*C1779*C1782</f>
        <v>1.0736140017821711E-2</v>
      </c>
      <c r="C1802" s="594">
        <f ca="1">G1830*H1830*C1779*C1783</f>
        <v>3.6022597065570802E-2</v>
      </c>
      <c r="D1802" s="594">
        <f ca="1">L1830*M1830*C1779*C1784</f>
        <v>9.3366749440068619E-2</v>
      </c>
      <c r="E1802" s="594">
        <f ca="1">Q1830*R1830*C1779*C1781*C1785</f>
        <v>8.6921102042316095E-2</v>
      </c>
      <c r="F1802" s="594">
        <f ca="1">V1830*W1830*C1779*C1786</f>
        <v>0.20625496794045708</v>
      </c>
      <c r="G1802" s="594">
        <f ca="1">AA1830*AB1830*C1779*C1781*C1787</f>
        <v>0.21245902221324295</v>
      </c>
      <c r="H1802" s="594">
        <f ca="1">MIN(AF1830,AG1830)</f>
        <v>0.60286776554677635</v>
      </c>
      <c r="I1802" s="438">
        <f ca="1">MIN(AK1830,AL1830)</f>
        <v>5.5928793383628522E-2</v>
      </c>
    </row>
    <row r="1803" spans="1:40" ht="15.75" customHeight="1" x14ac:dyDescent="0.2">
      <c r="A1803" s="306" t="s">
        <v>414</v>
      </c>
      <c r="B1803" s="709">
        <f ca="1">B1835*C1835*C1779*C1781*C1782</f>
        <v>6.7830338822002411E-6</v>
      </c>
      <c r="C1803" s="594">
        <f ca="1">G1835*H1835*C1781*C1779*C1783</f>
        <v>2.1075276994712575E-5</v>
      </c>
      <c r="D1803" s="594">
        <f ca="1">L1835*M1835*C1779*C1781*C1784</f>
        <v>4.6787154095181586E-5</v>
      </c>
      <c r="E1803" s="594">
        <f ca="1">Q1835*R1835*C1779*C1781*C1781*C1785</f>
        <v>2.280331235924926E-5</v>
      </c>
      <c r="F1803" s="594">
        <f ca="1">V1835*W1835*C1779*C1781*C1786</f>
        <v>-1.4210097310914697E-5</v>
      </c>
      <c r="G1803" s="594">
        <f ca="1">AA1835*AB1835*C1779*C1781*C1781*C1787</f>
        <v>-3.1525158379037933E-4</v>
      </c>
      <c r="H1803" s="594">
        <f ca="1">MIN(AF1835,AG1835)</f>
        <v>0</v>
      </c>
      <c r="I1803" s="438">
        <f ca="1">MIN(AK1835,AL1835)</f>
        <v>0</v>
      </c>
    </row>
    <row r="1804" spans="1:40" ht="15.75" customHeight="1" x14ac:dyDescent="0.2">
      <c r="A1804" s="307" t="s">
        <v>415</v>
      </c>
      <c r="B1804" s="711">
        <f ca="1">B1840*C1840*C1780*C1782</f>
        <v>2.3754589788918797E-4</v>
      </c>
      <c r="C1804" s="415">
        <f ca="1">G1840*H1840*C1780*C1783</f>
        <v>7.3803378792584417E-4</v>
      </c>
      <c r="D1804" s="415">
        <f ca="1">L1840*M1840*C1780*C1784</f>
        <v>1.6382667889415438E-3</v>
      </c>
      <c r="E1804" s="415">
        <f ca="1">Q1840*R1840*C1780*C1781*C1785</f>
        <v>7.9815233598069075E-4</v>
      </c>
      <c r="F1804" s="415">
        <f ca="1">V1840*W1840*C1780*C1786</f>
        <v>-4.9702690841955E-4</v>
      </c>
      <c r="G1804" s="415">
        <f ca="1">AA1840*AB1840*C1780*C1781*C1787</f>
        <v>-1.0990736524599759E-2</v>
      </c>
      <c r="H1804" s="415">
        <f ca="1">MIN(AF1840,AG1840)</f>
        <v>0</v>
      </c>
      <c r="I1804" s="487">
        <f ca="1">MIN(AK1840,AL1840)</f>
        <v>0</v>
      </c>
    </row>
    <row r="1805" spans="1:40" ht="15.75" customHeight="1" x14ac:dyDescent="0.2"/>
    <row r="1806" spans="1:40" ht="15.75" customHeight="1" x14ac:dyDescent="0.2"/>
    <row r="1807" spans="1:40" ht="15.75" customHeight="1" x14ac:dyDescent="0.2">
      <c r="A1807" s="676" t="s">
        <v>2070</v>
      </c>
      <c r="B1807" s="680"/>
      <c r="C1807" s="680"/>
      <c r="D1807" s="780"/>
      <c r="E1807" s="780"/>
      <c r="F1807" s="780"/>
      <c r="G1807" s="780"/>
      <c r="H1807" s="780"/>
      <c r="I1807" s="680"/>
      <c r="J1807" s="680"/>
      <c r="K1807" s="680"/>
      <c r="L1807" s="680"/>
      <c r="M1807" s="680"/>
      <c r="N1807" s="680"/>
      <c r="O1807" s="680"/>
      <c r="P1807" s="680"/>
      <c r="Q1807" s="680"/>
      <c r="R1807" s="680"/>
      <c r="S1807" s="680"/>
      <c r="T1807" s="680"/>
      <c r="U1807" s="680"/>
      <c r="V1807" s="680"/>
      <c r="W1807" s="680"/>
      <c r="X1807" s="680"/>
      <c r="Y1807" s="680"/>
      <c r="Z1807" s="680"/>
      <c r="AA1807" s="680"/>
      <c r="AB1807" s="680"/>
      <c r="AC1807" s="680"/>
      <c r="AD1807" s="680"/>
      <c r="AE1807" s="680"/>
      <c r="AF1807" s="680"/>
      <c r="AG1807" s="680"/>
      <c r="AH1807" s="680"/>
      <c r="AI1807" s="680"/>
      <c r="AJ1807" s="680"/>
      <c r="AK1807" s="680"/>
      <c r="AL1807" s="680"/>
      <c r="AM1807" s="680"/>
      <c r="AN1807" s="681"/>
    </row>
    <row r="1808" spans="1:40" ht="15.75" customHeight="1" x14ac:dyDescent="0.2">
      <c r="A1808" s="785" t="s">
        <v>2073</v>
      </c>
      <c r="B1808" s="1531" t="s">
        <v>2071</v>
      </c>
      <c r="C1808" s="1533"/>
      <c r="D1808" s="1531" t="s">
        <v>722</v>
      </c>
      <c r="E1808" s="1533"/>
      <c r="F1808" s="786" t="s">
        <v>2093</v>
      </c>
      <c r="G1808" s="1531" t="s">
        <v>2071</v>
      </c>
      <c r="H1808" s="1533"/>
      <c r="I1808" s="1531" t="s">
        <v>722</v>
      </c>
      <c r="J1808" s="1533"/>
      <c r="K1808" s="787" t="s">
        <v>1159</v>
      </c>
      <c r="L1808" s="1531" t="s">
        <v>2071</v>
      </c>
      <c r="M1808" s="1533"/>
      <c r="N1808" s="1531" t="s">
        <v>722</v>
      </c>
      <c r="O1808" s="1533"/>
      <c r="P1808" s="787" t="s">
        <v>2116</v>
      </c>
      <c r="Q1808" s="1531" t="s">
        <v>2071</v>
      </c>
      <c r="R1808" s="1533"/>
      <c r="S1808" s="1531" t="s">
        <v>722</v>
      </c>
      <c r="T1808" s="1533"/>
      <c r="U1808" s="788" t="s">
        <v>2106</v>
      </c>
      <c r="V1808" s="1531" t="s">
        <v>2071</v>
      </c>
      <c r="W1808" s="1533"/>
      <c r="X1808" s="1531" t="s">
        <v>722</v>
      </c>
      <c r="Y1808" s="1533"/>
      <c r="Z1808" s="788" t="s">
        <v>2125</v>
      </c>
      <c r="AA1808" s="1531" t="s">
        <v>2071</v>
      </c>
      <c r="AB1808" s="1533"/>
      <c r="AC1808" s="1531" t="s">
        <v>722</v>
      </c>
      <c r="AD1808" s="1533"/>
      <c r="AE1808" s="789" t="s">
        <v>2132</v>
      </c>
      <c r="AF1808" s="1531" t="s">
        <v>2071</v>
      </c>
      <c r="AG1808" s="1533"/>
      <c r="AH1808" s="1531" t="s">
        <v>722</v>
      </c>
      <c r="AI1808" s="1533"/>
      <c r="AJ1808" s="790" t="s">
        <v>2140</v>
      </c>
      <c r="AK1808" s="1531" t="s">
        <v>2071</v>
      </c>
      <c r="AL1808" s="1533"/>
      <c r="AM1808" s="1531" t="s">
        <v>722</v>
      </c>
      <c r="AN1808" s="1533"/>
    </row>
    <row r="1809" spans="1:40" ht="15.75" customHeight="1" x14ac:dyDescent="0.2">
      <c r="A1809" s="377" t="s">
        <v>376</v>
      </c>
      <c r="B1809" s="368" t="s">
        <v>1731</v>
      </c>
      <c r="C1809" s="368" t="s">
        <v>2072</v>
      </c>
      <c r="D1809" s="368" t="s">
        <v>2076</v>
      </c>
      <c r="E1809" s="368" t="s">
        <v>486</v>
      </c>
      <c r="F1809" s="377" t="s">
        <v>376</v>
      </c>
      <c r="G1809" s="368" t="s">
        <v>1732</v>
      </c>
      <c r="H1809" s="368" t="s">
        <v>2072</v>
      </c>
      <c r="I1809" s="368" t="s">
        <v>2077</v>
      </c>
      <c r="J1809" s="368" t="s">
        <v>486</v>
      </c>
      <c r="K1809" s="377" t="s">
        <v>376</v>
      </c>
      <c r="L1809" s="368" t="s">
        <v>1733</v>
      </c>
      <c r="M1809" s="368" t="s">
        <v>2072</v>
      </c>
      <c r="N1809" s="368" t="s">
        <v>2080</v>
      </c>
      <c r="O1809" s="368" t="s">
        <v>486</v>
      </c>
      <c r="P1809" s="377" t="s">
        <v>376</v>
      </c>
      <c r="Q1809" s="368" t="s">
        <v>2115</v>
      </c>
      <c r="R1809" s="368" t="s">
        <v>2072</v>
      </c>
      <c r="S1809" s="368" t="s">
        <v>2083</v>
      </c>
      <c r="T1809" s="368" t="s">
        <v>486</v>
      </c>
      <c r="U1809" s="377" t="s">
        <v>376</v>
      </c>
      <c r="V1809" s="368" t="s">
        <v>1735</v>
      </c>
      <c r="W1809" s="368" t="s">
        <v>2072</v>
      </c>
      <c r="X1809" s="368" t="s">
        <v>2086</v>
      </c>
      <c r="Y1809" s="368" t="s">
        <v>486</v>
      </c>
      <c r="Z1809" s="377" t="s">
        <v>376</v>
      </c>
      <c r="AA1809" s="368" t="s">
        <v>2123</v>
      </c>
      <c r="AB1809" s="368" t="s">
        <v>2072</v>
      </c>
      <c r="AC1809" s="368" t="s">
        <v>2089</v>
      </c>
      <c r="AD1809" s="368" t="s">
        <v>486</v>
      </c>
      <c r="AE1809" s="377" t="s">
        <v>376</v>
      </c>
      <c r="AF1809" s="368" t="s">
        <v>1737</v>
      </c>
      <c r="AG1809" s="368" t="s">
        <v>2072</v>
      </c>
      <c r="AH1809" s="368" t="s">
        <v>2092</v>
      </c>
      <c r="AI1809" s="368" t="s">
        <v>486</v>
      </c>
      <c r="AJ1809" s="377" t="s">
        <v>376</v>
      </c>
      <c r="AK1809" s="368" t="s">
        <v>1738</v>
      </c>
      <c r="AL1809" s="368" t="s">
        <v>2072</v>
      </c>
      <c r="AM1809" s="368" t="s">
        <v>2101</v>
      </c>
      <c r="AN1809" s="368" t="s">
        <v>486</v>
      </c>
    </row>
    <row r="1810" spans="1:40" ht="15.75" customHeight="1" x14ac:dyDescent="0.2">
      <c r="A1810" s="316" t="s">
        <v>487</v>
      </c>
      <c r="B1810" s="76">
        <f ca="1">G1762</f>
        <v>5.6850260335117718E-2</v>
      </c>
      <c r="C1810" s="76">
        <f ca="1">G1770</f>
        <v>0.67901090045605206</v>
      </c>
      <c r="F1810" s="316" t="s">
        <v>487</v>
      </c>
      <c r="G1810" s="76">
        <f ca="1">G1763</f>
        <v>0.18451452075407423</v>
      </c>
      <c r="H1810" s="76">
        <f ca="1">C1812</f>
        <v>0.6527615768623618</v>
      </c>
      <c r="K1810" s="316" t="s">
        <v>487</v>
      </c>
      <c r="L1810" s="76">
        <f ca="1">G1764</f>
        <v>0.42098604923761701</v>
      </c>
      <c r="M1810" s="76">
        <f ca="1">H1812</f>
        <v>0.56941433611353054</v>
      </c>
      <c r="P1810" s="316" t="s">
        <v>487</v>
      </c>
      <c r="Q1810" s="76">
        <f ca="1">G1765</f>
        <v>0.2941464575902113</v>
      </c>
      <c r="R1810" s="76">
        <f ca="1">M1812</f>
        <v>0.39586032009399075</v>
      </c>
      <c r="U1810" s="316" t="s">
        <v>487</v>
      </c>
      <c r="V1810" s="76">
        <f ca="1">G1766</f>
        <v>0.58786464020362272</v>
      </c>
      <c r="W1810" s="76">
        <f ca="1">R1812</f>
        <v>0.30084453683535234</v>
      </c>
      <c r="Z1810" s="316" t="s">
        <v>487</v>
      </c>
      <c r="AA1810" s="76">
        <f ca="1">G1767</f>
        <v>0.40333960514655243</v>
      </c>
      <c r="AB1810" s="76">
        <f ca="1">W1812</f>
        <v>0.13721749016362711</v>
      </c>
      <c r="AE1810" s="316" t="s">
        <v>487</v>
      </c>
      <c r="AF1810" s="76">
        <f ca="1">G1768</f>
        <v>0.85950966565435405</v>
      </c>
      <c r="AG1810" s="76">
        <f ca="1">AB1812</f>
        <v>6.4356577679275676E-2</v>
      </c>
      <c r="AJ1810" s="316" t="s">
        <v>487</v>
      </c>
      <c r="AK1810" s="76">
        <f ca="1">G1769</f>
        <v>5.5928793383628522E-2</v>
      </c>
      <c r="AL1810" s="76">
        <f ca="1">AG1812</f>
        <v>0</v>
      </c>
      <c r="AN1810" s="367"/>
    </row>
    <row r="1811" spans="1:40" ht="15.75" customHeight="1" x14ac:dyDescent="0.2">
      <c r="A1811" s="317" t="s">
        <v>488</v>
      </c>
      <c r="B1811" s="594">
        <f ca="1">-B1798</f>
        <v>-2.6249323593690296E-2</v>
      </c>
      <c r="C1811" s="594">
        <f ca="1">-B1798</f>
        <v>-2.6249323593690296E-2</v>
      </c>
      <c r="D1811" s="594">
        <f ca="1">B1798</f>
        <v>2.6249323593690296E-2</v>
      </c>
      <c r="E1811" s="594">
        <f ca="1">B1798</f>
        <v>2.6249323593690296E-2</v>
      </c>
      <c r="F1811" s="317" t="s">
        <v>488</v>
      </c>
      <c r="G1811" s="594">
        <f ca="1">-C1798</f>
        <v>-8.3347240748831278E-2</v>
      </c>
      <c r="H1811" s="594">
        <f ca="1">-C1798</f>
        <v>-8.3347240748831278E-2</v>
      </c>
      <c r="I1811" s="594">
        <f ca="1">C1798</f>
        <v>8.3347240748831278E-2</v>
      </c>
      <c r="J1811" s="594">
        <f ca="1">C1798</f>
        <v>8.3347240748831278E-2</v>
      </c>
      <c r="K1811" s="317" t="s">
        <v>488</v>
      </c>
      <c r="L1811" s="594">
        <f ca="1">-D1798</f>
        <v>-0.17355401601953976</v>
      </c>
      <c r="M1811" s="594">
        <f ca="1">-D1798</f>
        <v>-0.17355401601953976</v>
      </c>
      <c r="N1811" s="594">
        <f ca="1">D1798</f>
        <v>0.17355401601953976</v>
      </c>
      <c r="O1811" s="594">
        <f ca="1">D1798</f>
        <v>0.17355401601953976</v>
      </c>
      <c r="P1811" s="317" t="s">
        <v>488</v>
      </c>
      <c r="Q1811" s="594">
        <f ca="1">-E1798</f>
        <v>-9.5015783258638423E-2</v>
      </c>
      <c r="R1811" s="594">
        <f ca="1">-E1798</f>
        <v>-9.5015783258638423E-2</v>
      </c>
      <c r="S1811" s="594">
        <f ca="1">E1798</f>
        <v>9.5015783258638423E-2</v>
      </c>
      <c r="T1811" s="594">
        <f ca="1">E1798</f>
        <v>9.5015783258638423E-2</v>
      </c>
      <c r="U1811" s="317" t="s">
        <v>488</v>
      </c>
      <c r="V1811" s="594">
        <f ca="1">-F1798</f>
        <v>-0.16362704667172523</v>
      </c>
      <c r="W1811" s="594">
        <f ca="1">-F1798</f>
        <v>-0.16362704667172523</v>
      </c>
      <c r="X1811" s="594">
        <f ca="1">F1798</f>
        <v>0.16362704667172523</v>
      </c>
      <c r="Y1811" s="594">
        <f ca="1">F1798</f>
        <v>0.16362704667172523</v>
      </c>
      <c r="Z1811" s="317" t="s">
        <v>488</v>
      </c>
      <c r="AA1811" s="594">
        <f ca="1">-G1798</f>
        <v>-7.2860912484351434E-2</v>
      </c>
      <c r="AB1811" s="594">
        <f ca="1">-G1798</f>
        <v>-7.2860912484351434E-2</v>
      </c>
      <c r="AC1811" s="594">
        <f ca="1">G1798</f>
        <v>7.2860912484351434E-2</v>
      </c>
      <c r="AD1811" s="594">
        <f ca="1">G1798</f>
        <v>7.2860912484351434E-2</v>
      </c>
      <c r="AE1811" s="317" t="s">
        <v>488</v>
      </c>
      <c r="AF1811" s="594">
        <f ca="1">-H1798</f>
        <v>-6.4356577679275676E-2</v>
      </c>
      <c r="AG1811" s="594">
        <f ca="1">-H1798</f>
        <v>-6.4356577679275676E-2</v>
      </c>
      <c r="AH1811" s="594">
        <f ca="1">H1798</f>
        <v>6.4356577679275676E-2</v>
      </c>
      <c r="AI1811" s="594">
        <f ca="1">H1798</f>
        <v>6.4356577679275676E-2</v>
      </c>
      <c r="AJ1811" s="317" t="s">
        <v>488</v>
      </c>
      <c r="AK1811" s="594">
        <f ca="1">-I1798</f>
        <v>0</v>
      </c>
      <c r="AL1811" s="594">
        <f ca="1">-I1798</f>
        <v>0</v>
      </c>
      <c r="AM1811" s="594">
        <f ca="1">I1798</f>
        <v>0</v>
      </c>
      <c r="AN1811" s="438">
        <f ca="1">I1798</f>
        <v>0</v>
      </c>
    </row>
    <row r="1812" spans="1:40" ht="15.75" customHeight="1" x14ac:dyDescent="0.2">
      <c r="A1812" s="318" t="s">
        <v>489</v>
      </c>
      <c r="B1812" s="76">
        <f ca="1">SUM(B1810:B1811)</f>
        <v>3.0600936741427422E-2</v>
      </c>
      <c r="C1812" s="76">
        <f ca="1">SUM(C1810:C1811)</f>
        <v>0.6527615768623618</v>
      </c>
      <c r="D1812" s="76">
        <f ca="1">SUM(D1810:D1811)</f>
        <v>2.6249323593690296E-2</v>
      </c>
      <c r="E1812" s="76">
        <f ca="1">SUM(E1810:E1811)</f>
        <v>2.6249323593690296E-2</v>
      </c>
      <c r="F1812" s="318" t="s">
        <v>489</v>
      </c>
      <c r="G1812" s="76">
        <f ca="1">SUM(G1810:G1811)</f>
        <v>0.10116728000524296</v>
      </c>
      <c r="H1812" s="76">
        <f ca="1">SUM(H1810:H1811)</f>
        <v>0.56941433611353054</v>
      </c>
      <c r="I1812" s="76">
        <f ca="1">SUM(I1810:I1811)</f>
        <v>8.3347240748831278E-2</v>
      </c>
      <c r="J1812" s="76">
        <f ca="1">SUM(J1810:J1811)</f>
        <v>8.3347240748831278E-2</v>
      </c>
      <c r="K1812" s="318" t="s">
        <v>489</v>
      </c>
      <c r="L1812" s="76">
        <f ca="1">SUM(L1810:L1811)</f>
        <v>0.24743203321807725</v>
      </c>
      <c r="M1812" s="76">
        <f ca="1">SUM(M1810:M1811)</f>
        <v>0.39586032009399075</v>
      </c>
      <c r="N1812" s="76">
        <f ca="1">SUM(N1810:N1811)</f>
        <v>0.17355401601953976</v>
      </c>
      <c r="O1812" s="76">
        <f ca="1">SUM(O1810:O1811)</f>
        <v>0.17355401601953976</v>
      </c>
      <c r="P1812" s="318" t="s">
        <v>489</v>
      </c>
      <c r="Q1812" s="76">
        <f ca="1">SUM(Q1810:Q1811)</f>
        <v>0.19913067433157289</v>
      </c>
      <c r="R1812" s="76">
        <f ca="1">SUM(R1810:R1811)</f>
        <v>0.30084453683535234</v>
      </c>
      <c r="S1812" s="76">
        <f ca="1">SUM(S1810:S1811)</f>
        <v>9.5015783258638423E-2</v>
      </c>
      <c r="T1812" s="76">
        <f ca="1">SUM(T1810:T1811)</f>
        <v>9.5015783258638423E-2</v>
      </c>
      <c r="U1812" s="318" t="s">
        <v>489</v>
      </c>
      <c r="V1812" s="76">
        <f ca="1">SUM(V1810:V1811)</f>
        <v>0.42423759353189749</v>
      </c>
      <c r="W1812" s="76">
        <f ca="1">SUM(W1810:W1811)</f>
        <v>0.13721749016362711</v>
      </c>
      <c r="X1812" s="76">
        <f ca="1">SUM(X1810:X1811)</f>
        <v>0.16362704667172523</v>
      </c>
      <c r="Y1812" s="76">
        <f ca="1">SUM(Y1810:Y1811)</f>
        <v>0.16362704667172523</v>
      </c>
      <c r="Z1812" s="318" t="s">
        <v>489</v>
      </c>
      <c r="AA1812" s="76">
        <f ca="1">SUM(AA1810:AA1811)</f>
        <v>0.33047869266220098</v>
      </c>
      <c r="AB1812" s="76">
        <f ca="1">SUM(AB1810:AB1811)</f>
        <v>6.4356577679275676E-2</v>
      </c>
      <c r="AC1812" s="76">
        <f ca="1">SUM(AC1810:AC1811)</f>
        <v>7.2860912484351434E-2</v>
      </c>
      <c r="AD1812" s="76">
        <f ca="1">SUM(AD1810:AD1811)</f>
        <v>7.2860912484351434E-2</v>
      </c>
      <c r="AE1812" s="318" t="s">
        <v>489</v>
      </c>
      <c r="AF1812" s="76">
        <f ca="1">SUM(AF1810:AF1811)</f>
        <v>0.79515308797507833</v>
      </c>
      <c r="AG1812" s="76">
        <f ca="1">SUM(AG1810:AG1811)</f>
        <v>0</v>
      </c>
      <c r="AH1812" s="76">
        <f ca="1">SUM(AH1810:AH1811)</f>
        <v>6.4356577679275676E-2</v>
      </c>
      <c r="AI1812" s="76">
        <f ca="1">SUM(AI1810:AI1811)</f>
        <v>6.4356577679275676E-2</v>
      </c>
      <c r="AJ1812" s="318" t="s">
        <v>489</v>
      </c>
      <c r="AK1812" s="76">
        <f ca="1">SUM(AK1810:AK1811)</f>
        <v>5.5928793383628522E-2</v>
      </c>
      <c r="AL1812" s="76">
        <f ca="1">SUM(AL1810:AL1811)</f>
        <v>0</v>
      </c>
      <c r="AM1812" s="76">
        <f ca="1">SUM(AM1810:AM1811)</f>
        <v>0</v>
      </c>
      <c r="AN1812" s="367">
        <f ca="1">SUM(AN1810:AN1811)</f>
        <v>0</v>
      </c>
    </row>
    <row r="1813" spans="1:40" ht="15.75" customHeight="1" x14ac:dyDescent="0.2">
      <c r="A1813" s="637" t="s">
        <v>2074</v>
      </c>
      <c r="B1813" s="1531" t="s">
        <v>2071</v>
      </c>
      <c r="C1813" s="1533"/>
      <c r="D1813" s="1531" t="s">
        <v>722</v>
      </c>
      <c r="E1813" s="1533"/>
      <c r="F1813" s="208" t="s">
        <v>2094</v>
      </c>
      <c r="G1813" s="1531" t="s">
        <v>2071</v>
      </c>
      <c r="H1813" s="1533"/>
      <c r="I1813" s="1531" t="s">
        <v>722</v>
      </c>
      <c r="J1813" s="1533"/>
      <c r="K1813" s="208" t="s">
        <v>1160</v>
      </c>
      <c r="L1813" s="1531" t="s">
        <v>2071</v>
      </c>
      <c r="M1813" s="1533"/>
      <c r="N1813" s="1531" t="s">
        <v>722</v>
      </c>
      <c r="O1813" s="1533"/>
      <c r="P1813" s="208" t="s">
        <v>2117</v>
      </c>
      <c r="Q1813" s="1531" t="s">
        <v>2071</v>
      </c>
      <c r="R1813" s="1533"/>
      <c r="S1813" s="1531" t="s">
        <v>722</v>
      </c>
      <c r="T1813" s="1533"/>
      <c r="U1813" s="208" t="s">
        <v>2107</v>
      </c>
      <c r="V1813" s="1531" t="s">
        <v>2071</v>
      </c>
      <c r="W1813" s="1533"/>
      <c r="X1813" s="1531" t="s">
        <v>722</v>
      </c>
      <c r="Y1813" s="1533"/>
      <c r="Z1813" s="208" t="s">
        <v>2126</v>
      </c>
      <c r="AA1813" s="1531" t="s">
        <v>2071</v>
      </c>
      <c r="AB1813" s="1533"/>
      <c r="AC1813" s="1531" t="s">
        <v>722</v>
      </c>
      <c r="AD1813" s="1533"/>
      <c r="AE1813" s="208" t="s">
        <v>2133</v>
      </c>
      <c r="AF1813" s="1531" t="s">
        <v>2071</v>
      </c>
      <c r="AG1813" s="1533"/>
      <c r="AH1813" s="1531" t="s">
        <v>722</v>
      </c>
      <c r="AI1813" s="1533"/>
      <c r="AJ1813" s="208" t="s">
        <v>2141</v>
      </c>
      <c r="AK1813" s="1531" t="s">
        <v>2071</v>
      </c>
      <c r="AL1813" s="1533"/>
      <c r="AM1813" s="1531" t="s">
        <v>722</v>
      </c>
      <c r="AN1813" s="1533"/>
    </row>
    <row r="1814" spans="1:40" ht="15.75" customHeight="1" x14ac:dyDescent="0.2">
      <c r="A1814" s="377" t="s">
        <v>376</v>
      </c>
      <c r="B1814" s="368" t="s">
        <v>1731</v>
      </c>
      <c r="C1814" s="368" t="s">
        <v>2075</v>
      </c>
      <c r="D1814" s="368" t="s">
        <v>2077</v>
      </c>
      <c r="E1814" s="368" t="s">
        <v>486</v>
      </c>
      <c r="F1814" s="377" t="s">
        <v>376</v>
      </c>
      <c r="G1814" s="368" t="s">
        <v>1732</v>
      </c>
      <c r="H1814" s="368" t="s">
        <v>2075</v>
      </c>
      <c r="I1814" s="368" t="s">
        <v>2080</v>
      </c>
      <c r="J1814" s="368" t="s">
        <v>486</v>
      </c>
      <c r="K1814" s="377" t="s">
        <v>376</v>
      </c>
      <c r="L1814" s="368" t="s">
        <v>1733</v>
      </c>
      <c r="M1814" s="368" t="s">
        <v>2075</v>
      </c>
      <c r="N1814" s="368" t="s">
        <v>2086</v>
      </c>
      <c r="O1814" s="368" t="s">
        <v>486</v>
      </c>
      <c r="P1814" s="377" t="s">
        <v>376</v>
      </c>
      <c r="Q1814" s="368" t="s">
        <v>2115</v>
      </c>
      <c r="R1814" s="368" t="s">
        <v>2075</v>
      </c>
      <c r="S1814" s="368" t="s">
        <v>2089</v>
      </c>
      <c r="T1814" s="368" t="s">
        <v>486</v>
      </c>
      <c r="U1814" s="377" t="s">
        <v>376</v>
      </c>
      <c r="V1814" s="368" t="s">
        <v>1735</v>
      </c>
      <c r="W1814" s="368" t="s">
        <v>2075</v>
      </c>
      <c r="X1814" s="368" t="s">
        <v>2092</v>
      </c>
      <c r="Y1814" s="368" t="s">
        <v>486</v>
      </c>
      <c r="Z1814" s="377" t="s">
        <v>376</v>
      </c>
      <c r="AA1814" s="368" t="s">
        <v>2123</v>
      </c>
      <c r="AB1814" s="368" t="s">
        <v>2075</v>
      </c>
      <c r="AC1814" s="368" t="s">
        <v>2100</v>
      </c>
      <c r="AD1814" s="368" t="s">
        <v>486</v>
      </c>
      <c r="AE1814" s="377" t="s">
        <v>376</v>
      </c>
      <c r="AF1814" s="368" t="s">
        <v>1737</v>
      </c>
      <c r="AG1814" s="368" t="s">
        <v>2075</v>
      </c>
      <c r="AH1814" s="368" t="s">
        <v>2101</v>
      </c>
      <c r="AI1814" s="368" t="s">
        <v>486</v>
      </c>
      <c r="AJ1814" s="377" t="s">
        <v>376</v>
      </c>
      <c r="AK1814" s="368" t="s">
        <v>1738</v>
      </c>
      <c r="AL1814" s="368" t="s">
        <v>2075</v>
      </c>
      <c r="AM1814" s="368" t="s">
        <v>2105</v>
      </c>
      <c r="AN1814" s="368" t="s">
        <v>486</v>
      </c>
    </row>
    <row r="1815" spans="1:40" ht="15.75" customHeight="1" x14ac:dyDescent="0.2">
      <c r="A1815" s="316" t="s">
        <v>487</v>
      </c>
      <c r="B1815" s="76">
        <f ca="1">B1812</f>
        <v>3.0600936741427422E-2</v>
      </c>
      <c r="C1815" s="76">
        <f ca="1">G1771</f>
        <v>0</v>
      </c>
      <c r="F1815" s="316" t="s">
        <v>487</v>
      </c>
      <c r="G1815" s="76">
        <f ca="1">G1812</f>
        <v>0.10116728000524296</v>
      </c>
      <c r="H1815" s="76">
        <f ca="1">C1817</f>
        <v>0</v>
      </c>
      <c r="K1815" s="316" t="s">
        <v>487</v>
      </c>
      <c r="L1815" s="76">
        <f ca="1">L1812</f>
        <v>0.24743203321807725</v>
      </c>
      <c r="M1815" s="76">
        <f ca="1">H1817</f>
        <v>0</v>
      </c>
      <c r="P1815" s="316" t="s">
        <v>487</v>
      </c>
      <c r="Q1815" s="76">
        <f ca="1">Q1812</f>
        <v>0.19913067433157289</v>
      </c>
      <c r="R1815" s="76">
        <f ca="1">M1817</f>
        <v>0</v>
      </c>
      <c r="U1815" s="316" t="s">
        <v>487</v>
      </c>
      <c r="V1815" s="76">
        <f ca="1">V1812</f>
        <v>0.42423759353189749</v>
      </c>
      <c r="W1815" s="76">
        <f ca="1">R1817</f>
        <v>0</v>
      </c>
      <c r="Z1815" s="316" t="s">
        <v>487</v>
      </c>
      <c r="AA1815" s="76">
        <f ca="1">AA1812</f>
        <v>0.33047869266220098</v>
      </c>
      <c r="AB1815" s="76">
        <f ca="1">W1817</f>
        <v>0</v>
      </c>
      <c r="AE1815" s="316" t="s">
        <v>487</v>
      </c>
      <c r="AF1815" s="76">
        <f ca="1">AF1812</f>
        <v>0.79515308797507833</v>
      </c>
      <c r="AG1815" s="76">
        <f ca="1">AB1817</f>
        <v>0</v>
      </c>
      <c r="AJ1815" s="316" t="s">
        <v>487</v>
      </c>
      <c r="AK1815" s="76">
        <f ca="1">AK1812</f>
        <v>5.5928793383628522E-2</v>
      </c>
      <c r="AL1815" s="76">
        <f ca="1">AG1817</f>
        <v>0</v>
      </c>
      <c r="AN1815" s="367"/>
    </row>
    <row r="1816" spans="1:40" ht="15.75" customHeight="1" x14ac:dyDescent="0.2">
      <c r="A1816" s="317" t="s">
        <v>488</v>
      </c>
      <c r="B1816" s="594">
        <f ca="1">-B1799</f>
        <v>0</v>
      </c>
      <c r="C1816" s="594">
        <f ca="1">-B1799</f>
        <v>0</v>
      </c>
      <c r="D1816" s="594">
        <f ca="1">B1799</f>
        <v>0</v>
      </c>
      <c r="E1816" s="594">
        <f ca="1">B1799</f>
        <v>0</v>
      </c>
      <c r="F1816" s="317" t="s">
        <v>488</v>
      </c>
      <c r="G1816" s="594">
        <f ca="1">-C1799</f>
        <v>0</v>
      </c>
      <c r="H1816" s="594">
        <f ca="1">-C1799</f>
        <v>0</v>
      </c>
      <c r="I1816" s="594">
        <f ca="1">C1799</f>
        <v>0</v>
      </c>
      <c r="J1816" s="594">
        <f ca="1">C1799</f>
        <v>0</v>
      </c>
      <c r="K1816" s="317" t="s">
        <v>488</v>
      </c>
      <c r="L1816" s="594">
        <f ca="1">-D1799</f>
        <v>0</v>
      </c>
      <c r="M1816" s="594">
        <f ca="1">-D1799</f>
        <v>0</v>
      </c>
      <c r="N1816" s="594">
        <f ca="1">D1799</f>
        <v>0</v>
      </c>
      <c r="O1816" s="594">
        <f ca="1">D1799</f>
        <v>0</v>
      </c>
      <c r="P1816" s="317" t="s">
        <v>488</v>
      </c>
      <c r="Q1816" s="594">
        <f ca="1">-E1799</f>
        <v>0</v>
      </c>
      <c r="R1816" s="594">
        <f ca="1">-E1799</f>
        <v>0</v>
      </c>
      <c r="S1816" s="594">
        <f ca="1">E1799</f>
        <v>0</v>
      </c>
      <c r="T1816" s="594">
        <f ca="1">E1799</f>
        <v>0</v>
      </c>
      <c r="U1816" s="317" t="s">
        <v>488</v>
      </c>
      <c r="V1816" s="594">
        <f ca="1">-F1799</f>
        <v>0</v>
      </c>
      <c r="W1816" s="594">
        <f ca="1">-F1799</f>
        <v>0</v>
      </c>
      <c r="X1816" s="594">
        <f ca="1">F1799</f>
        <v>0</v>
      </c>
      <c r="Y1816" s="594">
        <f ca="1">F1799</f>
        <v>0</v>
      </c>
      <c r="Z1816" s="317" t="s">
        <v>488</v>
      </c>
      <c r="AA1816" s="594">
        <f ca="1">G1799</f>
        <v>0</v>
      </c>
      <c r="AB1816" s="594">
        <f ca="1">G1799</f>
        <v>0</v>
      </c>
      <c r="AC1816" s="594">
        <f ca="1">G1799</f>
        <v>0</v>
      </c>
      <c r="AD1816" s="594">
        <f ca="1">G1799</f>
        <v>0</v>
      </c>
      <c r="AE1816" s="317" t="s">
        <v>488</v>
      </c>
      <c r="AF1816" s="594">
        <f ca="1">-H1799</f>
        <v>0</v>
      </c>
      <c r="AG1816" s="594">
        <f ca="1">-H1799</f>
        <v>0</v>
      </c>
      <c r="AH1816" s="594">
        <f ca="1">H1799</f>
        <v>0</v>
      </c>
      <c r="AI1816" s="594">
        <f ca="1">H1799</f>
        <v>0</v>
      </c>
      <c r="AJ1816" s="317" t="s">
        <v>488</v>
      </c>
      <c r="AK1816" s="594">
        <f ca="1">-I1799</f>
        <v>0</v>
      </c>
      <c r="AL1816" s="594">
        <f ca="1">-I1799</f>
        <v>0</v>
      </c>
      <c r="AM1816" s="594">
        <f ca="1">I1799</f>
        <v>0</v>
      </c>
      <c r="AN1816" s="438">
        <f ca="1">I1799</f>
        <v>0</v>
      </c>
    </row>
    <row r="1817" spans="1:40" ht="15.75" customHeight="1" x14ac:dyDescent="0.2">
      <c r="A1817" s="318" t="s">
        <v>489</v>
      </c>
      <c r="B1817" s="76">
        <f ca="1">SUM(B1815:B1816)</f>
        <v>3.0600936741427422E-2</v>
      </c>
      <c r="C1817" s="76">
        <f ca="1">SUM(C1815:C1816)</f>
        <v>0</v>
      </c>
      <c r="D1817" s="76">
        <f ca="1">SUM(D1815:D1816)</f>
        <v>0</v>
      </c>
      <c r="E1817" s="76">
        <f ca="1">SUM(E1815:E1816)</f>
        <v>0</v>
      </c>
      <c r="F1817" s="318" t="s">
        <v>489</v>
      </c>
      <c r="G1817" s="76">
        <f ca="1">SUM(G1815:G1816)</f>
        <v>0.10116728000524296</v>
      </c>
      <c r="H1817" s="76">
        <f ca="1">SUM(H1815:H1816)</f>
        <v>0</v>
      </c>
      <c r="I1817" s="76">
        <f ca="1">SUM(I1815:I1816)</f>
        <v>0</v>
      </c>
      <c r="J1817" s="76">
        <f ca="1">SUM(J1815:J1816)</f>
        <v>0</v>
      </c>
      <c r="K1817" s="318" t="s">
        <v>489</v>
      </c>
      <c r="L1817" s="76">
        <f ca="1">SUM(L1815:L1816)</f>
        <v>0.24743203321807725</v>
      </c>
      <c r="M1817" s="76">
        <f ca="1">SUM(M1815:M1816)</f>
        <v>0</v>
      </c>
      <c r="N1817" s="76">
        <f ca="1">SUM(N1815:N1816)</f>
        <v>0</v>
      </c>
      <c r="O1817" s="76">
        <f ca="1">SUM(O1815:O1816)</f>
        <v>0</v>
      </c>
      <c r="P1817" s="318" t="s">
        <v>489</v>
      </c>
      <c r="Q1817" s="76">
        <f ca="1">SUM(Q1815:Q1816)</f>
        <v>0.19913067433157289</v>
      </c>
      <c r="R1817" s="76">
        <f ca="1">SUM(R1815:R1816)</f>
        <v>0</v>
      </c>
      <c r="S1817" s="76">
        <f ca="1">SUM(S1815:S1816)</f>
        <v>0</v>
      </c>
      <c r="T1817" s="76">
        <f ca="1">SUM(T1815:T1816)</f>
        <v>0</v>
      </c>
      <c r="U1817" s="318" t="s">
        <v>489</v>
      </c>
      <c r="V1817" s="76">
        <f ca="1">SUM(V1815:V1816)</f>
        <v>0.42423759353189749</v>
      </c>
      <c r="W1817" s="76">
        <f ca="1">SUM(W1815:W1816)</f>
        <v>0</v>
      </c>
      <c r="X1817" s="76">
        <f ca="1">SUM(X1815:X1816)</f>
        <v>0</v>
      </c>
      <c r="Y1817" s="76">
        <f ca="1">SUM(Y1815:Y1816)</f>
        <v>0</v>
      </c>
      <c r="Z1817" s="318" t="s">
        <v>489</v>
      </c>
      <c r="AA1817" s="76">
        <f ca="1">SUM(AA1815:AA1816)</f>
        <v>0.33047869266220098</v>
      </c>
      <c r="AB1817" s="76">
        <f ca="1">SUM(AB1815:AB1816)</f>
        <v>0</v>
      </c>
      <c r="AC1817" s="76">
        <f ca="1">SUM(AC1815:AC1816)</f>
        <v>0</v>
      </c>
      <c r="AD1817" s="76">
        <f ca="1">SUM(AD1815:AD1816)</f>
        <v>0</v>
      </c>
      <c r="AE1817" s="318" t="s">
        <v>489</v>
      </c>
      <c r="AF1817" s="76">
        <f ca="1">SUM(AF1815:AF1816)</f>
        <v>0.79515308797507833</v>
      </c>
      <c r="AG1817" s="76">
        <f ca="1">SUM(AG1815:AG1816)</f>
        <v>0</v>
      </c>
      <c r="AH1817" s="76">
        <f ca="1">SUM(AH1815:AH1816)</f>
        <v>0</v>
      </c>
      <c r="AI1817" s="76">
        <f ca="1">SUM(AI1815:AI1816)</f>
        <v>0</v>
      </c>
      <c r="AJ1817" s="318" t="s">
        <v>489</v>
      </c>
      <c r="AK1817" s="76">
        <f ca="1">SUM(AK1815:AK1816)</f>
        <v>5.5928793383628522E-2</v>
      </c>
      <c r="AL1817" s="76">
        <f ca="1">SUM(AL1815:AL1816)</f>
        <v>0</v>
      </c>
      <c r="AM1817" s="76">
        <f ca="1">SUM(AM1815:AM1816)</f>
        <v>0</v>
      </c>
      <c r="AN1817" s="367">
        <f ca="1">SUM(AN1815:AN1816)</f>
        <v>0</v>
      </c>
    </row>
    <row r="1818" spans="1:40" ht="15.75" customHeight="1" x14ac:dyDescent="0.2">
      <c r="A1818" s="637" t="s">
        <v>2078</v>
      </c>
      <c r="B1818" s="1531" t="s">
        <v>2071</v>
      </c>
      <c r="C1818" s="1533"/>
      <c r="D1818" s="1531" t="s">
        <v>722</v>
      </c>
      <c r="E1818" s="1533"/>
      <c r="F1818" s="208" t="s">
        <v>2095</v>
      </c>
      <c r="G1818" s="1531" t="s">
        <v>2071</v>
      </c>
      <c r="H1818" s="1533"/>
      <c r="I1818" s="1531" t="s">
        <v>722</v>
      </c>
      <c r="J1818" s="1533"/>
      <c r="K1818" s="208" t="s">
        <v>1161</v>
      </c>
      <c r="L1818" s="1531" t="s">
        <v>2071</v>
      </c>
      <c r="M1818" s="1533"/>
      <c r="N1818" s="1531" t="s">
        <v>722</v>
      </c>
      <c r="O1818" s="1533"/>
      <c r="P1818" s="208" t="s">
        <v>2118</v>
      </c>
      <c r="Q1818" s="1531" t="s">
        <v>2071</v>
      </c>
      <c r="R1818" s="1533"/>
      <c r="S1818" s="1531" t="s">
        <v>722</v>
      </c>
      <c r="T1818" s="1533"/>
      <c r="U1818" s="208" t="s">
        <v>2108</v>
      </c>
      <c r="V1818" s="1531" t="s">
        <v>2071</v>
      </c>
      <c r="W1818" s="1533"/>
      <c r="X1818" s="1531" t="s">
        <v>722</v>
      </c>
      <c r="Y1818" s="1533"/>
      <c r="Z1818" s="208" t="s">
        <v>2127</v>
      </c>
      <c r="AA1818" s="1531" t="s">
        <v>2071</v>
      </c>
      <c r="AB1818" s="1533"/>
      <c r="AC1818" s="1531" t="s">
        <v>722</v>
      </c>
      <c r="AD1818" s="1533"/>
      <c r="AE1818" s="208" t="s">
        <v>2134</v>
      </c>
      <c r="AF1818" s="1531" t="s">
        <v>2071</v>
      </c>
      <c r="AG1818" s="1533"/>
      <c r="AH1818" s="1531" t="s">
        <v>722</v>
      </c>
      <c r="AI1818" s="1533"/>
      <c r="AJ1818" s="208" t="s">
        <v>2142</v>
      </c>
      <c r="AK1818" s="1531" t="s">
        <v>2071</v>
      </c>
      <c r="AL1818" s="1533"/>
      <c r="AM1818" s="1531" t="s">
        <v>722</v>
      </c>
      <c r="AN1818" s="1533"/>
    </row>
    <row r="1819" spans="1:40" ht="15.75" customHeight="1" x14ac:dyDescent="0.2">
      <c r="A1819" s="377" t="s">
        <v>376</v>
      </c>
      <c r="B1819" s="368" t="s">
        <v>1731</v>
      </c>
      <c r="C1819" s="368" t="s">
        <v>2079</v>
      </c>
      <c r="D1819" s="368" t="s">
        <v>2080</v>
      </c>
      <c r="E1819" s="368" t="s">
        <v>486</v>
      </c>
      <c r="F1819" s="377" t="s">
        <v>376</v>
      </c>
      <c r="G1819" s="368" t="s">
        <v>1732</v>
      </c>
      <c r="H1819" s="368" t="s">
        <v>2079</v>
      </c>
      <c r="I1819" s="368" t="s">
        <v>2086</v>
      </c>
      <c r="J1819" s="368" t="s">
        <v>486</v>
      </c>
      <c r="K1819" s="377" t="s">
        <v>376</v>
      </c>
      <c r="L1819" s="368" t="s">
        <v>1733</v>
      </c>
      <c r="M1819" s="368" t="s">
        <v>2079</v>
      </c>
      <c r="N1819" s="368" t="s">
        <v>2092</v>
      </c>
      <c r="O1819" s="368" t="s">
        <v>486</v>
      </c>
      <c r="P1819" s="377" t="s">
        <v>376</v>
      </c>
      <c r="Q1819" s="368" t="s">
        <v>2115</v>
      </c>
      <c r="R1819" s="368" t="s">
        <v>2079</v>
      </c>
      <c r="S1819" s="368" t="s">
        <v>2100</v>
      </c>
      <c r="T1819" s="368" t="s">
        <v>486</v>
      </c>
      <c r="U1819" s="377" t="s">
        <v>376</v>
      </c>
      <c r="V1819" s="368" t="s">
        <v>1735</v>
      </c>
      <c r="W1819" s="368" t="s">
        <v>2079</v>
      </c>
      <c r="X1819" s="368" t="s">
        <v>2101</v>
      </c>
      <c r="Y1819" s="368" t="s">
        <v>486</v>
      </c>
      <c r="Z1819" s="377" t="s">
        <v>376</v>
      </c>
      <c r="AA1819" s="368" t="s">
        <v>2123</v>
      </c>
      <c r="AB1819" s="368" t="s">
        <v>2079</v>
      </c>
      <c r="AC1819" s="368" t="s">
        <v>2104</v>
      </c>
      <c r="AD1819" s="368" t="s">
        <v>486</v>
      </c>
      <c r="AE1819" s="377" t="s">
        <v>376</v>
      </c>
      <c r="AF1819" s="368" t="s">
        <v>1737</v>
      </c>
      <c r="AG1819" s="368" t="s">
        <v>2079</v>
      </c>
      <c r="AH1819" s="368" t="s">
        <v>2105</v>
      </c>
      <c r="AI1819" s="368" t="s">
        <v>486</v>
      </c>
      <c r="AJ1819" s="377" t="s">
        <v>376</v>
      </c>
      <c r="AK1819" s="368" t="s">
        <v>1738</v>
      </c>
      <c r="AL1819" s="368" t="s">
        <v>2079</v>
      </c>
      <c r="AM1819" s="368" t="s">
        <v>2114</v>
      </c>
      <c r="AN1819" s="368" t="s">
        <v>486</v>
      </c>
    </row>
    <row r="1820" spans="1:40" ht="15.75" customHeight="1" x14ac:dyDescent="0.2">
      <c r="A1820" s="316" t="s">
        <v>487</v>
      </c>
      <c r="B1820" s="76">
        <f ca="1">B1817</f>
        <v>3.0600936741427422E-2</v>
      </c>
      <c r="C1820" s="76">
        <f ca="1">G1772</f>
        <v>0.89495703301762908</v>
      </c>
      <c r="F1820" s="316" t="s">
        <v>487</v>
      </c>
      <c r="G1820" s="76">
        <f ca="1">G1817</f>
        <v>0.10116728000524296</v>
      </c>
      <c r="H1820" s="76">
        <f ca="1">C1822</f>
        <v>0.8763341970011348</v>
      </c>
      <c r="K1820" s="316" t="s">
        <v>487</v>
      </c>
      <c r="L1820" s="76">
        <f ca="1">L1817</f>
        <v>0.24743203321807725</v>
      </c>
      <c r="M1820" s="76">
        <f ca="1">H1822</f>
        <v>0.81498400481749578</v>
      </c>
      <c r="P1820" s="316" t="s">
        <v>487</v>
      </c>
      <c r="Q1820" s="76">
        <f ca="1">Q1817</f>
        <v>0.19913067433157289</v>
      </c>
      <c r="R1820" s="76">
        <f ca="1">M1822</f>
        <v>0.6689871246864999</v>
      </c>
      <c r="U1820" s="316" t="s">
        <v>487</v>
      </c>
      <c r="V1820" s="76">
        <f ca="1">V1817</f>
        <v>0.42423759353189749</v>
      </c>
      <c r="W1820" s="76">
        <f ca="1">R1822</f>
        <v>0.56028298516400232</v>
      </c>
      <c r="Z1820" s="316" t="s">
        <v>487</v>
      </c>
      <c r="AA1820" s="76">
        <f ca="1">AA1817</f>
        <v>0.33047869266220098</v>
      </c>
      <c r="AB1820" s="76">
        <f ca="1">W1822</f>
        <v>0.34036932411930687</v>
      </c>
      <c r="AE1820" s="316" t="s">
        <v>487</v>
      </c>
      <c r="AF1820" s="76">
        <f ca="1">AF1817</f>
        <v>0.79515308797507833</v>
      </c>
      <c r="AG1820" s="76">
        <f ca="1">AB1822</f>
        <v>0.19228532242830199</v>
      </c>
      <c r="AJ1820" s="316" t="s">
        <v>487</v>
      </c>
      <c r="AK1820" s="76">
        <f ca="1">AK1817</f>
        <v>5.5928793383628522E-2</v>
      </c>
      <c r="AL1820" s="76">
        <f ca="1">AG1822</f>
        <v>0</v>
      </c>
      <c r="AN1820" s="367"/>
    </row>
    <row r="1821" spans="1:40" ht="15.75" customHeight="1" x14ac:dyDescent="0.2">
      <c r="A1821" s="317" t="s">
        <v>488</v>
      </c>
      <c r="B1821" s="594">
        <f ca="1">-B1800</f>
        <v>-1.8622836016494268E-2</v>
      </c>
      <c r="C1821" s="594">
        <f ca="1">-B1800</f>
        <v>-1.8622836016494268E-2</v>
      </c>
      <c r="D1821" s="594">
        <f ca="1">B1800</f>
        <v>1.8622836016494268E-2</v>
      </c>
      <c r="E1821" s="594">
        <f ca="1">B1800</f>
        <v>1.8622836016494268E-2</v>
      </c>
      <c r="F1821" s="317" t="s">
        <v>488</v>
      </c>
      <c r="G1821" s="594">
        <f ca="1">-C1800</f>
        <v>-6.1350192183639018E-2</v>
      </c>
      <c r="H1821" s="594">
        <f ca="1">-C1800</f>
        <v>-6.1350192183639018E-2</v>
      </c>
      <c r="I1821" s="594">
        <f ca="1">C1800</f>
        <v>6.1350192183639018E-2</v>
      </c>
      <c r="J1821" s="594">
        <f ca="1">C1800</f>
        <v>6.1350192183639018E-2</v>
      </c>
      <c r="K1821" s="317" t="s">
        <v>488</v>
      </c>
      <c r="L1821" s="594">
        <f ca="1">-D1800</f>
        <v>-0.14599688013099588</v>
      </c>
      <c r="M1821" s="594">
        <f ca="1">-D1800</f>
        <v>-0.14599688013099588</v>
      </c>
      <c r="N1821" s="594">
        <f ca="1">D1800</f>
        <v>0.14599688013099588</v>
      </c>
      <c r="O1821" s="594">
        <f ca="1">D1800</f>
        <v>0.14599688013099588</v>
      </c>
      <c r="P1821" s="317" t="s">
        <v>488</v>
      </c>
      <c r="Q1821" s="594">
        <f ca="1">-E1800</f>
        <v>-0.10870413952249761</v>
      </c>
      <c r="R1821" s="594">
        <f ca="1">-E1800</f>
        <v>-0.10870413952249761</v>
      </c>
      <c r="S1821" s="594">
        <f ca="1">E1800</f>
        <v>0.10870413952249761</v>
      </c>
      <c r="T1821" s="594">
        <f ca="1">E1800</f>
        <v>0.10870413952249761</v>
      </c>
      <c r="U1821" s="317" t="s">
        <v>488</v>
      </c>
      <c r="V1821" s="594">
        <f ca="1">-F1800</f>
        <v>-0.21991366104469542</v>
      </c>
      <c r="W1821" s="594">
        <f ca="1">-F1800</f>
        <v>-0.21991366104469542</v>
      </c>
      <c r="X1821" s="594">
        <f ca="1">F1800</f>
        <v>0.21991366104469542</v>
      </c>
      <c r="Y1821" s="594">
        <f ca="1">F1800</f>
        <v>0.21991366104469542</v>
      </c>
      <c r="Z1821" s="317" t="s">
        <v>488</v>
      </c>
      <c r="AA1821" s="594">
        <f ca="1">-G1800</f>
        <v>-0.14808400169100489</v>
      </c>
      <c r="AB1821" s="594">
        <f ca="1">-G1800</f>
        <v>-0.14808400169100489</v>
      </c>
      <c r="AC1821" s="594">
        <f ca="1">G1800</f>
        <v>0.14808400169100489</v>
      </c>
      <c r="AD1821" s="594">
        <f ca="1">G1800</f>
        <v>0.14808400169100489</v>
      </c>
      <c r="AE1821" s="317" t="s">
        <v>488</v>
      </c>
      <c r="AF1821" s="594">
        <f ca="1">-H1800</f>
        <v>-0.19228532242830199</v>
      </c>
      <c r="AG1821" s="594">
        <f ca="1">-H1800</f>
        <v>-0.19228532242830199</v>
      </c>
      <c r="AH1821" s="594">
        <f ca="1">H1800</f>
        <v>0.19228532242830199</v>
      </c>
      <c r="AI1821" s="594">
        <f ca="1">H1800</f>
        <v>0.19228532242830199</v>
      </c>
      <c r="AJ1821" s="317" t="s">
        <v>488</v>
      </c>
      <c r="AK1821" s="594">
        <f ca="1">-I1800</f>
        <v>0</v>
      </c>
      <c r="AL1821" s="594">
        <f ca="1">-I1800</f>
        <v>0</v>
      </c>
      <c r="AM1821" s="594">
        <f ca="1">I1800</f>
        <v>0</v>
      </c>
      <c r="AN1821" s="438">
        <f ca="1">I1800</f>
        <v>0</v>
      </c>
    </row>
    <row r="1822" spans="1:40" ht="15.75" customHeight="1" x14ac:dyDescent="0.2">
      <c r="A1822" s="318" t="s">
        <v>489</v>
      </c>
      <c r="B1822" s="76">
        <f ca="1">SUM(B1820:B1821)</f>
        <v>1.1978100724933154E-2</v>
      </c>
      <c r="C1822" s="76">
        <f ca="1">SUM(C1820:C1821)</f>
        <v>0.8763341970011348</v>
      </c>
      <c r="D1822" s="76">
        <f ca="1">SUM(D1820:D1821)</f>
        <v>1.8622836016494268E-2</v>
      </c>
      <c r="E1822" s="76">
        <f ca="1">SUM(E1820:E1821)</f>
        <v>1.8622836016494268E-2</v>
      </c>
      <c r="F1822" s="318" t="s">
        <v>489</v>
      </c>
      <c r="G1822" s="76">
        <f ca="1">SUM(G1820:G1821)</f>
        <v>3.9817087821603939E-2</v>
      </c>
      <c r="H1822" s="76">
        <f ca="1">SUM(H1820:H1821)</f>
        <v>0.81498400481749578</v>
      </c>
      <c r="I1822" s="76">
        <f ca="1">SUM(I1820:I1821)</f>
        <v>6.1350192183639018E-2</v>
      </c>
      <c r="J1822" s="76">
        <f ca="1">SUM(J1820:J1821)</f>
        <v>6.1350192183639018E-2</v>
      </c>
      <c r="K1822" s="318" t="s">
        <v>489</v>
      </c>
      <c r="L1822" s="76">
        <f ca="1">SUM(L1820:L1821)</f>
        <v>0.10143515308708137</v>
      </c>
      <c r="M1822" s="76">
        <f ca="1">SUM(M1820:M1821)</f>
        <v>0.6689871246864999</v>
      </c>
      <c r="N1822" s="76">
        <f ca="1">SUM(N1820:N1821)</f>
        <v>0.14599688013099588</v>
      </c>
      <c r="O1822" s="76">
        <f ca="1">SUM(O1820:O1821)</f>
        <v>0.14599688013099588</v>
      </c>
      <c r="P1822" s="318" t="s">
        <v>489</v>
      </c>
      <c r="Q1822" s="76">
        <f ca="1">SUM(Q1820:Q1821)</f>
        <v>9.0426534809075282E-2</v>
      </c>
      <c r="R1822" s="76">
        <f ca="1">SUM(R1820:R1821)</f>
        <v>0.56028298516400232</v>
      </c>
      <c r="S1822" s="76">
        <f ca="1">SUM(S1820:S1821)</f>
        <v>0.10870413952249761</v>
      </c>
      <c r="T1822" s="76">
        <f ca="1">SUM(T1820:T1821)</f>
        <v>0.10870413952249761</v>
      </c>
      <c r="U1822" s="318" t="s">
        <v>489</v>
      </c>
      <c r="V1822" s="76">
        <f ca="1">SUM(V1820:V1821)</f>
        <v>0.20432393248720207</v>
      </c>
      <c r="W1822" s="76">
        <f ca="1">SUM(W1820:W1821)</f>
        <v>0.34036932411930687</v>
      </c>
      <c r="X1822" s="76">
        <f ca="1">SUM(X1820:X1821)</f>
        <v>0.21991366104469542</v>
      </c>
      <c r="Y1822" s="76">
        <f ca="1">SUM(Y1820:Y1821)</f>
        <v>0.21991366104469542</v>
      </c>
      <c r="Z1822" s="318" t="s">
        <v>489</v>
      </c>
      <c r="AA1822" s="76">
        <f ca="1">SUM(AA1820:AA1821)</f>
        <v>0.18239469097119609</v>
      </c>
      <c r="AB1822" s="76">
        <f ca="1">SUM(AB1820:AB1821)</f>
        <v>0.19228532242830199</v>
      </c>
      <c r="AC1822" s="76">
        <f ca="1">SUM(AC1820:AC1821)</f>
        <v>0.14808400169100489</v>
      </c>
      <c r="AD1822" s="76">
        <f ca="1">SUM(AD1820:AD1821)</f>
        <v>0.14808400169100489</v>
      </c>
      <c r="AE1822" s="318" t="s">
        <v>489</v>
      </c>
      <c r="AF1822" s="76">
        <f ca="1">SUM(AF1820:AF1821)</f>
        <v>0.60286776554677635</v>
      </c>
      <c r="AG1822" s="76">
        <f ca="1">SUM(AG1820:AG1821)</f>
        <v>0</v>
      </c>
      <c r="AH1822" s="76">
        <f ca="1">SUM(AH1820:AH1821)</f>
        <v>0.19228532242830199</v>
      </c>
      <c r="AI1822" s="76">
        <f ca="1">SUM(AI1820:AI1821)</f>
        <v>0.19228532242830199</v>
      </c>
      <c r="AJ1822" s="318" t="s">
        <v>489</v>
      </c>
      <c r="AK1822" s="76">
        <f ca="1">SUM(AK1820:AK1821)</f>
        <v>5.5928793383628522E-2</v>
      </c>
      <c r="AL1822" s="76">
        <f ca="1">SUM(AL1820:AL1821)</f>
        <v>0</v>
      </c>
      <c r="AM1822" s="76">
        <f ca="1">SUM(AM1820:AM1821)</f>
        <v>0</v>
      </c>
      <c r="AN1822" s="367">
        <f ca="1">SUM(AN1820:AN1821)</f>
        <v>0</v>
      </c>
    </row>
    <row r="1823" spans="1:40" ht="15.75" customHeight="1" x14ac:dyDescent="0.2">
      <c r="A1823" s="637" t="s">
        <v>2081</v>
      </c>
      <c r="B1823" s="1531" t="s">
        <v>2071</v>
      </c>
      <c r="C1823" s="1533"/>
      <c r="D1823" s="1531" t="s">
        <v>722</v>
      </c>
      <c r="E1823" s="1533"/>
      <c r="F1823" s="208" t="s">
        <v>2096</v>
      </c>
      <c r="G1823" s="1531" t="s">
        <v>2071</v>
      </c>
      <c r="H1823" s="1533"/>
      <c r="I1823" s="1531" t="s">
        <v>722</v>
      </c>
      <c r="J1823" s="1533"/>
      <c r="K1823" s="208" t="s">
        <v>2102</v>
      </c>
      <c r="L1823" s="1531" t="s">
        <v>2071</v>
      </c>
      <c r="M1823" s="1533"/>
      <c r="N1823" s="1531" t="s">
        <v>722</v>
      </c>
      <c r="O1823" s="1533"/>
      <c r="P1823" s="208" t="s">
        <v>2119</v>
      </c>
      <c r="Q1823" s="1531" t="s">
        <v>2071</v>
      </c>
      <c r="R1823" s="1533"/>
      <c r="S1823" s="1531" t="s">
        <v>722</v>
      </c>
      <c r="T1823" s="1533"/>
      <c r="U1823" s="208" t="s">
        <v>2109</v>
      </c>
      <c r="V1823" s="1531" t="s">
        <v>2071</v>
      </c>
      <c r="W1823" s="1533"/>
      <c r="X1823" s="1531" t="s">
        <v>722</v>
      </c>
      <c r="Y1823" s="1533"/>
      <c r="Z1823" s="208" t="s">
        <v>2128</v>
      </c>
      <c r="AA1823" s="1531" t="s">
        <v>2071</v>
      </c>
      <c r="AB1823" s="1533"/>
      <c r="AC1823" s="1531" t="s">
        <v>722</v>
      </c>
      <c r="AD1823" s="1533"/>
      <c r="AE1823" s="208" t="s">
        <v>2135</v>
      </c>
      <c r="AF1823" s="1531" t="s">
        <v>2071</v>
      </c>
      <c r="AG1823" s="1533"/>
      <c r="AH1823" s="1531" t="s">
        <v>722</v>
      </c>
      <c r="AI1823" s="1533"/>
      <c r="AJ1823" s="208" t="s">
        <v>2143</v>
      </c>
      <c r="AK1823" s="1531" t="s">
        <v>2071</v>
      </c>
      <c r="AL1823" s="1533"/>
      <c r="AM1823" s="1531" t="s">
        <v>722</v>
      </c>
      <c r="AN1823" s="1533"/>
    </row>
    <row r="1824" spans="1:40" ht="15.75" customHeight="1" x14ac:dyDescent="0.2">
      <c r="A1824" s="377" t="s">
        <v>376</v>
      </c>
      <c r="B1824" s="368" t="s">
        <v>1731</v>
      </c>
      <c r="C1824" s="368" t="s">
        <v>2082</v>
      </c>
      <c r="D1824" s="368" t="s">
        <v>2083</v>
      </c>
      <c r="E1824" s="368" t="s">
        <v>486</v>
      </c>
      <c r="F1824" s="377" t="s">
        <v>376</v>
      </c>
      <c r="G1824" s="368" t="s">
        <v>1732</v>
      </c>
      <c r="H1824" s="368" t="s">
        <v>2082</v>
      </c>
      <c r="I1824" s="368" t="s">
        <v>2089</v>
      </c>
      <c r="J1824" s="368" t="s">
        <v>486</v>
      </c>
      <c r="K1824" s="377" t="s">
        <v>376</v>
      </c>
      <c r="L1824" s="368" t="s">
        <v>1733</v>
      </c>
      <c r="M1824" s="368" t="s">
        <v>2082</v>
      </c>
      <c r="N1824" s="368" t="s">
        <v>2100</v>
      </c>
      <c r="O1824" s="368" t="s">
        <v>486</v>
      </c>
      <c r="P1824" s="377" t="s">
        <v>376</v>
      </c>
      <c r="Q1824" s="368" t="s">
        <v>2115</v>
      </c>
      <c r="R1824" s="368" t="s">
        <v>2082</v>
      </c>
      <c r="S1824" s="368" t="s">
        <v>2100</v>
      </c>
      <c r="T1824" s="368" t="s">
        <v>486</v>
      </c>
      <c r="U1824" s="377" t="s">
        <v>376</v>
      </c>
      <c r="V1824" s="368" t="s">
        <v>1735</v>
      </c>
      <c r="W1824" s="368" t="s">
        <v>2082</v>
      </c>
      <c r="X1824" s="368" t="s">
        <v>2104</v>
      </c>
      <c r="Y1824" s="368" t="s">
        <v>486</v>
      </c>
      <c r="Z1824" s="377" t="s">
        <v>376</v>
      </c>
      <c r="AA1824" s="368" t="s">
        <v>2123</v>
      </c>
      <c r="AB1824" s="368" t="s">
        <v>2082</v>
      </c>
      <c r="AC1824" s="368" t="s">
        <v>2104</v>
      </c>
      <c r="AD1824" s="368" t="s">
        <v>486</v>
      </c>
      <c r="AE1824" s="377" t="s">
        <v>376</v>
      </c>
      <c r="AF1824" s="368" t="s">
        <v>1737</v>
      </c>
      <c r="AG1824" s="368" t="s">
        <v>2082</v>
      </c>
      <c r="AH1824" s="368" t="s">
        <v>2113</v>
      </c>
      <c r="AI1824" s="368" t="s">
        <v>486</v>
      </c>
      <c r="AJ1824" s="377" t="s">
        <v>376</v>
      </c>
      <c r="AK1824" s="368" t="s">
        <v>1738</v>
      </c>
      <c r="AL1824" s="368" t="s">
        <v>2082</v>
      </c>
      <c r="AM1824" s="368" t="s">
        <v>2124</v>
      </c>
      <c r="AN1824" s="368" t="s">
        <v>486</v>
      </c>
    </row>
    <row r="1825" spans="1:40" ht="15.75" customHeight="1" x14ac:dyDescent="0.2">
      <c r="A1825" s="316" t="s">
        <v>487</v>
      </c>
      <c r="B1825" s="76">
        <f ca="1">B1822</f>
        <v>1.1978100724933154E-2</v>
      </c>
      <c r="C1825" s="76">
        <f ca="1">G1773</f>
        <v>0</v>
      </c>
      <c r="F1825" s="316" t="s">
        <v>487</v>
      </c>
      <c r="G1825" s="76">
        <f ca="1">G1822</f>
        <v>3.9817087821603939E-2</v>
      </c>
      <c r="H1825" s="76">
        <f ca="1">C1827</f>
        <v>0</v>
      </c>
      <c r="K1825" s="316" t="s">
        <v>487</v>
      </c>
      <c r="L1825" s="76">
        <f ca="1">L1822</f>
        <v>0.10143515308708137</v>
      </c>
      <c r="M1825" s="76">
        <f ca="1">H1827</f>
        <v>0</v>
      </c>
      <c r="P1825" s="316" t="s">
        <v>487</v>
      </c>
      <c r="Q1825" s="76">
        <f ca="1">Q1822</f>
        <v>9.0426534809075282E-2</v>
      </c>
      <c r="R1825" s="76">
        <f ca="1">M1827</f>
        <v>0</v>
      </c>
      <c r="U1825" s="316" t="s">
        <v>487</v>
      </c>
      <c r="V1825" s="76">
        <f ca="1">V1822</f>
        <v>0.20432393248720207</v>
      </c>
      <c r="W1825" s="76">
        <f ca="1">R1827</f>
        <v>0</v>
      </c>
      <c r="Z1825" s="316" t="s">
        <v>487</v>
      </c>
      <c r="AA1825" s="76">
        <f ca="1">AA1822</f>
        <v>0.18239469097119609</v>
      </c>
      <c r="AB1825" s="76">
        <f ca="1">W1827</f>
        <v>0</v>
      </c>
      <c r="AE1825" s="316" t="s">
        <v>487</v>
      </c>
      <c r="AF1825" s="76">
        <f ca="1">AF1822</f>
        <v>0.60286776554677635</v>
      </c>
      <c r="AG1825" s="76">
        <f ca="1">AB1827</f>
        <v>0</v>
      </c>
      <c r="AJ1825" s="316" t="s">
        <v>487</v>
      </c>
      <c r="AK1825" s="76">
        <f ca="1">AK1822</f>
        <v>5.5928793383628522E-2</v>
      </c>
      <c r="AL1825" s="76">
        <f ca="1">AG1827</f>
        <v>0</v>
      </c>
      <c r="AN1825" s="367"/>
    </row>
    <row r="1826" spans="1:40" ht="15.75" customHeight="1" x14ac:dyDescent="0.2">
      <c r="A1826" s="317" t="s">
        <v>488</v>
      </c>
      <c r="B1826" s="594">
        <f ca="1">-B1801</f>
        <v>0</v>
      </c>
      <c r="C1826" s="594">
        <f ca="1">-B1801</f>
        <v>0</v>
      </c>
      <c r="D1826" s="594">
        <f ca="1">B1801</f>
        <v>0</v>
      </c>
      <c r="E1826" s="594">
        <f ca="1">B1801</f>
        <v>0</v>
      </c>
      <c r="F1826" s="317" t="s">
        <v>488</v>
      </c>
      <c r="G1826" s="594">
        <f ca="1">-C1801</f>
        <v>0</v>
      </c>
      <c r="H1826" s="594">
        <f ca="1">-C1801</f>
        <v>0</v>
      </c>
      <c r="I1826" s="594">
        <f ca="1">C1801</f>
        <v>0</v>
      </c>
      <c r="J1826" s="594">
        <f ca="1">C1801</f>
        <v>0</v>
      </c>
      <c r="K1826" s="317" t="s">
        <v>488</v>
      </c>
      <c r="L1826" s="594">
        <f ca="1">-D1801</f>
        <v>0</v>
      </c>
      <c r="M1826" s="594">
        <f ca="1">-D1801</f>
        <v>0</v>
      </c>
      <c r="N1826" s="594">
        <f ca="1">D1801</f>
        <v>0</v>
      </c>
      <c r="O1826" s="594">
        <f ca="1">D1801</f>
        <v>0</v>
      </c>
      <c r="P1826" s="317" t="s">
        <v>488</v>
      </c>
      <c r="Q1826" s="594">
        <f ca="1">-E1801</f>
        <v>0</v>
      </c>
      <c r="R1826" s="594">
        <f ca="1">-E1801</f>
        <v>0</v>
      </c>
      <c r="S1826" s="594">
        <f ca="1">E1801</f>
        <v>0</v>
      </c>
      <c r="T1826" s="594">
        <f ca="1">E1801</f>
        <v>0</v>
      </c>
      <c r="U1826" s="317" t="s">
        <v>488</v>
      </c>
      <c r="V1826" s="594">
        <f ca="1">-F1801</f>
        <v>0</v>
      </c>
      <c r="W1826" s="594">
        <f ca="1">-F1801</f>
        <v>0</v>
      </c>
      <c r="X1826" s="594">
        <f ca="1">F1801</f>
        <v>0</v>
      </c>
      <c r="Y1826" s="594">
        <f ca="1">-F1801</f>
        <v>0</v>
      </c>
      <c r="Z1826" s="317" t="s">
        <v>488</v>
      </c>
      <c r="AA1826" s="594">
        <f ca="1">-G1801</f>
        <v>0</v>
      </c>
      <c r="AB1826" s="594">
        <f ca="1">-G1801</f>
        <v>0</v>
      </c>
      <c r="AC1826" s="594">
        <f ca="1">G1801</f>
        <v>0</v>
      </c>
      <c r="AD1826" s="594">
        <f ca="1">G1801</f>
        <v>0</v>
      </c>
      <c r="AE1826" s="317" t="s">
        <v>488</v>
      </c>
      <c r="AF1826" s="594">
        <f ca="1">-H1801</f>
        <v>0</v>
      </c>
      <c r="AG1826" s="594">
        <f ca="1">-H1801</f>
        <v>0</v>
      </c>
      <c r="AH1826" s="594">
        <f ca="1">H1801</f>
        <v>0</v>
      </c>
      <c r="AI1826" s="594">
        <f ca="1">H1801</f>
        <v>0</v>
      </c>
      <c r="AJ1826" s="317" t="s">
        <v>488</v>
      </c>
      <c r="AK1826" s="594">
        <f ca="1">-I1801</f>
        <v>0</v>
      </c>
      <c r="AL1826" s="594">
        <f ca="1">-I1801</f>
        <v>0</v>
      </c>
      <c r="AM1826" s="594">
        <f ca="1">I1801</f>
        <v>0</v>
      </c>
      <c r="AN1826" s="438">
        <f ca="1">I1801</f>
        <v>0</v>
      </c>
    </row>
    <row r="1827" spans="1:40" ht="15.75" customHeight="1" x14ac:dyDescent="0.2">
      <c r="A1827" s="318" t="s">
        <v>489</v>
      </c>
      <c r="B1827" s="76">
        <f ca="1">SUM(B1825:B1826)</f>
        <v>1.1978100724933154E-2</v>
      </c>
      <c r="C1827" s="76">
        <f ca="1">SUM(C1825:C1826)</f>
        <v>0</v>
      </c>
      <c r="D1827" s="76">
        <f ca="1">SUM(D1825:D1826)</f>
        <v>0</v>
      </c>
      <c r="E1827" s="76">
        <f ca="1">SUM(E1825:E1826)</f>
        <v>0</v>
      </c>
      <c r="F1827" s="318" t="s">
        <v>489</v>
      </c>
      <c r="G1827" s="76">
        <f ca="1">SUM(G1825:G1826)</f>
        <v>3.9817087821603939E-2</v>
      </c>
      <c r="H1827" s="76">
        <f ca="1">SUM(H1825:H1826)</f>
        <v>0</v>
      </c>
      <c r="I1827" s="76">
        <f ca="1">SUM(I1825:I1826)</f>
        <v>0</v>
      </c>
      <c r="J1827" s="76">
        <f ca="1">SUM(J1825:J1826)</f>
        <v>0</v>
      </c>
      <c r="K1827" s="318" t="s">
        <v>489</v>
      </c>
      <c r="L1827" s="76">
        <f ca="1">SUM(L1825:L1826)</f>
        <v>0.10143515308708137</v>
      </c>
      <c r="M1827" s="76">
        <f ca="1">SUM(M1825:M1826)</f>
        <v>0</v>
      </c>
      <c r="N1827" s="76">
        <f ca="1">SUM(N1825:N1826)</f>
        <v>0</v>
      </c>
      <c r="O1827" s="76">
        <f ca="1">SUM(O1825:O1826)</f>
        <v>0</v>
      </c>
      <c r="P1827" s="318" t="s">
        <v>489</v>
      </c>
      <c r="Q1827" s="76">
        <f ca="1">SUM(Q1825:Q1826)</f>
        <v>9.0426534809075282E-2</v>
      </c>
      <c r="R1827" s="76">
        <f ca="1">SUM(R1825:R1826)</f>
        <v>0</v>
      </c>
      <c r="S1827" s="76">
        <f ca="1">SUM(S1825:S1826)</f>
        <v>0</v>
      </c>
      <c r="T1827" s="76">
        <f ca="1">SUM(T1825:T1826)</f>
        <v>0</v>
      </c>
      <c r="U1827" s="318" t="s">
        <v>489</v>
      </c>
      <c r="V1827" s="76">
        <f ca="1">SUM(V1825:V1826)</f>
        <v>0.20432393248720207</v>
      </c>
      <c r="W1827" s="76">
        <f ca="1">SUM(W1825:W1826)</f>
        <v>0</v>
      </c>
      <c r="X1827" s="76">
        <f ca="1">SUM(X1825:X1826)</f>
        <v>0</v>
      </c>
      <c r="Y1827" s="76">
        <f ca="1">SUM(Y1825:Y1826)</f>
        <v>0</v>
      </c>
      <c r="Z1827" s="318" t="s">
        <v>489</v>
      </c>
      <c r="AA1827" s="76">
        <f ca="1">SUM(AA1825:AA1826)</f>
        <v>0.18239469097119609</v>
      </c>
      <c r="AB1827" s="76">
        <f ca="1">SUM(AB1825:AB1826)</f>
        <v>0</v>
      </c>
      <c r="AC1827" s="76">
        <f ca="1">SUM(AC1825:AC1826)</f>
        <v>0</v>
      </c>
      <c r="AD1827" s="76">
        <f ca="1">SUM(AD1825:AD1826)</f>
        <v>0</v>
      </c>
      <c r="AE1827" s="318" t="s">
        <v>489</v>
      </c>
      <c r="AF1827" s="76">
        <f ca="1">SUM(AF1825:AF1826)</f>
        <v>0.60286776554677635</v>
      </c>
      <c r="AG1827" s="76">
        <f ca="1">SUM(AG1825:AG1826)</f>
        <v>0</v>
      </c>
      <c r="AH1827" s="76">
        <f ca="1">SUM(AH1825:AH1826)</f>
        <v>0</v>
      </c>
      <c r="AI1827" s="76">
        <f ca="1">SUM(AI1825:AI1826)</f>
        <v>0</v>
      </c>
      <c r="AJ1827" s="318" t="s">
        <v>489</v>
      </c>
      <c r="AK1827" s="76">
        <f ca="1">SUM(AK1825:AK1826)</f>
        <v>5.5928793383628522E-2</v>
      </c>
      <c r="AL1827" s="76">
        <f ca="1">SUM(AL1825:AL1826)</f>
        <v>0</v>
      </c>
      <c r="AM1827" s="76">
        <f ca="1">SUM(AM1825:AM1826)</f>
        <v>0</v>
      </c>
      <c r="AN1827" s="367">
        <f ca="1">SUM(AN1825:AN1826)</f>
        <v>0</v>
      </c>
    </row>
    <row r="1828" spans="1:40" ht="15.75" customHeight="1" x14ac:dyDescent="0.2">
      <c r="A1828" s="637" t="s">
        <v>2084</v>
      </c>
      <c r="B1828" s="1531" t="s">
        <v>2071</v>
      </c>
      <c r="C1828" s="1533"/>
      <c r="D1828" s="1531" t="s">
        <v>722</v>
      </c>
      <c r="E1828" s="1533"/>
      <c r="F1828" s="208" t="s">
        <v>2097</v>
      </c>
      <c r="G1828" s="1531" t="s">
        <v>2071</v>
      </c>
      <c r="H1828" s="1533"/>
      <c r="I1828" s="1531" t="s">
        <v>722</v>
      </c>
      <c r="J1828" s="1533"/>
      <c r="K1828" s="208" t="s">
        <v>1162</v>
      </c>
      <c r="L1828" s="1531" t="s">
        <v>2071</v>
      </c>
      <c r="M1828" s="1533"/>
      <c r="N1828" s="1531" t="s">
        <v>722</v>
      </c>
      <c r="O1828" s="1533"/>
      <c r="P1828" s="208" t="s">
        <v>2120</v>
      </c>
      <c r="Q1828" s="1531" t="s">
        <v>2071</v>
      </c>
      <c r="R1828" s="1533"/>
      <c r="S1828" s="1531" t="s">
        <v>722</v>
      </c>
      <c r="T1828" s="1533"/>
      <c r="U1828" s="208" t="s">
        <v>2110</v>
      </c>
      <c r="V1828" s="1531" t="s">
        <v>2071</v>
      </c>
      <c r="W1828" s="1533"/>
      <c r="X1828" s="1531" t="s">
        <v>722</v>
      </c>
      <c r="Y1828" s="1533"/>
      <c r="Z1828" s="208" t="s">
        <v>2129</v>
      </c>
      <c r="AA1828" s="1531" t="s">
        <v>2071</v>
      </c>
      <c r="AB1828" s="1533"/>
      <c r="AC1828" s="1531" t="s">
        <v>722</v>
      </c>
      <c r="AD1828" s="1533"/>
      <c r="AE1828" s="208" t="s">
        <v>2136</v>
      </c>
      <c r="AF1828" s="1531" t="s">
        <v>2071</v>
      </c>
      <c r="AG1828" s="1533"/>
      <c r="AH1828" s="1531" t="s">
        <v>722</v>
      </c>
      <c r="AI1828" s="1533"/>
      <c r="AJ1828" s="208" t="s">
        <v>2144</v>
      </c>
      <c r="AK1828" s="1531" t="s">
        <v>2071</v>
      </c>
      <c r="AL1828" s="1533"/>
      <c r="AM1828" s="1531" t="s">
        <v>722</v>
      </c>
      <c r="AN1828" s="1533"/>
    </row>
    <row r="1829" spans="1:40" ht="15.75" customHeight="1" x14ac:dyDescent="0.2">
      <c r="A1829" s="377" t="s">
        <v>376</v>
      </c>
      <c r="B1829" s="368" t="s">
        <v>1731</v>
      </c>
      <c r="C1829" s="368" t="s">
        <v>2085</v>
      </c>
      <c r="D1829" s="368" t="s">
        <v>2086</v>
      </c>
      <c r="E1829" s="368" t="s">
        <v>486</v>
      </c>
      <c r="F1829" s="377" t="s">
        <v>376</v>
      </c>
      <c r="G1829" s="368" t="s">
        <v>1732</v>
      </c>
      <c r="H1829" s="368" t="s">
        <v>2085</v>
      </c>
      <c r="I1829" s="368" t="s">
        <v>2092</v>
      </c>
      <c r="J1829" s="368" t="s">
        <v>486</v>
      </c>
      <c r="K1829" s="377" t="s">
        <v>376</v>
      </c>
      <c r="L1829" s="368" t="s">
        <v>1733</v>
      </c>
      <c r="M1829" s="368" t="s">
        <v>2085</v>
      </c>
      <c r="N1829" s="368" t="s">
        <v>2101</v>
      </c>
      <c r="O1829" s="368" t="s">
        <v>486</v>
      </c>
      <c r="P1829" s="377" t="s">
        <v>376</v>
      </c>
      <c r="Q1829" s="368" t="s">
        <v>2115</v>
      </c>
      <c r="R1829" s="368" t="s">
        <v>2085</v>
      </c>
      <c r="S1829" s="368" t="s">
        <v>2104</v>
      </c>
      <c r="T1829" s="368" t="s">
        <v>486</v>
      </c>
      <c r="U1829" s="377" t="s">
        <v>376</v>
      </c>
      <c r="V1829" s="368" t="s">
        <v>1735</v>
      </c>
      <c r="W1829" s="368" t="s">
        <v>2085</v>
      </c>
      <c r="X1829" s="368" t="s">
        <v>2105</v>
      </c>
      <c r="Y1829" s="368" t="s">
        <v>486</v>
      </c>
      <c r="Z1829" s="377" t="s">
        <v>376</v>
      </c>
      <c r="AA1829" s="368" t="s">
        <v>2123</v>
      </c>
      <c r="AB1829" s="368" t="s">
        <v>2085</v>
      </c>
      <c r="AC1829" s="368" t="s">
        <v>2113</v>
      </c>
      <c r="AD1829" s="368" t="s">
        <v>486</v>
      </c>
      <c r="AE1829" s="377" t="s">
        <v>376</v>
      </c>
      <c r="AF1829" s="368" t="s">
        <v>1737</v>
      </c>
      <c r="AG1829" s="368" t="s">
        <v>2085</v>
      </c>
      <c r="AH1829" s="368" t="s">
        <v>2114</v>
      </c>
      <c r="AI1829" s="368" t="s">
        <v>486</v>
      </c>
      <c r="AJ1829" s="377" t="s">
        <v>376</v>
      </c>
      <c r="AK1829" s="368" t="s">
        <v>1738</v>
      </c>
      <c r="AL1829" s="368" t="s">
        <v>2085</v>
      </c>
      <c r="AM1829" s="368" t="s">
        <v>2139</v>
      </c>
      <c r="AN1829" s="368" t="s">
        <v>486</v>
      </c>
    </row>
    <row r="1830" spans="1:40" ht="15.75" customHeight="1" x14ac:dyDescent="0.2">
      <c r="A1830" s="316" t="s">
        <v>487</v>
      </c>
      <c r="B1830" s="76">
        <f ca="1">B1827</f>
        <v>1.1978100724933154E-2</v>
      </c>
      <c r="C1830" s="76">
        <f ca="1">G1774</f>
        <v>1.3181089026755612</v>
      </c>
      <c r="F1830" s="316" t="s">
        <v>487</v>
      </c>
      <c r="G1830" s="76">
        <f ca="1">G1827</f>
        <v>3.9817087821603939E-2</v>
      </c>
      <c r="H1830" s="76">
        <f ca="1">C1832</f>
        <v>1.3073727626577396</v>
      </c>
      <c r="K1830" s="316" t="s">
        <v>487</v>
      </c>
      <c r="L1830" s="76">
        <f ca="1">L1827</f>
        <v>0.10143515308708137</v>
      </c>
      <c r="M1830" s="76">
        <f ca="1">H1832</f>
        <v>1.2713501655921688</v>
      </c>
      <c r="P1830" s="316" t="s">
        <v>487</v>
      </c>
      <c r="Q1830" s="76">
        <f ca="1">Q1827</f>
        <v>9.0426534809075282E-2</v>
      </c>
      <c r="R1830" s="76">
        <f ca="1">M1832</f>
        <v>1.1779834161521001</v>
      </c>
      <c r="U1830" s="316" t="s">
        <v>487</v>
      </c>
      <c r="V1830" s="76">
        <f ca="1">V1827</f>
        <v>0.20432393248720207</v>
      </c>
      <c r="W1830" s="76">
        <f ca="1">R1832</f>
        <v>1.0910623141097839</v>
      </c>
      <c r="Z1830" s="316" t="s">
        <v>487</v>
      </c>
      <c r="AA1830" s="76">
        <f ca="1">AA1827</f>
        <v>0.18239469097119609</v>
      </c>
      <c r="AB1830" s="76">
        <f ca="1">W1832</f>
        <v>0.88480734616932688</v>
      </c>
      <c r="AE1830" s="316" t="s">
        <v>487</v>
      </c>
      <c r="AF1830" s="76">
        <f ca="1">AF1827</f>
        <v>0.60286776554677635</v>
      </c>
      <c r="AG1830" s="76">
        <f ca="1">AB1832</f>
        <v>0.6723483239560839</v>
      </c>
      <c r="AJ1830" s="316" t="s">
        <v>487</v>
      </c>
      <c r="AK1830" s="76">
        <f ca="1">AK1827</f>
        <v>5.5928793383628522E-2</v>
      </c>
      <c r="AL1830" s="76">
        <f ca="1">AG1832</f>
        <v>6.9480558409307558E-2</v>
      </c>
      <c r="AN1830" s="367"/>
    </row>
    <row r="1831" spans="1:40" ht="15.75" customHeight="1" x14ac:dyDescent="0.2">
      <c r="A1831" s="317" t="s">
        <v>488</v>
      </c>
      <c r="B1831" s="594">
        <f ca="1">-B1802</f>
        <v>-1.0736140017821711E-2</v>
      </c>
      <c r="C1831" s="594">
        <f ca="1">-B1802</f>
        <v>-1.0736140017821711E-2</v>
      </c>
      <c r="D1831" s="594">
        <f ca="1">B1802</f>
        <v>1.0736140017821711E-2</v>
      </c>
      <c r="E1831" s="594">
        <f ca="1">B1802</f>
        <v>1.0736140017821711E-2</v>
      </c>
      <c r="F1831" s="317" t="s">
        <v>488</v>
      </c>
      <c r="G1831" s="594">
        <f ca="1">-C1802</f>
        <v>-3.6022597065570802E-2</v>
      </c>
      <c r="H1831" s="594">
        <f ca="1">-C1802</f>
        <v>-3.6022597065570802E-2</v>
      </c>
      <c r="I1831" s="594">
        <f ca="1">C1802</f>
        <v>3.6022597065570802E-2</v>
      </c>
      <c r="J1831" s="594">
        <f ca="1">C1802</f>
        <v>3.6022597065570802E-2</v>
      </c>
      <c r="K1831" s="317" t="s">
        <v>488</v>
      </c>
      <c r="L1831" s="594">
        <f ca="1">-D1802</f>
        <v>-9.3366749440068619E-2</v>
      </c>
      <c r="M1831" s="594">
        <f ca="1">-D1802</f>
        <v>-9.3366749440068619E-2</v>
      </c>
      <c r="N1831" s="594">
        <f ca="1">D1802</f>
        <v>9.3366749440068619E-2</v>
      </c>
      <c r="O1831" s="594">
        <f ca="1">D1802</f>
        <v>9.3366749440068619E-2</v>
      </c>
      <c r="P1831" s="317" t="s">
        <v>488</v>
      </c>
      <c r="Q1831" s="594">
        <f ca="1">-E1802</f>
        <v>-8.6921102042316095E-2</v>
      </c>
      <c r="R1831" s="594">
        <f ca="1">-E1802</f>
        <v>-8.6921102042316095E-2</v>
      </c>
      <c r="S1831" s="594">
        <f ca="1">E1802</f>
        <v>8.6921102042316095E-2</v>
      </c>
      <c r="T1831" s="594">
        <f ca="1">E1802</f>
        <v>8.6921102042316095E-2</v>
      </c>
      <c r="U1831" s="317" t="s">
        <v>488</v>
      </c>
      <c r="V1831" s="594">
        <f ca="1">-F1802</f>
        <v>-0.20625496794045708</v>
      </c>
      <c r="W1831" s="594">
        <f ca="1">-F1802</f>
        <v>-0.20625496794045708</v>
      </c>
      <c r="X1831" s="594">
        <f ca="1">F1802</f>
        <v>0.20625496794045708</v>
      </c>
      <c r="Y1831" s="594">
        <f ca="1">F1802</f>
        <v>0.20625496794045708</v>
      </c>
      <c r="Z1831" s="317" t="s">
        <v>488</v>
      </c>
      <c r="AA1831" s="594">
        <f ca="1">-G1802</f>
        <v>-0.21245902221324295</v>
      </c>
      <c r="AB1831" s="594">
        <f ca="1">-G1802</f>
        <v>-0.21245902221324295</v>
      </c>
      <c r="AC1831" s="594">
        <f ca="1">G1802</f>
        <v>0.21245902221324295</v>
      </c>
      <c r="AD1831" s="594">
        <f ca="1">G1802</f>
        <v>0.21245902221324295</v>
      </c>
      <c r="AE1831" s="317" t="s">
        <v>488</v>
      </c>
      <c r="AF1831" s="594">
        <f ca="1">-H1802</f>
        <v>-0.60286776554677635</v>
      </c>
      <c r="AG1831" s="594">
        <f ca="1">-H1802</f>
        <v>-0.60286776554677635</v>
      </c>
      <c r="AH1831" s="594">
        <f ca="1">H1802</f>
        <v>0.60286776554677635</v>
      </c>
      <c r="AI1831" s="594">
        <f ca="1">H1802</f>
        <v>0.60286776554677635</v>
      </c>
      <c r="AJ1831" s="317" t="s">
        <v>488</v>
      </c>
      <c r="AK1831" s="594">
        <f ca="1">-I1802</f>
        <v>-5.5928793383628522E-2</v>
      </c>
      <c r="AL1831" s="594">
        <f ca="1">-I1802</f>
        <v>-5.5928793383628522E-2</v>
      </c>
      <c r="AM1831" s="594">
        <f ca="1">I1802</f>
        <v>5.5928793383628522E-2</v>
      </c>
      <c r="AN1831" s="438">
        <f ca="1">I1802</f>
        <v>5.5928793383628522E-2</v>
      </c>
    </row>
    <row r="1832" spans="1:40" ht="15.75" customHeight="1" x14ac:dyDescent="0.2">
      <c r="A1832" s="318" t="s">
        <v>489</v>
      </c>
      <c r="B1832" s="76">
        <f ca="1">SUM(B1830:B1831)</f>
        <v>1.2419607071114426E-3</v>
      </c>
      <c r="C1832" s="76">
        <f ca="1">SUM(C1830:C1831)</f>
        <v>1.3073727626577396</v>
      </c>
      <c r="D1832" s="76">
        <f ca="1">SUM(D1830:D1831)</f>
        <v>1.0736140017821711E-2</v>
      </c>
      <c r="E1832" s="76">
        <f ca="1">SUM(E1830:E1831)</f>
        <v>1.0736140017821711E-2</v>
      </c>
      <c r="F1832" s="318" t="s">
        <v>489</v>
      </c>
      <c r="G1832" s="76">
        <f ca="1">SUM(G1830:G1831)</f>
        <v>3.7944907560331365E-3</v>
      </c>
      <c r="H1832" s="76">
        <f ca="1">SUM(H1830:H1831)</f>
        <v>1.2713501655921688</v>
      </c>
      <c r="I1832" s="76">
        <f ca="1">SUM(I1830:I1831)</f>
        <v>3.6022597065570802E-2</v>
      </c>
      <c r="J1832" s="76">
        <f ca="1">SUM(J1830:J1831)</f>
        <v>3.6022597065570802E-2</v>
      </c>
      <c r="K1832" s="318" t="s">
        <v>489</v>
      </c>
      <c r="L1832" s="76">
        <f ca="1">SUM(L1830:L1831)</f>
        <v>8.0684036470127507E-3</v>
      </c>
      <c r="M1832" s="76">
        <f ca="1">SUM(M1830:M1831)</f>
        <v>1.1779834161521001</v>
      </c>
      <c r="N1832" s="76">
        <f ca="1">SUM(N1830:N1831)</f>
        <v>9.3366749440068619E-2</v>
      </c>
      <c r="O1832" s="76">
        <f ca="1">SUM(O1830:O1831)</f>
        <v>9.3366749440068619E-2</v>
      </c>
      <c r="P1832" s="318" t="s">
        <v>489</v>
      </c>
      <c r="Q1832" s="76">
        <f ca="1">SUM(Q1830:Q1831)</f>
        <v>3.5054327667591867E-3</v>
      </c>
      <c r="R1832" s="76">
        <f ca="1">SUM(R1830:R1831)</f>
        <v>1.0910623141097839</v>
      </c>
      <c r="S1832" s="76">
        <f ca="1">SUM(S1830:S1831)</f>
        <v>8.6921102042316095E-2</v>
      </c>
      <c r="T1832" s="76">
        <f ca="1">SUM(T1830:T1831)</f>
        <v>8.6921102042316095E-2</v>
      </c>
      <c r="U1832" s="318" t="s">
        <v>489</v>
      </c>
      <c r="V1832" s="76">
        <f ca="1">SUM(V1830:V1831)</f>
        <v>-1.9310354532550145E-3</v>
      </c>
      <c r="W1832" s="76">
        <f ca="1">SUM(W1830:W1831)</f>
        <v>0.88480734616932688</v>
      </c>
      <c r="X1832" s="76">
        <f ca="1">SUM(X1830:X1831)</f>
        <v>0.20625496794045708</v>
      </c>
      <c r="Y1832" s="76">
        <f ca="1">SUM(Y1830:Y1831)</f>
        <v>0.20625496794045708</v>
      </c>
      <c r="Z1832" s="318" t="s">
        <v>489</v>
      </c>
      <c r="AA1832" s="76">
        <f ca="1">SUM(AA1830:AA1831)</f>
        <v>-3.0064331242046854E-2</v>
      </c>
      <c r="AB1832" s="76">
        <f ca="1">SUM(AB1830:AB1831)</f>
        <v>0.6723483239560839</v>
      </c>
      <c r="AC1832" s="76">
        <f ca="1">SUM(AC1830:AC1831)</f>
        <v>0.21245902221324295</v>
      </c>
      <c r="AD1832" s="76">
        <f ca="1">SUM(AD1830:AD1831)</f>
        <v>0.21245902221324295</v>
      </c>
      <c r="AE1832" s="318" t="s">
        <v>489</v>
      </c>
      <c r="AF1832" s="76">
        <f ca="1">SUM(AF1830:AF1831)</f>
        <v>0</v>
      </c>
      <c r="AG1832" s="76">
        <f ca="1">SUM(AG1830:AG1831)</f>
        <v>6.9480558409307558E-2</v>
      </c>
      <c r="AH1832" s="76">
        <f ca="1">SUM(AH1830:AH1831)</f>
        <v>0.60286776554677635</v>
      </c>
      <c r="AI1832" s="76">
        <f ca="1">SUM(AI1830:AI1831)</f>
        <v>0.60286776554677635</v>
      </c>
      <c r="AJ1832" s="318" t="s">
        <v>489</v>
      </c>
      <c r="AK1832" s="76">
        <f ca="1">SUM(AK1830:AK1831)</f>
        <v>0</v>
      </c>
      <c r="AL1832" s="76">
        <f ca="1">SUM(AL1830:AL1831)</f>
        <v>1.3551765025679036E-2</v>
      </c>
      <c r="AM1832" s="76">
        <f ca="1">SUM(AM1830:AM1831)</f>
        <v>5.5928793383628522E-2</v>
      </c>
      <c r="AN1832" s="367">
        <f ca="1">SUM(AN1830:AN1831)</f>
        <v>5.5928793383628522E-2</v>
      </c>
    </row>
    <row r="1833" spans="1:40" ht="15.75" customHeight="1" x14ac:dyDescent="0.2">
      <c r="A1833" s="637" t="s">
        <v>2087</v>
      </c>
      <c r="B1833" s="1531" t="s">
        <v>2071</v>
      </c>
      <c r="C1833" s="1533"/>
      <c r="D1833" s="1531" t="s">
        <v>722</v>
      </c>
      <c r="E1833" s="1533"/>
      <c r="F1833" s="208" t="s">
        <v>2098</v>
      </c>
      <c r="G1833" s="1531" t="s">
        <v>2071</v>
      </c>
      <c r="H1833" s="1533"/>
      <c r="I1833" s="1531" t="s">
        <v>722</v>
      </c>
      <c r="J1833" s="1533"/>
      <c r="K1833" s="208" t="s">
        <v>2103</v>
      </c>
      <c r="L1833" s="1531" t="s">
        <v>2071</v>
      </c>
      <c r="M1833" s="1533"/>
      <c r="N1833" s="1531" t="s">
        <v>722</v>
      </c>
      <c r="O1833" s="1533"/>
      <c r="P1833" s="208" t="s">
        <v>2121</v>
      </c>
      <c r="Q1833" s="1531" t="s">
        <v>2071</v>
      </c>
      <c r="R1833" s="1533"/>
      <c r="S1833" s="1531" t="s">
        <v>722</v>
      </c>
      <c r="T1833" s="1533"/>
      <c r="U1833" s="208" t="s">
        <v>2111</v>
      </c>
      <c r="V1833" s="1531" t="s">
        <v>2071</v>
      </c>
      <c r="W1833" s="1533"/>
      <c r="X1833" s="1531" t="s">
        <v>722</v>
      </c>
      <c r="Y1833" s="1533"/>
      <c r="Z1833" s="208" t="s">
        <v>2130</v>
      </c>
      <c r="AA1833" s="1531" t="s">
        <v>2071</v>
      </c>
      <c r="AB1833" s="1533"/>
      <c r="AC1833" s="1531" t="s">
        <v>722</v>
      </c>
      <c r="AD1833" s="1533"/>
      <c r="AE1833" s="208" t="s">
        <v>2137</v>
      </c>
      <c r="AF1833" s="1531" t="s">
        <v>2071</v>
      </c>
      <c r="AG1833" s="1533"/>
      <c r="AH1833" s="1531" t="s">
        <v>722</v>
      </c>
      <c r="AI1833" s="1533"/>
      <c r="AJ1833" s="208" t="s">
        <v>2145</v>
      </c>
      <c r="AK1833" s="1531" t="s">
        <v>2071</v>
      </c>
      <c r="AL1833" s="1533"/>
      <c r="AM1833" s="1531" t="s">
        <v>722</v>
      </c>
      <c r="AN1833" s="1533"/>
    </row>
    <row r="1834" spans="1:40" ht="15.75" customHeight="1" x14ac:dyDescent="0.2">
      <c r="A1834" s="377" t="s">
        <v>376</v>
      </c>
      <c r="B1834" s="368" t="s">
        <v>1731</v>
      </c>
      <c r="C1834" s="368" t="s">
        <v>2088</v>
      </c>
      <c r="D1834" s="368" t="s">
        <v>2089</v>
      </c>
      <c r="E1834" s="368" t="s">
        <v>486</v>
      </c>
      <c r="F1834" s="377" t="s">
        <v>376</v>
      </c>
      <c r="G1834" s="368" t="s">
        <v>1732</v>
      </c>
      <c r="H1834" s="368" t="s">
        <v>2088</v>
      </c>
      <c r="I1834" s="368" t="s">
        <v>2100</v>
      </c>
      <c r="J1834" s="368" t="s">
        <v>486</v>
      </c>
      <c r="K1834" s="377" t="s">
        <v>376</v>
      </c>
      <c r="L1834" s="368" t="s">
        <v>1733</v>
      </c>
      <c r="M1834" s="368" t="s">
        <v>2088</v>
      </c>
      <c r="N1834" s="368" t="s">
        <v>2104</v>
      </c>
      <c r="O1834" s="368" t="s">
        <v>486</v>
      </c>
      <c r="P1834" s="377" t="s">
        <v>376</v>
      </c>
      <c r="Q1834" s="368" t="s">
        <v>2115</v>
      </c>
      <c r="R1834" s="368" t="s">
        <v>2088</v>
      </c>
      <c r="S1834" s="368" t="s">
        <v>2104</v>
      </c>
      <c r="T1834" s="368" t="s">
        <v>486</v>
      </c>
      <c r="U1834" s="377" t="s">
        <v>376</v>
      </c>
      <c r="V1834" s="368" t="s">
        <v>1735</v>
      </c>
      <c r="W1834" s="368" t="s">
        <v>2088</v>
      </c>
      <c r="X1834" s="368" t="s">
        <v>2113</v>
      </c>
      <c r="Y1834" s="368" t="s">
        <v>486</v>
      </c>
      <c r="Z1834" s="377" t="s">
        <v>376</v>
      </c>
      <c r="AA1834" s="368" t="s">
        <v>2123</v>
      </c>
      <c r="AB1834" s="368" t="s">
        <v>2088</v>
      </c>
      <c r="AC1834" s="368" t="s">
        <v>2113</v>
      </c>
      <c r="AD1834" s="368" t="s">
        <v>486</v>
      </c>
      <c r="AE1834" s="377" t="s">
        <v>376</v>
      </c>
      <c r="AF1834" s="368" t="s">
        <v>1737</v>
      </c>
      <c r="AG1834" s="368" t="s">
        <v>2088</v>
      </c>
      <c r="AH1834" s="368" t="s">
        <v>2124</v>
      </c>
      <c r="AI1834" s="368" t="s">
        <v>486</v>
      </c>
      <c r="AJ1834" s="377" t="s">
        <v>376</v>
      </c>
      <c r="AK1834" s="368" t="s">
        <v>1738</v>
      </c>
      <c r="AL1834" s="368" t="s">
        <v>2088</v>
      </c>
      <c r="AM1834" s="368" t="s">
        <v>2147</v>
      </c>
      <c r="AN1834" s="368" t="s">
        <v>486</v>
      </c>
    </row>
    <row r="1835" spans="1:40" ht="15.75" customHeight="1" x14ac:dyDescent="0.2">
      <c r="A1835" s="316" t="s">
        <v>487</v>
      </c>
      <c r="B1835" s="76">
        <f ca="1">B1832</f>
        <v>1.2419607071114426E-3</v>
      </c>
      <c r="C1835" s="76">
        <f ca="1">G1775</f>
        <v>1.0039618976719756E-2</v>
      </c>
      <c r="F1835" s="316" t="s">
        <v>487</v>
      </c>
      <c r="G1835" s="76">
        <f ca="1">G1832</f>
        <v>3.7944907560331365E-3</v>
      </c>
      <c r="H1835" s="76">
        <f ca="1">C1837</f>
        <v>1.0032835942837555E-2</v>
      </c>
      <c r="K1835" s="316" t="s">
        <v>487</v>
      </c>
      <c r="L1835" s="76">
        <f ca="1">L1832</f>
        <v>8.0684036470127507E-3</v>
      </c>
      <c r="M1835" s="76">
        <f ca="1">H1837</f>
        <v>1.0011760665842842E-2</v>
      </c>
      <c r="P1835" s="316" t="s">
        <v>487</v>
      </c>
      <c r="Q1835" s="76">
        <f ca="1">Q1832</f>
        <v>3.5054327667591867E-3</v>
      </c>
      <c r="R1835" s="76">
        <f ca="1">M1837</f>
        <v>9.9649735117476601E-3</v>
      </c>
      <c r="U1835" s="316" t="s">
        <v>487</v>
      </c>
      <c r="V1835" s="76">
        <f ca="1">V1832</f>
        <v>-1.9310354532550145E-3</v>
      </c>
      <c r="W1835" s="76">
        <f ca="1">R1837</f>
        <v>9.9421701993884105E-3</v>
      </c>
      <c r="Z1835" s="316" t="s">
        <v>487</v>
      </c>
      <c r="AA1835" s="76">
        <f ca="1">AA1832</f>
        <v>-3.0064331242046854E-2</v>
      </c>
      <c r="AB1835" s="76">
        <f ca="1">W1837</f>
        <v>9.9563802966993256E-3</v>
      </c>
      <c r="AE1835" s="316" t="s">
        <v>487</v>
      </c>
      <c r="AF1835" s="76">
        <f ca="1">AF1832</f>
        <v>0</v>
      </c>
      <c r="AG1835" s="76">
        <f ca="1">AB1837</f>
        <v>1.0271631880489705E-2</v>
      </c>
      <c r="AJ1835" s="316" t="s">
        <v>487</v>
      </c>
      <c r="AK1835" s="76">
        <f ca="1">AK1832</f>
        <v>0</v>
      </c>
      <c r="AL1835" s="76">
        <f ca="1">AG1837</f>
        <v>1.0271631880489705E-2</v>
      </c>
      <c r="AN1835" s="367"/>
    </row>
    <row r="1836" spans="1:40" ht="15.75" customHeight="1" x14ac:dyDescent="0.2">
      <c r="A1836" s="317" t="s">
        <v>488</v>
      </c>
      <c r="B1836" s="594">
        <f ca="1">-B1803</f>
        <v>-6.7830338822002411E-6</v>
      </c>
      <c r="C1836" s="594">
        <f ca="1">-B1803</f>
        <v>-6.7830338822002411E-6</v>
      </c>
      <c r="D1836" s="594">
        <f ca="1">B1803</f>
        <v>6.7830338822002411E-6</v>
      </c>
      <c r="E1836" s="594">
        <f ca="1">B1803</f>
        <v>6.7830338822002411E-6</v>
      </c>
      <c r="F1836" s="317" t="s">
        <v>488</v>
      </c>
      <c r="G1836" s="594">
        <f ca="1">-C1803</f>
        <v>-2.1075276994712575E-5</v>
      </c>
      <c r="H1836" s="594">
        <f ca="1">-C1803</f>
        <v>-2.1075276994712575E-5</v>
      </c>
      <c r="I1836" s="594">
        <f ca="1">C1803</f>
        <v>2.1075276994712575E-5</v>
      </c>
      <c r="J1836" s="594">
        <f ca="1">C1803</f>
        <v>2.1075276994712575E-5</v>
      </c>
      <c r="K1836" s="317" t="s">
        <v>488</v>
      </c>
      <c r="L1836" s="594">
        <f ca="1">-D1803</f>
        <v>-4.6787154095181586E-5</v>
      </c>
      <c r="M1836" s="594">
        <f ca="1">-D1803</f>
        <v>-4.6787154095181586E-5</v>
      </c>
      <c r="N1836" s="594">
        <f ca="1">D1803</f>
        <v>4.6787154095181586E-5</v>
      </c>
      <c r="O1836" s="594">
        <f ca="1">D1803</f>
        <v>4.6787154095181586E-5</v>
      </c>
      <c r="P1836" s="317" t="s">
        <v>488</v>
      </c>
      <c r="Q1836" s="594">
        <f ca="1">-E1803</f>
        <v>-2.280331235924926E-5</v>
      </c>
      <c r="R1836" s="594">
        <f ca="1">-E1803</f>
        <v>-2.280331235924926E-5</v>
      </c>
      <c r="S1836" s="594">
        <f ca="1">E1803</f>
        <v>2.280331235924926E-5</v>
      </c>
      <c r="T1836" s="594">
        <f ca="1">E1803</f>
        <v>2.280331235924926E-5</v>
      </c>
      <c r="U1836" s="317" t="s">
        <v>488</v>
      </c>
      <c r="V1836" s="594">
        <f ca="1">-F1803</f>
        <v>1.4210097310914697E-5</v>
      </c>
      <c r="W1836" s="594">
        <f ca="1">-F1803</f>
        <v>1.4210097310914697E-5</v>
      </c>
      <c r="X1836" s="594">
        <f ca="1">F1803</f>
        <v>-1.4210097310914697E-5</v>
      </c>
      <c r="Y1836" s="594">
        <f ca="1">F1803</f>
        <v>-1.4210097310914697E-5</v>
      </c>
      <c r="Z1836" s="317" t="s">
        <v>488</v>
      </c>
      <c r="AA1836" s="594">
        <f ca="1">-G1803</f>
        <v>3.1525158379037933E-4</v>
      </c>
      <c r="AB1836" s="594">
        <f ca="1">-G1803</f>
        <v>3.1525158379037933E-4</v>
      </c>
      <c r="AC1836" s="594">
        <f ca="1">G1803</f>
        <v>-3.1525158379037933E-4</v>
      </c>
      <c r="AD1836" s="594">
        <f ca="1">G1803</f>
        <v>-3.1525158379037933E-4</v>
      </c>
      <c r="AE1836" s="317" t="s">
        <v>488</v>
      </c>
      <c r="AF1836" s="594">
        <f ca="1">-H1803</f>
        <v>0</v>
      </c>
      <c r="AG1836" s="594">
        <f ca="1">-H1803</f>
        <v>0</v>
      </c>
      <c r="AH1836" s="594">
        <f ca="1">H1803</f>
        <v>0</v>
      </c>
      <c r="AI1836" s="594">
        <f ca="1">H1803</f>
        <v>0</v>
      </c>
      <c r="AJ1836" s="317" t="s">
        <v>488</v>
      </c>
      <c r="AK1836" s="594">
        <f ca="1">-I1803</f>
        <v>0</v>
      </c>
      <c r="AL1836" s="594">
        <f ca="1">-I1803</f>
        <v>0</v>
      </c>
      <c r="AM1836" s="594">
        <f ca="1">I1803</f>
        <v>0</v>
      </c>
      <c r="AN1836" s="438">
        <f ca="1">I1803</f>
        <v>0</v>
      </c>
    </row>
    <row r="1837" spans="1:40" ht="15.75" customHeight="1" x14ac:dyDescent="0.2">
      <c r="A1837" s="318" t="s">
        <v>489</v>
      </c>
      <c r="B1837" s="76">
        <f ca="1">SUM(B1835:B1836)</f>
        <v>1.2351776732292424E-3</v>
      </c>
      <c r="C1837" s="76">
        <f ca="1">SUM(C1835:C1836)</f>
        <v>1.0032835942837555E-2</v>
      </c>
      <c r="D1837" s="76">
        <f ca="1">SUM(D1835:D1836)</f>
        <v>6.7830338822002411E-6</v>
      </c>
      <c r="E1837" s="76">
        <f ca="1">SUM(E1835:E1836)</f>
        <v>6.7830338822002411E-6</v>
      </c>
      <c r="F1837" s="318" t="s">
        <v>489</v>
      </c>
      <c r="G1837" s="76">
        <f ca="1">SUM(G1835:G1836)</f>
        <v>3.773415479038424E-3</v>
      </c>
      <c r="H1837" s="76">
        <f ca="1">SUM(H1835:H1836)</f>
        <v>1.0011760665842842E-2</v>
      </c>
      <c r="I1837" s="76">
        <f ca="1">SUM(I1835:I1836)</f>
        <v>2.1075276994712575E-5</v>
      </c>
      <c r="J1837" s="76">
        <f ca="1">SUM(J1835:J1836)</f>
        <v>2.1075276994712575E-5</v>
      </c>
      <c r="K1837" s="318" t="s">
        <v>489</v>
      </c>
      <c r="L1837" s="76">
        <f ca="1">SUM(L1835:L1836)</f>
        <v>8.0216164929175684E-3</v>
      </c>
      <c r="M1837" s="76">
        <f ca="1">SUM(M1835:M1836)</f>
        <v>9.9649735117476601E-3</v>
      </c>
      <c r="N1837" s="76">
        <f ca="1">SUM(N1835:N1836)</f>
        <v>4.6787154095181586E-5</v>
      </c>
      <c r="O1837" s="76">
        <f ca="1">SUM(O1835:O1836)</f>
        <v>4.6787154095181586E-5</v>
      </c>
      <c r="P1837" s="318" t="s">
        <v>489</v>
      </c>
      <c r="Q1837" s="76">
        <f ca="1">SUM(Q1835:Q1836)</f>
        <v>3.4826294543999375E-3</v>
      </c>
      <c r="R1837" s="76">
        <f ca="1">SUM(R1835:R1836)</f>
        <v>9.9421701993884105E-3</v>
      </c>
      <c r="S1837" s="76">
        <f ca="1">SUM(S1835:S1836)</f>
        <v>2.280331235924926E-5</v>
      </c>
      <c r="T1837" s="76">
        <f ca="1">SUM(T1835:T1836)</f>
        <v>2.280331235924926E-5</v>
      </c>
      <c r="U1837" s="318" t="s">
        <v>489</v>
      </c>
      <c r="V1837" s="76">
        <f ca="1">SUM(V1835:V1836)</f>
        <v>-1.9168253559440998E-3</v>
      </c>
      <c r="W1837" s="76">
        <f ca="1">SUM(W1835:W1836)</f>
        <v>9.9563802966993256E-3</v>
      </c>
      <c r="X1837" s="76">
        <f ca="1">SUM(X1835:X1836)</f>
        <v>-1.4210097310914697E-5</v>
      </c>
      <c r="Y1837" s="76">
        <f ca="1">SUM(Y1835:Y1836)</f>
        <v>-1.4210097310914697E-5</v>
      </c>
      <c r="Z1837" s="318" t="s">
        <v>489</v>
      </c>
      <c r="AA1837" s="76">
        <f ca="1">SUM(AA1835:AA1836)</f>
        <v>-2.9749079658256475E-2</v>
      </c>
      <c r="AB1837" s="76">
        <f ca="1">SUM(AB1835:AB1836)</f>
        <v>1.0271631880489705E-2</v>
      </c>
      <c r="AC1837" s="76">
        <f ca="1">SUM(AC1835:AC1836)</f>
        <v>-3.1525158379037933E-4</v>
      </c>
      <c r="AD1837" s="76">
        <f ca="1">SUM(AD1835:AD1836)</f>
        <v>-3.1525158379037933E-4</v>
      </c>
      <c r="AE1837" s="318" t="s">
        <v>489</v>
      </c>
      <c r="AF1837" s="76">
        <f ca="1">SUM(AF1835:AF1836)</f>
        <v>0</v>
      </c>
      <c r="AG1837" s="76">
        <f ca="1">SUM(AG1835:AG1836)</f>
        <v>1.0271631880489705E-2</v>
      </c>
      <c r="AH1837" s="76">
        <f ca="1">SUM(AH1835:AH1836)</f>
        <v>0</v>
      </c>
      <c r="AI1837" s="76">
        <f ca="1">SUM(AI1835:AI1836)</f>
        <v>0</v>
      </c>
      <c r="AJ1837" s="318" t="s">
        <v>489</v>
      </c>
      <c r="AK1837" s="76">
        <f ca="1">SUM(AK1835:AK1836)</f>
        <v>0</v>
      </c>
      <c r="AL1837" s="76">
        <f ca="1">SUM(AL1835:AL1836)</f>
        <v>1.0271631880489705E-2</v>
      </c>
      <c r="AM1837" s="76">
        <f ca="1">SUM(AM1835:AM1836)</f>
        <v>0</v>
      </c>
      <c r="AN1837" s="367">
        <f ca="1">SUM(AN1835:AN1836)</f>
        <v>0</v>
      </c>
    </row>
    <row r="1838" spans="1:40" ht="15.75" customHeight="1" x14ac:dyDescent="0.2">
      <c r="A1838" s="637" t="s">
        <v>2090</v>
      </c>
      <c r="B1838" s="1531" t="s">
        <v>2071</v>
      </c>
      <c r="C1838" s="1533"/>
      <c r="D1838" s="1531" t="s">
        <v>722</v>
      </c>
      <c r="E1838" s="1533"/>
      <c r="F1838" s="208" t="s">
        <v>2099</v>
      </c>
      <c r="G1838" s="1531" t="s">
        <v>2071</v>
      </c>
      <c r="H1838" s="1533"/>
      <c r="I1838" s="1531" t="s">
        <v>722</v>
      </c>
      <c r="J1838" s="1533"/>
      <c r="K1838" s="208" t="s">
        <v>1163</v>
      </c>
      <c r="L1838" s="1531" t="s">
        <v>2071</v>
      </c>
      <c r="M1838" s="1533"/>
      <c r="N1838" s="1531" t="s">
        <v>722</v>
      </c>
      <c r="O1838" s="1533"/>
      <c r="P1838" s="208" t="s">
        <v>2122</v>
      </c>
      <c r="Q1838" s="1531" t="s">
        <v>2071</v>
      </c>
      <c r="R1838" s="1533"/>
      <c r="S1838" s="1531" t="s">
        <v>722</v>
      </c>
      <c r="T1838" s="1533"/>
      <c r="U1838" s="208" t="s">
        <v>2112</v>
      </c>
      <c r="V1838" s="1531" t="s">
        <v>2071</v>
      </c>
      <c r="W1838" s="1533"/>
      <c r="X1838" s="1531" t="s">
        <v>722</v>
      </c>
      <c r="Y1838" s="1533"/>
      <c r="Z1838" s="208" t="s">
        <v>2131</v>
      </c>
      <c r="AA1838" s="1531" t="s">
        <v>2071</v>
      </c>
      <c r="AB1838" s="1533"/>
      <c r="AC1838" s="1531" t="s">
        <v>722</v>
      </c>
      <c r="AD1838" s="1533"/>
      <c r="AE1838" s="208" t="s">
        <v>2138</v>
      </c>
      <c r="AF1838" s="1531" t="s">
        <v>2071</v>
      </c>
      <c r="AG1838" s="1533"/>
      <c r="AH1838" s="1531" t="s">
        <v>722</v>
      </c>
      <c r="AI1838" s="1533"/>
      <c r="AJ1838" s="208" t="s">
        <v>2146</v>
      </c>
      <c r="AK1838" s="1531" t="s">
        <v>2071</v>
      </c>
      <c r="AL1838" s="1533"/>
      <c r="AM1838" s="1531" t="s">
        <v>722</v>
      </c>
      <c r="AN1838" s="1533"/>
    </row>
    <row r="1839" spans="1:40" ht="15.75" customHeight="1" x14ac:dyDescent="0.2">
      <c r="A1839" s="377" t="s">
        <v>376</v>
      </c>
      <c r="B1839" s="368" t="s">
        <v>1731</v>
      </c>
      <c r="C1839" s="368" t="s">
        <v>2091</v>
      </c>
      <c r="D1839" s="368" t="s">
        <v>2092</v>
      </c>
      <c r="E1839" s="368" t="s">
        <v>486</v>
      </c>
      <c r="F1839" s="377" t="s">
        <v>376</v>
      </c>
      <c r="G1839" s="368" t="s">
        <v>1732</v>
      </c>
      <c r="H1839" s="368" t="s">
        <v>2091</v>
      </c>
      <c r="I1839" s="368" t="s">
        <v>2101</v>
      </c>
      <c r="J1839" s="368" t="s">
        <v>486</v>
      </c>
      <c r="K1839" s="377" t="s">
        <v>376</v>
      </c>
      <c r="L1839" s="368" t="s">
        <v>1733</v>
      </c>
      <c r="M1839" s="368" t="s">
        <v>2091</v>
      </c>
      <c r="N1839" s="368" t="s">
        <v>2105</v>
      </c>
      <c r="O1839" s="368" t="s">
        <v>486</v>
      </c>
      <c r="P1839" s="377" t="s">
        <v>376</v>
      </c>
      <c r="Q1839" s="368" t="s">
        <v>2115</v>
      </c>
      <c r="R1839" s="368" t="s">
        <v>2091</v>
      </c>
      <c r="S1839" s="368" t="s">
        <v>2113</v>
      </c>
      <c r="T1839" s="368" t="s">
        <v>486</v>
      </c>
      <c r="U1839" s="377" t="s">
        <v>376</v>
      </c>
      <c r="V1839" s="368" t="s">
        <v>1735</v>
      </c>
      <c r="W1839" s="368" t="s">
        <v>2091</v>
      </c>
      <c r="X1839" s="368" t="s">
        <v>2114</v>
      </c>
      <c r="Y1839" s="368" t="s">
        <v>486</v>
      </c>
      <c r="Z1839" s="377" t="s">
        <v>376</v>
      </c>
      <c r="AA1839" s="368" t="s">
        <v>2123</v>
      </c>
      <c r="AB1839" s="368" t="s">
        <v>2091</v>
      </c>
      <c r="AC1839" s="368" t="s">
        <v>2124</v>
      </c>
      <c r="AD1839" s="368" t="s">
        <v>486</v>
      </c>
      <c r="AE1839" s="377" t="s">
        <v>376</v>
      </c>
      <c r="AF1839" s="368" t="s">
        <v>1737</v>
      </c>
      <c r="AG1839" s="368" t="s">
        <v>2091</v>
      </c>
      <c r="AH1839" s="368" t="s">
        <v>2139</v>
      </c>
      <c r="AI1839" s="368" t="s">
        <v>486</v>
      </c>
      <c r="AJ1839" s="377" t="s">
        <v>376</v>
      </c>
      <c r="AK1839" s="368" t="s">
        <v>1738</v>
      </c>
      <c r="AL1839" s="368" t="s">
        <v>2091</v>
      </c>
      <c r="AM1839" s="368" t="s">
        <v>2148</v>
      </c>
      <c r="AN1839" s="368" t="s">
        <v>486</v>
      </c>
    </row>
    <row r="1840" spans="1:40" ht="15.75" customHeight="1" x14ac:dyDescent="0.2">
      <c r="A1840" s="316" t="s">
        <v>487</v>
      </c>
      <c r="B1840" s="76">
        <f ca="1">B1837</f>
        <v>1.2351776732292424E-3</v>
      </c>
      <c r="C1840" s="76">
        <f ca="1">G1776</f>
        <v>0.37709252722584735</v>
      </c>
      <c r="F1840" s="316" t="s">
        <v>487</v>
      </c>
      <c r="G1840" s="76">
        <f ca="1">G1837</f>
        <v>3.773415479038424E-3</v>
      </c>
      <c r="H1840" s="76">
        <f ca="1">C1842</f>
        <v>0.37685498132795814</v>
      </c>
      <c r="K1840" s="316" t="s">
        <v>487</v>
      </c>
      <c r="L1840" s="76">
        <f ca="1">L1837</f>
        <v>8.0216164929175684E-3</v>
      </c>
      <c r="M1840" s="76">
        <f ca="1">H1842</f>
        <v>0.37611694754003228</v>
      </c>
      <c r="P1840" s="316" t="s">
        <v>487</v>
      </c>
      <c r="Q1840" s="76">
        <f ca="1">Q1837</f>
        <v>3.4826294543999375E-3</v>
      </c>
      <c r="R1840" s="76">
        <f ca="1">M1842</f>
        <v>0.37447868075109075</v>
      </c>
      <c r="U1840" s="316" t="s">
        <v>487</v>
      </c>
      <c r="V1840" s="76">
        <f ca="1">V1837</f>
        <v>-1.9168253559440998E-3</v>
      </c>
      <c r="W1840" s="76">
        <f ca="1">R1842</f>
        <v>0.37368052841511007</v>
      </c>
      <c r="Z1840" s="316" t="s">
        <v>487</v>
      </c>
      <c r="AA1840" s="76">
        <f ca="1">AA1837</f>
        <v>-2.9749079658256475E-2</v>
      </c>
      <c r="AB1840" s="76">
        <f ca="1">W1842</f>
        <v>0.37417755532352964</v>
      </c>
      <c r="AE1840" s="316" t="s">
        <v>487</v>
      </c>
      <c r="AF1840" s="76">
        <f ca="1">AF1837</f>
        <v>0</v>
      </c>
      <c r="AG1840" s="76">
        <f ca="1">AB1842</f>
        <v>0.3851682918481294</v>
      </c>
      <c r="AJ1840" s="316" t="s">
        <v>487</v>
      </c>
      <c r="AK1840" s="76">
        <f ca="1">AK1837</f>
        <v>0</v>
      </c>
      <c r="AL1840" s="76">
        <f ca="1">AG1842</f>
        <v>0.3851682918481294</v>
      </c>
      <c r="AN1840" s="367"/>
    </row>
    <row r="1841" spans="1:40" ht="15.75" customHeight="1" x14ac:dyDescent="0.2">
      <c r="A1841" s="317" t="s">
        <v>488</v>
      </c>
      <c r="B1841" s="594">
        <f ca="1">-B1804</f>
        <v>-2.3754589788918797E-4</v>
      </c>
      <c r="C1841" s="594">
        <f ca="1">-B1804</f>
        <v>-2.3754589788918797E-4</v>
      </c>
      <c r="D1841" s="594">
        <f ca="1">B1804</f>
        <v>2.3754589788918797E-4</v>
      </c>
      <c r="E1841" s="594">
        <f ca="1">B1804</f>
        <v>2.3754589788918797E-4</v>
      </c>
      <c r="F1841" s="317" t="s">
        <v>488</v>
      </c>
      <c r="G1841" s="594">
        <f ca="1">-C1804</f>
        <v>-7.3803378792584417E-4</v>
      </c>
      <c r="H1841" s="594">
        <f ca="1">-C1804</f>
        <v>-7.3803378792584417E-4</v>
      </c>
      <c r="I1841" s="594">
        <f ca="1">C1804</f>
        <v>7.3803378792584417E-4</v>
      </c>
      <c r="J1841" s="594">
        <f ca="1">C1804</f>
        <v>7.3803378792584417E-4</v>
      </c>
      <c r="K1841" s="317" t="s">
        <v>488</v>
      </c>
      <c r="L1841" s="594">
        <f ca="1">-D1804</f>
        <v>-1.6382667889415438E-3</v>
      </c>
      <c r="M1841" s="594">
        <f ca="1">-D1804</f>
        <v>-1.6382667889415438E-3</v>
      </c>
      <c r="N1841" s="594">
        <f ca="1">D1804</f>
        <v>1.6382667889415438E-3</v>
      </c>
      <c r="O1841" s="594">
        <f ca="1">D1804</f>
        <v>1.6382667889415438E-3</v>
      </c>
      <c r="P1841" s="317" t="s">
        <v>488</v>
      </c>
      <c r="Q1841" s="594">
        <f ca="1">-E1804</f>
        <v>-7.9815233598069075E-4</v>
      </c>
      <c r="R1841" s="594">
        <f ca="1">-E1804</f>
        <v>-7.9815233598069075E-4</v>
      </c>
      <c r="S1841" s="594">
        <f ca="1">E1804</f>
        <v>7.9815233598069075E-4</v>
      </c>
      <c r="T1841" s="594">
        <f ca="1">E1804</f>
        <v>7.9815233598069075E-4</v>
      </c>
      <c r="U1841" s="317" t="s">
        <v>488</v>
      </c>
      <c r="V1841" s="594">
        <f ca="1">-F1804</f>
        <v>4.9702690841955E-4</v>
      </c>
      <c r="W1841" s="594">
        <f ca="1">-F1804</f>
        <v>4.9702690841955E-4</v>
      </c>
      <c r="X1841" s="594">
        <f ca="1">F1804</f>
        <v>-4.9702690841955E-4</v>
      </c>
      <c r="Y1841" s="594">
        <f ca="1">F1804</f>
        <v>-4.9702690841955E-4</v>
      </c>
      <c r="Z1841" s="317" t="s">
        <v>488</v>
      </c>
      <c r="AA1841" s="594">
        <f ca="1">-G1804</f>
        <v>1.0990736524599759E-2</v>
      </c>
      <c r="AB1841" s="594">
        <f ca="1">-G1804</f>
        <v>1.0990736524599759E-2</v>
      </c>
      <c r="AC1841" s="594">
        <f ca="1">G1804</f>
        <v>-1.0990736524599759E-2</v>
      </c>
      <c r="AD1841" s="594">
        <f ca="1">G1804</f>
        <v>-1.0990736524599759E-2</v>
      </c>
      <c r="AE1841" s="317" t="s">
        <v>488</v>
      </c>
      <c r="AF1841" s="594">
        <f ca="1">-H1804</f>
        <v>0</v>
      </c>
      <c r="AG1841" s="594">
        <f ca="1">-H1804</f>
        <v>0</v>
      </c>
      <c r="AH1841" s="594">
        <f ca="1">H1804</f>
        <v>0</v>
      </c>
      <c r="AI1841" s="594">
        <f ca="1">H1804</f>
        <v>0</v>
      </c>
      <c r="AJ1841" s="317" t="s">
        <v>488</v>
      </c>
      <c r="AK1841" s="594">
        <f ca="1">-I1804</f>
        <v>0</v>
      </c>
      <c r="AL1841" s="594">
        <f ca="1">-I1804</f>
        <v>0</v>
      </c>
      <c r="AM1841" s="594">
        <f ca="1">I1804</f>
        <v>0</v>
      </c>
      <c r="AN1841" s="438">
        <f ca="1">I1804</f>
        <v>0</v>
      </c>
    </row>
    <row r="1842" spans="1:40" ht="15.75" customHeight="1" x14ac:dyDescent="0.2">
      <c r="A1842" s="318" t="s">
        <v>489</v>
      </c>
      <c r="B1842" s="248">
        <f ca="1">SUM(B1840:B1841)</f>
        <v>9.9763177534005444E-4</v>
      </c>
      <c r="C1842" s="248">
        <f ca="1">SUM(C1840:C1841)</f>
        <v>0.37685498132795814</v>
      </c>
      <c r="D1842" s="248">
        <f ca="1">SUM(D1840:D1841)</f>
        <v>2.3754589788918797E-4</v>
      </c>
      <c r="E1842" s="248">
        <f ca="1">SUM(E1840:E1841)</f>
        <v>2.3754589788918797E-4</v>
      </c>
      <c r="F1842" s="318" t="s">
        <v>489</v>
      </c>
      <c r="G1842" s="248">
        <f ca="1">SUM(G1840:G1841)</f>
        <v>3.0353816911125797E-3</v>
      </c>
      <c r="H1842" s="248">
        <f ca="1">SUM(H1840:H1841)</f>
        <v>0.37611694754003228</v>
      </c>
      <c r="I1842" s="248">
        <f ca="1">SUM(I1840:I1841)</f>
        <v>7.3803378792584417E-4</v>
      </c>
      <c r="J1842" s="248">
        <f ca="1">SUM(J1840:J1841)</f>
        <v>7.3803378792584417E-4</v>
      </c>
      <c r="K1842" s="318" t="s">
        <v>489</v>
      </c>
      <c r="L1842" s="248">
        <f ca="1">SUM(L1840:L1841)</f>
        <v>6.383349703976025E-3</v>
      </c>
      <c r="M1842" s="248">
        <f ca="1">SUM(M1840:M1841)</f>
        <v>0.37447868075109075</v>
      </c>
      <c r="N1842" s="248">
        <f ca="1">SUM(N1840:N1841)</f>
        <v>1.6382667889415438E-3</v>
      </c>
      <c r="O1842" s="248">
        <f ca="1">SUM(O1840:O1841)</f>
        <v>1.6382667889415438E-3</v>
      </c>
      <c r="P1842" s="318" t="s">
        <v>489</v>
      </c>
      <c r="Q1842" s="248">
        <f ca="1">SUM(Q1840:Q1841)</f>
        <v>2.6844771184192468E-3</v>
      </c>
      <c r="R1842" s="248">
        <f ca="1">SUM(R1840:R1841)</f>
        <v>0.37368052841511007</v>
      </c>
      <c r="S1842" s="248">
        <f ca="1">SUM(S1840:S1841)</f>
        <v>7.9815233598069075E-4</v>
      </c>
      <c r="T1842" s="248">
        <f ca="1">SUM(T1840:T1841)</f>
        <v>7.9815233598069075E-4</v>
      </c>
      <c r="U1842" s="318" t="s">
        <v>489</v>
      </c>
      <c r="V1842" s="248">
        <f ca="1">SUM(V1840:V1841)</f>
        <v>-1.4197984475245499E-3</v>
      </c>
      <c r="W1842" s="248">
        <f ca="1">SUM(W1840:W1841)</f>
        <v>0.37417755532352964</v>
      </c>
      <c r="X1842" s="248">
        <f ca="1">SUM(X1840:X1841)</f>
        <v>-4.9702690841955E-4</v>
      </c>
      <c r="Y1842" s="248">
        <f ca="1">SUM(Y1840:Y1841)</f>
        <v>-4.9702690841955E-4</v>
      </c>
      <c r="Z1842" s="318" t="s">
        <v>489</v>
      </c>
      <c r="AA1842" s="248">
        <f ca="1">SUM(AA1840:AA1841)</f>
        <v>-1.8758343133656714E-2</v>
      </c>
      <c r="AB1842" s="248">
        <f ca="1">SUM(AB1840:AB1841)</f>
        <v>0.3851682918481294</v>
      </c>
      <c r="AC1842" s="248">
        <f ca="1">SUM(AC1840:AC1841)</f>
        <v>-1.0990736524599759E-2</v>
      </c>
      <c r="AD1842" s="248">
        <f ca="1">SUM(AD1840:AD1841)</f>
        <v>-1.0990736524599759E-2</v>
      </c>
      <c r="AE1842" s="318" t="s">
        <v>489</v>
      </c>
      <c r="AF1842" s="248">
        <f ca="1">SUM(AF1840:AF1841)</f>
        <v>0</v>
      </c>
      <c r="AG1842" s="248">
        <f ca="1">SUM(AG1840:AG1841)</f>
        <v>0.3851682918481294</v>
      </c>
      <c r="AH1842" s="248">
        <f ca="1">SUM(AH1840:AH1841)</f>
        <v>0</v>
      </c>
      <c r="AI1842" s="248">
        <f ca="1">SUM(AI1840:AI1841)</f>
        <v>0</v>
      </c>
      <c r="AJ1842" s="318" t="s">
        <v>489</v>
      </c>
      <c r="AK1842" s="248">
        <f ca="1">SUM(AK1840:AK1841)</f>
        <v>0</v>
      </c>
      <c r="AL1842" s="248">
        <f ca="1">SUM(AL1840:AL1841)</f>
        <v>0.3851682918481294</v>
      </c>
      <c r="AM1842" s="248">
        <f ca="1">SUM(AM1840:AM1841)</f>
        <v>0</v>
      </c>
      <c r="AN1842" s="369">
        <f ca="1">SUM(AN1840:AN1841)</f>
        <v>0</v>
      </c>
    </row>
    <row r="1843" spans="1:40" ht="15.75" customHeight="1" x14ac:dyDescent="0.2"/>
    <row r="1844" spans="1:40" ht="15.75" customHeight="1" x14ac:dyDescent="0.2"/>
    <row r="1845" spans="1:40" ht="15.75" customHeight="1" x14ac:dyDescent="0.2">
      <c r="A1845" s="676" t="s">
        <v>2166</v>
      </c>
      <c r="B1845" s="680"/>
      <c r="C1845" s="680"/>
      <c r="D1845" s="680"/>
      <c r="E1845" s="681"/>
    </row>
    <row r="1846" spans="1:40" ht="15.75" customHeight="1" x14ac:dyDescent="0.2">
      <c r="A1846" s="301" t="s">
        <v>580</v>
      </c>
      <c r="B1846" s="301" t="s">
        <v>372</v>
      </c>
      <c r="C1846" s="301" t="s">
        <v>42</v>
      </c>
      <c r="D1846" s="557" t="s">
        <v>372</v>
      </c>
      <c r="E1846" s="301" t="s">
        <v>42</v>
      </c>
    </row>
    <row r="1847" spans="1:40" ht="15.75" customHeight="1" x14ac:dyDescent="0.2">
      <c r="A1847" s="737" t="s">
        <v>2149</v>
      </c>
      <c r="B1847" s="342" t="s">
        <v>376</v>
      </c>
      <c r="C1847" s="366">
        <f ca="1">D1812</f>
        <v>2.6249323593690296E-2</v>
      </c>
      <c r="D1847" s="342" t="s">
        <v>267</v>
      </c>
      <c r="E1847" s="361">
        <f ca="1">C1847*(Units!C157/Units!C$84)*C$1793</f>
        <v>3.072674839432715</v>
      </c>
    </row>
    <row r="1848" spans="1:40" ht="15.75" customHeight="1" x14ac:dyDescent="0.2">
      <c r="A1848" s="638" t="s">
        <v>2150</v>
      </c>
      <c r="B1848" s="344" t="s">
        <v>376</v>
      </c>
      <c r="C1848" s="367">
        <f ca="1">D1817+I1812</f>
        <v>8.3347240748831278E-2</v>
      </c>
      <c r="D1848" s="344" t="s">
        <v>267</v>
      </c>
      <c r="E1848" s="363">
        <f ca="1">C1848*(Units!C158/Units!C$84)*C$1793</f>
        <v>11.29443953737124</v>
      </c>
    </row>
    <row r="1849" spans="1:40" ht="15.75" customHeight="1" x14ac:dyDescent="0.2">
      <c r="A1849" s="638" t="s">
        <v>2151</v>
      </c>
      <c r="B1849" s="344" t="s">
        <v>376</v>
      </c>
      <c r="C1849" s="367">
        <f ca="1">D1822+I1817+N1812</f>
        <v>0.19217685203603402</v>
      </c>
      <c r="D1849" s="344" t="s">
        <v>267</v>
      </c>
      <c r="E1849" s="363">
        <f ca="1">C1849*(Units!C159/Units!C$84)*C$1793</f>
        <v>29.616405695518857</v>
      </c>
    </row>
    <row r="1850" spans="1:40" ht="15.75" customHeight="1" x14ac:dyDescent="0.2">
      <c r="A1850" s="638" t="s">
        <v>2152</v>
      </c>
      <c r="B1850" s="344" t="s">
        <v>376</v>
      </c>
      <c r="C1850" s="367">
        <f ca="1">D1827+S1812</f>
        <v>9.5015783258638423E-2</v>
      </c>
      <c r="D1850" s="344" t="s">
        <v>267</v>
      </c>
      <c r="E1850" s="363">
        <f ca="1">C1850*(Units!C160/Units!C$84)*C$1793</f>
        <v>14.642897698926205</v>
      </c>
    </row>
    <row r="1851" spans="1:40" ht="15.75" customHeight="1" x14ac:dyDescent="0.2">
      <c r="A1851" s="638" t="s">
        <v>2153</v>
      </c>
      <c r="B1851" s="344" t="s">
        <v>376</v>
      </c>
      <c r="C1851" s="367">
        <f ca="1">D1832+I1822+N1817+X1812</f>
        <v>0.23571337887318594</v>
      </c>
      <c r="D1851" s="344" t="s">
        <v>267</v>
      </c>
      <c r="E1851" s="363">
        <f ca="1">C1851*(Units!C161/Units!C$84)*C$1793</f>
        <v>40.709978395133398</v>
      </c>
    </row>
    <row r="1852" spans="1:40" ht="15.75" customHeight="1" x14ac:dyDescent="0.2">
      <c r="A1852" s="638" t="s">
        <v>2156</v>
      </c>
      <c r="B1852" s="344" t="s">
        <v>376</v>
      </c>
      <c r="C1852" s="367">
        <f ca="1">D1837+I1827+S1817+AC1812</f>
        <v>7.2867695518233633E-2</v>
      </c>
      <c r="D1852" s="344" t="s">
        <v>267</v>
      </c>
      <c r="E1852" s="363">
        <f ca="1">C1852*(Units!C162/Units!C$84)*C$1793</f>
        <v>12.584955187657799</v>
      </c>
    </row>
    <row r="1853" spans="1:40" ht="15.75" customHeight="1" x14ac:dyDescent="0.2">
      <c r="A1853" s="638" t="s">
        <v>2154</v>
      </c>
      <c r="B1853" s="344" t="s">
        <v>376</v>
      </c>
      <c r="C1853" s="367">
        <f ca="1">D1842+I1832+N1822+X1817+AH1812</f>
        <v>0.24661360077373151</v>
      </c>
      <c r="D1853" s="344" t="s">
        <v>267</v>
      </c>
      <c r="E1853" s="363">
        <f ca="1">C1853*(Units!C163/Units!C$84)*C$1793</f>
        <v>47.177007149914651</v>
      </c>
    </row>
    <row r="1854" spans="1:40" ht="15.75" customHeight="1" x14ac:dyDescent="0.2">
      <c r="A1854" s="638" t="s">
        <v>2155</v>
      </c>
      <c r="B1854" s="344" t="s">
        <v>376</v>
      </c>
      <c r="C1854" s="367">
        <f ca="1">I1837+N1827+S1822+AC1817</f>
        <v>0.10872521479949232</v>
      </c>
      <c r="D1854" s="344" t="s">
        <v>267</v>
      </c>
      <c r="E1854" s="363">
        <f ca="1">C1854*(Units!C164/Units!C$84)*C$1793</f>
        <v>20.799056580329591</v>
      </c>
    </row>
    <row r="1855" spans="1:40" ht="15.75" customHeight="1" x14ac:dyDescent="0.2">
      <c r="A1855" s="638" t="s">
        <v>2157</v>
      </c>
      <c r="B1855" s="344" t="s">
        <v>376</v>
      </c>
      <c r="C1855" s="367">
        <f ca="1">I1842+N1832+X1822+AH1817+AM1812</f>
        <v>0.31401844427268988</v>
      </c>
      <c r="D1855" s="344" t="s">
        <v>267</v>
      </c>
      <c r="E1855" s="363">
        <f ca="1">C1855*(Units!C165/Units!C$84)*C$1793</f>
        <v>65.915193424708932</v>
      </c>
    </row>
    <row r="1856" spans="1:40" ht="15.75" customHeight="1" x14ac:dyDescent="0.2">
      <c r="A1856" s="638" t="s">
        <v>2158</v>
      </c>
      <c r="B1856" s="344" t="s">
        <v>376</v>
      </c>
      <c r="C1856" s="367">
        <f ca="1">N1837+S1832+S1837+X1827+AC1822+AC1827</f>
        <v>0.23507469419977542</v>
      </c>
      <c r="D1856" s="344" t="s">
        <v>267</v>
      </c>
      <c r="E1856" s="363">
        <f ca="1">C1856*(Units!C166/Units!C$84)*C$1793</f>
        <v>49.344215984895563</v>
      </c>
    </row>
    <row r="1857" spans="1:5" ht="15.75" customHeight="1" x14ac:dyDescent="0.2">
      <c r="A1857" s="638" t="s">
        <v>2159</v>
      </c>
      <c r="B1857" s="344" t="s">
        <v>376</v>
      </c>
      <c r="C1857" s="367">
        <f ca="1">N1842+X1832+AH1822+AM1817</f>
        <v>0.40017855715770062</v>
      </c>
      <c r="D1857" s="344" t="s">
        <v>267</v>
      </c>
      <c r="E1857" s="363">
        <f ca="1">C1857*(Units!C167/Units!C$84)*C$1793</f>
        <v>91.422732036175077</v>
      </c>
    </row>
    <row r="1858" spans="1:5" ht="15.75" customHeight="1" x14ac:dyDescent="0.2">
      <c r="A1858" s="638" t="s">
        <v>2160</v>
      </c>
      <c r="B1858" s="344" t="s">
        <v>376</v>
      </c>
      <c r="C1858" s="446">
        <f ca="1">S1842+X1837+AC1832+AC1837+AH1827</f>
        <v>0.21292771286812237</v>
      </c>
      <c r="D1858" s="344" t="s">
        <v>267</v>
      </c>
      <c r="E1858" s="363">
        <f ca="1">C1858*(Units!C168/Units!C$84)*C$1793</f>
        <v>48.644368591060548</v>
      </c>
    </row>
    <row r="1859" spans="1:5" ht="15.75" customHeight="1" x14ac:dyDescent="0.2">
      <c r="A1859" s="638" t="s">
        <v>2161</v>
      </c>
      <c r="B1859" s="344" t="s">
        <v>376</v>
      </c>
      <c r="C1859" s="367">
        <f ca="1">X1842+AH1832+AM1822</f>
        <v>0.60237073863835677</v>
      </c>
      <c r="D1859" s="344" t="s">
        <v>267</v>
      </c>
      <c r="E1859" s="363">
        <f ca="1">C1859*(Units!C169/Units!C$84)*C$1793</f>
        <v>148.80522681111214</v>
      </c>
    </row>
    <row r="1860" spans="1:5" ht="15.75" customHeight="1" x14ac:dyDescent="0.2">
      <c r="A1860" s="638" t="s">
        <v>2162</v>
      </c>
      <c r="B1860" s="344" t="s">
        <v>376</v>
      </c>
      <c r="C1860" s="367">
        <f ca="1">AC1842+AH1837+AM1827</f>
        <v>-1.0990736524599759E-2</v>
      </c>
      <c r="D1860" s="344" t="s">
        <v>267</v>
      </c>
      <c r="E1860" s="363">
        <f ca="1">C1860*(Units!C170/Units!C$84)*C$1793</f>
        <v>-2.7150705312499057</v>
      </c>
    </row>
    <row r="1861" spans="1:5" ht="15.75" customHeight="1" x14ac:dyDescent="0.2">
      <c r="A1861" s="638" t="s">
        <v>2163</v>
      </c>
      <c r="B1861" s="344" t="s">
        <v>376</v>
      </c>
      <c r="C1861" s="367">
        <f ca="1">AH1842+AM1832</f>
        <v>5.5928793383628522E-2</v>
      </c>
      <c r="D1861" s="344" t="s">
        <v>267</v>
      </c>
      <c r="E1861" s="363">
        <f ca="1">C1861*(Units!C171/Units!C$84)*C$1793</f>
        <v>14.855269587335547</v>
      </c>
    </row>
    <row r="1862" spans="1:5" ht="15.75" customHeight="1" x14ac:dyDescent="0.2">
      <c r="A1862" s="638" t="s">
        <v>2164</v>
      </c>
      <c r="B1862" s="344" t="s">
        <v>376</v>
      </c>
      <c r="C1862" s="367">
        <f ca="1">AM1837</f>
        <v>0</v>
      </c>
      <c r="D1862" s="344" t="s">
        <v>267</v>
      </c>
      <c r="E1862" s="363">
        <f ca="1">C1862*(Units!C172/Units!C$84)*C$1793</f>
        <v>0</v>
      </c>
    </row>
    <row r="1863" spans="1:5" ht="15.75" customHeight="1" x14ac:dyDescent="0.2">
      <c r="A1863" s="639" t="s">
        <v>2165</v>
      </c>
      <c r="B1863" s="347" t="s">
        <v>376</v>
      </c>
      <c r="C1863" s="369">
        <f ca="1">AM1842</f>
        <v>0</v>
      </c>
      <c r="D1863" s="347" t="s">
        <v>267</v>
      </c>
      <c r="E1863" s="365">
        <f ca="1">C1863*(Units!C173/Units!C$84)*C$1793</f>
        <v>0</v>
      </c>
    </row>
    <row r="1864" spans="1:5" ht="15.75" customHeight="1" x14ac:dyDescent="0.2">
      <c r="A1864" s="316" t="s">
        <v>400</v>
      </c>
      <c r="B1864" s="342" t="s">
        <v>376</v>
      </c>
      <c r="C1864" s="366">
        <f ca="1">B1842</f>
        <v>9.9763177534005444E-4</v>
      </c>
      <c r="D1864" s="342" t="s">
        <v>267</v>
      </c>
      <c r="E1864" s="361">
        <f ca="1">C1864*Units!C103*C$1793/Units!C$84</f>
        <v>7.958964567258324E-2</v>
      </c>
    </row>
    <row r="1865" spans="1:5" ht="15.75" customHeight="1" x14ac:dyDescent="0.2">
      <c r="A1865" s="317" t="s">
        <v>401</v>
      </c>
      <c r="B1865" s="344" t="s">
        <v>376</v>
      </c>
      <c r="C1865" s="367">
        <f ca="1">G1842</f>
        <v>3.0353816911125797E-3</v>
      </c>
      <c r="D1865" s="344" t="s">
        <v>267</v>
      </c>
      <c r="E1865" s="363">
        <f ca="1">C1865*Units!C104*C$1793/Units!C$84</f>
        <v>0.29873600584492632</v>
      </c>
    </row>
    <row r="1866" spans="1:5" ht="15.75" customHeight="1" x14ac:dyDescent="0.2">
      <c r="A1866" s="317" t="s">
        <v>402</v>
      </c>
      <c r="B1866" s="344" t="s">
        <v>376</v>
      </c>
      <c r="C1866" s="367">
        <f ca="1">L1842</f>
        <v>6.383349703976025E-3</v>
      </c>
      <c r="D1866" s="344" t="s">
        <v>267</v>
      </c>
      <c r="E1866" s="363">
        <f ca="1">C1866*Units!C105*C$1793/Units!C$84</f>
        <v>0.74721765521691863</v>
      </c>
    </row>
    <row r="1867" spans="1:5" ht="15.75" customHeight="1" x14ac:dyDescent="0.2">
      <c r="A1867" s="317" t="s">
        <v>403</v>
      </c>
      <c r="B1867" s="344" t="s">
        <v>376</v>
      </c>
      <c r="C1867" s="367">
        <f ca="1">Q1842</f>
        <v>2.6844771184192468E-3</v>
      </c>
      <c r="D1867" s="344" t="s">
        <v>267</v>
      </c>
      <c r="E1867" s="363">
        <f ca="1">C1867*Units!C106*C$1793/Units!C$84</f>
        <v>0.31423763242350378</v>
      </c>
    </row>
    <row r="1868" spans="1:5" ht="15.75" customHeight="1" x14ac:dyDescent="0.2">
      <c r="A1868" s="317" t="s">
        <v>404</v>
      </c>
      <c r="B1868" s="344" t="s">
        <v>376</v>
      </c>
      <c r="C1868" s="367">
        <f ca="1">V1842</f>
        <v>-1.4197984475245499E-3</v>
      </c>
      <c r="D1868" s="344" t="s">
        <v>267</v>
      </c>
      <c r="E1868" s="363">
        <f ca="1">C1868*Units!C107*C$1793/Units!C$84</f>
        <v>-0.19264303648455103</v>
      </c>
    </row>
    <row r="1869" spans="1:5" ht="15.75" customHeight="1" x14ac:dyDescent="0.2">
      <c r="A1869" s="317" t="s">
        <v>405</v>
      </c>
      <c r="B1869" s="344" t="s">
        <v>376</v>
      </c>
      <c r="C1869" s="367">
        <f ca="1">AA1842</f>
        <v>-1.8758343133656714E-2</v>
      </c>
      <c r="D1869" s="344" t="s">
        <v>267</v>
      </c>
      <c r="E1869" s="363">
        <f ca="1">C1869*Units!C108*C$1793/Units!C$84</f>
        <v>-2.545195190899991</v>
      </c>
    </row>
    <row r="1870" spans="1:5" ht="15.75" customHeight="1" x14ac:dyDescent="0.2">
      <c r="A1870" s="317" t="s">
        <v>420</v>
      </c>
      <c r="B1870" s="344" t="s">
        <v>376</v>
      </c>
      <c r="C1870" s="367">
        <f ca="1">AF1842</f>
        <v>0</v>
      </c>
      <c r="D1870" s="344" t="s">
        <v>267</v>
      </c>
      <c r="E1870" s="363">
        <f ca="1">C1870*Units!C109*C$1793/Units!C$84</f>
        <v>0</v>
      </c>
    </row>
    <row r="1871" spans="1:5" ht="15.75" customHeight="1" x14ac:dyDescent="0.2">
      <c r="A1871" s="318" t="s">
        <v>421</v>
      </c>
      <c r="B1871" s="347" t="s">
        <v>376</v>
      </c>
      <c r="C1871" s="369">
        <f ca="1">AK1842</f>
        <v>0</v>
      </c>
      <c r="D1871" s="347" t="s">
        <v>267</v>
      </c>
      <c r="E1871" s="365">
        <f ca="1">C1871*Units!C110*C$1793/Units!C$84</f>
        <v>0</v>
      </c>
    </row>
    <row r="1872" spans="1:5" ht="15.75" customHeight="1" x14ac:dyDescent="0.2">
      <c r="A1872" s="316" t="s">
        <v>409</v>
      </c>
      <c r="B1872" s="342" t="s">
        <v>376</v>
      </c>
      <c r="C1872" s="366">
        <f ca="1">AL1812</f>
        <v>0</v>
      </c>
      <c r="D1872" s="342" t="s">
        <v>267</v>
      </c>
      <c r="E1872" s="361">
        <f ca="1">C1872*Units!C112*C$1793/Units!C$84</f>
        <v>0</v>
      </c>
    </row>
    <row r="1873" spans="1:19" ht="15.75" customHeight="1" x14ac:dyDescent="0.2">
      <c r="A1873" s="317" t="s">
        <v>410</v>
      </c>
      <c r="B1873" s="344" t="s">
        <v>376</v>
      </c>
      <c r="C1873" s="367">
        <f ca="1">AL1817</f>
        <v>0</v>
      </c>
      <c r="D1873" s="344" t="s">
        <v>267</v>
      </c>
      <c r="E1873" s="363">
        <f ca="1">C1873*Units!C113*C$1793/Units!C$84</f>
        <v>0</v>
      </c>
    </row>
    <row r="1874" spans="1:19" ht="15.75" customHeight="1" x14ac:dyDescent="0.2">
      <c r="A1874" s="306" t="s">
        <v>412</v>
      </c>
      <c r="B1874" s="344" t="s">
        <v>376</v>
      </c>
      <c r="C1874" s="367">
        <f ca="1">AL1822</f>
        <v>0</v>
      </c>
      <c r="D1874" s="344" t="s">
        <v>267</v>
      </c>
      <c r="E1874" s="363">
        <f ca="1">C1874*Units!C114*C$1793/Units!C$84</f>
        <v>0</v>
      </c>
    </row>
    <row r="1875" spans="1:19" ht="15.75" customHeight="1" x14ac:dyDescent="0.2">
      <c r="A1875" s="306" t="s">
        <v>411</v>
      </c>
      <c r="B1875" s="344" t="s">
        <v>376</v>
      </c>
      <c r="C1875" s="367">
        <f ca="1">AL1827</f>
        <v>0</v>
      </c>
      <c r="D1875" s="344" t="s">
        <v>267</v>
      </c>
      <c r="E1875" s="363">
        <f ca="1">C1875*Units!C115*C$1793/Units!C$84</f>
        <v>0</v>
      </c>
    </row>
    <row r="1876" spans="1:19" ht="15.75" customHeight="1" x14ac:dyDescent="0.2">
      <c r="A1876" s="306" t="s">
        <v>413</v>
      </c>
      <c r="B1876" s="344" t="s">
        <v>376</v>
      </c>
      <c r="C1876" s="367">
        <f ca="1">AL1832</f>
        <v>1.3551765025679036E-2</v>
      </c>
      <c r="D1876" s="344" t="s">
        <v>267</v>
      </c>
      <c r="E1876" s="363">
        <f ca="1">C1876*Units!C116*C$1793/Units!C$84</f>
        <v>1.587053128999572</v>
      </c>
    </row>
    <row r="1877" spans="1:19" ht="15.75" customHeight="1" x14ac:dyDescent="0.2">
      <c r="A1877" s="306" t="s">
        <v>414</v>
      </c>
      <c r="B1877" s="344" t="s">
        <v>376</v>
      </c>
      <c r="C1877" s="367">
        <f ca="1">AL1837</f>
        <v>1.0271631880489705E-2</v>
      </c>
      <c r="D1877" s="344" t="s">
        <v>267</v>
      </c>
      <c r="E1877" s="363">
        <f ca="1">C1877*Units!C117*C$1793/Units!C$84</f>
        <v>1.2029153018055758</v>
      </c>
    </row>
    <row r="1878" spans="1:19" ht="15.75" customHeight="1" x14ac:dyDescent="0.2">
      <c r="A1878" s="307" t="s">
        <v>415</v>
      </c>
      <c r="B1878" s="347" t="s">
        <v>376</v>
      </c>
      <c r="C1878" s="369">
        <f ca="1">AL1842</f>
        <v>0.3851682918481294</v>
      </c>
      <c r="D1878" s="347" t="s">
        <v>267</v>
      </c>
      <c r="E1878" s="365">
        <f ca="1">C1878*Units!C118*C$1793/Units!C$84</f>
        <v>52.588425753867369</v>
      </c>
    </row>
    <row r="1879" spans="1:19" ht="15.75" customHeight="1" x14ac:dyDescent="0.2">
      <c r="A1879" s="738" t="s">
        <v>2167</v>
      </c>
      <c r="B1879" s="735"/>
      <c r="C1879" s="735"/>
      <c r="D1879" s="433" t="s">
        <v>267</v>
      </c>
      <c r="E1879" s="591">
        <f ca="1">SUM(E1847:E1878)</f>
        <v>650.24968788476826</v>
      </c>
    </row>
    <row r="1880" spans="1:19" ht="15.75" customHeight="1" x14ac:dyDescent="0.2">
      <c r="A1880" s="307" t="s">
        <v>2168</v>
      </c>
      <c r="B1880" s="347" t="s">
        <v>2169</v>
      </c>
      <c r="C1880" s="248">
        <f ca="1">SUM(E1812,E1817,E1822,E1827,E1832,E1837,E1842,J1842,J1837,J1832,J1827,J1822,J1817,J1812,O1812,O1817,O1822,O1827,O1832,O1837,O1842,T1842,T1837,T1832,T1827,T1822,T1817,T1812,Y1812,Y1817,Y1822,Y1827,,Y1832,Y1837,Y1842,AD1842,AD1837,AD1832,AD1827,AD1822,AD1817,AD1812,AI1812,AI1817,AI1822,AI1827,AI1832,AI1837,AI1842,AN1812,AN1817,AN1822,AN1827,AN1832,AN1837,AN1842)</f>
        <v>2.8702172935975114</v>
      </c>
      <c r="D1880" s="347" t="s">
        <v>267</v>
      </c>
      <c r="E1880" s="365">
        <f ca="1">(C1880*Units!C84*Units!C137/C1793)+C1777</f>
        <v>397.37978222742919</v>
      </c>
    </row>
    <row r="1881" spans="1:19" ht="15.75" customHeight="1" x14ac:dyDescent="0.2"/>
    <row r="1882" spans="1:19" ht="15.75" customHeight="1" x14ac:dyDescent="0.2"/>
    <row r="1883" spans="1:19" ht="15.75" customHeight="1" x14ac:dyDescent="0.2"/>
    <row r="1884" spans="1:19" ht="15.75" customHeight="1" x14ac:dyDescent="0.2"/>
    <row r="1885" spans="1:19" ht="15.75" customHeight="1" thickBot="1" x14ac:dyDescent="0.25"/>
    <row r="1886" spans="1:19" ht="50" customHeight="1" thickBot="1" x14ac:dyDescent="0.25">
      <c r="A1886" s="2061" t="s">
        <v>2185</v>
      </c>
      <c r="B1886" s="644"/>
      <c r="C1886" s="644"/>
      <c r="D1886" s="644"/>
      <c r="E1886" s="644"/>
      <c r="F1886" s="644"/>
      <c r="G1886" s="644"/>
      <c r="H1886" s="644"/>
      <c r="I1886" s="644"/>
      <c r="J1886" s="644"/>
      <c r="K1886" s="644"/>
      <c r="L1886" s="644"/>
      <c r="M1886" s="644"/>
      <c r="N1886" s="644"/>
      <c r="O1886" s="644"/>
      <c r="P1886" s="644"/>
      <c r="Q1886" s="644"/>
      <c r="R1886" s="644"/>
      <c r="S1886" s="791"/>
    </row>
    <row r="1887" spans="1:19" ht="15.75" customHeight="1" x14ac:dyDescent="0.2">
      <c r="A1887" s="301" t="s">
        <v>580</v>
      </c>
      <c r="B1887" s="301" t="s">
        <v>372</v>
      </c>
      <c r="C1887" s="301" t="s">
        <v>42</v>
      </c>
      <c r="D1887" s="557" t="s">
        <v>372</v>
      </c>
      <c r="E1887" s="301" t="s">
        <v>42</v>
      </c>
    </row>
    <row r="1888" spans="1:19" ht="15.75" customHeight="1" x14ac:dyDescent="0.2">
      <c r="A1888" s="439" t="s">
        <v>2194</v>
      </c>
      <c r="B1888" s="433" t="s">
        <v>1081</v>
      </c>
      <c r="C1888" s="437">
        <v>0.05</v>
      </c>
    </row>
    <row r="1889" spans="1:10" ht="15.75" customHeight="1" x14ac:dyDescent="0.2"/>
    <row r="1890" spans="1:10" ht="15.75" customHeight="1" x14ac:dyDescent="0.2">
      <c r="A1890" s="792" t="s">
        <v>1993</v>
      </c>
      <c r="B1890" s="793"/>
      <c r="C1890" s="793"/>
      <c r="D1890" s="793"/>
      <c r="E1890" s="794"/>
      <c r="F1890" s="795" t="s">
        <v>2251</v>
      </c>
      <c r="G1890" s="796"/>
      <c r="H1890" s="796"/>
      <c r="I1890" s="796"/>
      <c r="J1890" s="797"/>
    </row>
    <row r="1891" spans="1:10" ht="15.75" customHeight="1" x14ac:dyDescent="0.2">
      <c r="A1891" s="301" t="s">
        <v>580</v>
      </c>
      <c r="B1891" s="301" t="s">
        <v>372</v>
      </c>
      <c r="C1891" s="301" t="s">
        <v>42</v>
      </c>
      <c r="D1891" s="557" t="s">
        <v>372</v>
      </c>
      <c r="E1891" s="301" t="s">
        <v>42</v>
      </c>
      <c r="F1891" s="301" t="s">
        <v>372</v>
      </c>
      <c r="G1891" s="301" t="s">
        <v>42</v>
      </c>
      <c r="H1891" s="557" t="s">
        <v>372</v>
      </c>
      <c r="I1891" s="301" t="s">
        <v>42</v>
      </c>
    </row>
    <row r="1892" spans="1:10" ht="15.75" customHeight="1" x14ac:dyDescent="0.2">
      <c r="A1892" s="439" t="s">
        <v>1764</v>
      </c>
      <c r="B1892" s="433" t="s">
        <v>267</v>
      </c>
      <c r="C1892" s="434">
        <f ca="1">SUM(E1847:E1863)</f>
        <v>596.16935098832232</v>
      </c>
      <c r="D1892" s="208"/>
      <c r="E1892" s="208"/>
      <c r="F1892" s="433" t="s">
        <v>267</v>
      </c>
      <c r="G1892" s="434">
        <f ca="1">SUM(G1893:G1948)</f>
        <v>255.38005324159133</v>
      </c>
    </row>
    <row r="1893" spans="1:10" ht="15.75" customHeight="1" x14ac:dyDescent="0.2">
      <c r="A1893" s="305" t="s">
        <v>2073</v>
      </c>
      <c r="B1893" s="342" t="s">
        <v>376</v>
      </c>
      <c r="C1893" s="366">
        <f ca="1">D1812</f>
        <v>2.6249323593690296E-2</v>
      </c>
      <c r="D1893" s="342" t="s">
        <v>267</v>
      </c>
      <c r="E1893" s="361">
        <f ca="1">C1893*(Units!C175/Units!C$84)*C$1892</f>
        <v>1.3789935996097744</v>
      </c>
      <c r="F1893" s="342" t="s">
        <v>267</v>
      </c>
      <c r="G1893" s="361">
        <f ca="1">E1893-(E1893*C$1888)</f>
        <v>1.3100439196292857</v>
      </c>
      <c r="H1893" s="208"/>
    </row>
    <row r="1894" spans="1:10" ht="15.75" customHeight="1" x14ac:dyDescent="0.2">
      <c r="A1894" s="306" t="s">
        <v>2196</v>
      </c>
      <c r="B1894" s="344" t="s">
        <v>376</v>
      </c>
      <c r="C1894" s="367">
        <f ca="1">I1812</f>
        <v>8.3347240748831278E-2</v>
      </c>
      <c r="D1894" s="344" t="s">
        <v>267</v>
      </c>
      <c r="E1894" s="363">
        <f ca="1">C1894*(Units!C176/Units!C$84)*C$1892</f>
        <v>5.0747447623927222</v>
      </c>
      <c r="F1894" s="344" t="s">
        <v>267</v>
      </c>
      <c r="G1894" s="363">
        <f t="shared" ref="G1894:G1948" ca="1" si="150">E1894-(E1894*C$1888)</f>
        <v>4.8210075242730861</v>
      </c>
      <c r="H1894" s="208"/>
    </row>
    <row r="1895" spans="1:10" ht="15.75" customHeight="1" x14ac:dyDescent="0.2">
      <c r="A1895" s="306" t="s">
        <v>2197</v>
      </c>
      <c r="B1895" s="344" t="s">
        <v>376</v>
      </c>
      <c r="C1895" s="367">
        <f ca="1">N1812</f>
        <v>0.17355401601953976</v>
      </c>
      <c r="D1895" s="344" t="s">
        <v>267</v>
      </c>
      <c r="E1895" s="363">
        <f ca="1">C1895*(Units!C177/Units!C$84)*C$1892</f>
        <v>12.016725332560016</v>
      </c>
      <c r="F1895" s="344" t="s">
        <v>267</v>
      </c>
      <c r="G1895" s="363">
        <f t="shared" ca="1" si="150"/>
        <v>11.415889065932015</v>
      </c>
      <c r="H1895" s="208"/>
    </row>
    <row r="1896" spans="1:10" ht="15.75" customHeight="1" x14ac:dyDescent="0.2">
      <c r="A1896" s="306" t="s">
        <v>2198</v>
      </c>
      <c r="B1896" s="344" t="s">
        <v>376</v>
      </c>
      <c r="C1896" s="367">
        <f ca="1">S1812</f>
        <v>9.5015783258638423E-2</v>
      </c>
      <c r="D1896" s="344" t="s">
        <v>267</v>
      </c>
      <c r="E1896" s="363">
        <f ca="1">C1896*(Units!C178/Units!C$84)*C$1892</f>
        <v>6.5788081190156031</v>
      </c>
      <c r="F1896" s="344" t="s">
        <v>267</v>
      </c>
      <c r="G1896" s="363">
        <f t="shared" ca="1" si="150"/>
        <v>6.2498677130648232</v>
      </c>
      <c r="H1896" s="208"/>
    </row>
    <row r="1897" spans="1:10" ht="15.75" customHeight="1" x14ac:dyDescent="0.2">
      <c r="A1897" s="306" t="s">
        <v>2199</v>
      </c>
      <c r="B1897" s="344" t="s">
        <v>376</v>
      </c>
      <c r="C1897" s="367">
        <f ca="1">X1812</f>
        <v>0.16362704667172523</v>
      </c>
      <c r="D1897" s="344" t="s">
        <v>267</v>
      </c>
      <c r="E1897" s="363">
        <f ca="1">C1897*(Units!C179/Units!C$84)*C$1892</f>
        <v>12.696058342927151</v>
      </c>
      <c r="F1897" s="344" t="s">
        <v>267</v>
      </c>
      <c r="G1897" s="363">
        <f t="shared" ca="1" si="150"/>
        <v>12.061255425780793</v>
      </c>
    </row>
    <row r="1898" spans="1:10" ht="15.75" customHeight="1" x14ac:dyDescent="0.2">
      <c r="A1898" s="306" t="s">
        <v>2200</v>
      </c>
      <c r="B1898" s="344" t="s">
        <v>376</v>
      </c>
      <c r="C1898" s="367">
        <f ca="1">AC1812</f>
        <v>7.2860912484351434E-2</v>
      </c>
      <c r="D1898" s="344" t="s">
        <v>267</v>
      </c>
      <c r="E1898" s="363">
        <f ca="1">C1898*(Units!C180/Units!C$84)*C$1892</f>
        <v>5.6533831945038902</v>
      </c>
      <c r="F1898" s="344" t="s">
        <v>267</v>
      </c>
      <c r="G1898" s="363">
        <f t="shared" ca="1" si="150"/>
        <v>5.3707140347786959</v>
      </c>
    </row>
    <row r="1899" spans="1:10" ht="15.75" customHeight="1" x14ac:dyDescent="0.2">
      <c r="A1899" s="306" t="s">
        <v>2201</v>
      </c>
      <c r="B1899" s="344" t="s">
        <v>376</v>
      </c>
      <c r="C1899" s="367">
        <f ca="1">AH1812</f>
        <v>6.4356577679275676E-2</v>
      </c>
      <c r="D1899" s="344" t="s">
        <v>267</v>
      </c>
      <c r="E1899" s="363">
        <f ca="1">C1899*(Units!C181/Units!C$84)*C$1892</f>
        <v>5.5310471442147016</v>
      </c>
      <c r="F1899" s="344" t="s">
        <v>267</v>
      </c>
      <c r="G1899" s="363">
        <f t="shared" ca="1" si="150"/>
        <v>5.2544947870039662</v>
      </c>
      <c r="H1899" s="208"/>
    </row>
    <row r="1900" spans="1:10" ht="15.75" customHeight="1" x14ac:dyDescent="0.2">
      <c r="A1900" s="306" t="s">
        <v>2202</v>
      </c>
      <c r="B1900" s="344" t="s">
        <v>376</v>
      </c>
      <c r="C1900" s="367">
        <f ca="1">AM1812</f>
        <v>0</v>
      </c>
      <c r="D1900" s="344" t="s">
        <v>267</v>
      </c>
      <c r="E1900" s="363">
        <f ca="1">C1900*(Units!C182/Units!C$84)*C$1892</f>
        <v>0</v>
      </c>
      <c r="F1900" s="344" t="s">
        <v>267</v>
      </c>
      <c r="G1900" s="363">
        <f t="shared" ca="1" si="150"/>
        <v>0</v>
      </c>
      <c r="H1900" s="208"/>
    </row>
    <row r="1901" spans="1:10" ht="15.75" customHeight="1" x14ac:dyDescent="0.2">
      <c r="A1901" s="306" t="s">
        <v>2203</v>
      </c>
      <c r="B1901" s="344" t="s">
        <v>376</v>
      </c>
      <c r="C1901" s="367">
        <f ca="1">D1817</f>
        <v>0</v>
      </c>
      <c r="D1901" s="344" t="s">
        <v>267</v>
      </c>
      <c r="E1901" s="363">
        <f ca="1">C1901*(Units!C183/Units!C$84)*C$1892</f>
        <v>0</v>
      </c>
      <c r="F1901" s="344" t="s">
        <v>267</v>
      </c>
      <c r="G1901" s="363">
        <f t="shared" ca="1" si="150"/>
        <v>0</v>
      </c>
      <c r="H1901" s="208"/>
    </row>
    <row r="1902" spans="1:10" ht="15.75" customHeight="1" x14ac:dyDescent="0.2">
      <c r="A1902" s="306" t="s">
        <v>2204</v>
      </c>
      <c r="B1902" s="344" t="s">
        <v>376</v>
      </c>
      <c r="C1902" s="367">
        <f ca="1">I1817</f>
        <v>0</v>
      </c>
      <c r="D1902" s="344" t="s">
        <v>267</v>
      </c>
      <c r="E1902" s="363">
        <f ca="1">C1902*(Units!C184/Units!C$84)*C$1892</f>
        <v>0</v>
      </c>
      <c r="F1902" s="344" t="s">
        <v>267</v>
      </c>
      <c r="G1902" s="363">
        <f t="shared" ca="1" si="150"/>
        <v>0</v>
      </c>
      <c r="H1902" s="208"/>
    </row>
    <row r="1903" spans="1:10" ht="15.75" customHeight="1" x14ac:dyDescent="0.2">
      <c r="A1903" s="306" t="s">
        <v>2205</v>
      </c>
      <c r="B1903" s="344" t="s">
        <v>376</v>
      </c>
      <c r="C1903" s="367">
        <f ca="1">N1817</f>
        <v>0</v>
      </c>
      <c r="D1903" s="344" t="s">
        <v>267</v>
      </c>
      <c r="E1903" s="363">
        <f ca="1">C1903*(Units!C185/Units!C$84)*C$1892</f>
        <v>0</v>
      </c>
      <c r="F1903" s="344" t="s">
        <v>267</v>
      </c>
      <c r="G1903" s="363">
        <f t="shared" ca="1" si="150"/>
        <v>0</v>
      </c>
      <c r="H1903" s="208"/>
    </row>
    <row r="1904" spans="1:10" ht="15.75" customHeight="1" x14ac:dyDescent="0.2">
      <c r="A1904" s="306" t="s">
        <v>2206</v>
      </c>
      <c r="B1904" s="344" t="s">
        <v>376</v>
      </c>
      <c r="C1904" s="367">
        <f ca="1">S1817</f>
        <v>0</v>
      </c>
      <c r="D1904" s="344" t="s">
        <v>267</v>
      </c>
      <c r="E1904" s="363">
        <f ca="1">C1904*(Units!C186/Units!C$84)*C$1892</f>
        <v>0</v>
      </c>
      <c r="F1904" s="344" t="s">
        <v>267</v>
      </c>
      <c r="G1904" s="363">
        <f t="shared" ca="1" si="150"/>
        <v>0</v>
      </c>
    </row>
    <row r="1905" spans="1:8" ht="15.75" customHeight="1" x14ac:dyDescent="0.2">
      <c r="A1905" s="306" t="s">
        <v>2207</v>
      </c>
      <c r="B1905" s="344" t="s">
        <v>376</v>
      </c>
      <c r="C1905" s="367">
        <f ca="1">X1817</f>
        <v>0</v>
      </c>
      <c r="D1905" s="344" t="s">
        <v>267</v>
      </c>
      <c r="E1905" s="363">
        <f ca="1">C1905*(Units!C187/Units!C$84)*C$1892</f>
        <v>0</v>
      </c>
      <c r="F1905" s="344" t="s">
        <v>267</v>
      </c>
      <c r="G1905" s="363">
        <f t="shared" ca="1" si="150"/>
        <v>0</v>
      </c>
      <c r="H1905" s="208"/>
    </row>
    <row r="1906" spans="1:8" ht="15.75" customHeight="1" x14ac:dyDescent="0.2">
      <c r="A1906" s="306" t="s">
        <v>2208</v>
      </c>
      <c r="B1906" s="344" t="s">
        <v>376</v>
      </c>
      <c r="C1906" s="367">
        <f ca="1">AC1817</f>
        <v>0</v>
      </c>
      <c r="D1906" s="344" t="s">
        <v>267</v>
      </c>
      <c r="E1906" s="363">
        <f ca="1">C1906*(Units!C188/Units!C$84)*C$1892</f>
        <v>0</v>
      </c>
      <c r="F1906" s="344" t="s">
        <v>267</v>
      </c>
      <c r="G1906" s="363">
        <f t="shared" ca="1" si="150"/>
        <v>0</v>
      </c>
      <c r="H1906" s="208"/>
    </row>
    <row r="1907" spans="1:8" ht="15.75" customHeight="1" x14ac:dyDescent="0.2">
      <c r="A1907" s="306" t="s">
        <v>2209</v>
      </c>
      <c r="B1907" s="344" t="s">
        <v>376</v>
      </c>
      <c r="C1907" s="367">
        <f ca="1">AH1817</f>
        <v>0</v>
      </c>
      <c r="D1907" s="344" t="s">
        <v>267</v>
      </c>
      <c r="E1907" s="363">
        <f ca="1">C1907*(Units!C189/Units!C$84)*C$1892</f>
        <v>0</v>
      </c>
      <c r="F1907" s="344" t="s">
        <v>267</v>
      </c>
      <c r="G1907" s="363">
        <f t="shared" ca="1" si="150"/>
        <v>0</v>
      </c>
      <c r="H1907" s="208"/>
    </row>
    <row r="1908" spans="1:8" ht="15.75" customHeight="1" x14ac:dyDescent="0.2">
      <c r="A1908" s="306" t="s">
        <v>2210</v>
      </c>
      <c r="B1908" s="344" t="s">
        <v>376</v>
      </c>
      <c r="C1908" s="367">
        <f ca="1">AM1817</f>
        <v>0</v>
      </c>
      <c r="D1908" s="344" t="s">
        <v>267</v>
      </c>
      <c r="E1908" s="363">
        <f ca="1">C1908*(Units!C190/Units!C$84)*C$1892</f>
        <v>0</v>
      </c>
      <c r="F1908" s="344" t="s">
        <v>267</v>
      </c>
      <c r="G1908" s="363">
        <f t="shared" ca="1" si="150"/>
        <v>0</v>
      </c>
    </row>
    <row r="1909" spans="1:8" ht="15.75" customHeight="1" x14ac:dyDescent="0.2">
      <c r="A1909" s="306" t="s">
        <v>2211</v>
      </c>
      <c r="B1909" s="344" t="s">
        <v>376</v>
      </c>
      <c r="C1909" s="367">
        <f ca="1">D1822</f>
        <v>1.8622836016494268E-2</v>
      </c>
      <c r="D1909" s="344" t="s">
        <v>267</v>
      </c>
      <c r="E1909" s="363">
        <f ca="1">C1909*(Units!C191/Units!C$84)*C$1892</f>
        <v>1.2896506093856221</v>
      </c>
      <c r="F1909" s="344" t="s">
        <v>267</v>
      </c>
      <c r="G1909" s="363">
        <f t="shared" ca="1" si="150"/>
        <v>1.2251680789163411</v>
      </c>
      <c r="H1909" s="208"/>
    </row>
    <row r="1910" spans="1:8" ht="15.75" customHeight="1" x14ac:dyDescent="0.2">
      <c r="A1910" s="306" t="s">
        <v>2212</v>
      </c>
      <c r="B1910" s="344" t="s">
        <v>376</v>
      </c>
      <c r="C1910" s="367">
        <f ca="1">I1822</f>
        <v>6.1350192183639018E-2</v>
      </c>
      <c r="D1910" s="344" t="s">
        <v>267</v>
      </c>
      <c r="E1910" s="363">
        <f ca="1">C1910*(Units!C192/Units!C$84)*C$1892</f>
        <v>4.7609813211504708</v>
      </c>
      <c r="F1910" s="344" t="s">
        <v>267</v>
      </c>
      <c r="G1910" s="363">
        <f t="shared" ca="1" si="150"/>
        <v>4.5229322550929476</v>
      </c>
      <c r="H1910" s="208"/>
    </row>
    <row r="1911" spans="1:8" ht="15.75" customHeight="1" x14ac:dyDescent="0.2">
      <c r="A1911" s="306" t="s">
        <v>2213</v>
      </c>
      <c r="B1911" s="344" t="s">
        <v>376</v>
      </c>
      <c r="C1911" s="367">
        <f ca="1">N1822</f>
        <v>0.14599688013099588</v>
      </c>
      <c r="D1911" s="344" t="s">
        <v>267</v>
      </c>
      <c r="E1911" s="363">
        <f ca="1">C1911*(Units!C193/Units!C$84)*C$1892</f>
        <v>12.549263595207584</v>
      </c>
      <c r="F1911" s="344" t="s">
        <v>267</v>
      </c>
      <c r="G1911" s="363">
        <f t="shared" ca="1" si="150"/>
        <v>11.921800415447205</v>
      </c>
      <c r="H1911" s="208"/>
    </row>
    <row r="1912" spans="1:8" ht="15.75" customHeight="1" x14ac:dyDescent="0.2">
      <c r="A1912" s="306" t="s">
        <v>2214</v>
      </c>
      <c r="B1912" s="344" t="s">
        <v>376</v>
      </c>
      <c r="C1912" s="367">
        <f ca="1">S1822</f>
        <v>0.10870413952249761</v>
      </c>
      <c r="D1912" s="344" t="s">
        <v>267</v>
      </c>
      <c r="E1912" s="363">
        <f ca="1">C1912*(Units!C194/Units!C$84)*C$1892</f>
        <v>9.3437400822130829</v>
      </c>
      <c r="F1912" s="344" t="s">
        <v>267</v>
      </c>
      <c r="G1912" s="363">
        <f t="shared" ca="1" si="150"/>
        <v>8.8765530781024289</v>
      </c>
      <c r="H1912" s="208"/>
    </row>
    <row r="1913" spans="1:8" ht="15.75" customHeight="1" x14ac:dyDescent="0.2">
      <c r="A1913" s="306" t="s">
        <v>2215</v>
      </c>
      <c r="B1913" s="344" t="s">
        <v>376</v>
      </c>
      <c r="C1913" s="367">
        <f ca="1">X1822</f>
        <v>0.21991366104469542</v>
      </c>
      <c r="D1913" s="344" t="s">
        <v>267</v>
      </c>
      <c r="E1913" s="363">
        <f ca="1">C1913*(Units!C195/Units!C$84)*C$1892</f>
        <v>20.739624062470064</v>
      </c>
      <c r="F1913" s="344" t="s">
        <v>267</v>
      </c>
      <c r="G1913" s="363">
        <f t="shared" ca="1" si="150"/>
        <v>19.702642859346561</v>
      </c>
      <c r="H1913" s="208"/>
    </row>
    <row r="1914" spans="1:8" ht="15.75" customHeight="1" x14ac:dyDescent="0.2">
      <c r="A1914" s="306" t="s">
        <v>2216</v>
      </c>
      <c r="B1914" s="344" t="s">
        <v>376</v>
      </c>
      <c r="C1914" s="367">
        <f ca="1">AC1822</f>
        <v>0.14808400169100489</v>
      </c>
      <c r="D1914" s="344" t="s">
        <v>267</v>
      </c>
      <c r="E1914" s="363">
        <f ca="1">C1914*(Units!C196/Units!C$84)*C$1892</f>
        <v>13.965510419625218</v>
      </c>
      <c r="F1914" s="344" t="s">
        <v>267</v>
      </c>
      <c r="G1914" s="363">
        <f t="shared" ca="1" si="150"/>
        <v>13.267234898643958</v>
      </c>
      <c r="H1914" s="208"/>
    </row>
    <row r="1915" spans="1:8" ht="15.75" customHeight="1" x14ac:dyDescent="0.2">
      <c r="A1915" s="306" t="s">
        <v>2217</v>
      </c>
      <c r="B1915" s="344" t="s">
        <v>376</v>
      </c>
      <c r="C1915" s="367">
        <f ca="1">AH1822</f>
        <v>0.19228532242830199</v>
      </c>
      <c r="D1915" s="344" t="s">
        <v>267</v>
      </c>
      <c r="E1915" s="363">
        <f ca="1">C1915*(Units!C197/Units!C$84)*C$1892</f>
        <v>19.740080853961036</v>
      </c>
      <c r="F1915" s="344" t="s">
        <v>267</v>
      </c>
      <c r="G1915" s="363">
        <f t="shared" ca="1" si="150"/>
        <v>18.753076811262986</v>
      </c>
    </row>
    <row r="1916" spans="1:8" ht="15.75" customHeight="1" x14ac:dyDescent="0.2">
      <c r="A1916" s="306" t="s">
        <v>2218</v>
      </c>
      <c r="B1916" s="344" t="s">
        <v>376</v>
      </c>
      <c r="C1916" s="367">
        <f ca="1">AM1822</f>
        <v>0</v>
      </c>
      <c r="D1916" s="344" t="s">
        <v>267</v>
      </c>
      <c r="E1916" s="363">
        <f ca="1">C1916*(Units!C198/Units!C$84)*C$1892</f>
        <v>0</v>
      </c>
      <c r="F1916" s="344" t="s">
        <v>267</v>
      </c>
      <c r="G1916" s="363">
        <f t="shared" ca="1" si="150"/>
        <v>0</v>
      </c>
    </row>
    <row r="1917" spans="1:8" ht="15.75" customHeight="1" x14ac:dyDescent="0.2">
      <c r="A1917" s="306" t="s">
        <v>2219</v>
      </c>
      <c r="B1917" s="344" t="s">
        <v>376</v>
      </c>
      <c r="C1917" s="367">
        <f ca="1">D1827</f>
        <v>0</v>
      </c>
      <c r="D1917" s="344" t="s">
        <v>267</v>
      </c>
      <c r="E1917" s="363">
        <f ca="1">C1917*(Units!C199/Units!C$84)*C$1892</f>
        <v>0</v>
      </c>
      <c r="F1917" s="344" t="s">
        <v>267</v>
      </c>
      <c r="G1917" s="363">
        <f t="shared" ca="1" si="150"/>
        <v>0</v>
      </c>
      <c r="H1917" s="208"/>
    </row>
    <row r="1918" spans="1:8" ht="15.75" customHeight="1" x14ac:dyDescent="0.2">
      <c r="A1918" s="306" t="s">
        <v>2220</v>
      </c>
      <c r="B1918" s="344" t="s">
        <v>376</v>
      </c>
      <c r="C1918" s="367">
        <f ca="1">I1827</f>
        <v>0</v>
      </c>
      <c r="D1918" s="344" t="s">
        <v>267</v>
      </c>
      <c r="E1918" s="363">
        <f ca="1">C1918*(Units!C200/Units!C$84)*C$1892</f>
        <v>0</v>
      </c>
      <c r="F1918" s="344" t="s">
        <v>267</v>
      </c>
      <c r="G1918" s="363">
        <f t="shared" ca="1" si="150"/>
        <v>0</v>
      </c>
      <c r="H1918" s="208"/>
    </row>
    <row r="1919" spans="1:8" ht="15.75" customHeight="1" x14ac:dyDescent="0.2">
      <c r="A1919" s="306" t="s">
        <v>2221</v>
      </c>
      <c r="B1919" s="344" t="s">
        <v>376</v>
      </c>
      <c r="C1919" s="367">
        <f ca="1">N1827</f>
        <v>0</v>
      </c>
      <c r="D1919" s="344" t="s">
        <v>267</v>
      </c>
      <c r="E1919" s="363">
        <f ca="1">C1919*(Units!C201/Units!C$84)*C$1892</f>
        <v>0</v>
      </c>
      <c r="F1919" s="344" t="s">
        <v>267</v>
      </c>
      <c r="G1919" s="363">
        <f t="shared" ca="1" si="150"/>
        <v>0</v>
      </c>
      <c r="H1919" s="208"/>
    </row>
    <row r="1920" spans="1:8" ht="15.75" customHeight="1" x14ac:dyDescent="0.2">
      <c r="A1920" s="306" t="s">
        <v>2222</v>
      </c>
      <c r="B1920" s="344" t="s">
        <v>376</v>
      </c>
      <c r="C1920" s="367">
        <f ca="1">S1827</f>
        <v>0</v>
      </c>
      <c r="D1920" s="344" t="s">
        <v>267</v>
      </c>
      <c r="E1920" s="363">
        <f ca="1">C1920*(Units!C202/Units!C$84)*C$1892</f>
        <v>0</v>
      </c>
      <c r="F1920" s="344" t="s">
        <v>267</v>
      </c>
      <c r="G1920" s="363">
        <f t="shared" ca="1" si="150"/>
        <v>0</v>
      </c>
      <c r="H1920" s="208"/>
    </row>
    <row r="1921" spans="1:8" ht="15.75" customHeight="1" x14ac:dyDescent="0.2">
      <c r="A1921" s="306" t="s">
        <v>2223</v>
      </c>
      <c r="B1921" s="344" t="s">
        <v>376</v>
      </c>
      <c r="C1921" s="367">
        <f ca="1">X1827</f>
        <v>0</v>
      </c>
      <c r="D1921" s="344" t="s">
        <v>267</v>
      </c>
      <c r="E1921" s="363">
        <f ca="1">C1921*(Units!C203/Units!C$84)*C$1892</f>
        <v>0</v>
      </c>
      <c r="F1921" s="344" t="s">
        <v>267</v>
      </c>
      <c r="G1921" s="363">
        <f t="shared" ca="1" si="150"/>
        <v>0</v>
      </c>
      <c r="H1921" s="208"/>
    </row>
    <row r="1922" spans="1:8" ht="15.75" customHeight="1" x14ac:dyDescent="0.2">
      <c r="A1922" s="306" t="s">
        <v>2224</v>
      </c>
      <c r="B1922" s="344" t="s">
        <v>376</v>
      </c>
      <c r="C1922" s="367">
        <f ca="1">AC1827</f>
        <v>0</v>
      </c>
      <c r="D1922" s="344" t="s">
        <v>267</v>
      </c>
      <c r="E1922" s="363">
        <f ca="1">C1922*(Units!C204/Units!C$84)*C$1892</f>
        <v>0</v>
      </c>
      <c r="F1922" s="344" t="s">
        <v>267</v>
      </c>
      <c r="G1922" s="363">
        <f t="shared" ca="1" si="150"/>
        <v>0</v>
      </c>
      <c r="H1922" s="208"/>
    </row>
    <row r="1923" spans="1:8" ht="15.75" customHeight="1" x14ac:dyDescent="0.2">
      <c r="A1923" s="306" t="s">
        <v>2225</v>
      </c>
      <c r="B1923" s="344" t="s">
        <v>376</v>
      </c>
      <c r="C1923" s="367">
        <f ca="1">AH1827</f>
        <v>0</v>
      </c>
      <c r="D1923" s="344" t="s">
        <v>267</v>
      </c>
      <c r="E1923" s="363">
        <f ca="1">C1923*(Units!C205/Units!C$84)*C$1892</f>
        <v>0</v>
      </c>
      <c r="F1923" s="344" t="s">
        <v>267</v>
      </c>
      <c r="G1923" s="363">
        <f t="shared" ca="1" si="150"/>
        <v>0</v>
      </c>
    </row>
    <row r="1924" spans="1:8" ht="15.75" customHeight="1" x14ac:dyDescent="0.2">
      <c r="A1924" s="306" t="s">
        <v>2226</v>
      </c>
      <c r="B1924" s="344" t="s">
        <v>376</v>
      </c>
      <c r="C1924" s="367">
        <f ca="1">AM1827</f>
        <v>0</v>
      </c>
      <c r="D1924" s="344" t="s">
        <v>267</v>
      </c>
      <c r="E1924" s="363">
        <f ca="1">C1924*(Units!C206/Units!C$84)*C$1892</f>
        <v>0</v>
      </c>
      <c r="F1924" s="344" t="s">
        <v>267</v>
      </c>
      <c r="G1924" s="363">
        <f t="shared" ca="1" si="150"/>
        <v>0</v>
      </c>
    </row>
    <row r="1925" spans="1:8" ht="15.75" customHeight="1" x14ac:dyDescent="0.2">
      <c r="A1925" s="306" t="s">
        <v>2227</v>
      </c>
      <c r="B1925" s="344" t="s">
        <v>376</v>
      </c>
      <c r="C1925" s="367">
        <f ca="1">D1832</f>
        <v>1.0736140017821711E-2</v>
      </c>
      <c r="D1925" s="344" t="s">
        <v>267</v>
      </c>
      <c r="E1925" s="363">
        <f ca="1">C1925*(Units!C207/Units!C$84)*C$1892</f>
        <v>0.83322459182356634</v>
      </c>
      <c r="F1925" s="344" t="s">
        <v>267</v>
      </c>
      <c r="G1925" s="363">
        <f t="shared" ca="1" si="150"/>
        <v>0.79156336223238799</v>
      </c>
      <c r="H1925" s="208"/>
    </row>
    <row r="1926" spans="1:8" ht="15.75" customHeight="1" x14ac:dyDescent="0.2">
      <c r="A1926" s="306" t="s">
        <v>2228</v>
      </c>
      <c r="B1926" s="344" t="s">
        <v>376</v>
      </c>
      <c r="C1926" s="367">
        <f ca="1">I1832</f>
        <v>3.6022597065570802E-2</v>
      </c>
      <c r="D1926" s="344" t="s">
        <v>267</v>
      </c>
      <c r="E1926" s="363">
        <f ca="1">C1926*(Units!C208/Units!C$84)*C$1892</f>
        <v>3.0965621951228712</v>
      </c>
      <c r="F1926" s="344" t="s">
        <v>267</v>
      </c>
      <c r="G1926" s="363">
        <f t="shared" ca="1" si="150"/>
        <v>2.9417340853667278</v>
      </c>
      <c r="H1926" s="208"/>
    </row>
    <row r="1927" spans="1:8" ht="15.75" customHeight="1" x14ac:dyDescent="0.2">
      <c r="A1927" s="306" t="s">
        <v>2229</v>
      </c>
      <c r="B1927" s="344" t="s">
        <v>376</v>
      </c>
      <c r="C1927" s="367">
        <f ca="1">N1832</f>
        <v>9.3366749440068619E-2</v>
      </c>
      <c r="D1927" s="344" t="s">
        <v>267</v>
      </c>
      <c r="E1927" s="363">
        <f ca="1">C1927*(Units!C209/Units!C$84)*C$1892</f>
        <v>8.8057907968603661</v>
      </c>
      <c r="F1927" s="344" t="s">
        <v>267</v>
      </c>
      <c r="G1927" s="363">
        <f t="shared" ca="1" si="150"/>
        <v>8.3655012570173479</v>
      </c>
      <c r="H1927" s="208"/>
    </row>
    <row r="1928" spans="1:8" ht="15.75" customHeight="1" x14ac:dyDescent="0.2">
      <c r="A1928" s="306" t="s">
        <v>2230</v>
      </c>
      <c r="B1928" s="344" t="s">
        <v>376</v>
      </c>
      <c r="C1928" s="367">
        <f ca="1">S1832</f>
        <v>8.6921102042316095E-2</v>
      </c>
      <c r="D1928" s="344" t="s">
        <v>267</v>
      </c>
      <c r="E1928" s="363">
        <f ca="1">C1928*(Units!C210/Units!C$84)*C$1892</f>
        <v>8.1978760640960076</v>
      </c>
      <c r="F1928" s="344" t="s">
        <v>267</v>
      </c>
      <c r="G1928" s="363">
        <f t="shared" ca="1" si="150"/>
        <v>7.7879822608912068</v>
      </c>
      <c r="H1928" s="208"/>
    </row>
    <row r="1929" spans="1:8" ht="15.75" customHeight="1" x14ac:dyDescent="0.2">
      <c r="A1929" s="306" t="s">
        <v>2231</v>
      </c>
      <c r="B1929" s="344" t="s">
        <v>376</v>
      </c>
      <c r="C1929" s="367">
        <f ca="1">X1832</f>
        <v>0.20625496794045708</v>
      </c>
      <c r="D1929" s="344" t="s">
        <v>267</v>
      </c>
      <c r="E1929" s="363">
        <f ca="1">C1929*(Units!C211/Units!C$84)*C$1892</f>
        <v>21.175439351509663</v>
      </c>
      <c r="F1929" s="344" t="s">
        <v>267</v>
      </c>
      <c r="G1929" s="363">
        <f t="shared" ca="1" si="150"/>
        <v>20.116667383934178</v>
      </c>
    </row>
    <row r="1930" spans="1:8" ht="15.75" customHeight="1" x14ac:dyDescent="0.2">
      <c r="A1930" s="306" t="s">
        <v>2232</v>
      </c>
      <c r="B1930" s="344" t="s">
        <v>376</v>
      </c>
      <c r="C1930" s="367">
        <f ca="1">AC1832</f>
        <v>0.21245902221324295</v>
      </c>
      <c r="D1930" s="344" t="s">
        <v>267</v>
      </c>
      <c r="E1930" s="363">
        <f ca="1">C1930*(Units!C212/Units!C$84)*C$1892</f>
        <v>21.812386797181752</v>
      </c>
      <c r="F1930" s="344" t="s">
        <v>267</v>
      </c>
      <c r="G1930" s="363">
        <f t="shared" ca="1" si="150"/>
        <v>20.721767457322663</v>
      </c>
    </row>
    <row r="1931" spans="1:8" ht="15.75" customHeight="1" x14ac:dyDescent="0.2">
      <c r="A1931" s="306" t="s">
        <v>2233</v>
      </c>
      <c r="B1931" s="344" t="s">
        <v>376</v>
      </c>
      <c r="C1931" s="367">
        <f ca="1">AH1832</f>
        <v>0.60286776554677635</v>
      </c>
      <c r="D1931" s="344" t="s">
        <v>267</v>
      </c>
      <c r="E1931" s="363">
        <f ca="1">C1931*(Units!C213/Units!C$84)*C$1892</f>
        <v>66.929569402905031</v>
      </c>
      <c r="F1931" s="344" t="s">
        <v>267</v>
      </c>
      <c r="G1931" s="363">
        <f t="shared" ca="1" si="150"/>
        <v>63.583090932759781</v>
      </c>
    </row>
    <row r="1932" spans="1:8" ht="15.75" customHeight="1" x14ac:dyDescent="0.2">
      <c r="A1932" s="306" t="s">
        <v>2234</v>
      </c>
      <c r="B1932" s="344" t="s">
        <v>376</v>
      </c>
      <c r="C1932" s="367">
        <f ca="1">AM1832</f>
        <v>5.5928793383628522E-2</v>
      </c>
      <c r="D1932" s="344" t="s">
        <v>267</v>
      </c>
      <c r="E1932" s="363">
        <f ca="1">C1932*(Units!C214/Units!C$84)*C$1892</f>
        <v>6.6762753880797652</v>
      </c>
      <c r="F1932" s="344" t="s">
        <v>267</v>
      </c>
      <c r="G1932" s="363">
        <f t="shared" ca="1" si="150"/>
        <v>6.3424616186757765</v>
      </c>
    </row>
    <row r="1933" spans="1:8" ht="15.75" customHeight="1" x14ac:dyDescent="0.2">
      <c r="A1933" s="306" t="s">
        <v>2235</v>
      </c>
      <c r="B1933" s="344" t="s">
        <v>376</v>
      </c>
      <c r="C1933" s="367">
        <f ca="1">D1837</f>
        <v>6.7830338822002411E-6</v>
      </c>
      <c r="D1933" s="344" t="s">
        <v>267</v>
      </c>
      <c r="E1933" s="363">
        <f ca="1">C1933*(Units!C215/Units!C$84)*C$1892</f>
        <v>5.2642668859011644E-4</v>
      </c>
      <c r="F1933" s="344" t="s">
        <v>267</v>
      </c>
      <c r="G1933" s="363">
        <f t="shared" ca="1" si="150"/>
        <v>5.001053541606106E-4</v>
      </c>
      <c r="H1933" s="208"/>
    </row>
    <row r="1934" spans="1:8" ht="15.75" customHeight="1" x14ac:dyDescent="0.2">
      <c r="A1934" s="306" t="s">
        <v>2236</v>
      </c>
      <c r="B1934" s="344" t="s">
        <v>376</v>
      </c>
      <c r="C1934" s="367">
        <f ca="1">I1837</f>
        <v>2.1075276994712575E-5</v>
      </c>
      <c r="D1934" s="344" t="s">
        <v>267</v>
      </c>
      <c r="E1934" s="363">
        <f ca="1">C1934*(Units!C216/Units!C$84)*C$1892</f>
        <v>1.8116657684280047E-3</v>
      </c>
      <c r="F1934" s="344" t="s">
        <v>267</v>
      </c>
      <c r="G1934" s="363">
        <f t="shared" ca="1" si="150"/>
        <v>1.7210824800066044E-3</v>
      </c>
      <c r="H1934" s="208"/>
    </row>
    <row r="1935" spans="1:8" ht="15.75" customHeight="1" x14ac:dyDescent="0.2">
      <c r="A1935" s="306" t="s">
        <v>2237</v>
      </c>
      <c r="B1935" s="344" t="s">
        <v>376</v>
      </c>
      <c r="C1935" s="367">
        <f ca="1">N1837</f>
        <v>4.6787154095181586E-5</v>
      </c>
      <c r="D1935" s="344" t="s">
        <v>267</v>
      </c>
      <c r="E1935" s="363">
        <f ca="1">C1935*(Units!C217/Units!C$84)*C$1892</f>
        <v>4.4126832455176779E-3</v>
      </c>
      <c r="F1935" s="344" t="s">
        <v>267</v>
      </c>
      <c r="G1935" s="363">
        <f t="shared" ca="1" si="150"/>
        <v>4.1920490832417943E-3</v>
      </c>
      <c r="H1935" s="208"/>
    </row>
    <row r="1936" spans="1:8" ht="15.75" customHeight="1" x14ac:dyDescent="0.2">
      <c r="A1936" s="306" t="s">
        <v>2238</v>
      </c>
      <c r="B1936" s="344" t="s">
        <v>376</v>
      </c>
      <c r="C1936" s="367">
        <f ca="1">R1837</f>
        <v>9.9421701993884105E-3</v>
      </c>
      <c r="D1936" s="344" t="s">
        <v>267</v>
      </c>
      <c r="E1936" s="363">
        <f ca="1">C1936*(Units!C218/Units!C$84)*C$1892</f>
        <v>0.93768575395023968</v>
      </c>
      <c r="F1936" s="344" t="s">
        <v>267</v>
      </c>
      <c r="G1936" s="363">
        <f t="shared" ca="1" si="150"/>
        <v>0.89080146625272771</v>
      </c>
      <c r="H1936" s="208"/>
    </row>
    <row r="1937" spans="1:12" ht="15.75" customHeight="1" x14ac:dyDescent="0.2">
      <c r="A1937" s="306" t="s">
        <v>2239</v>
      </c>
      <c r="B1937" s="344" t="s">
        <v>376</v>
      </c>
      <c r="C1937" s="367">
        <f ca="1">X1837</f>
        <v>-1.4210097310914697E-5</v>
      </c>
      <c r="D1937" s="344" t="s">
        <v>267</v>
      </c>
      <c r="E1937" s="363">
        <f ca="1">C1937*(Units!C219/Units!C$84)*C$1892</f>
        <v>-1.4588984536517532E-3</v>
      </c>
      <c r="F1937" s="344" t="s">
        <v>267</v>
      </c>
      <c r="G1937" s="363">
        <f t="shared" ca="1" si="150"/>
        <v>-1.3859535309691657E-3</v>
      </c>
    </row>
    <row r="1938" spans="1:12" ht="15.75" customHeight="1" x14ac:dyDescent="0.2">
      <c r="A1938" s="306" t="s">
        <v>2240</v>
      </c>
      <c r="B1938" s="344" t="s">
        <v>376</v>
      </c>
      <c r="C1938" s="367">
        <f ca="1">AC1837</f>
        <v>-3.1525158379037933E-4</v>
      </c>
      <c r="D1938" s="344" t="s">
        <v>267</v>
      </c>
      <c r="E1938" s="363">
        <f ca="1">C1938*(Units!C220/Units!C$84)*C$1892</f>
        <v>-3.2365721222034731E-2</v>
      </c>
      <c r="F1938" s="344" t="s">
        <v>267</v>
      </c>
      <c r="G1938" s="363">
        <f t="shared" ca="1" si="150"/>
        <v>-3.0747435160932993E-2</v>
      </c>
    </row>
    <row r="1939" spans="1:12" ht="15.75" customHeight="1" x14ac:dyDescent="0.2">
      <c r="A1939" s="306" t="s">
        <v>2241</v>
      </c>
      <c r="B1939" s="344" t="s">
        <v>376</v>
      </c>
      <c r="C1939" s="367">
        <f ca="1">AH1837</f>
        <v>0</v>
      </c>
      <c r="D1939" s="344" t="s">
        <v>267</v>
      </c>
      <c r="E1939" s="363">
        <f ca="1">C1939*(Units!C221/Units!C$84)*C$1892</f>
        <v>0</v>
      </c>
      <c r="F1939" s="344" t="s">
        <v>267</v>
      </c>
      <c r="G1939" s="363">
        <f t="shared" ca="1" si="150"/>
        <v>0</v>
      </c>
    </row>
    <row r="1940" spans="1:12" ht="15.75" customHeight="1" x14ac:dyDescent="0.2">
      <c r="A1940" s="306" t="s">
        <v>2242</v>
      </c>
      <c r="B1940" s="344" t="s">
        <v>376</v>
      </c>
      <c r="C1940" s="367">
        <f ca="1">AM1837</f>
        <v>0</v>
      </c>
      <c r="D1940" s="344" t="s">
        <v>267</v>
      </c>
      <c r="E1940" s="363">
        <f ca="1">C1940*(Units!C222/Units!C$84)*C$1892</f>
        <v>0</v>
      </c>
      <c r="F1940" s="344" t="s">
        <v>267</v>
      </c>
      <c r="G1940" s="363">
        <f t="shared" ca="1" si="150"/>
        <v>0</v>
      </c>
    </row>
    <row r="1941" spans="1:12" ht="15.75" customHeight="1" x14ac:dyDescent="0.2">
      <c r="A1941" s="306" t="s">
        <v>2243</v>
      </c>
      <c r="B1941" s="344" t="s">
        <v>376</v>
      </c>
      <c r="C1941" s="367">
        <f ca="1">D1842</f>
        <v>2.3754589788918797E-4</v>
      </c>
      <c r="D1941" s="344" t="s">
        <v>267</v>
      </c>
      <c r="E1941" s="363">
        <f ca="1">C1941*(Units!C223/Units!C$84)*C$1892</f>
        <v>2.0421255580288015E-2</v>
      </c>
      <c r="F1941" s="344" t="s">
        <v>267</v>
      </c>
      <c r="G1941" s="363">
        <f t="shared" ca="1" si="150"/>
        <v>1.9400192801273614E-2</v>
      </c>
      <c r="H1941" s="208"/>
    </row>
    <row r="1942" spans="1:12" ht="15.75" customHeight="1" x14ac:dyDescent="0.2">
      <c r="A1942" s="306" t="s">
        <v>2244</v>
      </c>
      <c r="B1942" s="344" t="s">
        <v>376</v>
      </c>
      <c r="C1942" s="367">
        <f ca="1">I1842</f>
        <v>7.3803378792584417E-4</v>
      </c>
      <c r="D1942" s="344" t="s">
        <v>267</v>
      </c>
      <c r="E1942" s="363">
        <f ca="1">C1942*(Units!C224/Units!C$84)*C$1892</f>
        <v>6.9611312204236775E-2</v>
      </c>
      <c r="F1942" s="344" t="s">
        <v>267</v>
      </c>
      <c r="G1942" s="363">
        <f t="shared" ca="1" si="150"/>
        <v>6.6130746594024931E-2</v>
      </c>
      <c r="H1942" s="208"/>
    </row>
    <row r="1943" spans="1:12" ht="15.75" customHeight="1" x14ac:dyDescent="0.2">
      <c r="A1943" s="306" t="s">
        <v>2245</v>
      </c>
      <c r="B1943" s="344" t="s">
        <v>376</v>
      </c>
      <c r="C1943" s="367">
        <f ca="1">N1842</f>
        <v>1.6382667889415438E-3</v>
      </c>
      <c r="D1943" s="344" t="s">
        <v>267</v>
      </c>
      <c r="E1943" s="363">
        <f ca="1">C1943*(Units!C225/Units!C$84)*C$1892</f>
        <v>0.16820459568777649</v>
      </c>
      <c r="F1943" s="344" t="s">
        <v>267</v>
      </c>
      <c r="G1943" s="363">
        <f t="shared" ca="1" si="150"/>
        <v>0.15979436590338766</v>
      </c>
    </row>
    <row r="1944" spans="1:12" ht="15.75" customHeight="1" x14ac:dyDescent="0.2">
      <c r="A1944" s="306" t="s">
        <v>2246</v>
      </c>
      <c r="B1944" s="344" t="s">
        <v>376</v>
      </c>
      <c r="C1944" s="367">
        <f ca="1">S1842</f>
        <v>7.9815233598069075E-4</v>
      </c>
      <c r="D1944" s="344" t="s">
        <v>267</v>
      </c>
      <c r="E1944" s="363">
        <f ca="1">C1944*(Units!C226/Units!C$84)*C$1892</f>
        <v>8.1948124613833467E-2</v>
      </c>
      <c r="F1944" s="344" t="s">
        <v>267</v>
      </c>
      <c r="G1944" s="363">
        <f t="shared" ca="1" si="150"/>
        <v>7.7850718383141795E-2</v>
      </c>
    </row>
    <row r="1945" spans="1:12" ht="15.75" customHeight="1" x14ac:dyDescent="0.2">
      <c r="A1945" s="306" t="s">
        <v>2247</v>
      </c>
      <c r="B1945" s="344" t="s">
        <v>376</v>
      </c>
      <c r="C1945" s="367">
        <f ca="1">X1842</f>
        <v>-4.9702690841955E-4</v>
      </c>
      <c r="D1945" s="344" t="s">
        <v>267</v>
      </c>
      <c r="E1945" s="363">
        <f ca="1">C1945*(Units!C227/Units!C$84)*C$1892</f>
        <v>-5.5182222759581796E-2</v>
      </c>
      <c r="F1945" s="344" t="s">
        <v>267</v>
      </c>
      <c r="G1945" s="363">
        <f t="shared" ca="1" si="150"/>
        <v>-5.2423111621602708E-2</v>
      </c>
    </row>
    <row r="1946" spans="1:12" ht="15.75" customHeight="1" x14ac:dyDescent="0.2">
      <c r="A1946" s="306" t="s">
        <v>2248</v>
      </c>
      <c r="B1946" s="344" t="s">
        <v>376</v>
      </c>
      <c r="C1946" s="367">
        <f ca="1">AC1842</f>
        <v>-1.0990736524599759E-2</v>
      </c>
      <c r="D1946" s="344" t="s">
        <v>267</v>
      </c>
      <c r="E1946" s="363">
        <f ca="1">C1946*(Units!C228/Units!C$84)*C$1892</f>
        <v>-1.2202423267602707</v>
      </c>
      <c r="F1946" s="344" t="s">
        <v>267</v>
      </c>
      <c r="G1946" s="363">
        <f t="shared" ca="1" si="150"/>
        <v>-1.1592302104222572</v>
      </c>
    </row>
    <row r="1947" spans="1:12" ht="15.75" customHeight="1" x14ac:dyDescent="0.2">
      <c r="A1947" s="306" t="s">
        <v>2249</v>
      </c>
      <c r="B1947" s="344" t="s">
        <v>376</v>
      </c>
      <c r="C1947" s="367">
        <f ca="1">AH1842</f>
        <v>0</v>
      </c>
      <c r="D1947" s="344" t="s">
        <v>267</v>
      </c>
      <c r="E1947" s="363">
        <f ca="1">C1947*(Units!C229/Units!C$84)*C$1892</f>
        <v>0</v>
      </c>
      <c r="F1947" s="344" t="s">
        <v>267</v>
      </c>
      <c r="G1947" s="363">
        <f t="shared" ca="1" si="150"/>
        <v>0</v>
      </c>
    </row>
    <row r="1948" spans="1:12" ht="15.75" customHeight="1" x14ac:dyDescent="0.2">
      <c r="A1948" s="307" t="s">
        <v>2250</v>
      </c>
      <c r="B1948" s="347" t="s">
        <v>376</v>
      </c>
      <c r="C1948" s="369">
        <f ca="1">AM1842</f>
        <v>0</v>
      </c>
      <c r="D1948" s="347" t="s">
        <v>267</v>
      </c>
      <c r="E1948" s="365">
        <f ca="1">C1948*(Units!C230/Units!C$84)*C$1892</f>
        <v>0</v>
      </c>
      <c r="F1948" s="347" t="s">
        <v>267</v>
      </c>
      <c r="G1948" s="365">
        <f t="shared" ca="1" si="150"/>
        <v>0</v>
      </c>
    </row>
    <row r="1949" spans="1:12" ht="15.75" customHeight="1" x14ac:dyDescent="0.2"/>
    <row r="1950" spans="1:12" ht="15.75" customHeight="1" x14ac:dyDescent="0.2">
      <c r="B1950" s="804" t="s">
        <v>536</v>
      </c>
      <c r="C1950" s="1520" t="s">
        <v>2252</v>
      </c>
      <c r="D1950" s="1520"/>
      <c r="E1950" s="1520"/>
      <c r="F1950" s="1520"/>
      <c r="G1950" s="1520"/>
      <c r="H1950" s="1520"/>
      <c r="I1950" s="1520"/>
      <c r="J1950" s="1520"/>
      <c r="K1950" s="1520"/>
      <c r="L1950" s="1520"/>
    </row>
    <row r="1951" spans="1:12" ht="15.75" customHeight="1" x14ac:dyDescent="0.2">
      <c r="B1951" s="431"/>
      <c r="C1951" s="305">
        <v>4</v>
      </c>
      <c r="D1951" s="805"/>
      <c r="E1951" s="805"/>
      <c r="F1951" s="805"/>
      <c r="G1951" s="805"/>
      <c r="H1951" s="805"/>
      <c r="I1951" s="220"/>
      <c r="J1951" s="220"/>
      <c r="K1951" s="220"/>
      <c r="L1951" s="366"/>
    </row>
    <row r="1952" spans="1:12" ht="15.75" customHeight="1" x14ac:dyDescent="0.2">
      <c r="A1952" s="319" t="s">
        <v>2073</v>
      </c>
      <c r="B1952" s="799">
        <f ca="1">G1893</f>
        <v>1.3100439196292857</v>
      </c>
      <c r="C1952" s="307">
        <v>4</v>
      </c>
      <c r="D1952" s="76">
        <v>5</v>
      </c>
      <c r="E1952" s="39"/>
      <c r="F1952" s="39"/>
      <c r="L1952" s="367"/>
    </row>
    <row r="1953" spans="1:12" ht="15.75" customHeight="1" x14ac:dyDescent="0.2">
      <c r="A1953" s="313" t="s">
        <v>2074</v>
      </c>
      <c r="B1953" s="800">
        <f ca="1">G1901</f>
        <v>0</v>
      </c>
      <c r="C1953" s="387"/>
      <c r="D1953" s="220">
        <v>5</v>
      </c>
      <c r="E1953" s="309"/>
      <c r="F1953" s="39"/>
      <c r="L1953" s="367"/>
    </row>
    <row r="1954" spans="1:12" ht="15.75" customHeight="1" x14ac:dyDescent="0.2">
      <c r="A1954" s="315" t="s">
        <v>2093</v>
      </c>
      <c r="B1954" s="801">
        <f ca="1">G1894</f>
        <v>4.8210075242730861</v>
      </c>
      <c r="C1954" s="742"/>
      <c r="D1954" s="248">
        <v>5</v>
      </c>
      <c r="E1954" s="312">
        <v>6</v>
      </c>
      <c r="F1954" s="39"/>
      <c r="L1954" s="367"/>
    </row>
    <row r="1955" spans="1:12" ht="15.75" customHeight="1" x14ac:dyDescent="0.2">
      <c r="A1955" s="313" t="s">
        <v>2078</v>
      </c>
      <c r="B1955" s="800">
        <f ca="1">G1909</f>
        <v>1.2251680789163411</v>
      </c>
      <c r="C1955" s="739"/>
      <c r="D1955" s="220"/>
      <c r="E1955" s="308">
        <v>6</v>
      </c>
      <c r="F1955" s="309"/>
      <c r="L1955" s="367"/>
    </row>
    <row r="1956" spans="1:12" ht="15.75" customHeight="1" x14ac:dyDescent="0.2">
      <c r="A1956" s="314" t="s">
        <v>2094</v>
      </c>
      <c r="B1956" s="802">
        <f ca="1">G1902</f>
        <v>0</v>
      </c>
      <c r="C1956" s="740"/>
      <c r="E1956" s="39">
        <v>6</v>
      </c>
      <c r="F1956" s="310"/>
      <c r="L1956" s="367"/>
    </row>
    <row r="1957" spans="1:12" ht="15.75" customHeight="1" x14ac:dyDescent="0.2">
      <c r="A1957" s="314" t="s">
        <v>1159</v>
      </c>
      <c r="B1957" s="802">
        <f ca="1">G1895</f>
        <v>11.415889065932015</v>
      </c>
      <c r="C1957" s="740"/>
      <c r="E1957" s="39">
        <v>6</v>
      </c>
      <c r="F1957" s="310"/>
      <c r="L1957" s="367"/>
    </row>
    <row r="1958" spans="1:12" ht="15.75" customHeight="1" x14ac:dyDescent="0.2">
      <c r="A1958" s="314" t="s">
        <v>2253</v>
      </c>
      <c r="B1958" s="802">
        <f ca="1">G1917</f>
        <v>0</v>
      </c>
      <c r="C1958" s="375"/>
      <c r="D1958" s="39"/>
      <c r="E1958" s="39">
        <v>6</v>
      </c>
      <c r="F1958" s="310"/>
      <c r="L1958" s="367"/>
    </row>
    <row r="1959" spans="1:12" ht="15.75" customHeight="1" x14ac:dyDescent="0.2">
      <c r="A1959" s="315" t="s">
        <v>2254</v>
      </c>
      <c r="B1959" s="801">
        <f ca="1">G1896</f>
        <v>6.2498677130648232</v>
      </c>
      <c r="C1959" s="376"/>
      <c r="D1959" s="311"/>
      <c r="E1959" s="311">
        <v>6</v>
      </c>
      <c r="F1959" s="312">
        <v>7</v>
      </c>
      <c r="L1959" s="367"/>
    </row>
    <row r="1960" spans="1:12" ht="15.75" customHeight="1" x14ac:dyDescent="0.2">
      <c r="A1960" s="313" t="s">
        <v>2199</v>
      </c>
      <c r="B1960" s="800">
        <f ca="1">G1897</f>
        <v>12.061255425780793</v>
      </c>
      <c r="C1960" s="387"/>
      <c r="D1960" s="308"/>
      <c r="E1960" s="220"/>
      <c r="F1960" s="309">
        <v>7</v>
      </c>
      <c r="L1960" s="367"/>
    </row>
    <row r="1961" spans="1:12" ht="15.75" customHeight="1" x14ac:dyDescent="0.2">
      <c r="A1961" s="314" t="s">
        <v>2277</v>
      </c>
      <c r="B1961" s="802">
        <f ca="1">G1898</f>
        <v>5.3707140347786959</v>
      </c>
      <c r="C1961" s="375"/>
      <c r="D1961" s="39"/>
      <c r="E1961" s="39"/>
      <c r="F1961" s="310">
        <v>7</v>
      </c>
      <c r="L1961" s="367"/>
    </row>
    <row r="1962" spans="1:12" ht="15.75" customHeight="1" x14ac:dyDescent="0.2">
      <c r="A1962" s="314" t="s">
        <v>1160</v>
      </c>
      <c r="B1962" s="802">
        <f ca="1">G1903</f>
        <v>0</v>
      </c>
      <c r="C1962" s="375"/>
      <c r="D1962" s="39"/>
      <c r="E1962" s="39"/>
      <c r="F1962" s="310">
        <v>7</v>
      </c>
      <c r="L1962" s="367"/>
    </row>
    <row r="1963" spans="1:12" ht="15.75" customHeight="1" x14ac:dyDescent="0.2">
      <c r="A1963" s="314" t="s">
        <v>2278</v>
      </c>
      <c r="B1963" s="353">
        <f ca="1">G1904</f>
        <v>0</v>
      </c>
      <c r="C1963" s="375"/>
      <c r="D1963" s="39"/>
      <c r="E1963" s="39"/>
      <c r="F1963" s="310">
        <v>7</v>
      </c>
      <c r="L1963" s="367"/>
    </row>
    <row r="1964" spans="1:12" ht="15.75" customHeight="1" x14ac:dyDescent="0.2">
      <c r="A1964" s="314" t="s">
        <v>2095</v>
      </c>
      <c r="B1964" s="802">
        <f ca="1">G1910</f>
        <v>4.5229322550929476</v>
      </c>
      <c r="C1964" s="375"/>
      <c r="D1964" s="39"/>
      <c r="E1964" s="39"/>
      <c r="F1964" s="310">
        <v>7</v>
      </c>
      <c r="L1964" s="367"/>
    </row>
    <row r="1965" spans="1:12" ht="15.75" customHeight="1" x14ac:dyDescent="0.2">
      <c r="A1965" s="314" t="s">
        <v>2084</v>
      </c>
      <c r="B1965" s="802">
        <f ca="1">G1925</f>
        <v>0.79156336223238799</v>
      </c>
      <c r="C1965" s="375"/>
      <c r="D1965" s="39"/>
      <c r="E1965" s="39"/>
      <c r="F1965" s="310">
        <v>7</v>
      </c>
      <c r="L1965" s="367"/>
    </row>
    <row r="1966" spans="1:12" ht="15.75" customHeight="1" x14ac:dyDescent="0.2">
      <c r="A1966" s="314" t="s">
        <v>2255</v>
      </c>
      <c r="B1966" s="802">
        <f ca="1">G1933</f>
        <v>5.001053541606106E-4</v>
      </c>
      <c r="C1966" s="375"/>
      <c r="D1966" s="39"/>
      <c r="E1966" s="39"/>
      <c r="F1966" s="310">
        <v>7</v>
      </c>
      <c r="L1966" s="367"/>
    </row>
    <row r="1967" spans="1:12" ht="15.75" customHeight="1" x14ac:dyDescent="0.2">
      <c r="A1967" s="315" t="s">
        <v>2256</v>
      </c>
      <c r="B1967" s="801">
        <f ca="1">G1918</f>
        <v>0</v>
      </c>
      <c r="C1967" s="376"/>
      <c r="D1967" s="248"/>
      <c r="E1967" s="311"/>
      <c r="F1967" s="369">
        <v>7</v>
      </c>
      <c r="G1967" s="39">
        <v>8</v>
      </c>
      <c r="L1967" s="367"/>
    </row>
    <row r="1968" spans="1:12" ht="15.75" customHeight="1" x14ac:dyDescent="0.2">
      <c r="A1968" s="313" t="s">
        <v>2090</v>
      </c>
      <c r="B1968" s="800">
        <f ca="1">G1941</f>
        <v>1.9400192801273614E-2</v>
      </c>
      <c r="C1968" s="387"/>
      <c r="D1968" s="220"/>
      <c r="E1968" s="308"/>
      <c r="F1968" s="220"/>
      <c r="G1968" s="308">
        <v>8</v>
      </c>
      <c r="H1968" s="366"/>
      <c r="L1968" s="367"/>
    </row>
    <row r="1969" spans="1:12" ht="15.75" customHeight="1" x14ac:dyDescent="0.2">
      <c r="A1969" s="314" t="s">
        <v>2097</v>
      </c>
      <c r="B1969" s="802">
        <f ca="1">G1926</f>
        <v>2.9417340853667278</v>
      </c>
      <c r="C1969" s="375"/>
      <c r="E1969" s="39"/>
      <c r="G1969" s="39">
        <v>8</v>
      </c>
      <c r="H1969" s="367"/>
      <c r="L1969" s="367"/>
    </row>
    <row r="1970" spans="1:12" ht="15.75" customHeight="1" x14ac:dyDescent="0.2">
      <c r="A1970" s="314" t="s">
        <v>1161</v>
      </c>
      <c r="B1970" s="802">
        <f ca="1">G1911</f>
        <v>11.921800415447205</v>
      </c>
      <c r="C1970" s="375"/>
      <c r="E1970" s="39"/>
      <c r="G1970" s="39">
        <v>8</v>
      </c>
      <c r="H1970" s="367"/>
      <c r="L1970" s="367"/>
    </row>
    <row r="1971" spans="1:12" ht="15.75" customHeight="1" x14ac:dyDescent="0.2">
      <c r="A1971" s="314" t="s">
        <v>2258</v>
      </c>
      <c r="B1971" s="353">
        <f ca="1">G1912</f>
        <v>8.8765530781024289</v>
      </c>
      <c r="C1971" s="375"/>
      <c r="E1971" s="39"/>
      <c r="G1971" s="39">
        <v>8</v>
      </c>
      <c r="H1971" s="367"/>
      <c r="L1971" s="367"/>
    </row>
    <row r="1972" spans="1:12" ht="15.75" customHeight="1" x14ac:dyDescent="0.2">
      <c r="A1972" s="314" t="s">
        <v>2259</v>
      </c>
      <c r="B1972" s="353">
        <f ca="1">G1920</f>
        <v>0</v>
      </c>
      <c r="C1972" s="375"/>
      <c r="E1972" s="39"/>
      <c r="G1972" s="39">
        <v>8</v>
      </c>
      <c r="H1972" s="367"/>
      <c r="L1972" s="367"/>
    </row>
    <row r="1973" spans="1:12" ht="15.75" customHeight="1" x14ac:dyDescent="0.2">
      <c r="A1973" s="314" t="s">
        <v>2260</v>
      </c>
      <c r="B1973" s="353">
        <f ca="1">G1919</f>
        <v>0</v>
      </c>
      <c r="C1973" s="375"/>
      <c r="E1973" s="39"/>
      <c r="G1973" s="39">
        <v>8</v>
      </c>
      <c r="H1973" s="367"/>
      <c r="L1973" s="367"/>
    </row>
    <row r="1974" spans="1:12" ht="15.75" customHeight="1" x14ac:dyDescent="0.2">
      <c r="A1974" s="314" t="s">
        <v>2107</v>
      </c>
      <c r="B1974" s="353">
        <f ca="1">G1905</f>
        <v>0</v>
      </c>
      <c r="C1974" s="375"/>
      <c r="E1974" s="39"/>
      <c r="G1974" s="39">
        <v>8</v>
      </c>
      <c r="H1974" s="367"/>
      <c r="L1974" s="367"/>
    </row>
    <row r="1975" spans="1:12" ht="15.75" customHeight="1" x14ac:dyDescent="0.2">
      <c r="A1975" s="314" t="s">
        <v>2257</v>
      </c>
      <c r="B1975" s="802">
        <f ca="1">G1906</f>
        <v>0</v>
      </c>
      <c r="C1975" s="375"/>
      <c r="E1975" s="39"/>
      <c r="G1975" s="39">
        <v>8</v>
      </c>
      <c r="H1975" s="367"/>
      <c r="L1975" s="367"/>
    </row>
    <row r="1976" spans="1:12" ht="15.75" customHeight="1" x14ac:dyDescent="0.2">
      <c r="A1976" s="314" t="s">
        <v>2261</v>
      </c>
      <c r="B1976" s="802">
        <f ca="1">G1934</f>
        <v>1.7210824800066044E-3</v>
      </c>
      <c r="C1976" s="375"/>
      <c r="E1976" s="39"/>
      <c r="G1976" s="39">
        <v>8</v>
      </c>
      <c r="H1976" s="367"/>
      <c r="L1976" s="367"/>
    </row>
    <row r="1977" spans="1:12" ht="15.75" customHeight="1" x14ac:dyDescent="0.2">
      <c r="A1977" s="315" t="s">
        <v>2132</v>
      </c>
      <c r="B1977" s="801">
        <f ca="1">G1899</f>
        <v>5.2544947870039662</v>
      </c>
      <c r="C1977" s="376"/>
      <c r="D1977" s="248"/>
      <c r="E1977" s="311"/>
      <c r="F1977" s="248"/>
      <c r="G1977" s="248">
        <v>8</v>
      </c>
      <c r="H1977" s="369">
        <v>9</v>
      </c>
      <c r="L1977" s="367"/>
    </row>
    <row r="1978" spans="1:12" ht="15.75" customHeight="1" x14ac:dyDescent="0.2">
      <c r="A1978" s="313" t="s">
        <v>2099</v>
      </c>
      <c r="B1978" s="800">
        <f ca="1">G1942</f>
        <v>6.6130746594024931E-2</v>
      </c>
      <c r="C1978" s="387"/>
      <c r="D1978" s="220"/>
      <c r="E1978" s="308"/>
      <c r="F1978" s="308"/>
      <c r="G1978" s="220"/>
      <c r="H1978" s="220">
        <v>9</v>
      </c>
      <c r="I1978" s="366"/>
      <c r="L1978" s="367"/>
    </row>
    <row r="1979" spans="1:12" ht="15.75" customHeight="1" x14ac:dyDescent="0.2">
      <c r="A1979" s="314" t="s">
        <v>1162</v>
      </c>
      <c r="B1979" s="802">
        <f ca="1">G1927</f>
        <v>8.3655012570173479</v>
      </c>
      <c r="C1979" s="375"/>
      <c r="E1979" s="39"/>
      <c r="F1979" s="39"/>
      <c r="H1979" s="76">
        <v>9</v>
      </c>
      <c r="I1979" s="367"/>
      <c r="L1979" s="367"/>
    </row>
    <row r="1980" spans="1:12" ht="15.75" customHeight="1" x14ac:dyDescent="0.2">
      <c r="A1980" s="314" t="s">
        <v>2262</v>
      </c>
      <c r="B1980" s="802">
        <f ca="1">G1935</f>
        <v>4.1920490832417943E-3</v>
      </c>
      <c r="C1980" s="375"/>
      <c r="E1980" s="39"/>
      <c r="F1980" s="39"/>
      <c r="H1980" s="76">
        <v>9</v>
      </c>
      <c r="I1980" s="367"/>
      <c r="L1980" s="367"/>
    </row>
    <row r="1981" spans="1:12" ht="15.75" customHeight="1" x14ac:dyDescent="0.2">
      <c r="A1981" s="314" t="s">
        <v>2263</v>
      </c>
      <c r="B1981" s="802">
        <f ca="1">G1928</f>
        <v>7.7879822608912068</v>
      </c>
      <c r="C1981" s="375"/>
      <c r="E1981" s="39"/>
      <c r="F1981" s="39"/>
      <c r="G1981" s="39"/>
      <c r="H1981" s="76">
        <v>9</v>
      </c>
      <c r="I1981" s="367"/>
      <c r="L1981" s="367"/>
    </row>
    <row r="1982" spans="1:12" ht="15.75" customHeight="1" x14ac:dyDescent="0.2">
      <c r="A1982" s="314" t="s">
        <v>2264</v>
      </c>
      <c r="B1982" s="802">
        <f ca="1">G1936</f>
        <v>0.89080146625272771</v>
      </c>
      <c r="C1982" s="375"/>
      <c r="E1982" s="39"/>
      <c r="F1982" s="39"/>
      <c r="G1982" s="39"/>
      <c r="H1982" s="76">
        <v>9</v>
      </c>
      <c r="I1982" s="367"/>
      <c r="L1982" s="367"/>
    </row>
    <row r="1983" spans="1:12" ht="15.75" customHeight="1" x14ac:dyDescent="0.2">
      <c r="A1983" s="314" t="s">
        <v>2108</v>
      </c>
      <c r="B1983" s="802">
        <f ca="1">G1913</f>
        <v>19.702642859346561</v>
      </c>
      <c r="C1983" s="375"/>
      <c r="E1983" s="39"/>
      <c r="F1983" s="39"/>
      <c r="G1983" s="39"/>
      <c r="H1983" s="76">
        <v>9</v>
      </c>
      <c r="I1983" s="367"/>
      <c r="L1983" s="367"/>
    </row>
    <row r="1984" spans="1:12" ht="15.75" customHeight="1" x14ac:dyDescent="0.2">
      <c r="A1984" s="314" t="s">
        <v>2265</v>
      </c>
      <c r="B1984" s="802">
        <f ca="1">G1921</f>
        <v>0</v>
      </c>
      <c r="C1984" s="375"/>
      <c r="E1984" s="39"/>
      <c r="F1984" s="39"/>
      <c r="G1984" s="39"/>
      <c r="H1984" s="76">
        <v>9</v>
      </c>
      <c r="I1984" s="367"/>
      <c r="L1984" s="367"/>
    </row>
    <row r="1985" spans="1:12" ht="15.75" customHeight="1" x14ac:dyDescent="0.2">
      <c r="A1985" s="314" t="s">
        <v>2266</v>
      </c>
      <c r="B1985" s="802">
        <f ca="1">G1914</f>
        <v>13.267234898643958</v>
      </c>
      <c r="C1985" s="375"/>
      <c r="E1985" s="39"/>
      <c r="F1985" s="39"/>
      <c r="G1985" s="39"/>
      <c r="H1985" s="76">
        <v>9</v>
      </c>
      <c r="I1985" s="367"/>
      <c r="L1985" s="367"/>
    </row>
    <row r="1986" spans="1:12" ht="15.75" customHeight="1" x14ac:dyDescent="0.2">
      <c r="A1986" s="314" t="s">
        <v>2267</v>
      </c>
      <c r="B1986" s="802">
        <f ca="1">G1921</f>
        <v>0</v>
      </c>
      <c r="C1986" s="375"/>
      <c r="E1986" s="39"/>
      <c r="F1986" s="39"/>
      <c r="G1986" s="39"/>
      <c r="H1986" s="76">
        <v>9</v>
      </c>
      <c r="I1986" s="367"/>
      <c r="L1986" s="367"/>
    </row>
    <row r="1987" spans="1:12" ht="15.75" customHeight="1" x14ac:dyDescent="0.2">
      <c r="A1987" s="314" t="s">
        <v>2133</v>
      </c>
      <c r="B1987" s="802">
        <f ca="1">G1907</f>
        <v>0</v>
      </c>
      <c r="C1987" s="375"/>
      <c r="E1987" s="39"/>
      <c r="F1987" s="39"/>
      <c r="G1987" s="39"/>
      <c r="H1987" s="76">
        <v>9</v>
      </c>
      <c r="I1987" s="367"/>
      <c r="L1987" s="367"/>
    </row>
    <row r="1988" spans="1:12" ht="15.75" customHeight="1" x14ac:dyDescent="0.2">
      <c r="A1988" s="315" t="s">
        <v>2140</v>
      </c>
      <c r="B1988" s="801">
        <f ca="1">G1900</f>
        <v>0</v>
      </c>
      <c r="C1988" s="376"/>
      <c r="D1988" s="248"/>
      <c r="E1988" s="311"/>
      <c r="F1988" s="311"/>
      <c r="G1988" s="248"/>
      <c r="H1988" s="248">
        <v>9</v>
      </c>
      <c r="I1988" s="312">
        <v>10</v>
      </c>
      <c r="L1988" s="367"/>
    </row>
    <row r="1989" spans="1:12" ht="15.75" customHeight="1" x14ac:dyDescent="0.2">
      <c r="A1989" s="313" t="s">
        <v>1163</v>
      </c>
      <c r="B1989" s="800">
        <f ca="1">G1943</f>
        <v>0.15979436590338766</v>
      </c>
      <c r="C1989" s="387"/>
      <c r="D1989" s="220"/>
      <c r="E1989" s="308"/>
      <c r="F1989" s="308"/>
      <c r="G1989" s="220"/>
      <c r="H1989" s="220"/>
      <c r="I1989" s="308">
        <v>10</v>
      </c>
      <c r="J1989" s="366"/>
      <c r="L1989" s="367"/>
    </row>
    <row r="1990" spans="1:12" ht="15.75" customHeight="1" x14ac:dyDescent="0.2">
      <c r="A1990" s="314" t="s">
        <v>2268</v>
      </c>
      <c r="B1990" s="802">
        <f ca="1">G1944</f>
        <v>7.7850718383141795E-2</v>
      </c>
      <c r="C1990" s="375"/>
      <c r="E1990" s="39"/>
      <c r="F1990" s="39"/>
      <c r="I1990" s="39">
        <v>10</v>
      </c>
      <c r="J1990" s="367"/>
      <c r="L1990" s="367"/>
    </row>
    <row r="1991" spans="1:12" ht="15.75" customHeight="1" x14ac:dyDescent="0.2">
      <c r="A1991" s="314" t="s">
        <v>2110</v>
      </c>
      <c r="B1991" s="802">
        <f ca="1">G1929</f>
        <v>20.116667383934178</v>
      </c>
      <c r="C1991" s="375"/>
      <c r="E1991" s="39"/>
      <c r="F1991" s="39"/>
      <c r="I1991" s="39">
        <v>10</v>
      </c>
      <c r="J1991" s="367"/>
      <c r="L1991" s="367"/>
    </row>
    <row r="1992" spans="1:12" ht="15.75" customHeight="1" x14ac:dyDescent="0.2">
      <c r="A1992" s="314" t="s">
        <v>2269</v>
      </c>
      <c r="B1992" s="802">
        <f ca="1">G1937</f>
        <v>-1.3859535309691657E-3</v>
      </c>
      <c r="C1992" s="375"/>
      <c r="E1992" s="39"/>
      <c r="F1992" s="39"/>
      <c r="I1992" s="39">
        <v>10</v>
      </c>
      <c r="J1992" s="367"/>
      <c r="L1992" s="367"/>
    </row>
    <row r="1993" spans="1:12" ht="15.75" customHeight="1" x14ac:dyDescent="0.2">
      <c r="A1993" s="314" t="s">
        <v>2270</v>
      </c>
      <c r="B1993" s="802">
        <f ca="1">G1930</f>
        <v>20.721767457322663</v>
      </c>
      <c r="C1993" s="375"/>
      <c r="E1993" s="39"/>
      <c r="F1993" s="39"/>
      <c r="I1993" s="39">
        <v>10</v>
      </c>
      <c r="J1993" s="367"/>
      <c r="L1993" s="367"/>
    </row>
    <row r="1994" spans="1:12" ht="15.75" customHeight="1" x14ac:dyDescent="0.2">
      <c r="A1994" s="314" t="s">
        <v>2271</v>
      </c>
      <c r="B1994" s="802">
        <f ca="1">G1938</f>
        <v>-3.0747435160932993E-2</v>
      </c>
      <c r="C1994" s="375"/>
      <c r="E1994" s="39"/>
      <c r="F1994" s="39"/>
      <c r="I1994" s="39">
        <v>10</v>
      </c>
      <c r="J1994" s="367"/>
      <c r="L1994" s="367"/>
    </row>
    <row r="1995" spans="1:12" ht="15.75" customHeight="1" x14ac:dyDescent="0.2">
      <c r="A1995" s="314" t="s">
        <v>2134</v>
      </c>
      <c r="B1995" s="353">
        <f ca="1">G1915</f>
        <v>18.753076811262986</v>
      </c>
      <c r="C1995" s="375"/>
      <c r="I1995" s="39">
        <v>10</v>
      </c>
      <c r="J1995" s="367"/>
      <c r="L1995" s="367"/>
    </row>
    <row r="1996" spans="1:12" ht="15.75" customHeight="1" x14ac:dyDescent="0.2">
      <c r="A1996" s="314" t="s">
        <v>2272</v>
      </c>
      <c r="B1996" s="353">
        <f ca="1">G1923</f>
        <v>0</v>
      </c>
      <c r="C1996" s="375"/>
      <c r="I1996" s="39">
        <v>10</v>
      </c>
      <c r="J1996" s="367"/>
      <c r="L1996" s="367"/>
    </row>
    <row r="1997" spans="1:12" ht="15.75" customHeight="1" x14ac:dyDescent="0.2">
      <c r="A1997" s="315" t="s">
        <v>2141</v>
      </c>
      <c r="B1997" s="356">
        <f ca="1">G1908</f>
        <v>0</v>
      </c>
      <c r="C1997" s="376"/>
      <c r="D1997" s="248"/>
      <c r="E1997" s="248"/>
      <c r="F1997" s="248"/>
      <c r="G1997" s="248"/>
      <c r="H1997" s="248"/>
      <c r="I1997" s="248">
        <v>10</v>
      </c>
      <c r="J1997" s="369">
        <v>11</v>
      </c>
      <c r="L1997" s="367"/>
    </row>
    <row r="1998" spans="1:12" ht="15.75" customHeight="1" x14ac:dyDescent="0.2">
      <c r="A1998" s="313" t="s">
        <v>2112</v>
      </c>
      <c r="B1998" s="348">
        <f ca="1">G1945</f>
        <v>-5.2423111621602708E-2</v>
      </c>
      <c r="C1998" s="387"/>
      <c r="D1998" s="220"/>
      <c r="E1998" s="220"/>
      <c r="F1998" s="220"/>
      <c r="G1998" s="220"/>
      <c r="H1998" s="220"/>
      <c r="I1998" s="220"/>
      <c r="J1998" s="220">
        <v>11</v>
      </c>
      <c r="K1998" s="366"/>
      <c r="L1998" s="367"/>
    </row>
    <row r="1999" spans="1:12" ht="15.75" customHeight="1" x14ac:dyDescent="0.2">
      <c r="A1999" s="314" t="s">
        <v>2273</v>
      </c>
      <c r="B1999" s="353">
        <f ca="1">G1946</f>
        <v>-1.1592302104222572</v>
      </c>
      <c r="C1999" s="375"/>
      <c r="J1999" s="76">
        <v>11</v>
      </c>
      <c r="K1999" s="367"/>
      <c r="L1999" s="367"/>
    </row>
    <row r="2000" spans="1:12" ht="15.75" customHeight="1" x14ac:dyDescent="0.2">
      <c r="A2000" s="314" t="s">
        <v>2136</v>
      </c>
      <c r="B2000" s="353">
        <f ca="1">G1931</f>
        <v>63.583090932759781</v>
      </c>
      <c r="C2000" s="375"/>
      <c r="J2000" s="76">
        <v>11</v>
      </c>
      <c r="K2000" s="367"/>
      <c r="L2000" s="367"/>
    </row>
    <row r="2001" spans="1:12" ht="15.75" customHeight="1" x14ac:dyDescent="0.2">
      <c r="A2001" s="314" t="s">
        <v>2274</v>
      </c>
      <c r="B2001" s="353">
        <f ca="1">G1939</f>
        <v>0</v>
      </c>
      <c r="C2001" s="375"/>
      <c r="J2001" s="76">
        <v>11</v>
      </c>
      <c r="K2001" s="367"/>
      <c r="L2001" s="367"/>
    </row>
    <row r="2002" spans="1:12" ht="15.75" customHeight="1" x14ac:dyDescent="0.2">
      <c r="A2002" s="314" t="s">
        <v>2142</v>
      </c>
      <c r="B2002" s="353">
        <f ca="1">G1916</f>
        <v>0</v>
      </c>
      <c r="C2002" s="375"/>
      <c r="J2002" s="76">
        <v>11</v>
      </c>
      <c r="K2002" s="367"/>
      <c r="L2002" s="367"/>
    </row>
    <row r="2003" spans="1:12" ht="15.75" customHeight="1" x14ac:dyDescent="0.2">
      <c r="A2003" s="315" t="s">
        <v>2275</v>
      </c>
      <c r="B2003" s="356">
        <f ca="1">G1924</f>
        <v>0</v>
      </c>
      <c r="C2003" s="376"/>
      <c r="D2003" s="248"/>
      <c r="E2003" s="248"/>
      <c r="F2003" s="248"/>
      <c r="G2003" s="248"/>
      <c r="H2003" s="248"/>
      <c r="I2003" s="248"/>
      <c r="J2003" s="248">
        <v>11</v>
      </c>
      <c r="K2003" s="369">
        <v>12</v>
      </c>
      <c r="L2003" s="367"/>
    </row>
    <row r="2004" spans="1:12" ht="15.75" customHeight="1" x14ac:dyDescent="0.2">
      <c r="A2004" s="313" t="s">
        <v>2138</v>
      </c>
      <c r="B2004" s="348">
        <f ca="1">G1947</f>
        <v>0</v>
      </c>
      <c r="C2004" s="387"/>
      <c r="D2004" s="220"/>
      <c r="E2004" s="220"/>
      <c r="F2004" s="220"/>
      <c r="G2004" s="220"/>
      <c r="H2004" s="220"/>
      <c r="I2004" s="220"/>
      <c r="J2004" s="220"/>
      <c r="K2004" s="220">
        <v>12</v>
      </c>
      <c r="L2004" s="366"/>
    </row>
    <row r="2005" spans="1:12" ht="15.75" customHeight="1" x14ac:dyDescent="0.2">
      <c r="A2005" s="314" t="s">
        <v>2144</v>
      </c>
      <c r="B2005" s="353">
        <f ca="1">G1940</f>
        <v>0</v>
      </c>
      <c r="C2005" s="375"/>
      <c r="K2005" s="76">
        <v>12</v>
      </c>
      <c r="L2005" s="367">
        <v>13</v>
      </c>
    </row>
    <row r="2006" spans="1:12" ht="15.75" customHeight="1" x14ac:dyDescent="0.2">
      <c r="A2006" s="315" t="s">
        <v>2276</v>
      </c>
      <c r="B2006" s="356">
        <f ca="1">G1940</f>
        <v>0</v>
      </c>
      <c r="C2006" s="376"/>
      <c r="D2006" s="248"/>
      <c r="E2006" s="248"/>
      <c r="F2006" s="248"/>
      <c r="G2006" s="248"/>
      <c r="H2006" s="248"/>
      <c r="I2006" s="248"/>
      <c r="J2006" s="248"/>
      <c r="K2006" s="248">
        <v>12</v>
      </c>
      <c r="L2006" s="369">
        <v>13</v>
      </c>
    </row>
    <row r="2007" spans="1:12" ht="15.75" customHeight="1" x14ac:dyDescent="0.2">
      <c r="A2007" s="319" t="s">
        <v>2146</v>
      </c>
      <c r="B2007" s="803">
        <f ca="1">G1948</f>
        <v>0</v>
      </c>
      <c r="C2007" s="439"/>
      <c r="D2007" s="735"/>
      <c r="E2007" s="735"/>
      <c r="F2007" s="735"/>
      <c r="G2007" s="735"/>
      <c r="H2007" s="735"/>
      <c r="I2007" s="735"/>
      <c r="J2007" s="735"/>
      <c r="K2007" s="735"/>
      <c r="L2007" s="437">
        <v>13</v>
      </c>
    </row>
    <row r="2008" spans="1:12" x14ac:dyDescent="0.2">
      <c r="B2008" s="387"/>
      <c r="C2008" s="366"/>
    </row>
    <row r="2009" spans="1:12" x14ac:dyDescent="0.2">
      <c r="B2009" s="356">
        <f ca="1">SUM(B1952:B2007)</f>
        <v>249.03759162291558</v>
      </c>
      <c r="C2009" s="369" t="s">
        <v>2279</v>
      </c>
    </row>
  </sheetData>
  <mergeCells count="313">
    <mergeCell ref="B75:C75"/>
    <mergeCell ref="G75:H75"/>
    <mergeCell ref="L486:M486"/>
    <mergeCell ref="N486:O486"/>
    <mergeCell ref="D88:E88"/>
    <mergeCell ref="F88:G88"/>
    <mergeCell ref="M88:Q88"/>
    <mergeCell ref="B135:C135"/>
    <mergeCell ref="B177:C177"/>
    <mergeCell ref="D177:E177"/>
    <mergeCell ref="H171:K171"/>
    <mergeCell ref="B369:E369"/>
    <mergeCell ref="K275:M275"/>
    <mergeCell ref="B449:E449"/>
    <mergeCell ref="P486:Q486"/>
    <mergeCell ref="K257:M257"/>
    <mergeCell ref="B275:E275"/>
    <mergeCell ref="F275:I275"/>
    <mergeCell ref="B247:E247"/>
    <mergeCell ref="F247:I247"/>
    <mergeCell ref="B319:E319"/>
    <mergeCell ref="AH1808:AI1808"/>
    <mergeCell ref="F1606:G1606"/>
    <mergeCell ref="F1598:G1598"/>
    <mergeCell ref="L1630:M1630"/>
    <mergeCell ref="J1670:M1670"/>
    <mergeCell ref="N1670:Q1670"/>
    <mergeCell ref="N1630:O1630"/>
    <mergeCell ref="B241:C241"/>
    <mergeCell ref="D241:E241"/>
    <mergeCell ref="F241:I241"/>
    <mergeCell ref="B562:C562"/>
    <mergeCell ref="H552:I552"/>
    <mergeCell ref="F562:G562"/>
    <mergeCell ref="D562:E562"/>
    <mergeCell ref="H562:I562"/>
    <mergeCell ref="D510:E510"/>
    <mergeCell ref="F510:G510"/>
    <mergeCell ref="H510:I510"/>
    <mergeCell ref="F552:G552"/>
    <mergeCell ref="B548:E548"/>
    <mergeCell ref="B1714:E1714"/>
    <mergeCell ref="F1714:I1714"/>
    <mergeCell ref="B1630:C1630"/>
    <mergeCell ref="D1630:E1630"/>
    <mergeCell ref="Q1833:R1833"/>
    <mergeCell ref="S1833:T1833"/>
    <mergeCell ref="Q1818:R1818"/>
    <mergeCell ref="S1818:T1818"/>
    <mergeCell ref="Q1823:R1823"/>
    <mergeCell ref="S1823:T1823"/>
    <mergeCell ref="V1808:W1808"/>
    <mergeCell ref="X1808:Y1808"/>
    <mergeCell ref="V1813:W1813"/>
    <mergeCell ref="X1813:Y1813"/>
    <mergeCell ref="V1818:W1818"/>
    <mergeCell ref="X1818:Y1818"/>
    <mergeCell ref="AM1833:AN1833"/>
    <mergeCell ref="AK1838:AL1838"/>
    <mergeCell ref="AM1838:AN1838"/>
    <mergeCell ref="AF1813:AG1813"/>
    <mergeCell ref="AH1813:AI1813"/>
    <mergeCell ref="AF1818:AG1818"/>
    <mergeCell ref="AH1818:AI1818"/>
    <mergeCell ref="AF1823:AG1823"/>
    <mergeCell ref="AH1823:AI1823"/>
    <mergeCell ref="AF1828:AG1828"/>
    <mergeCell ref="AH1828:AI1828"/>
    <mergeCell ref="AF1833:AG1833"/>
    <mergeCell ref="AH1833:AI1833"/>
    <mergeCell ref="AF1838:AG1838"/>
    <mergeCell ref="AH1838:AI1838"/>
    <mergeCell ref="AK1833:AL1833"/>
    <mergeCell ref="AM1808:AN1808"/>
    <mergeCell ref="AK1813:AL1813"/>
    <mergeCell ref="AM1813:AN1813"/>
    <mergeCell ref="AK1818:AL1818"/>
    <mergeCell ref="AM1818:AN1818"/>
    <mergeCell ref="AK1823:AL1823"/>
    <mergeCell ref="AM1823:AN1823"/>
    <mergeCell ref="AK1828:AL1828"/>
    <mergeCell ref="AM1828:AN1828"/>
    <mergeCell ref="AK1808:AL1808"/>
    <mergeCell ref="Q1838:R1838"/>
    <mergeCell ref="S1838:T1838"/>
    <mergeCell ref="AA1808:AB1808"/>
    <mergeCell ref="AC1808:AD1808"/>
    <mergeCell ref="AA1813:AB1813"/>
    <mergeCell ref="AC1813:AD1813"/>
    <mergeCell ref="AA1818:AB1818"/>
    <mergeCell ref="AC1818:AD1818"/>
    <mergeCell ref="AA1823:AB1823"/>
    <mergeCell ref="AC1823:AD1823"/>
    <mergeCell ref="AA1828:AB1828"/>
    <mergeCell ref="AC1828:AD1828"/>
    <mergeCell ref="AA1833:AB1833"/>
    <mergeCell ref="AC1833:AD1833"/>
    <mergeCell ref="AA1838:AB1838"/>
    <mergeCell ref="AC1838:AD1838"/>
    <mergeCell ref="V1833:W1833"/>
    <mergeCell ref="X1833:Y1833"/>
    <mergeCell ref="V1838:W1838"/>
    <mergeCell ref="X1838:Y1838"/>
    <mergeCell ref="Q1808:R1808"/>
    <mergeCell ref="S1808:T1808"/>
    <mergeCell ref="Q1813:R1813"/>
    <mergeCell ref="S1813:T1813"/>
    <mergeCell ref="L1838:M1838"/>
    <mergeCell ref="N1838:O1838"/>
    <mergeCell ref="B1838:C1838"/>
    <mergeCell ref="D1838:E1838"/>
    <mergeCell ref="G1808:H1808"/>
    <mergeCell ref="I1808:J1808"/>
    <mergeCell ref="G1813:H1813"/>
    <mergeCell ref="I1813:J1813"/>
    <mergeCell ref="G1818:H1818"/>
    <mergeCell ref="I1818:J1818"/>
    <mergeCell ref="G1823:H1823"/>
    <mergeCell ref="I1823:J1823"/>
    <mergeCell ref="G1828:H1828"/>
    <mergeCell ref="I1828:J1828"/>
    <mergeCell ref="G1833:H1833"/>
    <mergeCell ref="I1833:J1833"/>
    <mergeCell ref="G1838:H1838"/>
    <mergeCell ref="I1838:J1838"/>
    <mergeCell ref="B1813:C1813"/>
    <mergeCell ref="D1813:E1813"/>
    <mergeCell ref="B1818:C1818"/>
    <mergeCell ref="D1818:E1818"/>
    <mergeCell ref="L1818:M1818"/>
    <mergeCell ref="N1818:O1818"/>
    <mergeCell ref="B1823:C1823"/>
    <mergeCell ref="D1823:E1823"/>
    <mergeCell ref="B1828:C1828"/>
    <mergeCell ref="D1828:E1828"/>
    <mergeCell ref="B1833:C1833"/>
    <mergeCell ref="D1833:E1833"/>
    <mergeCell ref="AF1808:AG1808"/>
    <mergeCell ref="D1808:E1808"/>
    <mergeCell ref="L1808:M1808"/>
    <mergeCell ref="N1808:O1808"/>
    <mergeCell ref="L1813:M1813"/>
    <mergeCell ref="N1813:O1813"/>
    <mergeCell ref="L1833:M1833"/>
    <mergeCell ref="N1833:O1833"/>
    <mergeCell ref="V1823:W1823"/>
    <mergeCell ref="X1823:Y1823"/>
    <mergeCell ref="V1828:W1828"/>
    <mergeCell ref="X1828:Y1828"/>
    <mergeCell ref="L1823:M1823"/>
    <mergeCell ref="N1823:O1823"/>
    <mergeCell ref="L1828:M1828"/>
    <mergeCell ref="N1828:O1828"/>
    <mergeCell ref="Q1828:R1828"/>
    <mergeCell ref="S1828:T1828"/>
    <mergeCell ref="F1630:G1630"/>
    <mergeCell ref="H1630:I1630"/>
    <mergeCell ref="J1630:K1630"/>
    <mergeCell ref="B1670:E1670"/>
    <mergeCell ref="F1670:I1670"/>
    <mergeCell ref="F1585:G1585"/>
    <mergeCell ref="B1808:C1808"/>
    <mergeCell ref="B1564:C1564"/>
    <mergeCell ref="D1564:E1564"/>
    <mergeCell ref="F1564:G1564"/>
    <mergeCell ref="H1564:I1564"/>
    <mergeCell ref="J1564:K1564"/>
    <mergeCell ref="A1572:A1573"/>
    <mergeCell ref="A734:W735"/>
    <mergeCell ref="G1209:K1209"/>
    <mergeCell ref="B1493:C1493"/>
    <mergeCell ref="D1493:E1493"/>
    <mergeCell ref="F1493:G1493"/>
    <mergeCell ref="H1493:I1493"/>
    <mergeCell ref="B1330:C1330"/>
    <mergeCell ref="B1347:C1347"/>
    <mergeCell ref="B1467:C1467"/>
    <mergeCell ref="D1467:E1467"/>
    <mergeCell ref="B1478:C1478"/>
    <mergeCell ref="D1478:E1478"/>
    <mergeCell ref="H1392:L1392"/>
    <mergeCell ref="G1155:L1155"/>
    <mergeCell ref="B1103:C1103"/>
    <mergeCell ref="A1182:I1183"/>
    <mergeCell ref="E1103:F1103"/>
    <mergeCell ref="J1037:L1037"/>
    <mergeCell ref="H1032:I1032"/>
    <mergeCell ref="J1032:L1032"/>
    <mergeCell ref="H1037:I1037"/>
    <mergeCell ref="H1057:I1057"/>
    <mergeCell ref="J1057:L1057"/>
    <mergeCell ref="AL1027:AM1027"/>
    <mergeCell ref="AN1027:AP1027"/>
    <mergeCell ref="AL1032:AM1032"/>
    <mergeCell ref="AN1032:AP1032"/>
    <mergeCell ref="AL1038:AM1038"/>
    <mergeCell ref="AN1038:AP1038"/>
    <mergeCell ref="AB1042:AD1042"/>
    <mergeCell ref="AF1027:AG1027"/>
    <mergeCell ref="AH1027:AJ1027"/>
    <mergeCell ref="AF1032:AG1032"/>
    <mergeCell ref="AH1032:AJ1032"/>
    <mergeCell ref="AF1037:AG1037"/>
    <mergeCell ref="AH1037:AJ1037"/>
    <mergeCell ref="AB1027:AD1027"/>
    <mergeCell ref="AB1032:AD1032"/>
    <mergeCell ref="Z1037:AA1037"/>
    <mergeCell ref="AB1037:AD1037"/>
    <mergeCell ref="T1042:U1042"/>
    <mergeCell ref="V1042:X1042"/>
    <mergeCell ref="P1042:R1042"/>
    <mergeCell ref="N1047:O1047"/>
    <mergeCell ref="P1047:R1047"/>
    <mergeCell ref="V1047:X1047"/>
    <mergeCell ref="Z1027:AA1027"/>
    <mergeCell ref="Z1042:AA1042"/>
    <mergeCell ref="T1027:U1027"/>
    <mergeCell ref="V1027:X1027"/>
    <mergeCell ref="T1032:U1032"/>
    <mergeCell ref="V1032:X1032"/>
    <mergeCell ref="T1037:U1037"/>
    <mergeCell ref="V1037:X1037"/>
    <mergeCell ref="Z1032:AA1032"/>
    <mergeCell ref="T1047:U1047"/>
    <mergeCell ref="N1027:O1027"/>
    <mergeCell ref="P1027:R1027"/>
    <mergeCell ref="N1032:O1032"/>
    <mergeCell ref="P1032:R1032"/>
    <mergeCell ref="N1037:O1037"/>
    <mergeCell ref="P1037:R1037"/>
    <mergeCell ref="N1052:O1052"/>
    <mergeCell ref="P1052:R1052"/>
    <mergeCell ref="H1042:I1042"/>
    <mergeCell ref="J1042:L1042"/>
    <mergeCell ref="H1047:I1047"/>
    <mergeCell ref="J1047:L1047"/>
    <mergeCell ref="H1052:I1052"/>
    <mergeCell ref="J1052:L1052"/>
    <mergeCell ref="N1042:O1042"/>
    <mergeCell ref="B1057:C1057"/>
    <mergeCell ref="D1057:F1057"/>
    <mergeCell ref="B1062:C1062"/>
    <mergeCell ref="D1062:F1062"/>
    <mergeCell ref="B1037:C1037"/>
    <mergeCell ref="D1037:F1037"/>
    <mergeCell ref="B1042:C1042"/>
    <mergeCell ref="D1042:F1042"/>
    <mergeCell ref="B1047:C1047"/>
    <mergeCell ref="D1047:F1047"/>
    <mergeCell ref="D1052:F1052"/>
    <mergeCell ref="B1052:C1052"/>
    <mergeCell ref="B670:C670"/>
    <mergeCell ref="H486:I486"/>
    <mergeCell ref="B583:C583"/>
    <mergeCell ref="D583:E583"/>
    <mergeCell ref="F319:I319"/>
    <mergeCell ref="B335:E335"/>
    <mergeCell ref="D655:F655"/>
    <mergeCell ref="D660:F660"/>
    <mergeCell ref="D665:F665"/>
    <mergeCell ref="D670:F670"/>
    <mergeCell ref="F449:K449"/>
    <mergeCell ref="B510:C510"/>
    <mergeCell ref="B359:E359"/>
    <mergeCell ref="F359:I359"/>
    <mergeCell ref="D950:E950"/>
    <mergeCell ref="D486:E486"/>
    <mergeCell ref="F486:G486"/>
    <mergeCell ref="D1027:F1027"/>
    <mergeCell ref="H950:I950"/>
    <mergeCell ref="B1027:C1027"/>
    <mergeCell ref="F950:G950"/>
    <mergeCell ref="D924:E924"/>
    <mergeCell ref="B924:C924"/>
    <mergeCell ref="D935:E935"/>
    <mergeCell ref="B935:C935"/>
    <mergeCell ref="B950:C950"/>
    <mergeCell ref="H887:J887"/>
    <mergeCell ref="J1027:L1027"/>
    <mergeCell ref="G686:J686"/>
    <mergeCell ref="A916:B916"/>
    <mergeCell ref="A706:C706"/>
    <mergeCell ref="J486:K486"/>
    <mergeCell ref="F583:G583"/>
    <mergeCell ref="B842:C842"/>
    <mergeCell ref="B655:C655"/>
    <mergeCell ref="B825:C825"/>
    <mergeCell ref="B660:C660"/>
    <mergeCell ref="B665:C665"/>
    <mergeCell ref="A1459:B1459"/>
    <mergeCell ref="A108:C108"/>
    <mergeCell ref="C1950:L1950"/>
    <mergeCell ref="V659:W659"/>
    <mergeCell ref="X659:Z659"/>
    <mergeCell ref="V664:W664"/>
    <mergeCell ref="X664:Z664"/>
    <mergeCell ref="V669:W669"/>
    <mergeCell ref="X669:Z669"/>
    <mergeCell ref="V674:W674"/>
    <mergeCell ref="X674:Z674"/>
    <mergeCell ref="U658:Z658"/>
    <mergeCell ref="B1546:C1546"/>
    <mergeCell ref="D1546:E1546"/>
    <mergeCell ref="F1546:G1546"/>
    <mergeCell ref="H1546:I1546"/>
    <mergeCell ref="F335:I335"/>
    <mergeCell ref="B347:E347"/>
    <mergeCell ref="B1032:C1032"/>
    <mergeCell ref="D1032:F1032"/>
    <mergeCell ref="H1027:I1027"/>
    <mergeCell ref="F347:I347"/>
    <mergeCell ref="B486:C486"/>
    <mergeCell ref="D231:E231"/>
  </mergeCells>
  <phoneticPr fontId="5" type="noConversion"/>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5D278-648B-43D6-8997-58B3BD3EB31A}">
  <sheetPr codeName="Sheet5"/>
  <dimension ref="A1:AJ431"/>
  <sheetViews>
    <sheetView workbookViewId="0">
      <selection activeCell="K207" sqref="K207"/>
    </sheetView>
  </sheetViews>
  <sheetFormatPr baseColWidth="10" defaultColWidth="8.83203125" defaultRowHeight="15" x14ac:dyDescent="0.2"/>
  <cols>
    <col min="1" max="1" width="47.5" customWidth="1"/>
    <col min="2" max="2" width="18" style="103" customWidth="1"/>
    <col min="3" max="3" width="14.6640625" customWidth="1"/>
    <col min="4" max="4" width="13.5" style="103" customWidth="1"/>
    <col min="5" max="5" width="16.6640625" customWidth="1"/>
    <col min="6" max="6" width="19.6640625" style="103" customWidth="1"/>
    <col min="7" max="7" width="20.33203125" customWidth="1"/>
    <col min="8" max="8" width="12.5" style="103" customWidth="1"/>
    <col min="9" max="9" width="20.83203125" customWidth="1"/>
    <col min="10" max="10" width="26.1640625" customWidth="1"/>
    <col min="11" max="18" width="15.33203125" customWidth="1"/>
    <col min="19" max="29" width="19.5" customWidth="1"/>
    <col min="30" max="38" width="15.5" customWidth="1"/>
  </cols>
  <sheetData>
    <row r="1" spans="1:12" x14ac:dyDescent="0.2">
      <c r="A1" s="1762" t="s">
        <v>3293</v>
      </c>
      <c r="B1" s="1762"/>
      <c r="C1" s="1762"/>
      <c r="D1" s="1762"/>
      <c r="E1" s="1762"/>
      <c r="F1" s="1762"/>
      <c r="G1" s="1762"/>
      <c r="H1" s="1762"/>
      <c r="I1" s="1762"/>
      <c r="J1" s="1762"/>
    </row>
    <row r="2" spans="1:12" ht="30" customHeight="1" thickBot="1" x14ac:dyDescent="0.25">
      <c r="A2" s="2064"/>
      <c r="B2" s="2064"/>
      <c r="C2" s="2064"/>
      <c r="D2" s="2064"/>
      <c r="E2" s="2064"/>
      <c r="F2" s="2064"/>
      <c r="G2" s="2064"/>
      <c r="H2" s="2064"/>
      <c r="I2" s="2064"/>
      <c r="J2" s="2064"/>
    </row>
    <row r="3" spans="1:12" ht="16" thickBot="1" x14ac:dyDescent="0.25">
      <c r="A3" s="1082" t="s">
        <v>2617</v>
      </c>
      <c r="B3" s="968"/>
      <c r="C3" s="421"/>
      <c r="D3" s="967"/>
      <c r="E3" s="421"/>
      <c r="F3" s="967"/>
      <c r="G3" s="421"/>
      <c r="H3" s="967"/>
      <c r="I3" s="964"/>
      <c r="J3" s="421"/>
      <c r="K3" s="421"/>
      <c r="L3" s="422"/>
    </row>
    <row r="4" spans="1:12" x14ac:dyDescent="0.2">
      <c r="A4" s="993" t="s">
        <v>580</v>
      </c>
      <c r="B4" s="1081" t="s">
        <v>372</v>
      </c>
      <c r="C4" s="970" t="s">
        <v>42</v>
      </c>
      <c r="D4" s="970" t="s">
        <v>372</v>
      </c>
      <c r="E4" s="970" t="s">
        <v>3025</v>
      </c>
      <c r="F4" s="970" t="s">
        <v>372</v>
      </c>
      <c r="G4" s="970" t="s">
        <v>3024</v>
      </c>
      <c r="H4" s="970" t="s">
        <v>372</v>
      </c>
      <c r="I4" s="972" t="s">
        <v>3060</v>
      </c>
      <c r="J4" s="970" t="s">
        <v>3063</v>
      </c>
    </row>
    <row r="5" spans="1:12" x14ac:dyDescent="0.2">
      <c r="A5" s="993" t="s">
        <v>2884</v>
      </c>
      <c r="B5" s="192"/>
      <c r="C5" s="110"/>
      <c r="D5" s="192"/>
      <c r="E5" s="110"/>
      <c r="F5" s="192"/>
      <c r="G5" s="110"/>
      <c r="H5" s="192"/>
      <c r="I5" s="110"/>
      <c r="J5" s="112"/>
    </row>
    <row r="6" spans="1:12" x14ac:dyDescent="0.2">
      <c r="A6" s="993" t="s">
        <v>3057</v>
      </c>
      <c r="B6" s="192"/>
      <c r="C6" s="110"/>
      <c r="D6" s="192"/>
      <c r="E6" s="110"/>
      <c r="F6" s="192"/>
      <c r="G6" s="110"/>
      <c r="H6" s="192"/>
      <c r="I6" s="110"/>
      <c r="J6" s="112"/>
    </row>
    <row r="7" spans="1:12" x14ac:dyDescent="0.2">
      <c r="A7" s="21" t="s">
        <v>3054</v>
      </c>
      <c r="B7" s="183" t="s">
        <v>1044</v>
      </c>
      <c r="C7" s="168">
        <f ca="1">ExpBase!E125*ExpBase!C143</f>
        <v>2112492.3478767485</v>
      </c>
      <c r="D7" s="183" t="s">
        <v>1044</v>
      </c>
      <c r="E7" s="168">
        <f ca="1">C7*Units!D493</f>
        <v>889505.54216819024</v>
      </c>
      <c r="F7" s="183" t="s">
        <v>3059</v>
      </c>
      <c r="G7" s="118">
        <f ca="1">E7/(Units!C$85)</f>
        <v>0.88950554216819022</v>
      </c>
      <c r="H7" s="183" t="str">
        <f>F7</f>
        <v>MT/hr</v>
      </c>
      <c r="I7" s="118">
        <f ca="1">G7</f>
        <v>0.88950554216819022</v>
      </c>
      <c r="J7" s="120" t="s">
        <v>3073</v>
      </c>
    </row>
    <row r="8" spans="1:12" x14ac:dyDescent="0.2">
      <c r="A8" s="993" t="s">
        <v>1696</v>
      </c>
      <c r="B8" s="192"/>
      <c r="C8" s="160"/>
      <c r="D8" s="192"/>
      <c r="E8" s="110"/>
      <c r="F8" s="192"/>
      <c r="G8" s="110"/>
      <c r="H8" s="192"/>
      <c r="I8" s="110"/>
      <c r="J8" s="112"/>
    </row>
    <row r="9" spans="1:12" x14ac:dyDescent="0.2">
      <c r="A9" s="260" t="s">
        <v>3045</v>
      </c>
      <c r="B9" s="103" t="s">
        <v>1044</v>
      </c>
      <c r="C9" s="100">
        <f ca="1">ExpBase!C139*ExpBase!C143</f>
        <v>89358.426315186502</v>
      </c>
      <c r="D9" s="103" t="s">
        <v>1044</v>
      </c>
      <c r="E9" s="100">
        <f ca="1">C9*Units!D491</f>
        <v>35745.156147062713</v>
      </c>
      <c r="F9" s="103" t="s">
        <v>3059</v>
      </c>
      <c r="G9">
        <f ca="1">E9/(Units!C$85)</f>
        <v>3.5745156147062716E-2</v>
      </c>
      <c r="J9" s="127"/>
    </row>
    <row r="10" spans="1:12" x14ac:dyDescent="0.2">
      <c r="A10" s="260" t="s">
        <v>3046</v>
      </c>
      <c r="B10" s="103" t="s">
        <v>1044</v>
      </c>
      <c r="C10" s="100">
        <f ca="1">ExpBase!C140*ExpBase!C143</f>
        <v>204066.76080489383</v>
      </c>
      <c r="D10" s="103" t="s">
        <v>1044</v>
      </c>
      <c r="E10" s="100">
        <f ca="1">C10*Units!D492</f>
        <v>81630.78212307932</v>
      </c>
      <c r="F10" s="103" t="s">
        <v>3059</v>
      </c>
      <c r="G10">
        <f ca="1">E10/(Units!C$85)</f>
        <v>8.1630782123079323E-2</v>
      </c>
      <c r="J10" s="127"/>
    </row>
    <row r="11" spans="1:12" x14ac:dyDescent="0.2">
      <c r="A11" s="260" t="s">
        <v>3047</v>
      </c>
      <c r="B11" s="103" t="s">
        <v>1044</v>
      </c>
      <c r="C11" s="100">
        <f ca="1">ExpBase!C141*ExpBase!C143</f>
        <v>147874.46435137239</v>
      </c>
      <c r="D11" s="103" t="s">
        <v>1044</v>
      </c>
      <c r="E11" s="100">
        <f ca="1">C11*Units!D493</f>
        <v>62265.387951773315</v>
      </c>
      <c r="F11" s="103" t="s">
        <v>3059</v>
      </c>
      <c r="G11">
        <f ca="1">E11/(Units!C$85)</f>
        <v>6.2265387951773318E-2</v>
      </c>
      <c r="J11" s="127"/>
    </row>
    <row r="12" spans="1:12" x14ac:dyDescent="0.2">
      <c r="A12" s="21" t="s">
        <v>3048</v>
      </c>
      <c r="B12" s="183" t="s">
        <v>1044</v>
      </c>
      <c r="C12" s="168">
        <f ca="1">ExpBase!C138*ExpBase!C143</f>
        <v>1671192.6964052955</v>
      </c>
      <c r="D12" s="183" t="s">
        <v>1044</v>
      </c>
      <c r="E12" s="168">
        <f ca="1">C12*Units!D494</f>
        <v>668495.63087890786</v>
      </c>
      <c r="F12" s="183" t="s">
        <v>3059</v>
      </c>
      <c r="G12" s="118">
        <f ca="1">E12/(Units!C$85)</f>
        <v>0.66849563087890784</v>
      </c>
      <c r="H12" s="183" t="str">
        <f>F12</f>
        <v>MT/hr</v>
      </c>
      <c r="I12" s="118">
        <f ca="1">SUM(G9:G12)</f>
        <v>0.84813695710082326</v>
      </c>
      <c r="J12" s="120" t="s">
        <v>3074</v>
      </c>
    </row>
    <row r="13" spans="1:12" x14ac:dyDescent="0.2">
      <c r="A13" s="266" t="s">
        <v>3062</v>
      </c>
      <c r="B13" s="183"/>
      <c r="C13" s="168"/>
      <c r="D13" s="183"/>
      <c r="E13" s="168"/>
      <c r="F13" s="183"/>
      <c r="G13" s="118"/>
      <c r="H13" s="183" t="s">
        <v>3059</v>
      </c>
      <c r="I13" s="118">
        <f ca="1">I7-I12</f>
        <v>4.1368585067366959E-2</v>
      </c>
      <c r="J13" s="120" t="s">
        <v>3075</v>
      </c>
    </row>
    <row r="14" spans="1:12" x14ac:dyDescent="0.2">
      <c r="A14" s="993" t="s">
        <v>3058</v>
      </c>
      <c r="B14" s="192"/>
      <c r="C14" s="110"/>
      <c r="D14" s="192"/>
      <c r="E14" s="110"/>
      <c r="F14" s="192"/>
      <c r="G14" s="110"/>
      <c r="H14" s="192"/>
      <c r="I14" s="110"/>
      <c r="J14" s="112"/>
    </row>
    <row r="15" spans="1:12" x14ac:dyDescent="0.2">
      <c r="A15" s="29" t="s">
        <v>1695</v>
      </c>
      <c r="B15" s="976"/>
      <c r="C15" s="31"/>
      <c r="D15" s="976"/>
      <c r="E15" s="31"/>
      <c r="F15" s="976"/>
      <c r="G15" s="31"/>
      <c r="H15" s="976" t="str">
        <f>H12</f>
        <v>MT/hr</v>
      </c>
      <c r="I15" s="31">
        <f ca="1">I12</f>
        <v>0.84813695710082326</v>
      </c>
      <c r="J15" s="32" t="s">
        <v>3074</v>
      </c>
    </row>
    <row r="16" spans="1:12" x14ac:dyDescent="0.2">
      <c r="A16" s="993" t="s">
        <v>3061</v>
      </c>
      <c r="B16" s="192"/>
      <c r="C16" s="110"/>
      <c r="D16" s="192"/>
      <c r="E16" s="110"/>
      <c r="F16" s="192"/>
      <c r="G16" s="110"/>
      <c r="H16" s="192"/>
      <c r="I16" s="110"/>
      <c r="J16" s="112"/>
    </row>
    <row r="17" spans="1:14" x14ac:dyDescent="0.2">
      <c r="A17" s="317" t="s">
        <v>3048</v>
      </c>
      <c r="B17" s="103" t="s">
        <v>1044</v>
      </c>
      <c r="C17" s="100">
        <f ca="1">C12*ExpBase!C174</f>
        <v>1654480.7694412426</v>
      </c>
      <c r="D17" s="103" t="s">
        <v>1044</v>
      </c>
      <c r="E17" s="100">
        <f ca="1">C17*Units!D494</f>
        <v>661810.67457011878</v>
      </c>
      <c r="F17" s="103" t="s">
        <v>3059</v>
      </c>
      <c r="G17">
        <f ca="1">E17/Units!C$85</f>
        <v>0.66181067457011877</v>
      </c>
      <c r="J17" s="127"/>
    </row>
    <row r="18" spans="1:14" x14ac:dyDescent="0.2">
      <c r="A18" s="317" t="s">
        <v>3045</v>
      </c>
      <c r="B18" s="103" t="s">
        <v>1044</v>
      </c>
      <c r="C18" s="100">
        <f ca="1">C9*ExpBase!C174</f>
        <v>88464.842052034641</v>
      </c>
      <c r="D18" s="103" t="s">
        <v>1044</v>
      </c>
      <c r="E18" s="100">
        <f ca="1">C18*Units!D491</f>
        <v>35387.704585592088</v>
      </c>
      <c r="F18" s="103" t="s">
        <v>3059</v>
      </c>
      <c r="G18">
        <f ca="1">E18/Units!C$85</f>
        <v>3.5387704585592088E-2</v>
      </c>
      <c r="J18" s="127"/>
    </row>
    <row r="19" spans="1:14" x14ac:dyDescent="0.2">
      <c r="A19" s="317" t="s">
        <v>3046</v>
      </c>
      <c r="B19" s="103" t="s">
        <v>1044</v>
      </c>
      <c r="C19" s="100">
        <f ca="1">C10*ExpBase!C174</f>
        <v>202026.09319684489</v>
      </c>
      <c r="D19" s="103" t="s">
        <v>1044</v>
      </c>
      <c r="E19" s="100">
        <f ca="1">C19*Units!D492</f>
        <v>80814.474301848531</v>
      </c>
      <c r="F19" s="103" t="s">
        <v>3059</v>
      </c>
      <c r="G19">
        <f ca="1">E19/Units!C$85</f>
        <v>8.081447430184853E-2</v>
      </c>
      <c r="J19" s="127"/>
    </row>
    <row r="20" spans="1:14" x14ac:dyDescent="0.2">
      <c r="A20" s="318" t="s">
        <v>3047</v>
      </c>
      <c r="B20" s="183" t="s">
        <v>1044</v>
      </c>
      <c r="C20" s="168">
        <f ca="1">C11*ExpBase!C174</f>
        <v>146395.71970785866</v>
      </c>
      <c r="D20" s="183" t="s">
        <v>1044</v>
      </c>
      <c r="E20" s="168">
        <f ca="1">C20*Units!D493</f>
        <v>61642.734072255582</v>
      </c>
      <c r="F20" s="183" t="s">
        <v>3059</v>
      </c>
      <c r="G20" s="118">
        <f ca="1">E20/Units!C$85</f>
        <v>6.1642734072255581E-2</v>
      </c>
      <c r="H20" s="183" t="s">
        <v>3059</v>
      </c>
      <c r="I20" s="118">
        <f ca="1">SUM(G17:G20)</f>
        <v>0.83965558752981495</v>
      </c>
      <c r="J20" s="120" t="s">
        <v>3076</v>
      </c>
    </row>
    <row r="21" spans="1:14" x14ac:dyDescent="0.2">
      <c r="A21" s="266" t="s">
        <v>3062</v>
      </c>
      <c r="B21" s="183"/>
      <c r="C21" s="118"/>
      <c r="D21" s="183"/>
      <c r="E21" s="118"/>
      <c r="F21" s="183"/>
      <c r="G21" s="118"/>
      <c r="H21" s="183" t="s">
        <v>3059</v>
      </c>
      <c r="I21" s="118">
        <f ca="1">I15-I20</f>
        <v>8.4813695710083126E-3</v>
      </c>
      <c r="J21" s="120" t="s">
        <v>3072</v>
      </c>
    </row>
    <row r="23" spans="1:14" ht="16" thickBot="1" x14ac:dyDescent="0.25"/>
    <row r="24" spans="1:14" ht="16" thickBot="1" x14ac:dyDescent="0.25">
      <c r="A24" s="975" t="s">
        <v>572</v>
      </c>
      <c r="B24" s="973"/>
      <c r="C24" s="974"/>
      <c r="D24" s="973"/>
      <c r="E24" s="974"/>
      <c r="F24" s="973"/>
      <c r="G24" s="974"/>
      <c r="H24" s="973"/>
      <c r="I24" s="974"/>
      <c r="J24" s="974"/>
      <c r="K24" s="441"/>
      <c r="L24" s="442"/>
    </row>
    <row r="25" spans="1:14" x14ac:dyDescent="0.2">
      <c r="A25" s="29" t="s">
        <v>580</v>
      </c>
      <c r="B25" s="1058" t="s">
        <v>372</v>
      </c>
      <c r="C25" s="969" t="s">
        <v>42</v>
      </c>
      <c r="D25" s="969" t="s">
        <v>372</v>
      </c>
      <c r="E25" s="969" t="s">
        <v>3025</v>
      </c>
      <c r="F25" s="969" t="s">
        <v>372</v>
      </c>
      <c r="G25" s="969" t="s">
        <v>3024</v>
      </c>
      <c r="H25" s="969" t="s">
        <v>372</v>
      </c>
      <c r="I25" s="969" t="s">
        <v>3060</v>
      </c>
      <c r="J25" s="969" t="s">
        <v>3063</v>
      </c>
    </row>
    <row r="26" spans="1:14" x14ac:dyDescent="0.2">
      <c r="A26" s="971" t="s">
        <v>2979</v>
      </c>
    </row>
    <row r="27" spans="1:14" x14ac:dyDescent="0.2">
      <c r="A27" s="993" t="s">
        <v>1695</v>
      </c>
      <c r="B27" s="192"/>
      <c r="C27" s="110"/>
      <c r="D27" s="192"/>
      <c r="E27" s="110"/>
      <c r="F27" s="192"/>
      <c r="G27" s="110"/>
      <c r="H27" s="192"/>
      <c r="I27" s="110"/>
      <c r="J27" s="112"/>
    </row>
    <row r="28" spans="1:14" x14ac:dyDescent="0.2">
      <c r="A28" s="260" t="s">
        <v>584</v>
      </c>
      <c r="B28" s="103" t="s">
        <v>267</v>
      </c>
      <c r="C28">
        <f>Inputs!F13*Inputs!F15</f>
        <v>22500</v>
      </c>
      <c r="D28" s="103" t="s">
        <v>3065</v>
      </c>
      <c r="E28">
        <f ca="1">C28*ExpBase!C310*Inputs!D47</f>
        <v>1476672965.0567999</v>
      </c>
      <c r="F28" s="103" t="s">
        <v>3059</v>
      </c>
      <c r="G28">
        <f ca="1">E28/Units!C$86</f>
        <v>1.4766729650567998</v>
      </c>
      <c r="H28" s="103" t="s">
        <v>3059</v>
      </c>
      <c r="I28">
        <f ca="1">SUM(G28)</f>
        <v>1.4766729650567998</v>
      </c>
      <c r="J28" s="127" t="s">
        <v>3078</v>
      </c>
    </row>
    <row r="29" spans="1:14" x14ac:dyDescent="0.2">
      <c r="A29" s="21" t="s">
        <v>3064</v>
      </c>
      <c r="B29" s="183"/>
      <c r="C29" s="118"/>
      <c r="D29" s="183" t="s">
        <v>3065</v>
      </c>
      <c r="E29" s="118">
        <f ca="1">E28*0.2</f>
        <v>295334593.01135999</v>
      </c>
      <c r="F29" s="183" t="s">
        <v>3059</v>
      </c>
      <c r="G29" s="118">
        <f ca="1">E29/Units!C$86</f>
        <v>0.29533459301136</v>
      </c>
      <c r="H29" s="183" t="s">
        <v>3059</v>
      </c>
      <c r="I29" s="118">
        <f ca="1">G29</f>
        <v>0.29533459301136</v>
      </c>
      <c r="J29" s="120" t="s">
        <v>3087</v>
      </c>
    </row>
    <row r="30" spans="1:14" x14ac:dyDescent="0.2">
      <c r="A30" s="993" t="s">
        <v>3066</v>
      </c>
      <c r="B30" s="192"/>
      <c r="C30" s="110"/>
      <c r="D30" s="192"/>
      <c r="E30" s="110"/>
      <c r="F30" s="192"/>
      <c r="G30" s="110"/>
      <c r="H30" s="192"/>
      <c r="I30" s="110"/>
      <c r="J30" s="112"/>
    </row>
    <row r="31" spans="1:14" x14ac:dyDescent="0.2">
      <c r="A31" s="260" t="s">
        <v>1007</v>
      </c>
      <c r="B31" s="103" t="s">
        <v>391</v>
      </c>
      <c r="C31" s="100">
        <f ca="1">ExpBase!G363</f>
        <v>11697.474830830171</v>
      </c>
      <c r="D31" s="103" t="s">
        <v>1044</v>
      </c>
      <c r="E31" s="100">
        <f ca="1">C31*Units!D495*0.72</f>
        <v>6306.6600086678845</v>
      </c>
      <c r="F31" s="103" t="s">
        <v>3059</v>
      </c>
      <c r="G31">
        <f ca="1">E31/Units!C85</f>
        <v>6.3066600086678845E-3</v>
      </c>
      <c r="H31" s="103" t="s">
        <v>3059</v>
      </c>
      <c r="I31">
        <f ca="1">SUM(G31:G32)</f>
        <v>0.10433521308136712</v>
      </c>
      <c r="J31" s="127" t="s">
        <v>3066</v>
      </c>
    </row>
    <row r="32" spans="1:14" x14ac:dyDescent="0.2">
      <c r="A32" s="21" t="s">
        <v>1008</v>
      </c>
      <c r="B32" s="183" t="s">
        <v>391</v>
      </c>
      <c r="C32" s="168">
        <f ca="1">ExpBase!G364</f>
        <v>183260.43901633934</v>
      </c>
      <c r="D32" s="183" t="s">
        <v>1044</v>
      </c>
      <c r="E32" s="168">
        <f ca="1">C32*Units!D496*1.96</f>
        <v>98028.553072699229</v>
      </c>
      <c r="F32" s="183" t="s">
        <v>3059</v>
      </c>
      <c r="G32" s="118">
        <f ca="1">E32/Units!C85</f>
        <v>9.8028553072699226E-2</v>
      </c>
      <c r="H32" s="183"/>
      <c r="I32" s="118"/>
      <c r="J32" s="120"/>
      <c r="N32" s="100">
        <f ca="1">I28+I46</f>
        <v>2.7266729650567996</v>
      </c>
    </row>
    <row r="33" spans="1:14" x14ac:dyDescent="0.2">
      <c r="A33" s="993" t="s">
        <v>3067</v>
      </c>
      <c r="B33" s="192"/>
      <c r="C33" s="110"/>
      <c r="D33" s="192"/>
      <c r="E33" s="110"/>
      <c r="F33" s="192"/>
      <c r="G33" s="110"/>
      <c r="H33" s="192"/>
      <c r="I33" s="110"/>
      <c r="J33" s="112"/>
      <c r="K33" s="100">
        <f ca="1">I34/SUM(I28:I29)</f>
        <v>5.2366782818523298E-2</v>
      </c>
      <c r="N33" s="100">
        <f ca="1">0.8783/N32</f>
        <v>0.32211417036648693</v>
      </c>
    </row>
    <row r="34" spans="1:14" x14ac:dyDescent="0.2">
      <c r="A34" s="317" t="s">
        <v>1425</v>
      </c>
      <c r="B34" s="172" t="s">
        <v>267</v>
      </c>
      <c r="C34" s="100">
        <f ca="1">ExpBase!G251</f>
        <v>0.99389647423751326</v>
      </c>
      <c r="D34" s="172" t="s">
        <v>267</v>
      </c>
      <c r="E34" s="100">
        <f ca="1">C34*Units!D494</f>
        <v>0.39756962318161987</v>
      </c>
      <c r="F34" s="103" t="s">
        <v>3059</v>
      </c>
      <c r="G34" s="100">
        <f ca="1">E34/1000</f>
        <v>3.9756962318161987E-4</v>
      </c>
      <c r="H34" s="103" t="s">
        <v>3059</v>
      </c>
      <c r="I34" s="100">
        <f ca="1">SUM(G34:G42)</f>
        <v>9.2794334946137133E-2</v>
      </c>
      <c r="J34" s="127" t="s">
        <v>3077</v>
      </c>
      <c r="N34" s="100">
        <f ca="1">0.27/N32</f>
        <v>9.9021776157294183E-2</v>
      </c>
    </row>
    <row r="35" spans="1:14" x14ac:dyDescent="0.2">
      <c r="A35" s="317" t="s">
        <v>891</v>
      </c>
      <c r="B35" s="172" t="s">
        <v>267</v>
      </c>
      <c r="C35" s="100">
        <f ca="1">ExpBase!G252</f>
        <v>61.817072981695162</v>
      </c>
      <c r="D35" s="172" t="s">
        <v>267</v>
      </c>
      <c r="E35" s="100">
        <f ca="1">C35*Units!D498</f>
        <v>25.151926273141616</v>
      </c>
      <c r="F35" s="103" t="s">
        <v>3059</v>
      </c>
      <c r="G35" s="100">
        <f ca="1">E35/1000</f>
        <v>2.5151926273141615E-2</v>
      </c>
      <c r="J35" s="127"/>
    </row>
    <row r="36" spans="1:14" x14ac:dyDescent="0.2">
      <c r="A36" s="317" t="s">
        <v>892</v>
      </c>
      <c r="B36" s="172" t="s">
        <v>267</v>
      </c>
      <c r="C36" s="100">
        <f ca="1">ExpBase!G253</f>
        <v>0</v>
      </c>
      <c r="D36" s="172" t="s">
        <v>267</v>
      </c>
      <c r="E36" s="100">
        <f ca="1">C36*Units!D499</f>
        <v>0</v>
      </c>
      <c r="F36" s="103" t="s">
        <v>3059</v>
      </c>
      <c r="G36" s="100">
        <f t="shared" ref="G36:G42" ca="1" si="0">E36/1000</f>
        <v>0</v>
      </c>
      <c r="J36" s="1083"/>
      <c r="K36" s="1053">
        <v>5.0934810388501402E-2</v>
      </c>
    </row>
    <row r="37" spans="1:14" x14ac:dyDescent="0.2">
      <c r="A37" s="317" t="s">
        <v>439</v>
      </c>
      <c r="B37" s="172" t="s">
        <v>267</v>
      </c>
      <c r="C37" s="100">
        <f ca="1">ExpBase!G254</f>
        <v>63.607112484752321</v>
      </c>
      <c r="D37" s="172" t="s">
        <v>267</v>
      </c>
      <c r="E37" s="100">
        <f ca="1">C37*Units!D500</f>
        <v>35.085420346928132</v>
      </c>
      <c r="F37" s="103" t="s">
        <v>3059</v>
      </c>
      <c r="G37" s="100">
        <f t="shared" ca="1" si="0"/>
        <v>3.5085420346928131E-2</v>
      </c>
      <c r="J37" s="1083"/>
      <c r="K37" s="1053">
        <v>5.8879665950811899E-2</v>
      </c>
    </row>
    <row r="38" spans="1:14" x14ac:dyDescent="0.2">
      <c r="A38" s="317" t="s">
        <v>440</v>
      </c>
      <c r="B38" s="172" t="s">
        <v>267</v>
      </c>
      <c r="C38" s="100">
        <f ca="1">ExpBase!G255</f>
        <v>2.9168895166133182</v>
      </c>
      <c r="D38" s="172" t="s">
        <v>267</v>
      </c>
      <c r="E38" s="100">
        <f ca="1">C38*Units!D501</f>
        <v>1.6089442013337572</v>
      </c>
      <c r="F38" s="103" t="s">
        <v>3059</v>
      </c>
      <c r="G38" s="100">
        <f t="shared" ca="1" si="0"/>
        <v>1.6089442013337571E-3</v>
      </c>
      <c r="J38" s="127"/>
    </row>
    <row r="39" spans="1:14" x14ac:dyDescent="0.2">
      <c r="A39" s="317" t="s">
        <v>1426</v>
      </c>
      <c r="B39" s="172" t="s">
        <v>267</v>
      </c>
      <c r="C39" s="100">
        <f ca="1">ExpBase!G256</f>
        <v>37.531416385688324</v>
      </c>
      <c r="D39" s="172" t="s">
        <v>267</v>
      </c>
      <c r="E39" s="100">
        <f ca="1">C39*Units!D502</f>
        <v>22.289845837050159</v>
      </c>
      <c r="F39" s="103" t="s">
        <v>3059</v>
      </c>
      <c r="G39" s="100">
        <f t="shared" ca="1" si="0"/>
        <v>2.2289845837050157E-2</v>
      </c>
      <c r="J39" s="127"/>
    </row>
    <row r="40" spans="1:14" x14ac:dyDescent="0.2">
      <c r="A40" s="317" t="s">
        <v>441</v>
      </c>
      <c r="B40" s="172" t="s">
        <v>267</v>
      </c>
      <c r="C40" s="100">
        <f ca="1">ExpBase!G257</f>
        <v>0</v>
      </c>
      <c r="D40" s="172" t="s">
        <v>267</v>
      </c>
      <c r="E40" s="100">
        <f ca="1">C40*Units!D503</f>
        <v>0</v>
      </c>
      <c r="F40" s="103" t="s">
        <v>3059</v>
      </c>
      <c r="G40" s="100">
        <f t="shared" ca="1" si="0"/>
        <v>0</v>
      </c>
      <c r="J40" s="127"/>
    </row>
    <row r="41" spans="1:14" x14ac:dyDescent="0.2">
      <c r="A41" s="317" t="s">
        <v>442</v>
      </c>
      <c r="B41" s="172" t="s">
        <v>267</v>
      </c>
      <c r="C41" s="100">
        <f ca="1">ExpBase!G258</f>
        <v>13.199170076282689</v>
      </c>
      <c r="D41" s="172" t="s">
        <v>267</v>
      </c>
      <c r="E41" s="100">
        <f ca="1">C41*Units!D504</f>
        <v>8.2606286645018514</v>
      </c>
      <c r="F41" s="103" t="s">
        <v>3059</v>
      </c>
      <c r="G41" s="100">
        <f t="shared" ca="1" si="0"/>
        <v>8.2606286645018519E-3</v>
      </c>
      <c r="J41" s="127"/>
    </row>
    <row r="42" spans="1:14" x14ac:dyDescent="0.2">
      <c r="A42" s="318" t="s">
        <v>1427</v>
      </c>
      <c r="B42" s="178" t="s">
        <v>267</v>
      </c>
      <c r="C42" s="168">
        <f ca="1">ExpBase!G259</f>
        <v>0</v>
      </c>
      <c r="D42" s="178" t="s">
        <v>267</v>
      </c>
      <c r="E42" s="168">
        <f ca="1">C42*Units!D505</f>
        <v>0</v>
      </c>
      <c r="F42" s="183" t="s">
        <v>3059</v>
      </c>
      <c r="G42" s="168">
        <f t="shared" ca="1" si="0"/>
        <v>0</v>
      </c>
      <c r="H42" s="183"/>
      <c r="I42" s="118"/>
      <c r="J42" s="120"/>
    </row>
    <row r="43" spans="1:14" x14ac:dyDescent="0.2">
      <c r="A43" s="317"/>
      <c r="B43" s="172"/>
      <c r="C43" s="100"/>
      <c r="D43" s="172"/>
      <c r="E43" s="100"/>
      <c r="G43" s="100"/>
    </row>
    <row r="44" spans="1:14" x14ac:dyDescent="0.2">
      <c r="A44" s="429" t="s">
        <v>2792</v>
      </c>
      <c r="B44" s="172"/>
      <c r="C44" s="100"/>
      <c r="D44" s="172"/>
      <c r="E44" s="100"/>
      <c r="G44" s="100"/>
    </row>
    <row r="45" spans="1:14" x14ac:dyDescent="0.2">
      <c r="A45" s="430" t="s">
        <v>1695</v>
      </c>
      <c r="B45" s="341"/>
      <c r="C45" s="160"/>
      <c r="D45" s="341"/>
      <c r="E45" s="160"/>
      <c r="F45" s="192"/>
      <c r="G45" s="160"/>
      <c r="H45" s="192"/>
      <c r="I45" s="110"/>
      <c r="J45" s="112"/>
    </row>
    <row r="46" spans="1:14" x14ac:dyDescent="0.2">
      <c r="A46" s="318" t="s">
        <v>585</v>
      </c>
      <c r="B46" s="178" t="s">
        <v>267</v>
      </c>
      <c r="C46" s="168">
        <f>ExpBase!C243</f>
        <v>2500</v>
      </c>
      <c r="D46" s="178" t="s">
        <v>267</v>
      </c>
      <c r="E46" s="168">
        <f>C46*Inputs!D39</f>
        <v>1250</v>
      </c>
      <c r="F46" s="183" t="s">
        <v>3059</v>
      </c>
      <c r="G46" s="168">
        <f>E46/1000</f>
        <v>1.25</v>
      </c>
      <c r="H46" s="183" t="s">
        <v>3059</v>
      </c>
      <c r="I46" s="168">
        <f>G46</f>
        <v>1.25</v>
      </c>
      <c r="J46" s="120" t="s">
        <v>3078</v>
      </c>
      <c r="K46" s="1053">
        <f>I51/I46</f>
        <v>7.0024553769699821E-2</v>
      </c>
    </row>
    <row r="47" spans="1:14" x14ac:dyDescent="0.2">
      <c r="A47" s="430" t="s">
        <v>3066</v>
      </c>
      <c r="B47" s="341"/>
      <c r="C47" s="160"/>
      <c r="D47" s="341"/>
      <c r="E47" s="160"/>
      <c r="F47" s="192"/>
      <c r="G47" s="160"/>
      <c r="H47" s="192"/>
      <c r="I47" s="110"/>
      <c r="J47" s="112"/>
    </row>
    <row r="48" spans="1:14" x14ac:dyDescent="0.2">
      <c r="A48" s="317" t="s">
        <v>1007</v>
      </c>
      <c r="B48" s="103" t="s">
        <v>391</v>
      </c>
      <c r="C48" s="623">
        <f>ExpBase!C363</f>
        <v>3354.6720293708249</v>
      </c>
      <c r="D48" s="172" t="s">
        <v>1044</v>
      </c>
      <c r="E48" s="100">
        <f>C48*Units!D495*0.72</f>
        <v>1808.6618040047722</v>
      </c>
      <c r="F48" s="103" t="s">
        <v>3059</v>
      </c>
      <c r="G48" s="100">
        <f>E48/1000000</f>
        <v>1.8086618040047723E-3</v>
      </c>
      <c r="H48" s="103" t="s">
        <v>3059</v>
      </c>
      <c r="I48" s="100">
        <f>SUM(G48:G49)</f>
        <v>2.99218785305706E-2</v>
      </c>
      <c r="J48" s="127" t="s">
        <v>3066</v>
      </c>
      <c r="K48" s="1053">
        <f>I48/I46</f>
        <v>2.3937502824456482E-2</v>
      </c>
    </row>
    <row r="49" spans="1:12" x14ac:dyDescent="0.2">
      <c r="A49" s="318" t="s">
        <v>1008</v>
      </c>
      <c r="B49" s="183" t="s">
        <v>391</v>
      </c>
      <c r="C49" s="1084">
        <f>ExpBase!C364</f>
        <v>52556.528460142923</v>
      </c>
      <c r="D49" s="178" t="s">
        <v>1044</v>
      </c>
      <c r="E49" s="168">
        <f>C49*Units!D496*1.96</f>
        <v>28113.216726565828</v>
      </c>
      <c r="F49" s="183" t="s">
        <v>3059</v>
      </c>
      <c r="G49" s="168">
        <f>E49/1000000</f>
        <v>2.8113216726565828E-2</v>
      </c>
      <c r="H49" s="183" t="s">
        <v>3059</v>
      </c>
      <c r="I49" s="118"/>
      <c r="J49" s="120"/>
    </row>
    <row r="50" spans="1:12" x14ac:dyDescent="0.2">
      <c r="A50" s="430" t="s">
        <v>3067</v>
      </c>
      <c r="B50" s="341"/>
      <c r="C50" s="160"/>
      <c r="D50" s="341"/>
      <c r="E50" s="160"/>
      <c r="F50" s="192"/>
      <c r="G50" s="160"/>
      <c r="H50" s="192"/>
      <c r="I50" s="110"/>
      <c r="J50" s="112"/>
    </row>
    <row r="51" spans="1:12" x14ac:dyDescent="0.2">
      <c r="A51" s="317" t="s">
        <v>1425</v>
      </c>
      <c r="B51" s="172" t="s">
        <v>267</v>
      </c>
      <c r="C51" s="623">
        <f>ExpBase!C251</f>
        <v>0</v>
      </c>
      <c r="D51" s="172" t="s">
        <v>267</v>
      </c>
      <c r="E51" s="100">
        <f>C51*Units!D494</f>
        <v>0</v>
      </c>
      <c r="F51" s="103" t="s">
        <v>3059</v>
      </c>
      <c r="G51" s="100">
        <f>E51/1000</f>
        <v>0</v>
      </c>
      <c r="H51" s="103" t="s">
        <v>3059</v>
      </c>
      <c r="I51" s="100">
        <f>SUM(G51:G59)</f>
        <v>8.7530692212124769E-2</v>
      </c>
      <c r="J51" s="127" t="s">
        <v>3082</v>
      </c>
    </row>
    <row r="52" spans="1:12" x14ac:dyDescent="0.2">
      <c r="A52" s="317" t="s">
        <v>891</v>
      </c>
      <c r="B52" s="172" t="s">
        <v>267</v>
      </c>
      <c r="C52" s="623">
        <f>ExpBase!C252</f>
        <v>22.410997000234151</v>
      </c>
      <c r="D52" s="172" t="s">
        <v>267</v>
      </c>
      <c r="E52" s="100">
        <f>C52*Units!D498</f>
        <v>9.1185123634760288</v>
      </c>
      <c r="F52" s="103" t="s">
        <v>3059</v>
      </c>
      <c r="G52" s="100">
        <f t="shared" ref="G52:G59" si="1">E52/1000</f>
        <v>9.1185123634760293E-3</v>
      </c>
      <c r="J52" s="127"/>
    </row>
    <row r="53" spans="1:12" x14ac:dyDescent="0.2">
      <c r="A53" s="317" t="s">
        <v>892</v>
      </c>
      <c r="B53" s="172" t="s">
        <v>267</v>
      </c>
      <c r="C53" s="623">
        <f>ExpBase!C253</f>
        <v>19.026614704732602</v>
      </c>
      <c r="D53" s="172" t="s">
        <v>267</v>
      </c>
      <c r="E53" s="100">
        <f>C53*Units!D499</f>
        <v>9.382592139806075</v>
      </c>
      <c r="F53" s="103" t="s">
        <v>3059</v>
      </c>
      <c r="G53" s="100">
        <f t="shared" si="1"/>
        <v>9.3825921398060751E-3</v>
      </c>
      <c r="J53" s="127"/>
    </row>
    <row r="54" spans="1:12" x14ac:dyDescent="0.2">
      <c r="A54" s="317" t="s">
        <v>439</v>
      </c>
      <c r="B54" s="172" t="s">
        <v>267</v>
      </c>
      <c r="C54" s="623">
        <f>ExpBase!C254</f>
        <v>57.798417636268617</v>
      </c>
      <c r="D54" s="172" t="s">
        <v>267</v>
      </c>
      <c r="E54" s="100">
        <f>C54*Units!D500</f>
        <v>31.881368276887361</v>
      </c>
      <c r="F54" s="103" t="s">
        <v>3059</v>
      </c>
      <c r="G54" s="100">
        <f t="shared" si="1"/>
        <v>3.188136827688736E-2</v>
      </c>
      <c r="J54" s="127"/>
    </row>
    <row r="55" spans="1:12" x14ac:dyDescent="0.2">
      <c r="A55" s="317" t="s">
        <v>440</v>
      </c>
      <c r="B55" s="172" t="s">
        <v>267</v>
      </c>
      <c r="C55" s="623">
        <f>ExpBase!C255</f>
        <v>0</v>
      </c>
      <c r="D55" s="172" t="s">
        <v>267</v>
      </c>
      <c r="E55" s="100">
        <f>C55*Units!D501</f>
        <v>0</v>
      </c>
      <c r="F55" s="103" t="s">
        <v>3059</v>
      </c>
      <c r="G55" s="100">
        <f t="shared" si="1"/>
        <v>0</v>
      </c>
      <c r="J55" s="127"/>
    </row>
    <row r="56" spans="1:12" x14ac:dyDescent="0.2">
      <c r="A56" s="317" t="s">
        <v>1426</v>
      </c>
      <c r="B56" s="172" t="s">
        <v>267</v>
      </c>
      <c r="C56" s="623">
        <f>ExpBase!C256</f>
        <v>36.16101926412297</v>
      </c>
      <c r="D56" s="172" t="s">
        <v>267</v>
      </c>
      <c r="E56" s="100">
        <f>C56*Units!D502</f>
        <v>21.475969263319865</v>
      </c>
      <c r="F56" s="103" t="s">
        <v>3059</v>
      </c>
      <c r="G56" s="100">
        <f t="shared" si="1"/>
        <v>2.1475969263319863E-2</v>
      </c>
      <c r="J56" s="127"/>
    </row>
    <row r="57" spans="1:12" x14ac:dyDescent="0.2">
      <c r="A57" s="317" t="s">
        <v>441</v>
      </c>
      <c r="B57" s="172" t="s">
        <v>267</v>
      </c>
      <c r="C57" s="623">
        <f>ExpBase!C257</f>
        <v>3.4198477317913003</v>
      </c>
      <c r="D57" s="172" t="s">
        <v>267</v>
      </c>
      <c r="E57" s="100">
        <f>C57*Units!D503</f>
        <v>2.0310418862018049</v>
      </c>
      <c r="F57" s="103" t="s">
        <v>3059</v>
      </c>
      <c r="G57" s="100">
        <f t="shared" si="1"/>
        <v>2.031041886201805E-3</v>
      </c>
      <c r="J57" s="127"/>
    </row>
    <row r="58" spans="1:12" x14ac:dyDescent="0.2">
      <c r="A58" s="317" t="s">
        <v>442</v>
      </c>
      <c r="B58" s="172" t="s">
        <v>267</v>
      </c>
      <c r="C58" s="623">
        <f>ExpBase!C258</f>
        <v>21.79648008384304</v>
      </c>
      <c r="D58" s="172" t="s">
        <v>267</v>
      </c>
      <c r="E58" s="100">
        <f>C58*Units!D504</f>
        <v>13.641208282433631</v>
      </c>
      <c r="F58" s="103" t="s">
        <v>3059</v>
      </c>
      <c r="G58" s="100">
        <f t="shared" si="1"/>
        <v>1.364120828243363E-2</v>
      </c>
      <c r="J58" s="127"/>
    </row>
    <row r="59" spans="1:12" x14ac:dyDescent="0.2">
      <c r="A59" s="318" t="s">
        <v>1427</v>
      </c>
      <c r="B59" s="178" t="s">
        <v>267</v>
      </c>
      <c r="C59" s="1084">
        <f>ExpBase!C259</f>
        <v>0</v>
      </c>
      <c r="D59" s="178" t="s">
        <v>267</v>
      </c>
      <c r="E59" s="168">
        <f>C59*Units!D505</f>
        <v>0</v>
      </c>
      <c r="F59" s="183" t="s">
        <v>3059</v>
      </c>
      <c r="G59" s="168">
        <f t="shared" si="1"/>
        <v>0</v>
      </c>
      <c r="H59" s="183"/>
      <c r="I59" s="118"/>
      <c r="J59" s="120"/>
    </row>
    <row r="60" spans="1:12" x14ac:dyDescent="0.2">
      <c r="A60" s="76"/>
      <c r="B60" s="172"/>
      <c r="C60" s="100"/>
      <c r="D60" s="172"/>
      <c r="E60" s="100"/>
      <c r="G60" s="100"/>
    </row>
    <row r="61" spans="1:12" ht="16" thickBot="1" x14ac:dyDescent="0.25"/>
    <row r="62" spans="1:12" ht="16" thickBot="1" x14ac:dyDescent="0.25">
      <c r="A62" s="503" t="s">
        <v>1608</v>
      </c>
      <c r="B62" s="504"/>
      <c r="C62" s="504"/>
      <c r="D62" s="504"/>
      <c r="E62" s="504"/>
      <c r="F62" s="504"/>
      <c r="G62" s="504"/>
      <c r="H62" s="504"/>
      <c r="I62" s="978"/>
      <c r="J62" s="979"/>
      <c r="K62" s="979"/>
      <c r="L62" s="980"/>
    </row>
    <row r="63" spans="1:12" x14ac:dyDescent="0.2">
      <c r="A63" s="266" t="s">
        <v>580</v>
      </c>
      <c r="B63" s="977" t="s">
        <v>372</v>
      </c>
      <c r="C63" s="977" t="s">
        <v>42</v>
      </c>
      <c r="D63" s="977" t="s">
        <v>372</v>
      </c>
      <c r="E63" s="977" t="s">
        <v>3025</v>
      </c>
      <c r="F63" s="977" t="s">
        <v>372</v>
      </c>
      <c r="G63" s="977" t="s">
        <v>3024</v>
      </c>
      <c r="H63" s="977" t="s">
        <v>372</v>
      </c>
      <c r="I63" s="977" t="s">
        <v>3060</v>
      </c>
      <c r="J63" s="977" t="s">
        <v>3063</v>
      </c>
    </row>
    <row r="64" spans="1:12" x14ac:dyDescent="0.2">
      <c r="A64" s="6" t="s">
        <v>1641</v>
      </c>
    </row>
    <row r="65" spans="1:10" x14ac:dyDescent="0.2">
      <c r="A65" s="188" t="s">
        <v>1695</v>
      </c>
      <c r="B65" s="192"/>
      <c r="C65" s="110"/>
      <c r="D65" s="192"/>
      <c r="E65" s="110"/>
      <c r="F65" s="192"/>
      <c r="G65" s="110"/>
      <c r="H65" s="192"/>
      <c r="I65" s="110"/>
      <c r="J65" s="112"/>
    </row>
    <row r="66" spans="1:10" x14ac:dyDescent="0.2">
      <c r="A66" s="117" t="s">
        <v>3079</v>
      </c>
      <c r="B66" s="183"/>
      <c r="C66" s="118"/>
      <c r="D66" s="183"/>
      <c r="E66" s="118"/>
      <c r="F66" s="183"/>
      <c r="G66" s="118"/>
      <c r="H66" s="183" t="str">
        <f>H29</f>
        <v>MT/hr</v>
      </c>
      <c r="I66" s="118">
        <f ca="1">SUM(I28:I29)-(I31*2)</f>
        <v>1.5633371319054254</v>
      </c>
      <c r="J66" s="120" t="s">
        <v>3080</v>
      </c>
    </row>
    <row r="67" spans="1:10" x14ac:dyDescent="0.2">
      <c r="A67" s="188" t="s">
        <v>1696</v>
      </c>
      <c r="B67" s="192"/>
      <c r="C67" s="110"/>
      <c r="D67" s="192"/>
      <c r="E67" s="110"/>
      <c r="F67" s="192"/>
      <c r="G67" s="110"/>
      <c r="H67" s="192"/>
      <c r="I67" s="110"/>
      <c r="J67" s="112"/>
    </row>
    <row r="68" spans="1:10" x14ac:dyDescent="0.2">
      <c r="A68" s="126" t="s">
        <v>3081</v>
      </c>
      <c r="H68" s="103" t="s">
        <v>3059</v>
      </c>
      <c r="I68" s="100">
        <f ca="1">I34</f>
        <v>9.2794334946137133E-2</v>
      </c>
      <c r="J68" s="127" t="s">
        <v>3083</v>
      </c>
    </row>
    <row r="69" spans="1:10" x14ac:dyDescent="0.2">
      <c r="A69" s="126" t="s">
        <v>3085</v>
      </c>
      <c r="H69" s="103" t="s">
        <v>3059</v>
      </c>
      <c r="I69" s="100">
        <f ca="1">I66-I68-I29</f>
        <v>1.1752082039479284</v>
      </c>
      <c r="J69" s="127" t="s">
        <v>3086</v>
      </c>
    </row>
    <row r="70" spans="1:10" x14ac:dyDescent="0.2">
      <c r="A70" s="117"/>
      <c r="B70" s="183"/>
      <c r="C70" s="118"/>
      <c r="D70" s="183"/>
      <c r="E70" s="118"/>
      <c r="F70" s="183"/>
      <c r="G70" s="118"/>
      <c r="H70" s="183" t="s">
        <v>3059</v>
      </c>
      <c r="I70" s="118">
        <f ca="1">I29</f>
        <v>0.29533459301136</v>
      </c>
      <c r="J70" s="120" t="s">
        <v>3087</v>
      </c>
    </row>
    <row r="71" spans="1:10" x14ac:dyDescent="0.2">
      <c r="A71" s="188" t="s">
        <v>1561</v>
      </c>
      <c r="B71" s="192"/>
      <c r="C71" s="110"/>
      <c r="D71" s="192"/>
      <c r="E71" s="110"/>
      <c r="F71" s="192"/>
      <c r="G71" s="110"/>
      <c r="H71" s="192"/>
      <c r="I71" s="110"/>
      <c r="J71" s="112"/>
    </row>
    <row r="72" spans="1:10" x14ac:dyDescent="0.2">
      <c r="A72" s="126" t="s">
        <v>3084</v>
      </c>
      <c r="H72" s="103" t="s">
        <v>3059</v>
      </c>
      <c r="I72" s="100">
        <f ca="1">SUM(G73:G81)</f>
        <v>9.0185342097208201E-2</v>
      </c>
      <c r="J72" s="127" t="s">
        <v>3088</v>
      </c>
    </row>
    <row r="73" spans="1:10" x14ac:dyDescent="0.2">
      <c r="A73" s="375" t="s">
        <v>1425</v>
      </c>
      <c r="B73" s="172" t="s">
        <v>267</v>
      </c>
      <c r="C73" s="100">
        <f ca="1">C34</f>
        <v>0.99389647423751326</v>
      </c>
      <c r="D73" s="103" t="s">
        <v>267</v>
      </c>
      <c r="E73" s="100">
        <f ca="1">C73*Units!D494</f>
        <v>0.39756962318161987</v>
      </c>
      <c r="F73" s="103" t="s">
        <v>3059</v>
      </c>
      <c r="G73" s="100">
        <f ca="1">E73/1000</f>
        <v>3.9756962318161987E-4</v>
      </c>
      <c r="H73" s="103" t="s">
        <v>3059</v>
      </c>
      <c r="I73" s="100">
        <f ca="1">I68-I72</f>
        <v>2.6089928489289316E-3</v>
      </c>
      <c r="J73" s="127" t="s">
        <v>3089</v>
      </c>
    </row>
    <row r="74" spans="1:10" x14ac:dyDescent="0.2">
      <c r="A74" s="375" t="s">
        <v>891</v>
      </c>
      <c r="B74" s="172" t="s">
        <v>267</v>
      </c>
      <c r="C74" s="100">
        <f ca="1">C35-ExpBase!G585</f>
        <v>59.192264424631865</v>
      </c>
      <c r="D74" s="103" t="s">
        <v>267</v>
      </c>
      <c r="E74" s="100">
        <f ca="1">C74*Units!D498</f>
        <v>24.083952845672538</v>
      </c>
      <c r="F74" s="103" t="s">
        <v>3059</v>
      </c>
      <c r="G74" s="100">
        <f t="shared" ref="G74:G81" ca="1" si="2">E74/1000</f>
        <v>2.4083952845672538E-2</v>
      </c>
      <c r="J74" s="127"/>
    </row>
    <row r="75" spans="1:10" x14ac:dyDescent="0.2">
      <c r="A75" s="375" t="s">
        <v>892</v>
      </c>
      <c r="B75" s="172" t="s">
        <v>267</v>
      </c>
      <c r="C75" s="100">
        <f ca="1">C36-ExpBase!G586</f>
        <v>-8.7641156410698397E-8</v>
      </c>
      <c r="D75" s="103" t="s">
        <v>267</v>
      </c>
      <c r="E75" s="100">
        <f ca="1">C75*Units!D499</f>
        <v>-4.3218472546143368E-8</v>
      </c>
      <c r="F75" s="103" t="s">
        <v>3059</v>
      </c>
      <c r="G75" s="100">
        <f t="shared" ca="1" si="2"/>
        <v>-4.3218472546143366E-11</v>
      </c>
      <c r="J75" s="127"/>
    </row>
    <row r="76" spans="1:10" x14ac:dyDescent="0.2">
      <c r="A76" s="375" t="s">
        <v>439</v>
      </c>
      <c r="B76" s="172" t="s">
        <v>267</v>
      </c>
      <c r="C76" s="100">
        <f ca="1">C37-ExpBase!G587</f>
        <v>62.126038793377823</v>
      </c>
      <c r="D76" s="103" t="s">
        <v>267</v>
      </c>
      <c r="E76" s="100">
        <f ca="1">C76*Units!D500</f>
        <v>34.268466220310493</v>
      </c>
      <c r="F76" s="103" t="s">
        <v>3059</v>
      </c>
      <c r="G76" s="100">
        <f t="shared" ca="1" si="2"/>
        <v>3.4268466220310496E-2</v>
      </c>
      <c r="J76" s="127"/>
    </row>
    <row r="77" spans="1:10" x14ac:dyDescent="0.2">
      <c r="A77" s="375" t="s">
        <v>440</v>
      </c>
      <c r="B77" s="172" t="s">
        <v>267</v>
      </c>
      <c r="C77" s="100">
        <f ca="1">C38-ExpBase!G588</f>
        <v>2.848970571454934</v>
      </c>
      <c r="D77" s="103" t="s">
        <v>267</v>
      </c>
      <c r="E77" s="100">
        <f ca="1">C77*Units!D501</f>
        <v>1.5714803919056353</v>
      </c>
      <c r="F77" s="103" t="s">
        <v>3059</v>
      </c>
      <c r="G77" s="100">
        <f t="shared" ca="1" si="2"/>
        <v>1.5714803919056352E-3</v>
      </c>
      <c r="J77" s="127"/>
    </row>
    <row r="78" spans="1:10" x14ac:dyDescent="0.2">
      <c r="A78" s="375" t="s">
        <v>1426</v>
      </c>
      <c r="B78" s="172" t="s">
        <v>267</v>
      </c>
      <c r="C78" s="100">
        <f ca="1">C39-ExpBase!G589</f>
        <v>36.682742208962402</v>
      </c>
      <c r="D78" s="103" t="s">
        <v>267</v>
      </c>
      <c r="E78" s="100">
        <f ca="1">C78*Units!D502</f>
        <v>21.785819653473467</v>
      </c>
      <c r="F78" s="103" t="s">
        <v>3059</v>
      </c>
      <c r="G78" s="100">
        <f t="shared" ca="1" si="2"/>
        <v>2.1785819653473468E-2</v>
      </c>
      <c r="J78" s="127"/>
    </row>
    <row r="79" spans="1:10" x14ac:dyDescent="0.2">
      <c r="A79" s="375" t="s">
        <v>441</v>
      </c>
      <c r="B79" s="172" t="s">
        <v>267</v>
      </c>
      <c r="C79" s="100">
        <f ca="1">C40-ExpBase!G590</f>
        <v>-1.556405524955077E-8</v>
      </c>
      <c r="D79" s="103" t="s">
        <v>267</v>
      </c>
      <c r="E79" s="100">
        <f ca="1">C79*Units!D503</f>
        <v>-9.2434665547050177E-9</v>
      </c>
      <c r="F79" s="103" t="s">
        <v>3059</v>
      </c>
      <c r="G79" s="100">
        <f t="shared" ca="1" si="2"/>
        <v>-9.2434665547050175E-12</v>
      </c>
      <c r="J79" s="127"/>
    </row>
    <row r="80" spans="1:10" x14ac:dyDescent="0.2">
      <c r="A80" s="375" t="s">
        <v>442</v>
      </c>
      <c r="B80" s="172" t="s">
        <v>267</v>
      </c>
      <c r="C80" s="100">
        <f ca="1">C41-ExpBase!G591</f>
        <v>12.907443903539873</v>
      </c>
      <c r="D80" s="103" t="s">
        <v>267</v>
      </c>
      <c r="E80" s="100">
        <f ca="1">C80*Units!D504</f>
        <v>8.0780534290273938</v>
      </c>
      <c r="F80" s="103" t="s">
        <v>3059</v>
      </c>
      <c r="G80" s="100">
        <f t="shared" ca="1" si="2"/>
        <v>8.0780534290273934E-3</v>
      </c>
      <c r="J80" s="127"/>
    </row>
    <row r="81" spans="1:15" x14ac:dyDescent="0.2">
      <c r="A81" s="376" t="s">
        <v>1427</v>
      </c>
      <c r="B81" s="178" t="s">
        <v>267</v>
      </c>
      <c r="C81" s="168">
        <f ca="1">C42-ExpBase!G592</f>
        <v>-2.1356535583992227E-8</v>
      </c>
      <c r="D81" s="183" t="s">
        <v>267</v>
      </c>
      <c r="E81" s="168">
        <f ca="1">C81*Units!D505</f>
        <v>-1.3901009849774056E-8</v>
      </c>
      <c r="F81" s="183" t="s">
        <v>3059</v>
      </c>
      <c r="G81" s="168">
        <f t="shared" ca="1" si="2"/>
        <v>-1.3901009849774057E-11</v>
      </c>
      <c r="H81" s="183"/>
      <c r="I81" s="118"/>
      <c r="J81" s="120"/>
    </row>
    <row r="83" spans="1:15" ht="16" thickBot="1" x14ac:dyDescent="0.25"/>
    <row r="84" spans="1:15" ht="16" thickBot="1" x14ac:dyDescent="0.25">
      <c r="A84" s="1087" t="s">
        <v>317</v>
      </c>
      <c r="B84" s="579"/>
      <c r="C84" s="579"/>
      <c r="D84" s="579"/>
      <c r="E84" s="579"/>
      <c r="F84" s="579"/>
      <c r="G84" s="580"/>
      <c r="H84" s="580"/>
      <c r="I84" s="580"/>
      <c r="J84" s="580"/>
      <c r="K84" s="580"/>
      <c r="L84" s="580"/>
      <c r="M84" s="580"/>
      <c r="N84" s="580"/>
      <c r="O84" s="581"/>
    </row>
    <row r="85" spans="1:15" x14ac:dyDescent="0.2">
      <c r="A85" s="29" t="s">
        <v>580</v>
      </c>
      <c r="B85" s="1086" t="s">
        <v>372</v>
      </c>
      <c r="C85" s="977" t="s">
        <v>42</v>
      </c>
      <c r="D85" s="977" t="s">
        <v>372</v>
      </c>
      <c r="E85" s="977" t="s">
        <v>3025</v>
      </c>
      <c r="F85" s="977" t="s">
        <v>372</v>
      </c>
      <c r="G85" s="977" t="s">
        <v>3024</v>
      </c>
      <c r="H85" s="977" t="s">
        <v>372</v>
      </c>
      <c r="I85" s="977" t="s">
        <v>3060</v>
      </c>
      <c r="J85" s="977" t="s">
        <v>3063</v>
      </c>
      <c r="K85" s="985"/>
      <c r="L85" s="985"/>
      <c r="M85" s="985"/>
      <c r="N85" s="985"/>
      <c r="O85" s="985"/>
    </row>
    <row r="86" spans="1:15" x14ac:dyDescent="0.2">
      <c r="A86" s="993" t="s">
        <v>1695</v>
      </c>
      <c r="B86" s="192"/>
      <c r="C86" s="110"/>
      <c r="D86" s="192"/>
      <c r="E86" s="110"/>
      <c r="F86" s="192"/>
      <c r="G86" s="110"/>
      <c r="H86" s="192"/>
      <c r="I86" s="110"/>
      <c r="J86" s="112"/>
    </row>
    <row r="87" spans="1:15" x14ac:dyDescent="0.2">
      <c r="A87" s="260" t="s">
        <v>585</v>
      </c>
      <c r="H87" s="103" t="s">
        <v>3059</v>
      </c>
      <c r="I87" s="100">
        <f>I51</f>
        <v>8.7530692212124769E-2</v>
      </c>
      <c r="J87" s="127" t="s">
        <v>3122</v>
      </c>
      <c r="K87" s="100"/>
    </row>
    <row r="88" spans="1:15" x14ac:dyDescent="0.2">
      <c r="A88" s="260" t="s">
        <v>3092</v>
      </c>
      <c r="H88" s="103" t="s">
        <v>3059</v>
      </c>
      <c r="I88" s="100">
        <f ca="1">I72</f>
        <v>9.0185342097208201E-2</v>
      </c>
      <c r="J88" s="268" t="s">
        <v>3123</v>
      </c>
    </row>
    <row r="89" spans="1:15" x14ac:dyDescent="0.2">
      <c r="A89" s="260" t="s">
        <v>3094</v>
      </c>
      <c r="H89" s="103" t="s">
        <v>3059</v>
      </c>
      <c r="I89" s="1085">
        <f ca="1">I20</f>
        <v>0.83965558752981495</v>
      </c>
      <c r="J89" s="127" t="s">
        <v>3076</v>
      </c>
    </row>
    <row r="90" spans="1:15" x14ac:dyDescent="0.2">
      <c r="A90" s="260" t="s">
        <v>3064</v>
      </c>
      <c r="H90" s="103" t="s">
        <v>3059</v>
      </c>
      <c r="I90" s="100">
        <f ca="1">(SUM(I87:I89)-I104)*0.1</f>
        <v>1.1633358572921316E-2</v>
      </c>
      <c r="J90" s="127" t="s">
        <v>3087</v>
      </c>
    </row>
    <row r="91" spans="1:15" x14ac:dyDescent="0.2">
      <c r="A91" s="21" t="s">
        <v>3102</v>
      </c>
      <c r="B91" s="183"/>
      <c r="C91" s="118"/>
      <c r="D91" s="183"/>
      <c r="E91" s="118"/>
      <c r="F91" s="183"/>
      <c r="G91" s="118"/>
      <c r="H91" s="183" t="s">
        <v>3059</v>
      </c>
      <c r="I91" s="168">
        <f ca="1">(I123-I127)*0.1</f>
        <v>3.9721944066833381E-3</v>
      </c>
      <c r="J91" s="318" t="s">
        <v>3103</v>
      </c>
    </row>
    <row r="92" spans="1:15" x14ac:dyDescent="0.2">
      <c r="A92" s="993" t="s">
        <v>1696</v>
      </c>
      <c r="B92" s="192"/>
      <c r="C92" s="110"/>
      <c r="D92" s="192"/>
      <c r="E92" s="110"/>
      <c r="F92" s="192"/>
      <c r="G92" s="110"/>
      <c r="H92" s="192"/>
      <c r="I92" s="110"/>
      <c r="J92" s="112"/>
    </row>
    <row r="93" spans="1:15" x14ac:dyDescent="0.2">
      <c r="A93" s="971" t="s">
        <v>3093</v>
      </c>
      <c r="J93" s="127"/>
    </row>
    <row r="94" spans="1:15" x14ac:dyDescent="0.2">
      <c r="A94" s="317" t="s">
        <v>1553</v>
      </c>
      <c r="B94" s="103" t="s">
        <v>267</v>
      </c>
      <c r="C94" s="100">
        <f ca="1">Inputs!F$13*ExpBase!E681/1000</f>
        <v>44.833253924690908</v>
      </c>
      <c r="D94" s="103" t="s">
        <v>267</v>
      </c>
      <c r="E94" s="100">
        <f ca="1">C94*Units!D498</f>
        <v>18.241606127691817</v>
      </c>
      <c r="F94" s="103" t="s">
        <v>3059</v>
      </c>
      <c r="G94" s="100">
        <f ca="1">E94/1000</f>
        <v>1.8241606127691816E-2</v>
      </c>
      <c r="H94" s="103" t="s">
        <v>3059</v>
      </c>
      <c r="I94" s="100">
        <f ca="1">SUM(G94:G101)</f>
        <v>0.86745181260874227</v>
      </c>
      <c r="J94" s="127" t="s">
        <v>3077</v>
      </c>
    </row>
    <row r="95" spans="1:15" x14ac:dyDescent="0.2">
      <c r="A95" s="317" t="s">
        <v>1554</v>
      </c>
      <c r="B95" s="103" t="s">
        <v>267</v>
      </c>
      <c r="C95" s="100">
        <f ca="1">Inputs!F$13*ExpBase!E682/1000</f>
        <v>143.84120849754359</v>
      </c>
      <c r="D95" s="103" t="s">
        <v>267</v>
      </c>
      <c r="E95" s="100">
        <f ca="1">C95*Units!D499</f>
        <v>70.932397232680842</v>
      </c>
      <c r="F95" s="103" t="s">
        <v>3059</v>
      </c>
      <c r="G95" s="100">
        <f t="shared" ref="G95:G101" ca="1" si="3">E95/1000</f>
        <v>7.0932397232680841E-2</v>
      </c>
      <c r="J95" s="127"/>
    </row>
    <row r="96" spans="1:15" x14ac:dyDescent="0.2">
      <c r="A96" s="317" t="s">
        <v>1555</v>
      </c>
      <c r="B96" s="103" t="s">
        <v>267</v>
      </c>
      <c r="C96" s="100">
        <f ca="1">Inputs!F$13*ExpBase!E683/1000</f>
        <v>198.49180885855793</v>
      </c>
      <c r="D96" s="103" t="s">
        <v>267</v>
      </c>
      <c r="E96" s="100">
        <f ca="1">C96*Units!D500</f>
        <v>109.48726136395587</v>
      </c>
      <c r="F96" s="103" t="s">
        <v>3059</v>
      </c>
      <c r="G96" s="100">
        <f t="shared" ca="1" si="3"/>
        <v>0.10948726136395587</v>
      </c>
      <c r="J96" s="127"/>
    </row>
    <row r="97" spans="1:15" x14ac:dyDescent="0.2">
      <c r="A97" s="317" t="s">
        <v>1556</v>
      </c>
      <c r="B97" s="103" t="s">
        <v>267</v>
      </c>
      <c r="C97" s="100">
        <f>Inputs!F$13*ExpBase!E684/1000</f>
        <v>0</v>
      </c>
      <c r="D97" s="103" t="s">
        <v>267</v>
      </c>
      <c r="E97" s="100">
        <f>C97*Units!D501</f>
        <v>0</v>
      </c>
      <c r="F97" s="103" t="s">
        <v>3059</v>
      </c>
      <c r="G97" s="100">
        <f t="shared" si="3"/>
        <v>0</v>
      </c>
      <c r="J97" s="268"/>
    </row>
    <row r="98" spans="1:15" x14ac:dyDescent="0.2">
      <c r="A98" s="317" t="s">
        <v>1557</v>
      </c>
      <c r="B98" s="103" t="s">
        <v>267</v>
      </c>
      <c r="C98" s="100">
        <f ca="1">Inputs!F$13*ExpBase!E685/1000</f>
        <v>313.8984033504201</v>
      </c>
      <c r="D98" s="103" t="s">
        <v>267</v>
      </c>
      <c r="E98" s="100">
        <f ca="1">C98*Units!D502</f>
        <v>186.42374024139119</v>
      </c>
      <c r="F98" s="103" t="s">
        <v>3059</v>
      </c>
      <c r="G98" s="100">
        <f t="shared" ca="1" si="3"/>
        <v>0.18642374024139119</v>
      </c>
      <c r="J98" s="127"/>
    </row>
    <row r="99" spans="1:15" x14ac:dyDescent="0.2">
      <c r="A99" s="317" t="s">
        <v>1558</v>
      </c>
      <c r="B99" s="103" t="s">
        <v>267</v>
      </c>
      <c r="C99" s="100">
        <f>Inputs!F$13*ExpBase!E686/1000</f>
        <v>27.358781854330406</v>
      </c>
      <c r="D99" s="103" t="s">
        <v>267</v>
      </c>
      <c r="E99" s="100">
        <f>C99*Units!D503</f>
        <v>16.248335089614443</v>
      </c>
      <c r="F99" s="103" t="s">
        <v>3059</v>
      </c>
      <c r="G99" s="100">
        <f t="shared" si="3"/>
        <v>1.6248335089614444E-2</v>
      </c>
      <c r="J99" s="127"/>
    </row>
    <row r="100" spans="1:15" x14ac:dyDescent="0.2">
      <c r="A100" s="317" t="s">
        <v>1559</v>
      </c>
      <c r="B100" s="103" t="s">
        <v>267</v>
      </c>
      <c r="C100" s="100">
        <f ca="1">Inputs!F$13*ExpBase!E687/1000</f>
        <v>708.52004400883993</v>
      </c>
      <c r="D100" s="103" t="s">
        <v>267</v>
      </c>
      <c r="E100" s="100">
        <f ca="1">C100*Units!D504</f>
        <v>443.42340852402134</v>
      </c>
      <c r="F100" s="103" t="s">
        <v>3059</v>
      </c>
      <c r="G100" s="100">
        <f t="shared" ca="1" si="3"/>
        <v>0.44342340852402135</v>
      </c>
      <c r="J100" s="127"/>
    </row>
    <row r="101" spans="1:15" x14ac:dyDescent="0.2">
      <c r="A101" s="317" t="s">
        <v>1560</v>
      </c>
      <c r="B101" s="103" t="s">
        <v>267</v>
      </c>
      <c r="C101" s="100">
        <f ca="1">Inputs!F$13*ExpBase!E688/1000</f>
        <v>34.86710302075344</v>
      </c>
      <c r="D101" s="103" t="s">
        <v>267</v>
      </c>
      <c r="E101" s="100">
        <f ca="1">C101*Units!D505</f>
        <v>22.695064029386756</v>
      </c>
      <c r="F101" s="103" t="s">
        <v>3059</v>
      </c>
      <c r="G101" s="100">
        <f t="shared" ca="1" si="3"/>
        <v>2.2695064029386758E-2</v>
      </c>
      <c r="J101" s="127"/>
    </row>
    <row r="102" spans="1:15" x14ac:dyDescent="0.2">
      <c r="A102" s="317" t="s">
        <v>1431</v>
      </c>
      <c r="H102" s="103" t="s">
        <v>3059</v>
      </c>
      <c r="I102" s="100">
        <f ca="1">I89*0.04</f>
        <v>3.35862235011926E-2</v>
      </c>
      <c r="J102" s="127" t="s">
        <v>3095</v>
      </c>
    </row>
    <row r="103" spans="1:15" x14ac:dyDescent="0.2">
      <c r="A103" s="260"/>
      <c r="H103" s="103" t="s">
        <v>3059</v>
      </c>
      <c r="I103" s="100">
        <f ca="1">SUM(I87:I89)-SUM(I94,I102)-I90</f>
        <v>0.10470022715629183</v>
      </c>
      <c r="J103" s="127" t="s">
        <v>3086</v>
      </c>
    </row>
    <row r="104" spans="1:15" x14ac:dyDescent="0.2">
      <c r="A104" s="21"/>
      <c r="B104" s="183"/>
      <c r="C104" s="118"/>
      <c r="D104" s="183"/>
      <c r="E104" s="118"/>
      <c r="F104" s="183"/>
      <c r="G104" s="118"/>
      <c r="H104" s="183" t="s">
        <v>3059</v>
      </c>
      <c r="I104" s="168">
        <f ca="1">SUM(I94,I102)</f>
        <v>0.90103803610993483</v>
      </c>
      <c r="J104" s="120" t="s">
        <v>3096</v>
      </c>
    </row>
    <row r="105" spans="1:15" x14ac:dyDescent="0.2">
      <c r="A105" s="76"/>
      <c r="C105" s="100"/>
      <c r="E105" s="100"/>
    </row>
    <row r="106" spans="1:15" ht="16" thickBot="1" x14ac:dyDescent="0.25">
      <c r="A106" s="76"/>
      <c r="C106" s="100"/>
    </row>
    <row r="107" spans="1:15" ht="16" thickBot="1" x14ac:dyDescent="0.25">
      <c r="A107" s="1088" t="s">
        <v>286</v>
      </c>
      <c r="B107" s="609"/>
      <c r="C107" s="610"/>
      <c r="D107" s="609"/>
      <c r="E107" s="609"/>
      <c r="F107" s="609"/>
      <c r="G107" s="609"/>
      <c r="H107" s="609"/>
      <c r="I107" s="609"/>
      <c r="J107" s="609"/>
      <c r="K107" s="609"/>
      <c r="L107" s="609"/>
      <c r="M107" s="609"/>
      <c r="N107" s="609"/>
      <c r="O107" s="611"/>
    </row>
    <row r="108" spans="1:15" x14ac:dyDescent="0.2">
      <c r="A108" s="29" t="s">
        <v>580</v>
      </c>
      <c r="B108" s="1086" t="s">
        <v>372</v>
      </c>
      <c r="C108" s="977" t="s">
        <v>42</v>
      </c>
      <c r="D108" s="977" t="s">
        <v>372</v>
      </c>
      <c r="E108" s="977" t="s">
        <v>3025</v>
      </c>
      <c r="F108" s="977" t="s">
        <v>372</v>
      </c>
      <c r="G108" s="977" t="s">
        <v>3024</v>
      </c>
      <c r="H108" s="977" t="s">
        <v>372</v>
      </c>
      <c r="I108" s="977" t="s">
        <v>3060</v>
      </c>
      <c r="J108" s="977" t="s">
        <v>3063</v>
      </c>
    </row>
    <row r="109" spans="1:15" x14ac:dyDescent="0.2">
      <c r="A109" s="373" t="s">
        <v>1695</v>
      </c>
      <c r="B109" s="976"/>
      <c r="C109" s="170"/>
      <c r="D109" s="976"/>
      <c r="E109" s="31"/>
      <c r="F109" s="976"/>
      <c r="G109" s="31"/>
      <c r="H109" s="976" t="s">
        <v>3059</v>
      </c>
      <c r="I109" s="170">
        <f ca="1">I104</f>
        <v>0.90103803610993483</v>
      </c>
      <c r="J109" s="32" t="s">
        <v>3078</v>
      </c>
    </row>
    <row r="110" spans="1:15" x14ac:dyDescent="0.2">
      <c r="A110" s="430" t="s">
        <v>1696</v>
      </c>
      <c r="B110" s="192"/>
      <c r="C110" s="160"/>
      <c r="D110" s="192"/>
      <c r="E110" s="110"/>
      <c r="F110" s="192"/>
      <c r="G110" s="110"/>
      <c r="H110" s="192"/>
      <c r="I110" s="110"/>
      <c r="J110" s="112"/>
    </row>
    <row r="111" spans="1:15" x14ac:dyDescent="0.2">
      <c r="A111" s="317" t="s">
        <v>1553</v>
      </c>
      <c r="B111" s="103" t="s">
        <v>267</v>
      </c>
      <c r="C111" s="100">
        <f ca="1">SUM(ExpBase!C888:C889)</f>
        <v>31.474310601919285</v>
      </c>
      <c r="D111" s="103" t="s">
        <v>267</v>
      </c>
      <c r="E111" s="100">
        <f ca="1">C111*Units!D498</f>
        <v>12.806163436302592</v>
      </c>
      <c r="F111" s="103" t="s">
        <v>3059</v>
      </c>
      <c r="G111" s="100">
        <f ca="1">E111/1000</f>
        <v>1.2806163436302592E-2</v>
      </c>
      <c r="H111" s="103" t="s">
        <v>3059</v>
      </c>
      <c r="I111" s="100">
        <f ca="1">SUM(G111:G118)</f>
        <v>0.61090060992514816</v>
      </c>
      <c r="J111" s="127" t="s">
        <v>3096</v>
      </c>
    </row>
    <row r="112" spans="1:15" x14ac:dyDescent="0.2">
      <c r="A112" s="317" t="s">
        <v>1554</v>
      </c>
      <c r="B112" s="103" t="s">
        <v>267</v>
      </c>
      <c r="C112" s="100">
        <f ca="1">SUM(ExpBase!C890:C891)</f>
        <v>100.9809120973441</v>
      </c>
      <c r="D112" s="103" t="s">
        <v>267</v>
      </c>
      <c r="E112" s="100">
        <f ca="1">C112*Units!D499</f>
        <v>49.796704606590943</v>
      </c>
      <c r="F112" s="103" t="s">
        <v>3059</v>
      </c>
      <c r="G112" s="100">
        <f t="shared" ref="G112:G118" ca="1" si="4">E112/1000</f>
        <v>4.9796704606590941E-2</v>
      </c>
      <c r="H112" s="103" t="s">
        <v>3059</v>
      </c>
      <c r="I112" s="100">
        <f ca="1">I109-I111</f>
        <v>0.29013742618478666</v>
      </c>
      <c r="J112" s="127" t="s">
        <v>3097</v>
      </c>
    </row>
    <row r="113" spans="1:10" x14ac:dyDescent="0.2">
      <c r="A113" s="317" t="s">
        <v>1555</v>
      </c>
      <c r="B113" s="103" t="s">
        <v>267</v>
      </c>
      <c r="C113" s="100">
        <f ca="1">SUM(ExpBase!C892:C893)</f>
        <v>139.34729909288239</v>
      </c>
      <c r="D113" s="103" t="s">
        <v>267</v>
      </c>
      <c r="E113" s="100">
        <f ca="1">C113*Units!D500</f>
        <v>76.863394232129068</v>
      </c>
      <c r="F113" s="103" t="s">
        <v>3059</v>
      </c>
      <c r="G113" s="100">
        <f t="shared" ca="1" si="4"/>
        <v>7.6863394232129068E-2</v>
      </c>
      <c r="J113" s="127"/>
    </row>
    <row r="114" spans="1:10" x14ac:dyDescent="0.2">
      <c r="A114" s="317" t="s">
        <v>1556</v>
      </c>
      <c r="B114" s="103" t="s">
        <v>267</v>
      </c>
      <c r="C114" s="100">
        <f>SUM(ExpBase!C894:C895)</f>
        <v>0</v>
      </c>
      <c r="D114" s="103" t="s">
        <v>267</v>
      </c>
      <c r="E114" s="100">
        <f>C114*Units!D501</f>
        <v>0</v>
      </c>
      <c r="F114" s="103" t="s">
        <v>3059</v>
      </c>
      <c r="G114" s="100">
        <f t="shared" si="4"/>
        <v>0</v>
      </c>
      <c r="J114" s="127"/>
    </row>
    <row r="115" spans="1:10" x14ac:dyDescent="0.2">
      <c r="A115" s="317" t="s">
        <v>1557</v>
      </c>
      <c r="B115" s="103" t="s">
        <v>267</v>
      </c>
      <c r="C115" s="100">
        <f ca="1">SUM(ExpBase!C896:C897)</f>
        <v>220.36624557952561</v>
      </c>
      <c r="D115" s="103" t="s">
        <v>267</v>
      </c>
      <c r="E115" s="100">
        <f ca="1">C115*Units!D502</f>
        <v>130.87514713487352</v>
      </c>
      <c r="F115" s="103" t="s">
        <v>3059</v>
      </c>
      <c r="G115" s="100">
        <f t="shared" ca="1" si="4"/>
        <v>0.13087514713487353</v>
      </c>
      <c r="J115" s="127"/>
    </row>
    <row r="116" spans="1:10" x14ac:dyDescent="0.2">
      <c r="A116" s="317" t="s">
        <v>1558</v>
      </c>
      <c r="B116" s="103" t="s">
        <v>267</v>
      </c>
      <c r="C116" s="100">
        <f>SUM(ExpBase!C898:C899)</f>
        <v>19.206698653186937</v>
      </c>
      <c r="D116" s="103" t="s">
        <v>267</v>
      </c>
      <c r="E116" s="100">
        <f>C116*Units!D503</f>
        <v>11.406826420264451</v>
      </c>
      <c r="F116" s="103" t="s">
        <v>3059</v>
      </c>
      <c r="G116" s="100">
        <f t="shared" si="4"/>
        <v>1.1406826420264452E-2</v>
      </c>
      <c r="J116" s="127"/>
    </row>
    <row r="117" spans="1:10" x14ac:dyDescent="0.2">
      <c r="A117" s="317" t="s">
        <v>1559</v>
      </c>
      <c r="B117" s="103" t="s">
        <v>267</v>
      </c>
      <c r="C117" s="100">
        <f ca="1">SUM(ExpBase!C900:C901)</f>
        <v>497.40266388602305</v>
      </c>
      <c r="D117" s="103" t="s">
        <v>267</v>
      </c>
      <c r="E117" s="100">
        <f ca="1">C117*Units!D504</f>
        <v>311.29674664012276</v>
      </c>
      <c r="F117" s="103" t="s">
        <v>3059</v>
      </c>
      <c r="G117" s="100">
        <f t="shared" ca="1" si="4"/>
        <v>0.31129674664012275</v>
      </c>
      <c r="J117" s="127"/>
    </row>
    <row r="118" spans="1:10" x14ac:dyDescent="0.2">
      <c r="A118" s="318" t="s">
        <v>1560</v>
      </c>
      <c r="B118" s="183" t="s">
        <v>267</v>
      </c>
      <c r="C118" s="168">
        <f ca="1">SUM(ExpBase!C902:C903)</f>
        <v>27.432132430330292</v>
      </c>
      <c r="D118" s="183" t="s">
        <v>267</v>
      </c>
      <c r="E118" s="168">
        <f ca="1">C118*Units!D505</f>
        <v>17.855627454864752</v>
      </c>
      <c r="F118" s="183" t="s">
        <v>3059</v>
      </c>
      <c r="G118" s="168">
        <f t="shared" ca="1" si="4"/>
        <v>1.7855627454864752E-2</v>
      </c>
      <c r="H118" s="183"/>
      <c r="I118" s="118"/>
      <c r="J118" s="120"/>
    </row>
    <row r="119" spans="1:10" x14ac:dyDescent="0.2">
      <c r="C119" s="100"/>
      <c r="E119" s="100"/>
    </row>
    <row r="120" spans="1:10" ht="16" thickBot="1" x14ac:dyDescent="0.25">
      <c r="E120" s="100"/>
    </row>
    <row r="121" spans="1:10" ht="16" thickBot="1" x14ac:dyDescent="0.25">
      <c r="A121" s="643" t="s">
        <v>1725</v>
      </c>
      <c r="B121" s="644"/>
      <c r="C121" s="644"/>
      <c r="D121" s="644"/>
      <c r="E121" s="1089"/>
      <c r="F121" s="1089"/>
      <c r="G121" s="1089"/>
      <c r="H121" s="1089"/>
      <c r="I121" s="1089"/>
      <c r="J121" s="1090"/>
    </row>
    <row r="122" spans="1:10" x14ac:dyDescent="0.2">
      <c r="A122" s="266" t="s">
        <v>580</v>
      </c>
      <c r="B122" s="977" t="s">
        <v>372</v>
      </c>
      <c r="C122" s="977" t="s">
        <v>42</v>
      </c>
      <c r="D122" s="977" t="s">
        <v>372</v>
      </c>
      <c r="E122" s="977" t="s">
        <v>3025</v>
      </c>
      <c r="F122" s="977" t="s">
        <v>372</v>
      </c>
      <c r="G122" s="977" t="s">
        <v>3024</v>
      </c>
      <c r="H122" s="977" t="s">
        <v>372</v>
      </c>
      <c r="I122" s="977" t="s">
        <v>3060</v>
      </c>
      <c r="J122" s="977" t="s">
        <v>3063</v>
      </c>
    </row>
    <row r="123" spans="1:10" x14ac:dyDescent="0.2">
      <c r="A123" s="188" t="s">
        <v>1695</v>
      </c>
      <c r="B123" s="192"/>
      <c r="C123" s="160"/>
      <c r="D123" s="192"/>
      <c r="E123" s="110"/>
      <c r="F123" s="192"/>
      <c r="G123" s="110"/>
      <c r="H123" s="192" t="s">
        <v>3059</v>
      </c>
      <c r="I123" s="160">
        <f ca="1">I111</f>
        <v>0.61090060992514816</v>
      </c>
      <c r="J123" s="112" t="s">
        <v>3078</v>
      </c>
    </row>
    <row r="124" spans="1:10" x14ac:dyDescent="0.2">
      <c r="A124" s="126" t="s">
        <v>3099</v>
      </c>
      <c r="B124" s="103" t="s">
        <v>267</v>
      </c>
      <c r="C124" s="100">
        <f ca="1">ExpBase!C967*0.05</f>
        <v>44.684279668307433</v>
      </c>
      <c r="D124" s="103" t="s">
        <v>267</v>
      </c>
      <c r="E124" s="100">
        <f ca="1">C124*Units!D507</f>
        <v>31.691082259146739</v>
      </c>
      <c r="F124" s="103" t="s">
        <v>3059</v>
      </c>
      <c r="G124" s="100">
        <f ca="1">E124/1000</f>
        <v>3.1691082259146741E-2</v>
      </c>
      <c r="H124" s="103" t="s">
        <v>3059</v>
      </c>
      <c r="I124" s="100">
        <f ca="1">G124</f>
        <v>3.1691082259146741E-2</v>
      </c>
      <c r="J124" s="127" t="s">
        <v>3099</v>
      </c>
    </row>
    <row r="125" spans="1:10" x14ac:dyDescent="0.2">
      <c r="A125" s="117" t="s">
        <v>3098</v>
      </c>
      <c r="B125" s="183" t="s">
        <v>267</v>
      </c>
      <c r="C125" s="168">
        <f ca="1">ExpBase!C967*0.95</f>
        <v>849.00131369784117</v>
      </c>
      <c r="D125" s="183" t="s">
        <v>267</v>
      </c>
      <c r="E125" s="168">
        <f ca="1">C125*Units!D507</f>
        <v>602.13056292378803</v>
      </c>
      <c r="F125" s="183" t="s">
        <v>3059</v>
      </c>
      <c r="G125" s="168">
        <f ca="1">E125/1000</f>
        <v>0.60213056292378808</v>
      </c>
      <c r="H125" s="183" t="s">
        <v>3059</v>
      </c>
      <c r="I125" s="168">
        <f ca="1">G125</f>
        <v>0.60213056292378808</v>
      </c>
      <c r="J125" s="120" t="s">
        <v>3098</v>
      </c>
    </row>
    <row r="126" spans="1:10" x14ac:dyDescent="0.2">
      <c r="A126" s="188" t="s">
        <v>1696</v>
      </c>
      <c r="B126" s="192"/>
      <c r="C126" s="160"/>
      <c r="D126" s="192"/>
      <c r="E126" s="110"/>
      <c r="F126" s="192"/>
      <c r="G126" s="110"/>
      <c r="H126" s="192"/>
      <c r="I126" s="110"/>
      <c r="J126" s="112"/>
    </row>
    <row r="127" spans="1:10" x14ac:dyDescent="0.2">
      <c r="A127" s="375" t="s">
        <v>400</v>
      </c>
      <c r="B127" s="103" t="s">
        <v>267</v>
      </c>
      <c r="C127" s="100">
        <f ca="1">ExpBase!C1001</f>
        <v>2.5348053100807939</v>
      </c>
      <c r="D127" s="103" t="s">
        <v>267</v>
      </c>
      <c r="E127" s="100">
        <f ca="1">C127*Units!D498</f>
        <v>1.0313532039085507</v>
      </c>
      <c r="F127" s="103" t="s">
        <v>3059</v>
      </c>
      <c r="G127" s="100">
        <f ca="1">E127/1000</f>
        <v>1.0313532039085507E-3</v>
      </c>
      <c r="H127" s="103" t="s">
        <v>3059</v>
      </c>
      <c r="I127" s="100">
        <f ca="1">SUM(G127:G134)</f>
        <v>0.57117866585831478</v>
      </c>
      <c r="J127" s="127" t="s">
        <v>3096</v>
      </c>
    </row>
    <row r="128" spans="1:10" x14ac:dyDescent="0.2">
      <c r="A128" s="375" t="s">
        <v>401</v>
      </c>
      <c r="B128" s="103" t="s">
        <v>267</v>
      </c>
      <c r="C128" s="100">
        <f ca="1">ExpBase!C1002</f>
        <v>45.938069620499022</v>
      </c>
      <c r="D128" s="103" t="s">
        <v>267</v>
      </c>
      <c r="E128" s="100">
        <f ca="1">C128*Units!D499</f>
        <v>22.653434550916128</v>
      </c>
      <c r="F128" s="103" t="s">
        <v>3059</v>
      </c>
      <c r="G128" s="100">
        <f t="shared" ref="G128:G134" ca="1" si="5">E128/1000</f>
        <v>2.2653434550916129E-2</v>
      </c>
      <c r="J128" s="127"/>
    </row>
    <row r="129" spans="1:13" x14ac:dyDescent="0.2">
      <c r="A129" s="375" t="s">
        <v>402</v>
      </c>
      <c r="B129" s="103" t="s">
        <v>267</v>
      </c>
      <c r="C129" s="100">
        <f ca="1">ExpBase!C1003</f>
        <v>138.0440515648281</v>
      </c>
      <c r="D129" s="103" t="s">
        <v>267</v>
      </c>
      <c r="E129" s="100">
        <f ca="1">C129*Units!D500</f>
        <v>76.144528282211255</v>
      </c>
      <c r="F129" s="103" t="s">
        <v>3059</v>
      </c>
      <c r="G129" s="100">
        <f t="shared" ca="1" si="5"/>
        <v>7.6144528282211257E-2</v>
      </c>
      <c r="J129" s="127"/>
    </row>
    <row r="130" spans="1:13" x14ac:dyDescent="0.2">
      <c r="A130" s="375" t="s">
        <v>403</v>
      </c>
      <c r="B130" s="103" t="s">
        <v>267</v>
      </c>
      <c r="C130" s="100">
        <f>ExpBase!C1004</f>
        <v>0</v>
      </c>
      <c r="D130" s="103" t="s">
        <v>267</v>
      </c>
      <c r="E130" s="100">
        <f>C130*Units!D501</f>
        <v>0</v>
      </c>
      <c r="F130" s="103" t="s">
        <v>3059</v>
      </c>
      <c r="G130" s="100">
        <f t="shared" si="5"/>
        <v>0</v>
      </c>
      <c r="J130" s="127"/>
    </row>
    <row r="131" spans="1:13" x14ac:dyDescent="0.2">
      <c r="A131" s="375" t="s">
        <v>404</v>
      </c>
      <c r="B131" s="103" t="s">
        <v>267</v>
      </c>
      <c r="C131" s="100">
        <f ca="1">ExpBase!C1005</f>
        <v>220.32654923085127</v>
      </c>
      <c r="D131" s="103" t="s">
        <v>267</v>
      </c>
      <c r="E131" s="100">
        <f ca="1">C131*Units!D502</f>
        <v>130.85157153934702</v>
      </c>
      <c r="F131" s="103" t="s">
        <v>3059</v>
      </c>
      <c r="G131" s="100">
        <f t="shared" ca="1" si="5"/>
        <v>0.13085157153934701</v>
      </c>
      <c r="J131" s="127"/>
    </row>
    <row r="132" spans="1:13" x14ac:dyDescent="0.2">
      <c r="A132" s="375" t="s">
        <v>405</v>
      </c>
      <c r="B132" s="103" t="s">
        <v>267</v>
      </c>
      <c r="C132" s="100">
        <f>ExpBase!C1006</f>
        <v>19.203238795691</v>
      </c>
      <c r="D132" s="103" t="s">
        <v>267</v>
      </c>
      <c r="E132" s="100">
        <f>C132*Units!D503</f>
        <v>11.404771616645796</v>
      </c>
      <c r="F132" s="103" t="s">
        <v>3059</v>
      </c>
      <c r="G132" s="100">
        <f t="shared" si="5"/>
        <v>1.1404771616645796E-2</v>
      </c>
      <c r="J132" s="127"/>
    </row>
    <row r="133" spans="1:13" x14ac:dyDescent="0.2">
      <c r="A133" s="375" t="s">
        <v>420</v>
      </c>
      <c r="B133" s="103" t="s">
        <v>267</v>
      </c>
      <c r="C133" s="100">
        <f ca="1">ExpBase!C1007</f>
        <v>497.31295465966315</v>
      </c>
      <c r="D133" s="103" t="s">
        <v>267</v>
      </c>
      <c r="E133" s="100">
        <f ca="1">C133*Units!D504</f>
        <v>311.24060260966814</v>
      </c>
      <c r="F133" s="103" t="s">
        <v>3059</v>
      </c>
      <c r="G133" s="100">
        <f t="shared" ca="1" si="5"/>
        <v>0.31124060260966813</v>
      </c>
      <c r="J133" s="127"/>
    </row>
    <row r="134" spans="1:13" x14ac:dyDescent="0.2">
      <c r="A134" s="375" t="s">
        <v>421</v>
      </c>
      <c r="B134" s="103" t="s">
        <v>267</v>
      </c>
      <c r="C134" s="100">
        <f ca="1">ExpBase!C1008</f>
        <v>27.427180226032991</v>
      </c>
      <c r="D134" s="103" t="s">
        <v>267</v>
      </c>
      <c r="E134" s="100">
        <f ca="1">C134*Units!D505</f>
        <v>17.852404055617992</v>
      </c>
      <c r="F134" s="103" t="s">
        <v>3059</v>
      </c>
      <c r="G134" s="100">
        <f t="shared" ca="1" si="5"/>
        <v>1.7852404055617992E-2</v>
      </c>
      <c r="J134" s="127"/>
    </row>
    <row r="135" spans="1:13" x14ac:dyDescent="0.2">
      <c r="A135" s="375" t="s">
        <v>3101</v>
      </c>
      <c r="H135" s="103" t="s">
        <v>3059</v>
      </c>
      <c r="I135" s="100">
        <f ca="1">I123-I127-I91</f>
        <v>3.5749749660150043E-2</v>
      </c>
      <c r="J135" s="127" t="s">
        <v>3097</v>
      </c>
    </row>
    <row r="136" spans="1:13" x14ac:dyDescent="0.2">
      <c r="A136" s="376" t="s">
        <v>3103</v>
      </c>
      <c r="B136" s="183"/>
      <c r="C136" s="118"/>
      <c r="D136" s="183"/>
      <c r="E136" s="118"/>
      <c r="F136" s="183"/>
      <c r="G136" s="118"/>
      <c r="H136" s="183" t="s">
        <v>3059</v>
      </c>
      <c r="I136" s="168">
        <f ca="1">I91</f>
        <v>3.9721944066833381E-3</v>
      </c>
      <c r="J136" s="369" t="s">
        <v>3103</v>
      </c>
    </row>
    <row r="138" spans="1:13" ht="16" thickBot="1" x14ac:dyDescent="0.25"/>
    <row r="139" spans="1:13" ht="16" thickBot="1" x14ac:dyDescent="0.25">
      <c r="A139" s="1096" t="s">
        <v>1483</v>
      </c>
      <c r="B139" s="669"/>
      <c r="C139" s="670"/>
      <c r="D139" s="669"/>
      <c r="E139" s="671"/>
      <c r="F139" s="671"/>
      <c r="G139" s="671"/>
      <c r="H139" s="671"/>
      <c r="I139" s="671"/>
      <c r="J139" s="672"/>
      <c r="K139" s="672"/>
      <c r="L139" s="672"/>
      <c r="M139" s="672"/>
    </row>
    <row r="140" spans="1:13" x14ac:dyDescent="0.2">
      <c r="A140" s="29" t="s">
        <v>580</v>
      </c>
      <c r="B140" s="1086" t="s">
        <v>372</v>
      </c>
      <c r="C140" s="977" t="s">
        <v>42</v>
      </c>
      <c r="D140" s="977" t="s">
        <v>372</v>
      </c>
      <c r="E140" s="977" t="s">
        <v>3025</v>
      </c>
      <c r="F140" s="977" t="s">
        <v>372</v>
      </c>
      <c r="G140" s="977" t="s">
        <v>3024</v>
      </c>
      <c r="H140" s="977" t="s">
        <v>372</v>
      </c>
      <c r="I140" s="977" t="s">
        <v>3060</v>
      </c>
      <c r="J140" s="977" t="s">
        <v>3063</v>
      </c>
    </row>
    <row r="141" spans="1:13" x14ac:dyDescent="0.2">
      <c r="A141" s="29" t="s">
        <v>1695</v>
      </c>
      <c r="B141" s="976"/>
      <c r="C141" s="31"/>
      <c r="D141" s="976"/>
      <c r="E141" s="31"/>
      <c r="F141" s="976"/>
      <c r="G141" s="31"/>
      <c r="H141" s="976" t="s">
        <v>3059</v>
      </c>
      <c r="I141" s="170">
        <f ca="1">I127</f>
        <v>0.57117866585831478</v>
      </c>
      <c r="J141" s="32" t="s">
        <v>3078</v>
      </c>
    </row>
    <row r="142" spans="1:13" x14ac:dyDescent="0.2">
      <c r="A142" s="993" t="s">
        <v>1696</v>
      </c>
      <c r="B142" s="192"/>
      <c r="C142" s="110"/>
      <c r="D142" s="192"/>
      <c r="E142" s="110"/>
      <c r="F142" s="192"/>
      <c r="G142" s="110"/>
      <c r="H142" s="192"/>
      <c r="I142" s="110"/>
      <c r="J142" s="112"/>
    </row>
    <row r="143" spans="1:13" x14ac:dyDescent="0.2">
      <c r="A143" s="317" t="s">
        <v>1739</v>
      </c>
      <c r="B143" s="172" t="s">
        <v>267</v>
      </c>
      <c r="C143" s="100">
        <f ca="1">ExpBase!E1072</f>
        <v>7.0941225768311059E-3</v>
      </c>
      <c r="D143" s="172" t="s">
        <v>267</v>
      </c>
      <c r="E143" s="100">
        <f ca="1">C143*Units!D509</f>
        <v>4.7246856361695165E-3</v>
      </c>
      <c r="F143" s="103" t="s">
        <v>3059</v>
      </c>
      <c r="G143" s="100">
        <f ca="1">E143/1000</f>
        <v>4.7246856361695165E-6</v>
      </c>
      <c r="H143" s="103" t="s">
        <v>3059</v>
      </c>
      <c r="I143" s="100">
        <f ca="1">I141*0.995</f>
        <v>0.56832277252902319</v>
      </c>
      <c r="J143" s="127" t="s">
        <v>3096</v>
      </c>
      <c r="K143" s="100"/>
    </row>
    <row r="144" spans="1:13" x14ac:dyDescent="0.2">
      <c r="A144" s="317" t="s">
        <v>1740</v>
      </c>
      <c r="B144" s="172" t="s">
        <v>267</v>
      </c>
      <c r="C144" s="100">
        <f ca="1">ExpBase!E1073</f>
        <v>0.24897970295441274</v>
      </c>
      <c r="D144" s="172" t="s">
        <v>267</v>
      </c>
      <c r="E144" s="100">
        <f ca="1">C144*Units!D510</f>
        <v>0.17353885295922566</v>
      </c>
      <c r="F144" s="103" t="s">
        <v>3059</v>
      </c>
      <c r="G144" s="100">
        <f t="shared" ref="G144:G161" ca="1" si="6">E144/1000</f>
        <v>1.7353885295922567E-4</v>
      </c>
      <c r="H144" s="103" t="s">
        <v>3059</v>
      </c>
      <c r="I144" s="100">
        <f ca="1">I141*0.005</f>
        <v>2.855893329291574E-3</v>
      </c>
      <c r="J144" s="127" t="s">
        <v>3104</v>
      </c>
    </row>
    <row r="145" spans="1:10" x14ac:dyDescent="0.2">
      <c r="A145" s="317" t="s">
        <v>1741</v>
      </c>
      <c r="B145" s="172" t="s">
        <v>267</v>
      </c>
      <c r="C145" s="100">
        <f ca="1">ExpBase!E1074</f>
        <v>2.8581410406203998</v>
      </c>
      <c r="D145" s="172" t="s">
        <v>267</v>
      </c>
      <c r="E145" s="100">
        <f ca="1">C145*Units!D511</f>
        <v>2.0550034082060673</v>
      </c>
      <c r="F145" s="103" t="s">
        <v>3059</v>
      </c>
      <c r="G145" s="100">
        <f t="shared" ca="1" si="6"/>
        <v>2.0550034082060672E-3</v>
      </c>
      <c r="J145" s="127"/>
    </row>
    <row r="146" spans="1:10" x14ac:dyDescent="0.2">
      <c r="A146" s="317" t="s">
        <v>1743</v>
      </c>
      <c r="B146" s="172" t="s">
        <v>267</v>
      </c>
      <c r="C146" s="100">
        <f ca="1">ExpBase!E1075</f>
        <v>13.398949489022279</v>
      </c>
      <c r="D146" s="172" t="s">
        <v>267</v>
      </c>
      <c r="E146" s="100">
        <f ca="1">C146*Units!D512</f>
        <v>9.8616268239203961</v>
      </c>
      <c r="F146" s="103" t="s">
        <v>3059</v>
      </c>
      <c r="G146" s="100">
        <f t="shared" ca="1" si="6"/>
        <v>9.8616268239203955E-3</v>
      </c>
      <c r="J146" s="127"/>
    </row>
    <row r="147" spans="1:10" x14ac:dyDescent="0.2">
      <c r="A147" s="317" t="s">
        <v>1745</v>
      </c>
      <c r="B147" s="172" t="s">
        <v>267</v>
      </c>
      <c r="C147" s="100">
        <f ca="1">ExpBase!E1076</f>
        <v>38.876955362755083</v>
      </c>
      <c r="D147" s="172" t="s">
        <v>267</v>
      </c>
      <c r="E147" s="100">
        <f ca="1">C147*Units!D513</f>
        <v>29.118839566703556</v>
      </c>
      <c r="F147" s="103" t="s">
        <v>3059</v>
      </c>
      <c r="G147" s="100">
        <f t="shared" ca="1" si="6"/>
        <v>2.9118839566703556E-2</v>
      </c>
      <c r="J147" s="127"/>
    </row>
    <row r="148" spans="1:10" x14ac:dyDescent="0.2">
      <c r="A148" s="317" t="s">
        <v>1748</v>
      </c>
      <c r="B148" s="172" t="s">
        <v>267</v>
      </c>
      <c r="C148" s="100">
        <f ca="1">ExpBase!E1077</f>
        <v>94.931810258208387</v>
      </c>
      <c r="D148" s="172" t="s">
        <v>267</v>
      </c>
      <c r="E148" s="100">
        <f ca="1">C148*Units!D514</f>
        <v>72.138682615212559</v>
      </c>
      <c r="F148" s="103" t="s">
        <v>3059</v>
      </c>
      <c r="G148" s="100">
        <f t="shared" ca="1" si="6"/>
        <v>7.2138682615212557E-2</v>
      </c>
      <c r="J148" s="127"/>
    </row>
    <row r="149" spans="1:10" x14ac:dyDescent="0.2">
      <c r="A149" s="317" t="s">
        <v>1749</v>
      </c>
      <c r="B149" s="172" t="s">
        <v>267</v>
      </c>
      <c r="C149" s="100">
        <f ca="1">ExpBase!E1078</f>
        <v>158.16024337977512</v>
      </c>
      <c r="D149" s="172" t="s">
        <v>267</v>
      </c>
      <c r="E149" s="100">
        <f ca="1">C149*Units!D515</f>
        <v>121.56038145926136</v>
      </c>
      <c r="F149" s="103" t="s">
        <v>3059</v>
      </c>
      <c r="G149" s="100">
        <f t="shared" ca="1" si="6"/>
        <v>0.12156038145926136</v>
      </c>
      <c r="J149" s="127"/>
    </row>
    <row r="150" spans="1:10" x14ac:dyDescent="0.2">
      <c r="A150" s="317" t="s">
        <v>1752</v>
      </c>
      <c r="B150" s="172" t="s">
        <v>267</v>
      </c>
      <c r="C150" s="100">
        <f ca="1">ExpBase!E1079</f>
        <v>179.89624045278805</v>
      </c>
      <c r="D150" s="172" t="s">
        <v>267</v>
      </c>
      <c r="E150" s="100">
        <f ca="1">C150*Units!D516</f>
        <v>139.56566209815838</v>
      </c>
      <c r="F150" s="103" t="s">
        <v>3059</v>
      </c>
      <c r="G150" s="100">
        <f t="shared" ca="1" si="6"/>
        <v>0.13956566209815838</v>
      </c>
      <c r="J150" s="127"/>
    </row>
    <row r="151" spans="1:10" x14ac:dyDescent="0.2">
      <c r="A151" s="317" t="s">
        <v>1757</v>
      </c>
      <c r="B151" s="172" t="s">
        <v>267</v>
      </c>
      <c r="C151" s="100">
        <f ca="1">ExpBase!E1080</f>
        <v>335.69954995332921</v>
      </c>
      <c r="D151" s="172" t="s">
        <v>267</v>
      </c>
      <c r="E151" s="100">
        <f ca="1">C151*Units!D517</f>
        <v>262.4935490950067</v>
      </c>
      <c r="F151" s="103" t="s">
        <v>3059</v>
      </c>
      <c r="G151" s="100">
        <f t="shared" ca="1" si="6"/>
        <v>0.26249354909500672</v>
      </c>
      <c r="J151" s="127"/>
    </row>
    <row r="152" spans="1:10" x14ac:dyDescent="0.2">
      <c r="A152" s="317" t="s">
        <v>1760</v>
      </c>
      <c r="B152" s="172" t="s">
        <v>267</v>
      </c>
      <c r="C152" s="100">
        <f ca="1">ExpBase!E1081</f>
        <v>19.757051167536776</v>
      </c>
      <c r="D152" s="172" t="s">
        <v>267</v>
      </c>
      <c r="E152" s="100">
        <f ca="1">C152*Units!D518</f>
        <v>15.552553108573274</v>
      </c>
      <c r="F152" s="103" t="s">
        <v>3059</v>
      </c>
      <c r="G152" s="100">
        <f t="shared" ca="1" si="6"/>
        <v>1.5552553108573274E-2</v>
      </c>
      <c r="J152" s="127"/>
    </row>
    <row r="153" spans="1:10" x14ac:dyDescent="0.2">
      <c r="A153" s="317" t="s">
        <v>1761</v>
      </c>
      <c r="B153" s="172" t="s">
        <v>267</v>
      </c>
      <c r="C153" s="100">
        <f ca="1">ExpBase!E1082</f>
        <v>0.52051184361006386</v>
      </c>
      <c r="D153" s="172" t="s">
        <v>267</v>
      </c>
      <c r="E153" s="100">
        <f ca="1">C153*Units!D519</f>
        <v>0.41211525217826805</v>
      </c>
      <c r="F153" s="103" t="s">
        <v>3059</v>
      </c>
      <c r="G153" s="100">
        <f t="shared" ca="1" si="6"/>
        <v>4.1211525217826808E-4</v>
      </c>
      <c r="J153" s="127"/>
    </row>
    <row r="154" spans="1:10" x14ac:dyDescent="0.2">
      <c r="A154" s="317" t="s">
        <v>1742</v>
      </c>
      <c r="B154" s="172" t="s">
        <v>267</v>
      </c>
      <c r="C154" s="100">
        <f ca="1">ExpBase!E1083</f>
        <v>0</v>
      </c>
      <c r="D154" s="172" t="s">
        <v>267</v>
      </c>
      <c r="E154" s="100">
        <f ca="1">C154*Units!D520</f>
        <v>0</v>
      </c>
      <c r="F154" s="103" t="s">
        <v>3059</v>
      </c>
      <c r="G154" s="100">
        <f t="shared" ca="1" si="6"/>
        <v>0</v>
      </c>
      <c r="J154" s="127"/>
    </row>
    <row r="155" spans="1:10" x14ac:dyDescent="0.2">
      <c r="A155" s="317" t="s">
        <v>1744</v>
      </c>
      <c r="B155" s="172" t="s">
        <v>267</v>
      </c>
      <c r="C155" s="100">
        <f ca="1">ExpBase!E1084</f>
        <v>0.10008037375068286</v>
      </c>
      <c r="D155" s="172" t="s">
        <v>267</v>
      </c>
      <c r="E155" s="100">
        <f ca="1">C155*Units!D521</f>
        <v>7.3659155080502581E-2</v>
      </c>
      <c r="F155" s="103" t="s">
        <v>3059</v>
      </c>
      <c r="G155" s="100">
        <f t="shared" ca="1" si="6"/>
        <v>7.3659155080502578E-5</v>
      </c>
      <c r="J155" s="127"/>
    </row>
    <row r="156" spans="1:10" x14ac:dyDescent="0.2">
      <c r="A156" s="317" t="s">
        <v>1747</v>
      </c>
      <c r="B156" s="172" t="s">
        <v>267</v>
      </c>
      <c r="C156" s="100">
        <f ca="1">ExpBase!E1085</f>
        <v>1.6508749462740244</v>
      </c>
      <c r="D156" s="172" t="s">
        <v>267</v>
      </c>
      <c r="E156" s="100">
        <f ca="1">C156*Units!D522</f>
        <v>1.2365053347592443</v>
      </c>
      <c r="F156" s="103" t="s">
        <v>3059</v>
      </c>
      <c r="G156" s="100">
        <f t="shared" ca="1" si="6"/>
        <v>1.2365053347592444E-3</v>
      </c>
      <c r="J156" s="127"/>
    </row>
    <row r="157" spans="1:10" x14ac:dyDescent="0.2">
      <c r="A157" s="317" t="s">
        <v>1751</v>
      </c>
      <c r="B157" s="172" t="s">
        <v>267</v>
      </c>
      <c r="C157" s="100">
        <f ca="1">ExpBase!E1086</f>
        <v>4.6272525469053578</v>
      </c>
      <c r="D157" s="172" t="s">
        <v>267</v>
      </c>
      <c r="E157" s="100">
        <f ca="1">C157*Units!D523</f>
        <v>3.5162492103933816</v>
      </c>
      <c r="F157" s="103" t="s">
        <v>3059</v>
      </c>
      <c r="G157" s="100">
        <f t="shared" ca="1" si="6"/>
        <v>3.5162492103933815E-3</v>
      </c>
      <c r="J157" s="127"/>
    </row>
    <row r="158" spans="1:10" x14ac:dyDescent="0.2">
      <c r="A158" s="317" t="s">
        <v>1754</v>
      </c>
      <c r="B158" s="172" t="s">
        <v>267</v>
      </c>
      <c r="C158" s="100">
        <f ca="1">ExpBase!E1087</f>
        <v>7.3048945600402657</v>
      </c>
      <c r="D158" s="172" t="s">
        <v>267</v>
      </c>
      <c r="E158" s="100">
        <f ca="1">C158*Units!D524</f>
        <v>5.6144689099013476</v>
      </c>
      <c r="F158" s="103" t="s">
        <v>3059</v>
      </c>
      <c r="G158" s="100">
        <f t="shared" ca="1" si="6"/>
        <v>5.6144689099013479E-3</v>
      </c>
      <c r="J158" s="127"/>
    </row>
    <row r="159" spans="1:10" x14ac:dyDescent="0.2">
      <c r="A159" s="317" t="s">
        <v>1755</v>
      </c>
      <c r="B159" s="172" t="s">
        <v>267</v>
      </c>
      <c r="C159" s="100">
        <f ca="1">ExpBase!E1088</f>
        <v>15.138379789482032</v>
      </c>
      <c r="D159" s="172" t="s">
        <v>267</v>
      </c>
      <c r="E159" s="100">
        <f ca="1">C159*Units!D525</f>
        <v>11.744536701237633</v>
      </c>
      <c r="F159" s="103" t="s">
        <v>3059</v>
      </c>
      <c r="G159" s="100">
        <f t="shared" ca="1" si="6"/>
        <v>1.1744536701237634E-2</v>
      </c>
      <c r="J159" s="127"/>
    </row>
    <row r="160" spans="1:10" x14ac:dyDescent="0.2">
      <c r="A160" s="317" t="s">
        <v>1759</v>
      </c>
      <c r="B160" s="172" t="s">
        <v>267</v>
      </c>
      <c r="C160" s="100">
        <f ca="1">ExpBase!E1089</f>
        <v>0.8063392274789396</v>
      </c>
      <c r="D160" s="172" t="s">
        <v>267</v>
      </c>
      <c r="E160" s="100">
        <f ca="1">C160*Units!D526</f>
        <v>0.63050083214260721</v>
      </c>
      <c r="F160" s="103" t="s">
        <v>3059</v>
      </c>
      <c r="G160" s="100">
        <f t="shared" ca="1" si="6"/>
        <v>6.3050083214260719E-4</v>
      </c>
      <c r="J160" s="127"/>
    </row>
    <row r="161" spans="1:16" x14ac:dyDescent="0.2">
      <c r="A161" s="318" t="s">
        <v>432</v>
      </c>
      <c r="B161" s="1092" t="s">
        <v>267</v>
      </c>
      <c r="C161" s="168">
        <f ca="1">ExpBase!E1090</f>
        <v>233.1596072685681</v>
      </c>
      <c r="D161" s="1092" t="s">
        <v>267</v>
      </c>
      <c r="E161" s="168">
        <f ca="1">C161*Units!D496</f>
        <v>63.632811699676694</v>
      </c>
      <c r="F161" s="183" t="s">
        <v>3059</v>
      </c>
      <c r="G161" s="168">
        <f t="shared" ca="1" si="6"/>
        <v>6.3632811699676689E-2</v>
      </c>
      <c r="H161" s="183"/>
      <c r="I161" s="118"/>
      <c r="J161" s="120"/>
    </row>
    <row r="162" spans="1:16" ht="16" thickBot="1" x14ac:dyDescent="0.25"/>
    <row r="163" spans="1:16" ht="16" thickBot="1" x14ac:dyDescent="0.25">
      <c r="A163" s="668" t="s">
        <v>1503</v>
      </c>
      <c r="B163" s="669"/>
      <c r="C163" s="670"/>
      <c r="D163" s="669"/>
      <c r="E163" s="671"/>
      <c r="F163" s="671"/>
      <c r="G163" s="671"/>
      <c r="H163" s="671"/>
      <c r="I163" s="671"/>
      <c r="J163" s="672"/>
      <c r="K163" s="672"/>
      <c r="L163" s="672"/>
      <c r="M163" s="672"/>
    </row>
    <row r="164" spans="1:16" x14ac:dyDescent="0.2">
      <c r="A164" s="266" t="s">
        <v>580</v>
      </c>
      <c r="B164" s="977" t="s">
        <v>372</v>
      </c>
      <c r="C164" s="977" t="s">
        <v>42</v>
      </c>
      <c r="D164" s="977" t="s">
        <v>372</v>
      </c>
      <c r="E164" s="977" t="s">
        <v>3025</v>
      </c>
      <c r="F164" s="977" t="s">
        <v>372</v>
      </c>
      <c r="G164" s="977" t="s">
        <v>3024</v>
      </c>
      <c r="H164" s="977" t="s">
        <v>372</v>
      </c>
      <c r="I164" s="977" t="s">
        <v>3060</v>
      </c>
      <c r="J164" s="977" t="s">
        <v>3063</v>
      </c>
    </row>
    <row r="165" spans="1:16" x14ac:dyDescent="0.2">
      <c r="A165" s="430" t="s">
        <v>3105</v>
      </c>
      <c r="B165" s="192"/>
      <c r="C165" s="110"/>
      <c r="D165" s="192"/>
      <c r="E165" s="110"/>
      <c r="F165" s="192"/>
      <c r="G165" s="110"/>
      <c r="H165" s="192" t="s">
        <v>3059</v>
      </c>
      <c r="I165" s="1093">
        <f ca="1">I143</f>
        <v>0.56832277252902319</v>
      </c>
      <c r="J165" s="112" t="s">
        <v>3106</v>
      </c>
    </row>
    <row r="166" spans="1:16" x14ac:dyDescent="0.2">
      <c r="A166" s="260" t="s">
        <v>3008</v>
      </c>
      <c r="H166" s="103" t="s">
        <v>3059</v>
      </c>
      <c r="I166" s="846">
        <f ca="1">I165*ExpBase!E1151</f>
        <v>0.54632202736582769</v>
      </c>
      <c r="J166" s="127" t="s">
        <v>3107</v>
      </c>
    </row>
    <row r="167" spans="1:16" x14ac:dyDescent="0.2">
      <c r="A167" s="260"/>
      <c r="H167" s="103" t="s">
        <v>3059</v>
      </c>
      <c r="I167" s="846">
        <f ca="1">I165*ExpBase!E1150</f>
        <v>1.0857161388116626E-2</v>
      </c>
      <c r="J167" s="127" t="s">
        <v>3108</v>
      </c>
    </row>
    <row r="168" spans="1:16" x14ac:dyDescent="0.2">
      <c r="A168" s="21"/>
      <c r="B168" s="183"/>
      <c r="C168" s="118"/>
      <c r="D168" s="183"/>
      <c r="E168" s="118"/>
      <c r="F168" s="183"/>
      <c r="G168" s="118"/>
      <c r="H168" s="183" t="s">
        <v>3059</v>
      </c>
      <c r="I168" s="168">
        <f ca="1">I165-SUM(I166:I167)</f>
        <v>1.1143583775078847E-2</v>
      </c>
      <c r="J168" s="120" t="s">
        <v>3062</v>
      </c>
    </row>
    <row r="169" spans="1:16" ht="14.5" customHeight="1" x14ac:dyDescent="0.2">
      <c r="I169" s="846"/>
    </row>
    <row r="170" spans="1:16" ht="14.5" customHeight="1" x14ac:dyDescent="0.2">
      <c r="I170" s="846"/>
    </row>
    <row r="171" spans="1:16" x14ac:dyDescent="0.2">
      <c r="I171" s="846"/>
    </row>
    <row r="172" spans="1:16" x14ac:dyDescent="0.2">
      <c r="I172" s="846"/>
    </row>
    <row r="173" spans="1:16" ht="15" customHeight="1" x14ac:dyDescent="0.2">
      <c r="A173" s="1571" t="s">
        <v>1419</v>
      </c>
      <c r="B173" s="1571"/>
      <c r="C173" s="1571"/>
      <c r="D173" s="1571"/>
      <c r="E173" s="1571"/>
      <c r="F173" s="1571"/>
      <c r="G173" s="1571"/>
      <c r="H173" s="1571"/>
      <c r="I173" s="1571"/>
      <c r="J173" s="1571"/>
      <c r="K173" s="1571"/>
      <c r="L173" s="1571"/>
      <c r="M173" s="1571"/>
      <c r="N173" s="1571"/>
      <c r="O173" s="1571"/>
      <c r="P173" s="1571"/>
    </row>
    <row r="174" spans="1:16" ht="15" customHeight="1" x14ac:dyDescent="0.2">
      <c r="A174" s="1571"/>
      <c r="B174" s="1571"/>
      <c r="C174" s="1571"/>
      <c r="D174" s="1571"/>
      <c r="E174" s="1571"/>
      <c r="F174" s="1571"/>
      <c r="G174" s="1571"/>
      <c r="H174" s="1571"/>
      <c r="I174" s="1571"/>
      <c r="J174" s="1571"/>
      <c r="K174" s="1571"/>
      <c r="L174" s="1571"/>
      <c r="M174" s="1571"/>
      <c r="N174" s="1571"/>
      <c r="O174" s="1571"/>
      <c r="P174" s="1571"/>
    </row>
    <row r="175" spans="1:16" x14ac:dyDescent="0.2">
      <c r="I175" s="846"/>
    </row>
    <row r="176" spans="1:16" ht="16" thickBot="1" x14ac:dyDescent="0.25">
      <c r="I176" s="846"/>
    </row>
    <row r="177" spans="1:16" ht="16" thickBot="1" x14ac:dyDescent="0.25">
      <c r="A177" s="1095" t="s">
        <v>506</v>
      </c>
      <c r="B177" s="727"/>
      <c r="C177" s="727"/>
      <c r="D177" s="727"/>
      <c r="E177" s="727"/>
      <c r="F177" s="727"/>
      <c r="G177" s="727"/>
      <c r="H177" s="728"/>
      <c r="I177" s="728"/>
      <c r="J177" s="728"/>
      <c r="K177" s="728"/>
      <c r="L177" s="728"/>
      <c r="M177" s="728"/>
      <c r="N177" s="728"/>
      <c r="O177" s="728"/>
      <c r="P177" s="728"/>
    </row>
    <row r="178" spans="1:16" x14ac:dyDescent="0.2">
      <c r="A178" s="29" t="s">
        <v>580</v>
      </c>
      <c r="B178" s="1086" t="s">
        <v>372</v>
      </c>
      <c r="C178" s="977" t="s">
        <v>42</v>
      </c>
      <c r="D178" s="977" t="s">
        <v>372</v>
      </c>
      <c r="E178" s="977" t="s">
        <v>3025</v>
      </c>
      <c r="F178" s="977" t="s">
        <v>372</v>
      </c>
      <c r="G178" s="977" t="s">
        <v>3024</v>
      </c>
      <c r="H178" s="977" t="s">
        <v>372</v>
      </c>
      <c r="I178" s="977" t="s">
        <v>3060</v>
      </c>
      <c r="J178" s="977" t="s">
        <v>3063</v>
      </c>
    </row>
    <row r="179" spans="1:16" x14ac:dyDescent="0.2">
      <c r="A179" s="993" t="s">
        <v>3140</v>
      </c>
      <c r="B179" s="192"/>
      <c r="C179" s="110"/>
      <c r="D179" s="192"/>
      <c r="E179" s="110"/>
      <c r="F179" s="192"/>
      <c r="G179" s="110"/>
      <c r="H179" s="192" t="s">
        <v>3059</v>
      </c>
      <c r="I179" s="1093">
        <f ca="1">I104</f>
        <v>0.90103803610993483</v>
      </c>
      <c r="J179" s="112" t="s">
        <v>3141</v>
      </c>
    </row>
    <row r="180" spans="1:16" x14ac:dyDescent="0.2">
      <c r="A180" s="266" t="s">
        <v>1696</v>
      </c>
      <c r="B180" s="183"/>
      <c r="C180" s="118"/>
      <c r="D180" s="183"/>
      <c r="E180" s="118"/>
      <c r="F180" s="183"/>
      <c r="G180" s="118"/>
      <c r="H180" s="183" t="s">
        <v>3059</v>
      </c>
      <c r="I180" s="1094">
        <f ca="1">I179</f>
        <v>0.90103803610993483</v>
      </c>
      <c r="J180" s="120" t="s">
        <v>3142</v>
      </c>
    </row>
    <row r="181" spans="1:16" x14ac:dyDescent="0.2">
      <c r="I181" s="846"/>
    </row>
    <row r="182" spans="1:16" ht="16" thickBot="1" x14ac:dyDescent="0.25">
      <c r="I182" s="846"/>
    </row>
    <row r="183" spans="1:16" ht="16" thickBot="1" x14ac:dyDescent="0.25">
      <c r="A183" s="608" t="s">
        <v>286</v>
      </c>
      <c r="B183" s="609"/>
      <c r="C183" s="610"/>
      <c r="D183" s="609"/>
      <c r="E183" s="609"/>
      <c r="F183" s="609"/>
      <c r="G183" s="609"/>
      <c r="H183" s="609"/>
      <c r="I183" s="609"/>
      <c r="J183" s="609"/>
      <c r="K183" s="609"/>
      <c r="L183" s="609"/>
      <c r="M183" s="609"/>
      <c r="N183" s="609"/>
      <c r="O183" s="611"/>
    </row>
    <row r="184" spans="1:16" x14ac:dyDescent="0.2">
      <c r="A184" s="266" t="s">
        <v>580</v>
      </c>
      <c r="B184" s="977" t="s">
        <v>372</v>
      </c>
      <c r="C184" s="977" t="s">
        <v>42</v>
      </c>
      <c r="D184" s="977" t="s">
        <v>372</v>
      </c>
      <c r="E184" s="977" t="s">
        <v>3025</v>
      </c>
      <c r="F184" s="977" t="s">
        <v>372</v>
      </c>
      <c r="G184" s="977" t="s">
        <v>3024</v>
      </c>
      <c r="H184" s="977" t="s">
        <v>372</v>
      </c>
      <c r="I184" s="977" t="s">
        <v>3060</v>
      </c>
      <c r="J184" s="977" t="s">
        <v>3063</v>
      </c>
    </row>
    <row r="185" spans="1:16" x14ac:dyDescent="0.2">
      <c r="A185" s="188" t="s">
        <v>1695</v>
      </c>
      <c r="B185" s="192"/>
      <c r="C185" s="110"/>
      <c r="D185" s="192"/>
      <c r="E185" s="110"/>
      <c r="F185" s="192"/>
      <c r="G185" s="110"/>
      <c r="H185" s="192" t="s">
        <v>3059</v>
      </c>
      <c r="I185" s="1093">
        <f ca="1">I180</f>
        <v>0.90103803610993483</v>
      </c>
      <c r="J185" s="112" t="s">
        <v>3142</v>
      </c>
    </row>
    <row r="186" spans="1:16" x14ac:dyDescent="0.2">
      <c r="A186" s="117" t="s">
        <v>2452</v>
      </c>
      <c r="B186" s="183"/>
      <c r="C186" s="118"/>
      <c r="D186" s="183"/>
      <c r="E186" s="118"/>
      <c r="F186" s="183"/>
      <c r="G186" s="118"/>
      <c r="H186" s="183" t="s">
        <v>3059</v>
      </c>
      <c r="I186" s="1094">
        <v>1.5</v>
      </c>
      <c r="J186" s="120" t="s">
        <v>3145</v>
      </c>
    </row>
    <row r="187" spans="1:16" x14ac:dyDescent="0.2">
      <c r="A187" s="188" t="s">
        <v>1696</v>
      </c>
      <c r="B187" s="192"/>
      <c r="C187" s="110"/>
      <c r="D187" s="192"/>
      <c r="E187" s="110"/>
      <c r="F187" s="192"/>
      <c r="G187" s="110"/>
      <c r="H187" s="192"/>
      <c r="I187" s="1093"/>
      <c r="J187" s="112"/>
      <c r="K187" s="846"/>
    </row>
    <row r="188" spans="1:16" x14ac:dyDescent="0.2">
      <c r="A188" s="188" t="s">
        <v>3143</v>
      </c>
      <c r="B188" s="192"/>
      <c r="C188" s="110"/>
      <c r="D188" s="192"/>
      <c r="E188" s="110"/>
      <c r="F188" s="192"/>
      <c r="G188" s="110"/>
      <c r="H188" s="192"/>
      <c r="I188" s="1093"/>
      <c r="J188" s="112"/>
    </row>
    <row r="189" spans="1:16" x14ac:dyDescent="0.2">
      <c r="A189" s="375" t="s">
        <v>1553</v>
      </c>
      <c r="B189" s="103" t="s">
        <v>267</v>
      </c>
      <c r="C189" s="104">
        <f ca="1">SUM(ExpBase!C1393:C1394)</f>
        <v>31.78815902598371</v>
      </c>
      <c r="D189" s="103" t="s">
        <v>267</v>
      </c>
      <c r="E189">
        <f ca="1">C189*(Units!D498)</f>
        <v>12.933861045429888</v>
      </c>
      <c r="F189" s="103" t="s">
        <v>3059</v>
      </c>
      <c r="G189">
        <f ca="1">SUM(E189:E196)/1000</f>
        <v>0.49350933436352418</v>
      </c>
      <c r="H189" s="103" t="s">
        <v>3059</v>
      </c>
      <c r="I189" s="846">
        <f ca="1">G189</f>
        <v>0.49350933436352418</v>
      </c>
      <c r="J189" s="127" t="s">
        <v>3143</v>
      </c>
    </row>
    <row r="190" spans="1:16" x14ac:dyDescent="0.2">
      <c r="A190" s="375" t="s">
        <v>1554</v>
      </c>
      <c r="B190" s="103" t="s">
        <v>267</v>
      </c>
      <c r="C190" s="104">
        <f ca="1">SUM(ExpBase!C1395:C1396)</f>
        <v>101.98785075672198</v>
      </c>
      <c r="D190" s="103" t="s">
        <v>267</v>
      </c>
      <c r="E190">
        <f ca="1">C190*(Units!D499)</f>
        <v>50.293256142287717</v>
      </c>
      <c r="I190" s="846"/>
      <c r="J190" s="127"/>
    </row>
    <row r="191" spans="1:16" x14ac:dyDescent="0.2">
      <c r="A191" s="375" t="s">
        <v>1555</v>
      </c>
      <c r="B191" s="103" t="s">
        <v>267</v>
      </c>
      <c r="C191" s="104">
        <f ca="1">SUM(ExpBase!C1397:C1398)</f>
        <v>67.553669293241285</v>
      </c>
      <c r="D191" s="103" t="s">
        <v>267</v>
      </c>
      <c r="E191">
        <f ca="1">C191*(Units!D500)</f>
        <v>37.26232477065998</v>
      </c>
      <c r="I191" s="846"/>
      <c r="J191" s="127"/>
    </row>
    <row r="192" spans="1:16" x14ac:dyDescent="0.2">
      <c r="A192" s="375" t="s">
        <v>1556</v>
      </c>
      <c r="B192" s="103" t="s">
        <v>267</v>
      </c>
      <c r="C192" s="104">
        <f ca="1">SUM(ExpBase!C1399:C1400)</f>
        <v>0</v>
      </c>
      <c r="D192" s="103" t="s">
        <v>267</v>
      </c>
      <c r="E192">
        <f ca="1">C192*(Units!D501)</f>
        <v>0</v>
      </c>
      <c r="I192" s="846"/>
      <c r="J192" s="127"/>
    </row>
    <row r="193" spans="1:10" x14ac:dyDescent="0.2">
      <c r="A193" s="375" t="s">
        <v>1557</v>
      </c>
      <c r="B193" s="103" t="s">
        <v>267</v>
      </c>
      <c r="C193" s="104">
        <f ca="1">SUM(ExpBase!C1401:C1402)</f>
        <v>113.50745841553164</v>
      </c>
      <c r="D193" s="103" t="s">
        <v>267</v>
      </c>
      <c r="E193">
        <f ca="1">C193*(Units!D502)</f>
        <v>67.411890972554914</v>
      </c>
      <c r="I193" s="846"/>
      <c r="J193" s="127"/>
    </row>
    <row r="194" spans="1:10" x14ac:dyDescent="0.2">
      <c r="A194" s="375" t="s">
        <v>1558</v>
      </c>
      <c r="B194" s="103" t="s">
        <v>267</v>
      </c>
      <c r="C194" s="104">
        <f ca="1">SUM(ExpBase!C1403:C1404)</f>
        <v>18.68048554630419</v>
      </c>
      <c r="D194" s="103" t="s">
        <v>267</v>
      </c>
      <c r="E194">
        <f ca="1">C194*(Units!D503)</f>
        <v>11.094309330333248</v>
      </c>
      <c r="I194" s="846"/>
      <c r="J194" s="127"/>
    </row>
    <row r="195" spans="1:10" x14ac:dyDescent="0.2">
      <c r="A195" s="375" t="s">
        <v>1559</v>
      </c>
      <c r="B195" s="103" t="s">
        <v>267</v>
      </c>
      <c r="C195" s="104">
        <f ca="1">SUM(ExpBase!C1405:C1406)</f>
        <v>473.72788603073855</v>
      </c>
      <c r="D195" s="103" t="s">
        <v>267</v>
      </c>
      <c r="E195">
        <f ca="1">C195*(Units!D504)</f>
        <v>296.48001593305429</v>
      </c>
      <c r="I195" s="846"/>
      <c r="J195" s="127"/>
    </row>
    <row r="196" spans="1:10" x14ac:dyDescent="0.2">
      <c r="A196" s="375" t="s">
        <v>1560</v>
      </c>
      <c r="B196" s="103" t="s">
        <v>267</v>
      </c>
      <c r="C196" s="104">
        <f ca="1">SUM(ExpBase!C1407:C1408)</f>
        <v>27.70567397476243</v>
      </c>
      <c r="D196" s="103" t="s">
        <v>267</v>
      </c>
      <c r="E196">
        <f ca="1">C196*(Units!D505)</f>
        <v>18.03367616920416</v>
      </c>
      <c r="I196" s="846"/>
      <c r="J196" s="127"/>
    </row>
    <row r="197" spans="1:10" x14ac:dyDescent="0.2">
      <c r="A197" s="637" t="s">
        <v>3144</v>
      </c>
      <c r="I197" s="846"/>
      <c r="J197" s="127"/>
    </row>
    <row r="198" spans="1:10" x14ac:dyDescent="0.2">
      <c r="A198" s="375" t="s">
        <v>1553</v>
      </c>
      <c r="B198" s="103" t="s">
        <v>267</v>
      </c>
      <c r="C198" s="104">
        <f ca="1">SUM(ExpBase!C1424:C1425)</f>
        <v>20.129901770292079</v>
      </c>
      <c r="D198" s="103" t="s">
        <v>267</v>
      </c>
      <c r="E198">
        <f ca="1">C198*Units!D498</f>
        <v>8.1903878781496662</v>
      </c>
      <c r="F198" s="103" t="s">
        <v>3059</v>
      </c>
      <c r="G198">
        <f ca="1">SUM(E198:E212)/1000</f>
        <v>0.67676162475204982</v>
      </c>
      <c r="H198" s="103" t="s">
        <v>3059</v>
      </c>
      <c r="I198" s="846">
        <f ca="1">G198</f>
        <v>0.67676162475204982</v>
      </c>
      <c r="J198" s="127" t="s">
        <v>3144</v>
      </c>
    </row>
    <row r="199" spans="1:10" x14ac:dyDescent="0.2">
      <c r="A199" s="375" t="s">
        <v>1554</v>
      </c>
      <c r="B199" s="103" t="s">
        <v>267</v>
      </c>
      <c r="C199" s="104">
        <f ca="1">SUM(ExpBase!C1426:C1427)</f>
        <v>64.583967124925039</v>
      </c>
      <c r="D199" s="103" t="s">
        <v>267</v>
      </c>
      <c r="E199">
        <f ca="1">C199*Units!D499</f>
        <v>31.84828366514882</v>
      </c>
      <c r="I199" s="846"/>
      <c r="J199" s="127"/>
    </row>
    <row r="200" spans="1:10" x14ac:dyDescent="0.2">
      <c r="A200" s="375" t="s">
        <v>1555</v>
      </c>
      <c r="B200" s="103" t="s">
        <v>267</v>
      </c>
      <c r="C200" s="104">
        <f ca="1">SUM(ExpBase!C1428:C1429)</f>
        <v>42.778467478541288</v>
      </c>
      <c r="D200" s="103" t="s">
        <v>267</v>
      </c>
      <c r="E200">
        <f ca="1">C200*Units!D500</f>
        <v>23.596425850046355</v>
      </c>
      <c r="I200" s="846"/>
      <c r="J200" s="127"/>
    </row>
    <row r="201" spans="1:10" x14ac:dyDescent="0.2">
      <c r="A201" s="375" t="s">
        <v>1556</v>
      </c>
      <c r="B201" s="103" t="s">
        <v>267</v>
      </c>
      <c r="C201" s="104">
        <f ca="1">SUM(ExpBase!C1430:C1431)</f>
        <v>0</v>
      </c>
      <c r="D201" s="103" t="s">
        <v>267</v>
      </c>
      <c r="E201">
        <f ca="1">C201*Units!D501</f>
        <v>0</v>
      </c>
      <c r="I201" s="846"/>
      <c r="J201" s="127"/>
    </row>
    <row r="202" spans="1:10" x14ac:dyDescent="0.2">
      <c r="A202" s="375" t="s">
        <v>1557</v>
      </c>
      <c r="B202" s="103" t="s">
        <v>267</v>
      </c>
      <c r="C202" s="104">
        <f ca="1">SUM(ExpBase!C1432:C1433)</f>
        <v>71.878776818515547</v>
      </c>
      <c r="D202" s="103" t="s">
        <v>267</v>
      </c>
      <c r="E202">
        <f ca="1">C202*Units!D502</f>
        <v>42.688686133662486</v>
      </c>
      <c r="I202" s="846"/>
      <c r="J202" s="127"/>
    </row>
    <row r="203" spans="1:10" x14ac:dyDescent="0.2">
      <c r="A203" s="375" t="s">
        <v>1558</v>
      </c>
      <c r="B203" s="103" t="s">
        <v>267</v>
      </c>
      <c r="C203" s="104">
        <f ca="1">SUM(ExpBase!C1434:C1435)</f>
        <v>11.829446894395215</v>
      </c>
      <c r="D203" s="103" t="s">
        <v>267</v>
      </c>
      <c r="E203">
        <f ca="1">C203*Units!D503</f>
        <v>7.0254888572280914</v>
      </c>
      <c r="I203" s="846"/>
      <c r="J203" s="127"/>
    </row>
    <row r="204" spans="1:10" x14ac:dyDescent="0.2">
      <c r="A204" s="375" t="s">
        <v>1559</v>
      </c>
      <c r="B204" s="103" t="s">
        <v>267</v>
      </c>
      <c r="C204" s="104">
        <f ca="1">SUM(ExpBase!C1436:C1437)</f>
        <v>299.98892996137522</v>
      </c>
      <c r="D204" s="103" t="s">
        <v>267</v>
      </c>
      <c r="E204">
        <f ca="1">C204*Units!D504</f>
        <v>187.74643705250949</v>
      </c>
      <c r="H204" s="103" t="s">
        <v>3059</v>
      </c>
      <c r="I204" s="846">
        <f ca="1">SUM(I185:I186)-SUM(I189,I198)</f>
        <v>1.2307670769943608</v>
      </c>
      <c r="J204" s="127" t="s">
        <v>3097</v>
      </c>
    </row>
    <row r="205" spans="1:10" x14ac:dyDescent="0.2">
      <c r="A205" s="375" t="s">
        <v>1560</v>
      </c>
      <c r="B205" s="103" t="s">
        <v>267</v>
      </c>
      <c r="C205" s="104">
        <f ca="1">SUM(ExpBase!C1438:C1439)</f>
        <v>17.560361386176286</v>
      </c>
      <c r="D205" s="103" t="s">
        <v>267</v>
      </c>
      <c r="E205">
        <f ca="1">C205*Units!D505</f>
        <v>11.430072805338266</v>
      </c>
      <c r="I205" s="846"/>
      <c r="J205" s="127"/>
    </row>
    <row r="206" spans="1:10" ht="16" x14ac:dyDescent="0.2">
      <c r="A206" s="740" t="s">
        <v>409</v>
      </c>
      <c r="B206" s="103" t="s">
        <v>267</v>
      </c>
      <c r="C206" s="1098">
        <v>56</v>
      </c>
      <c r="D206" s="103" t="s">
        <v>267</v>
      </c>
      <c r="E206">
        <f>C206*Units!D529</f>
        <v>29.199739526807033</v>
      </c>
      <c r="I206" s="846"/>
      <c r="J206" s="127"/>
    </row>
    <row r="207" spans="1:10" ht="16" x14ac:dyDescent="0.2">
      <c r="A207" s="740" t="s">
        <v>410</v>
      </c>
      <c r="B207" s="103" t="s">
        <v>267</v>
      </c>
      <c r="C207" s="104">
        <f ca="1">ExpBase!C1452</f>
        <v>0</v>
      </c>
      <c r="D207" s="103" t="s">
        <v>267</v>
      </c>
      <c r="E207">
        <f ca="1">C207*Units!D530</f>
        <v>0</v>
      </c>
      <c r="I207" s="846"/>
      <c r="J207" s="127"/>
    </row>
    <row r="208" spans="1:10" ht="16" x14ac:dyDescent="0.2">
      <c r="A208" s="740" t="s">
        <v>412</v>
      </c>
      <c r="B208" s="103" t="s">
        <v>267</v>
      </c>
      <c r="C208" s="104">
        <f ca="1">ExpBase!C1453</f>
        <v>168.97133526808219</v>
      </c>
      <c r="D208" s="103" t="s">
        <v>267</v>
      </c>
      <c r="E208">
        <f ca="1">C208*Units!D531</f>
        <v>109.52588817619724</v>
      </c>
      <c r="I208" s="846"/>
      <c r="J208" s="127"/>
    </row>
    <row r="209" spans="1:10" ht="16" x14ac:dyDescent="0.2">
      <c r="A209" s="740" t="s">
        <v>411</v>
      </c>
      <c r="B209" s="103" t="s">
        <v>267</v>
      </c>
      <c r="C209" s="104">
        <f ca="1">ExpBase!C1454</f>
        <v>0</v>
      </c>
      <c r="D209" s="103" t="s">
        <v>267</v>
      </c>
      <c r="E209">
        <f ca="1">C209*Units!D532</f>
        <v>0</v>
      </c>
      <c r="I209" s="846"/>
      <c r="J209" s="127"/>
    </row>
    <row r="210" spans="1:10" ht="16" x14ac:dyDescent="0.2">
      <c r="A210" s="740" t="s">
        <v>413</v>
      </c>
      <c r="B210" s="103" t="s">
        <v>267</v>
      </c>
      <c r="C210" s="104">
        <f ca="1">ExpBase!C1455</f>
        <v>257.94094681756752</v>
      </c>
      <c r="D210" s="103" t="s">
        <v>267</v>
      </c>
      <c r="E210">
        <f ca="1">C210*Units!D533</f>
        <v>175.73049984264338</v>
      </c>
      <c r="I210" s="846"/>
      <c r="J210" s="127"/>
    </row>
    <row r="211" spans="1:10" ht="16" x14ac:dyDescent="0.2">
      <c r="A211" s="740" t="s">
        <v>414</v>
      </c>
      <c r="B211" s="103" t="s">
        <v>267</v>
      </c>
      <c r="C211" s="104">
        <f ca="1">ExpBase!C1456</f>
        <v>1.6975930307415898</v>
      </c>
      <c r="D211" s="103" t="s">
        <v>267</v>
      </c>
      <c r="E211">
        <f ca="1">C211*Units!D534</f>
        <v>1.1565394153282604</v>
      </c>
      <c r="I211" s="846"/>
      <c r="J211" s="127"/>
    </row>
    <row r="212" spans="1:10" ht="16" x14ac:dyDescent="0.2">
      <c r="A212" s="742" t="s">
        <v>415</v>
      </c>
      <c r="B212" s="183" t="s">
        <v>267</v>
      </c>
      <c r="C212" s="1097">
        <f ca="1">ExpBase!C1457</f>
        <v>69.339268880883736</v>
      </c>
      <c r="D212" s="183" t="s">
        <v>267</v>
      </c>
      <c r="E212" s="118">
        <f ca="1">C212*Units!D535</f>
        <v>48.623175548990638</v>
      </c>
      <c r="F212" s="183"/>
      <c r="G212" s="118"/>
      <c r="H212" s="183"/>
      <c r="I212" s="1094"/>
      <c r="J212" s="120"/>
    </row>
    <row r="213" spans="1:10" x14ac:dyDescent="0.2">
      <c r="C213" s="104"/>
      <c r="I213" s="846"/>
    </row>
    <row r="214" spans="1:10" ht="16" thickBot="1" x14ac:dyDescent="0.25">
      <c r="C214" s="104"/>
      <c r="I214" s="846"/>
    </row>
    <row r="215" spans="1:10" ht="16" thickBot="1" x14ac:dyDescent="0.25">
      <c r="A215" s="1101" t="s">
        <v>1725</v>
      </c>
      <c r="B215" s="644"/>
      <c r="C215" s="644"/>
      <c r="D215" s="644"/>
      <c r="E215" s="645"/>
      <c r="F215" s="645"/>
      <c r="G215" s="645"/>
      <c r="H215" s="645"/>
      <c r="I215" s="645"/>
      <c r="J215" s="1100"/>
    </row>
    <row r="216" spans="1:10" x14ac:dyDescent="0.2">
      <c r="A216" s="29" t="s">
        <v>580</v>
      </c>
      <c r="B216" s="1086" t="s">
        <v>372</v>
      </c>
      <c r="C216" s="977" t="s">
        <v>42</v>
      </c>
      <c r="D216" s="977" t="s">
        <v>372</v>
      </c>
      <c r="E216" s="977" t="s">
        <v>3025</v>
      </c>
      <c r="F216" s="977" t="s">
        <v>372</v>
      </c>
      <c r="G216" s="977" t="s">
        <v>3024</v>
      </c>
      <c r="H216" s="977" t="s">
        <v>372</v>
      </c>
      <c r="I216" s="977" t="s">
        <v>3060</v>
      </c>
      <c r="J216" s="977" t="s">
        <v>3063</v>
      </c>
    </row>
    <row r="217" spans="1:10" x14ac:dyDescent="0.2">
      <c r="A217" s="29" t="s">
        <v>1695</v>
      </c>
      <c r="B217" s="976"/>
      <c r="C217" s="31"/>
      <c r="D217" s="976"/>
      <c r="E217" s="31"/>
      <c r="F217" s="976"/>
      <c r="G217" s="31"/>
      <c r="H217" s="976" t="s">
        <v>3059</v>
      </c>
      <c r="I217" s="1099">
        <f ca="1">I189</f>
        <v>0.49350933436352418</v>
      </c>
      <c r="J217" s="32" t="s">
        <v>3143</v>
      </c>
    </row>
    <row r="218" spans="1:10" x14ac:dyDescent="0.2">
      <c r="A218" s="993" t="s">
        <v>1696</v>
      </c>
      <c r="B218" s="192"/>
      <c r="C218" s="110"/>
      <c r="D218" s="192"/>
      <c r="E218" s="110"/>
      <c r="F218" s="192"/>
      <c r="G218" s="110"/>
      <c r="H218" s="192"/>
      <c r="I218" s="1093"/>
      <c r="J218" s="112"/>
    </row>
    <row r="219" spans="1:10" x14ac:dyDescent="0.2">
      <c r="A219" s="317" t="s">
        <v>1553</v>
      </c>
      <c r="B219" s="103" t="s">
        <v>267</v>
      </c>
      <c r="C219" s="100">
        <f ca="1">ExpBase!I1513</f>
        <v>2.5600813093533716</v>
      </c>
      <c r="D219" s="103" t="s">
        <v>267</v>
      </c>
      <c r="E219" s="100">
        <f ca="1">Units!D498*C219</f>
        <v>1.0416374189242326</v>
      </c>
      <c r="F219" s="103" t="s">
        <v>3059</v>
      </c>
      <c r="G219" s="100">
        <f ca="1">SUM(E219:E226)/1000</f>
        <v>0.45378381389503608</v>
      </c>
      <c r="H219" s="103" t="s">
        <v>3059</v>
      </c>
      <c r="I219" s="846">
        <f ca="1">G219</f>
        <v>0.45378381389503608</v>
      </c>
      <c r="J219" s="127" t="s">
        <v>3146</v>
      </c>
    </row>
    <row r="220" spans="1:10" x14ac:dyDescent="0.2">
      <c r="A220" s="317" t="s">
        <v>1554</v>
      </c>
      <c r="B220" s="103" t="s">
        <v>267</v>
      </c>
      <c r="C220" s="100">
        <f ca="1">ExpBase!I1515</f>
        <v>46.39614449105953</v>
      </c>
      <c r="D220" s="103" t="s">
        <v>267</v>
      </c>
      <c r="E220" s="100">
        <f ca="1">Units!D499*C220</f>
        <v>22.879324954787851</v>
      </c>
      <c r="I220" s="846"/>
      <c r="J220" s="127"/>
    </row>
    <row r="221" spans="1:10" x14ac:dyDescent="0.2">
      <c r="A221" s="317" t="s">
        <v>1555</v>
      </c>
      <c r="B221" s="103" t="s">
        <v>267</v>
      </c>
      <c r="C221" s="100">
        <f ca="1">ExpBase!I1517</f>
        <v>66.921872673640266</v>
      </c>
      <c r="D221" s="103" t="s">
        <v>267</v>
      </c>
      <c r="E221" s="100">
        <f ca="1">Units!D500*C221</f>
        <v>36.913828366617366</v>
      </c>
      <c r="I221" s="846"/>
      <c r="J221" s="127"/>
    </row>
    <row r="222" spans="1:10" x14ac:dyDescent="0.2">
      <c r="A222" s="317" t="s">
        <v>1556</v>
      </c>
      <c r="B222" s="103" t="s">
        <v>267</v>
      </c>
      <c r="C222" s="100">
        <f ca="1">ExpBase!I1519</f>
        <v>0</v>
      </c>
      <c r="D222" s="103" t="s">
        <v>267</v>
      </c>
      <c r="E222" s="100">
        <f ca="1">Units!D501*C222</f>
        <v>0</v>
      </c>
      <c r="H222" s="103" t="s">
        <v>3059</v>
      </c>
      <c r="I222" s="846">
        <f ca="1">I217-I219</f>
        <v>3.9725520468488096E-2</v>
      </c>
      <c r="J222" s="127" t="s">
        <v>3097</v>
      </c>
    </row>
    <row r="223" spans="1:10" x14ac:dyDescent="0.2">
      <c r="A223" s="317" t="s">
        <v>1557</v>
      </c>
      <c r="B223" s="103" t="s">
        <v>267</v>
      </c>
      <c r="C223" s="100">
        <f ca="1">ExpBase!I1521</f>
        <v>113.4870114018134</v>
      </c>
      <c r="D223" s="103" t="s">
        <v>267</v>
      </c>
      <c r="E223" s="100">
        <f ca="1">Units!D502*C223</f>
        <v>67.399747525078155</v>
      </c>
      <c r="I223" s="846"/>
      <c r="J223" s="127"/>
    </row>
    <row r="224" spans="1:10" x14ac:dyDescent="0.2">
      <c r="A224" s="317" t="s">
        <v>1558</v>
      </c>
      <c r="B224" s="103" t="s">
        <v>267</v>
      </c>
      <c r="C224" s="100">
        <f ca="1">ExpBase!I1523</f>
        <v>18.677120479818161</v>
      </c>
      <c r="D224" s="103" t="s">
        <v>267</v>
      </c>
      <c r="E224" s="100">
        <f ca="1">Units!D503*C224</f>
        <v>11.092310822937892</v>
      </c>
      <c r="I224" s="846"/>
      <c r="J224" s="127"/>
    </row>
    <row r="225" spans="1:15" x14ac:dyDescent="0.2">
      <c r="A225" s="317" t="s">
        <v>1559</v>
      </c>
      <c r="B225" s="103" t="s">
        <v>267</v>
      </c>
      <c r="C225" s="100">
        <f ca="1">ExpBase!I1525</f>
        <v>473.64244667697852</v>
      </c>
      <c r="D225" s="103" t="s">
        <v>267</v>
      </c>
      <c r="E225" s="100">
        <f ca="1">Units!D504*C225</f>
        <v>296.42654417909802</v>
      </c>
      <c r="I225" s="846"/>
      <c r="J225" s="127"/>
    </row>
    <row r="226" spans="1:15" x14ac:dyDescent="0.2">
      <c r="A226" s="318" t="s">
        <v>1560</v>
      </c>
      <c r="B226" s="183" t="s">
        <v>267</v>
      </c>
      <c r="C226" s="168">
        <f ca="1">ExpBase!I1527</f>
        <v>27.700672389192444</v>
      </c>
      <c r="D226" s="183" t="s">
        <v>267</v>
      </c>
      <c r="E226" s="168">
        <f ca="1">Units!D505*C226</f>
        <v>18.03042062759258</v>
      </c>
      <c r="F226" s="183"/>
      <c r="G226" s="118"/>
      <c r="H226" s="183"/>
      <c r="I226" s="1094"/>
      <c r="J226" s="120"/>
    </row>
    <row r="227" spans="1:15" x14ac:dyDescent="0.2">
      <c r="I227" s="846"/>
    </row>
    <row r="228" spans="1:15" x14ac:dyDescent="0.2">
      <c r="I228" s="846"/>
    </row>
    <row r="229" spans="1:15" ht="16" thickBot="1" x14ac:dyDescent="0.25">
      <c r="I229" s="846"/>
    </row>
    <row r="230" spans="1:15" ht="16" thickBot="1" x14ac:dyDescent="0.25">
      <c r="A230" s="759" t="s">
        <v>1942</v>
      </c>
      <c r="B230" s="760"/>
      <c r="C230" s="760"/>
      <c r="D230" s="760"/>
      <c r="E230" s="760"/>
      <c r="F230" s="760"/>
      <c r="G230" s="760"/>
      <c r="H230" s="760"/>
      <c r="I230" s="760"/>
      <c r="J230" s="760"/>
      <c r="K230" s="760"/>
      <c r="L230" s="760"/>
      <c r="M230" s="760"/>
      <c r="N230" s="760"/>
      <c r="O230" s="761"/>
    </row>
    <row r="231" spans="1:15" x14ac:dyDescent="0.2">
      <c r="A231" s="266" t="s">
        <v>580</v>
      </c>
      <c r="B231" s="977" t="s">
        <v>372</v>
      </c>
      <c r="C231" s="977" t="s">
        <v>42</v>
      </c>
      <c r="D231" s="977" t="s">
        <v>372</v>
      </c>
      <c r="E231" s="977" t="s">
        <v>3025</v>
      </c>
      <c r="F231" s="977" t="s">
        <v>372</v>
      </c>
      <c r="G231" s="977" t="s">
        <v>3024</v>
      </c>
      <c r="H231" s="977" t="s">
        <v>372</v>
      </c>
      <c r="I231" s="977" t="s">
        <v>3060</v>
      </c>
      <c r="J231" s="977" t="s">
        <v>3063</v>
      </c>
    </row>
    <row r="232" spans="1:15" x14ac:dyDescent="0.2">
      <c r="A232" s="29" t="s">
        <v>1695</v>
      </c>
      <c r="B232" s="976"/>
      <c r="C232" s="31"/>
      <c r="D232" s="976"/>
      <c r="E232" s="31"/>
      <c r="F232" s="976"/>
      <c r="G232" s="31"/>
      <c r="H232" s="976" t="s">
        <v>3059</v>
      </c>
      <c r="I232" s="1099">
        <f ca="1">I198</f>
        <v>0.67676162475204982</v>
      </c>
      <c r="J232" s="32" t="s">
        <v>3147</v>
      </c>
    </row>
    <row r="233" spans="1:15" x14ac:dyDescent="0.2">
      <c r="A233" s="993" t="s">
        <v>1696</v>
      </c>
      <c r="B233" s="192"/>
      <c r="C233" s="110"/>
      <c r="D233" s="192"/>
      <c r="E233" s="110"/>
      <c r="F233" s="192"/>
      <c r="G233" s="110"/>
      <c r="H233" s="192"/>
      <c r="I233" s="1093"/>
      <c r="J233" s="112"/>
    </row>
    <row r="234" spans="1:15" x14ac:dyDescent="0.2">
      <c r="A234" s="317" t="s">
        <v>1553</v>
      </c>
      <c r="B234" s="103" t="s">
        <v>267</v>
      </c>
      <c r="C234" s="100">
        <f ca="1">SUM(ExpBase!C1724,ExpBase!C1732)</f>
        <v>3.5512881288717044</v>
      </c>
      <c r="D234" s="103" t="s">
        <v>267</v>
      </c>
      <c r="E234" s="100">
        <f ca="1">C234*Units!D498</f>
        <v>1.4449363724890933</v>
      </c>
      <c r="F234" s="103" t="s">
        <v>3059</v>
      </c>
      <c r="G234" s="100">
        <f ca="1">SUM(E234:E248)/1000</f>
        <v>0.46937173653882674</v>
      </c>
      <c r="H234" s="103" t="s">
        <v>3059</v>
      </c>
      <c r="I234" s="846">
        <f ca="1">G234</f>
        <v>0.46937173653882674</v>
      </c>
      <c r="J234" s="127" t="s">
        <v>3148</v>
      </c>
    </row>
    <row r="235" spans="1:15" x14ac:dyDescent="0.2">
      <c r="A235" s="317" t="s">
        <v>1554</v>
      </c>
      <c r="B235" s="103" t="s">
        <v>267</v>
      </c>
      <c r="C235" s="100">
        <f ca="1">SUM(ExpBase!C1725,ExpBase!C1733)</f>
        <v>21.909390320725734</v>
      </c>
      <c r="D235" s="103" t="s">
        <v>267</v>
      </c>
      <c r="E235" s="100">
        <f ca="1">C235*Units!D499</f>
        <v>10.80417492030533</v>
      </c>
      <c r="I235" s="846"/>
      <c r="J235" s="127"/>
    </row>
    <row r="236" spans="1:15" x14ac:dyDescent="0.2">
      <c r="A236" s="317" t="s">
        <v>1555</v>
      </c>
      <c r="B236" s="103" t="s">
        <v>267</v>
      </c>
      <c r="C236" s="100">
        <f ca="1">SUM(ExpBase!C1726,ExpBase!C1734)</f>
        <v>20.006591510472987</v>
      </c>
      <c r="D236" s="103" t="s">
        <v>267</v>
      </c>
      <c r="E236" s="100">
        <f ca="1">C236*Units!D500</f>
        <v>11.035553186327945</v>
      </c>
      <c r="H236" s="103" t="s">
        <v>3059</v>
      </c>
      <c r="I236" s="846">
        <f ca="1">I232-I234</f>
        <v>0.20738988821322307</v>
      </c>
      <c r="J236" s="127" t="s">
        <v>3097</v>
      </c>
    </row>
    <row r="237" spans="1:15" x14ac:dyDescent="0.2">
      <c r="A237" s="317" t="s">
        <v>1556</v>
      </c>
      <c r="B237" s="103" t="s">
        <v>267</v>
      </c>
      <c r="C237" s="100">
        <f ca="1">SUM(ExpBase!C1727,ExpBase!C1735)</f>
        <v>0</v>
      </c>
      <c r="D237" s="103" t="s">
        <v>267</v>
      </c>
      <c r="E237" s="100">
        <f ca="1">C237*Units!D501</f>
        <v>0</v>
      </c>
      <c r="I237" s="846"/>
      <c r="J237" s="127"/>
    </row>
    <row r="238" spans="1:15" x14ac:dyDescent="0.2">
      <c r="A238" s="317" t="s">
        <v>1557</v>
      </c>
      <c r="B238" s="103" t="s">
        <v>267</v>
      </c>
      <c r="C238" s="100">
        <f ca="1">SUM(ExpBase!C1728,ExpBase!C1736)</f>
        <v>40.557157449675415</v>
      </c>
      <c r="D238" s="103" t="s">
        <v>267</v>
      </c>
      <c r="E238" s="100">
        <f ca="1">C238*Units!D502</f>
        <v>24.086828428008868</v>
      </c>
      <c r="I238" s="846"/>
      <c r="J238" s="127"/>
    </row>
    <row r="239" spans="1:15" x14ac:dyDescent="0.2">
      <c r="A239" s="317" t="s">
        <v>1558</v>
      </c>
      <c r="B239" s="103" t="s">
        <v>267</v>
      </c>
      <c r="C239" s="100">
        <f ca="1">SUM(ExpBase!C1729,ExpBase!C1737)</f>
        <v>6.820527543622223</v>
      </c>
      <c r="D239" s="103" t="s">
        <v>267</v>
      </c>
      <c r="E239" s="100">
        <f ca="1">C239*Units!D503</f>
        <v>4.0506999765845784</v>
      </c>
      <c r="I239" s="846"/>
      <c r="J239" s="127"/>
    </row>
    <row r="240" spans="1:15" x14ac:dyDescent="0.2">
      <c r="A240" s="317" t="s">
        <v>1559</v>
      </c>
      <c r="B240" s="103" t="s">
        <v>267</v>
      </c>
      <c r="C240" s="100">
        <f ca="1">SUM(ExpBase!C1730,ExpBase!C1738)</f>
        <v>178.73122698060527</v>
      </c>
      <c r="D240" s="103" t="s">
        <v>267</v>
      </c>
      <c r="E240" s="100">
        <f ca="1">C240*Units!D504</f>
        <v>111.85796442539556</v>
      </c>
      <c r="I240" s="846"/>
      <c r="J240" s="127"/>
    </row>
    <row r="241" spans="1:15" x14ac:dyDescent="0.2">
      <c r="A241" s="317" t="s">
        <v>1560</v>
      </c>
      <c r="B241" s="103" t="s">
        <v>267</v>
      </c>
      <c r="C241" s="100">
        <f ca="1">SUM(ExpBase!C1731,ExpBase!C1739)</f>
        <v>13.03385201037322</v>
      </c>
      <c r="D241" s="103" t="s">
        <v>267</v>
      </c>
      <c r="E241" s="100">
        <f ca="1">C241*Units!D505</f>
        <v>8.4837591969973634</v>
      </c>
      <c r="I241" s="846"/>
      <c r="J241" s="127"/>
    </row>
    <row r="242" spans="1:15" ht="16" x14ac:dyDescent="0.2">
      <c r="A242" s="306" t="s">
        <v>409</v>
      </c>
      <c r="B242" s="103" t="s">
        <v>267</v>
      </c>
      <c r="C242" s="104">
        <f>C206</f>
        <v>56</v>
      </c>
      <c r="D242" s="103" t="s">
        <v>267</v>
      </c>
      <c r="E242" s="100">
        <f>C242*Units!D529</f>
        <v>29.199739526807033</v>
      </c>
      <c r="I242" s="846"/>
      <c r="J242" s="127"/>
    </row>
    <row r="243" spans="1:15" ht="16" x14ac:dyDescent="0.2">
      <c r="A243" s="306" t="s">
        <v>410</v>
      </c>
      <c r="B243" s="103" t="s">
        <v>267</v>
      </c>
      <c r="C243" s="100">
        <f ca="1">ExpBase!C1718</f>
        <v>0</v>
      </c>
      <c r="D243" s="103" t="s">
        <v>267</v>
      </c>
      <c r="E243" s="100">
        <f ca="1">C243*Units!D530</f>
        <v>0</v>
      </c>
      <c r="I243" s="846"/>
      <c r="J243" s="127"/>
    </row>
    <row r="244" spans="1:15" ht="16" x14ac:dyDescent="0.2">
      <c r="A244" s="306" t="s">
        <v>412</v>
      </c>
      <c r="B244" s="103" t="s">
        <v>267</v>
      </c>
      <c r="C244" s="100">
        <f ca="1">ExpBase!C1719</f>
        <v>118.7491923234353</v>
      </c>
      <c r="D244" s="103" t="s">
        <v>267</v>
      </c>
      <c r="E244" s="100">
        <f ca="1">C244*Units!D531</f>
        <v>76.972290825514364</v>
      </c>
      <c r="I244" s="846"/>
      <c r="J244" s="127"/>
    </row>
    <row r="245" spans="1:15" ht="16" x14ac:dyDescent="0.2">
      <c r="A245" s="306" t="s">
        <v>411</v>
      </c>
      <c r="B245" s="103" t="s">
        <v>267</v>
      </c>
      <c r="C245" s="100">
        <f ca="1">ExpBase!C1720</f>
        <v>0</v>
      </c>
      <c r="D245" s="103" t="s">
        <v>267</v>
      </c>
      <c r="E245" s="100">
        <f ca="1">C245*Units!D532</f>
        <v>0</v>
      </c>
      <c r="I245" s="846"/>
      <c r="J245" s="127"/>
    </row>
    <row r="246" spans="1:15" ht="16" x14ac:dyDescent="0.2">
      <c r="A246" s="306" t="s">
        <v>413</v>
      </c>
      <c r="B246" s="103" t="s">
        <v>267</v>
      </c>
      <c r="C246" s="100">
        <f ca="1">ExpBase!C1721</f>
        <v>208.00160133117953</v>
      </c>
      <c r="D246" s="103" t="s">
        <v>267</v>
      </c>
      <c r="E246" s="100">
        <f ca="1">C246*Units!D533</f>
        <v>141.7077273731592</v>
      </c>
      <c r="I246" s="846"/>
      <c r="J246" s="127"/>
    </row>
    <row r="247" spans="1:15" ht="16" x14ac:dyDescent="0.2">
      <c r="A247" s="306" t="s">
        <v>414</v>
      </c>
      <c r="B247" s="103" t="s">
        <v>267</v>
      </c>
      <c r="C247" s="100">
        <f ca="1">ExpBase!C1722</f>
        <v>1.584282466853659</v>
      </c>
      <c r="D247" s="103" t="s">
        <v>267</v>
      </c>
      <c r="E247" s="100">
        <f ca="1">C247*Units!D534</f>
        <v>1.0793429784106237</v>
      </c>
      <c r="I247" s="846"/>
      <c r="J247" s="127"/>
    </row>
    <row r="248" spans="1:15" ht="16" x14ac:dyDescent="0.2">
      <c r="A248" s="307" t="s">
        <v>415</v>
      </c>
      <c r="B248" s="183" t="s">
        <v>267</v>
      </c>
      <c r="C248" s="168">
        <f ca="1">ExpBase!C1723</f>
        <v>69.375695687613103</v>
      </c>
      <c r="D248" s="183" t="s">
        <v>267</v>
      </c>
      <c r="E248" s="168">
        <f ca="1">C248*Units!D535</f>
        <v>48.648719328826758</v>
      </c>
      <c r="F248" s="183"/>
      <c r="G248" s="118"/>
      <c r="H248" s="183"/>
      <c r="I248" s="1094"/>
      <c r="J248" s="120"/>
    </row>
    <row r="249" spans="1:15" x14ac:dyDescent="0.2">
      <c r="I249" s="846"/>
    </row>
    <row r="250" spans="1:15" x14ac:dyDescent="0.2">
      <c r="I250" s="846"/>
    </row>
    <row r="251" spans="1:15" ht="16" thickBot="1" x14ac:dyDescent="0.25">
      <c r="I251" s="846"/>
    </row>
    <row r="252" spans="1:15" ht="16" thickBot="1" x14ac:dyDescent="0.25">
      <c r="A252" s="1105" t="s">
        <v>933</v>
      </c>
      <c r="B252" s="672"/>
      <c r="C252" s="672"/>
      <c r="D252" s="776"/>
      <c r="E252" s="672"/>
      <c r="F252" s="776"/>
      <c r="G252" s="776"/>
      <c r="H252" s="776"/>
      <c r="I252" s="776"/>
      <c r="J252" s="776"/>
      <c r="K252" s="776"/>
      <c r="L252" s="776"/>
      <c r="M252" s="776"/>
      <c r="N252" s="776"/>
      <c r="O252" s="776"/>
    </row>
    <row r="253" spans="1:15" x14ac:dyDescent="0.2">
      <c r="A253" s="29" t="s">
        <v>580</v>
      </c>
      <c r="B253" s="1086" t="s">
        <v>372</v>
      </c>
      <c r="C253" s="977" t="s">
        <v>42</v>
      </c>
      <c r="D253" s="977" t="s">
        <v>372</v>
      </c>
      <c r="E253" s="977" t="s">
        <v>3025</v>
      </c>
      <c r="F253" s="977" t="s">
        <v>372</v>
      </c>
      <c r="G253" s="977" t="s">
        <v>3024</v>
      </c>
      <c r="H253" s="977" t="s">
        <v>372</v>
      </c>
      <c r="I253" s="977" t="s">
        <v>3060</v>
      </c>
      <c r="J253" s="977" t="s">
        <v>3063</v>
      </c>
    </row>
    <row r="254" spans="1:15" x14ac:dyDescent="0.2">
      <c r="A254" s="993" t="s">
        <v>1695</v>
      </c>
      <c r="B254" s="192"/>
      <c r="C254" s="110"/>
      <c r="D254" s="192"/>
      <c r="E254" s="110"/>
      <c r="F254" s="192"/>
      <c r="G254" s="110"/>
      <c r="H254" s="192"/>
      <c r="I254" s="1093"/>
      <c r="J254" s="112"/>
    </row>
    <row r="255" spans="1:15" x14ac:dyDescent="0.2">
      <c r="A255" s="260" t="s">
        <v>3149</v>
      </c>
      <c r="F255" s="103" t="s">
        <v>3059</v>
      </c>
      <c r="G255" s="100">
        <f ca="1">G219</f>
        <v>0.45378381389503608</v>
      </c>
      <c r="H255" s="103" t="str">
        <f>F255</f>
        <v>MT/hr</v>
      </c>
      <c r="I255" s="133">
        <f ca="1">G255</f>
        <v>0.45378381389503608</v>
      </c>
      <c r="J255" s="127" t="s">
        <v>3151</v>
      </c>
    </row>
    <row r="256" spans="1:15" x14ac:dyDescent="0.2">
      <c r="A256" s="21" t="s">
        <v>3150</v>
      </c>
      <c r="B256" s="183"/>
      <c r="C256" s="118"/>
      <c r="D256" s="183"/>
      <c r="E256" s="118"/>
      <c r="F256" s="183" t="s">
        <v>3059</v>
      </c>
      <c r="G256" s="1094">
        <f ca="1">I234</f>
        <v>0.46937173653882674</v>
      </c>
      <c r="H256" s="183" t="str">
        <f>F256</f>
        <v>MT/hr</v>
      </c>
      <c r="I256" s="1102">
        <f ca="1">G256</f>
        <v>0.46937173653882674</v>
      </c>
      <c r="J256" s="120" t="s">
        <v>3152</v>
      </c>
    </row>
    <row r="257" spans="1:10" x14ac:dyDescent="0.2">
      <c r="A257" s="993" t="s">
        <v>1696</v>
      </c>
      <c r="B257" s="192"/>
      <c r="C257" s="110"/>
      <c r="D257" s="192"/>
      <c r="E257" s="110"/>
      <c r="F257" s="192"/>
      <c r="G257" s="110"/>
      <c r="H257" s="192"/>
      <c r="I257" s="1103"/>
      <c r="J257" s="112"/>
    </row>
    <row r="258" spans="1:10" x14ac:dyDescent="0.2">
      <c r="A258" s="638" t="s">
        <v>2149</v>
      </c>
      <c r="B258" s="172" t="s">
        <v>267</v>
      </c>
      <c r="C258" s="100">
        <f ca="1">ExpBase!E1847</f>
        <v>3.072674839432715</v>
      </c>
      <c r="D258" s="172" t="s">
        <v>267</v>
      </c>
      <c r="E258" s="100">
        <f ca="1">C258*Units!D537</f>
        <v>1.6754464871831274</v>
      </c>
      <c r="F258" s="103" t="s">
        <v>3059</v>
      </c>
      <c r="G258" s="100">
        <f ca="1">SUM(E258:E289)/1000</f>
        <v>0.44477190269475142</v>
      </c>
      <c r="H258" s="103" t="str">
        <f>F258</f>
        <v>MT/hr</v>
      </c>
      <c r="I258" s="133">
        <f ca="1">G258</f>
        <v>0.44477190269475142</v>
      </c>
      <c r="J258" s="127" t="s">
        <v>3153</v>
      </c>
    </row>
    <row r="259" spans="1:10" x14ac:dyDescent="0.2">
      <c r="A259" s="638" t="s">
        <v>2150</v>
      </c>
      <c r="B259" s="172" t="s">
        <v>267</v>
      </c>
      <c r="C259" s="100">
        <f ca="1">ExpBase!E1848</f>
        <v>11.29443953737124</v>
      </c>
      <c r="D259" s="172" t="s">
        <v>267</v>
      </c>
      <c r="E259" s="100">
        <f ca="1">C259*Units!D538</f>
        <v>6.6498781021257818</v>
      </c>
      <c r="I259" s="1104"/>
      <c r="J259" s="127"/>
    </row>
    <row r="260" spans="1:10" x14ac:dyDescent="0.2">
      <c r="A260" s="638" t="s">
        <v>2151</v>
      </c>
      <c r="B260" s="172" t="s">
        <v>267</v>
      </c>
      <c r="C260" s="100">
        <f ca="1">ExpBase!E1849</f>
        <v>29.616405695518857</v>
      </c>
      <c r="D260" s="172" t="s">
        <v>267</v>
      </c>
      <c r="E260" s="100">
        <f ca="1">C260*Units!D539</f>
        <v>18.399447352183294</v>
      </c>
      <c r="H260" s="103" t="s">
        <v>3059</v>
      </c>
      <c r="I260" s="1104">
        <f ca="1">SUM(G255:G256)-G258</f>
        <v>0.47838364773911146</v>
      </c>
      <c r="J260" s="127" t="s">
        <v>3097</v>
      </c>
    </row>
    <row r="261" spans="1:10" x14ac:dyDescent="0.2">
      <c r="A261" s="638" t="s">
        <v>2152</v>
      </c>
      <c r="B261" s="172" t="s">
        <v>267</v>
      </c>
      <c r="C261" s="100">
        <f ca="1">ExpBase!E1850</f>
        <v>14.642897698926205</v>
      </c>
      <c r="D261" s="172" t="s">
        <v>267</v>
      </c>
      <c r="E261" s="100">
        <f ca="1">C261*Units!D540</f>
        <v>9.0970264273346206</v>
      </c>
      <c r="I261" s="846"/>
      <c r="J261" s="127"/>
    </row>
    <row r="262" spans="1:10" x14ac:dyDescent="0.2">
      <c r="A262" s="638" t="s">
        <v>2153</v>
      </c>
      <c r="B262" s="172" t="s">
        <v>267</v>
      </c>
      <c r="C262" s="100">
        <f ca="1">ExpBase!E1851</f>
        <v>40.709978395133398</v>
      </c>
      <c r="D262" s="172" t="s">
        <v>267</v>
      </c>
      <c r="E262" s="100">
        <f ca="1">C262*Units!D541</f>
        <v>26.329021950212542</v>
      </c>
      <c r="I262" s="846"/>
      <c r="J262" s="127"/>
    </row>
    <row r="263" spans="1:10" x14ac:dyDescent="0.2">
      <c r="A263" s="638" t="s">
        <v>2156</v>
      </c>
      <c r="B263" s="172" t="s">
        <v>267</v>
      </c>
      <c r="C263" s="100">
        <f ca="1">ExpBase!E1852</f>
        <v>12.584955187657799</v>
      </c>
      <c r="D263" s="172" t="s">
        <v>267</v>
      </c>
      <c r="E263" s="100">
        <f ca="1">C263*Units!D542</f>
        <v>8.1392713639438838</v>
      </c>
      <c r="I263" s="846"/>
      <c r="J263" s="127"/>
    </row>
    <row r="264" spans="1:10" x14ac:dyDescent="0.2">
      <c r="A264" s="638" t="s">
        <v>2154</v>
      </c>
      <c r="B264" s="172" t="s">
        <v>267</v>
      </c>
      <c r="C264" s="100">
        <f ca="1">ExpBase!E1853</f>
        <v>47.177007149914651</v>
      </c>
      <c r="D264" s="172" t="s">
        <v>267</v>
      </c>
      <c r="E264" s="100">
        <f ca="1">C264*Units!D543</f>
        <v>31.481793398078349</v>
      </c>
      <c r="I264" s="846"/>
      <c r="J264" s="127"/>
    </row>
    <row r="265" spans="1:10" x14ac:dyDescent="0.2">
      <c r="A265" s="638" t="s">
        <v>2155</v>
      </c>
      <c r="B265" s="172" t="s">
        <v>267</v>
      </c>
      <c r="C265" s="100">
        <f ca="1">ExpBase!E1854</f>
        <v>20.799056580329591</v>
      </c>
      <c r="D265" s="172" t="s">
        <v>267</v>
      </c>
      <c r="E265" s="100">
        <f ca="1">C265*Units!D544</f>
        <v>13.879464631067906</v>
      </c>
      <c r="I265" s="846"/>
      <c r="J265" s="127"/>
    </row>
    <row r="266" spans="1:10" x14ac:dyDescent="0.2">
      <c r="A266" s="638" t="s">
        <v>2157</v>
      </c>
      <c r="B266" s="172" t="s">
        <v>267</v>
      </c>
      <c r="C266" s="100">
        <f ca="1">ExpBase!E1855</f>
        <v>65.915193424708932</v>
      </c>
      <c r="D266" s="172" t="s">
        <v>267</v>
      </c>
      <c r="E266" s="100">
        <f ca="1">C266*Units!D545</f>
        <v>45.097256291250702</v>
      </c>
      <c r="I266" s="846"/>
      <c r="J266" s="127"/>
    </row>
    <row r="267" spans="1:10" x14ac:dyDescent="0.2">
      <c r="A267" s="638" t="s">
        <v>2158</v>
      </c>
      <c r="B267" s="172" t="s">
        <v>267</v>
      </c>
      <c r="C267" s="100">
        <f ca="1">ExpBase!E1856</f>
        <v>49.344215984895563</v>
      </c>
      <c r="D267" s="172" t="s">
        <v>267</v>
      </c>
      <c r="E267" s="100">
        <f ca="1">C267*Units!D546</f>
        <v>33.759875973109018</v>
      </c>
      <c r="I267" s="846"/>
      <c r="J267" s="127"/>
    </row>
    <row r="268" spans="1:10" x14ac:dyDescent="0.2">
      <c r="A268" s="638" t="s">
        <v>2159</v>
      </c>
      <c r="B268" s="172" t="s">
        <v>267</v>
      </c>
      <c r="C268" s="100">
        <f ca="1">ExpBase!E1857</f>
        <v>91.422732036175077</v>
      </c>
      <c r="D268" s="172" t="s">
        <v>267</v>
      </c>
      <c r="E268" s="100">
        <f ca="1">C268*Units!D547</f>
        <v>63.856670005493818</v>
      </c>
      <c r="I268" s="846"/>
      <c r="J268" s="127"/>
    </row>
    <row r="269" spans="1:10" x14ac:dyDescent="0.2">
      <c r="A269" s="638" t="s">
        <v>2160</v>
      </c>
      <c r="B269" s="172" t="s">
        <v>267</v>
      </c>
      <c r="C269" s="100">
        <f ca="1">ExpBase!E1858</f>
        <v>48.644368591060548</v>
      </c>
      <c r="D269" s="172" t="s">
        <v>267</v>
      </c>
      <c r="E269" s="100">
        <f ca="1">C269*Units!D548</f>
        <v>33.97696966128558</v>
      </c>
      <c r="I269" s="846"/>
      <c r="J269" s="127"/>
    </row>
    <row r="270" spans="1:10" x14ac:dyDescent="0.2">
      <c r="A270" s="638" t="s">
        <v>2161</v>
      </c>
      <c r="B270" s="172" t="s">
        <v>267</v>
      </c>
      <c r="C270" s="100">
        <f ca="1">ExpBase!E1859</f>
        <v>148.80522681111214</v>
      </c>
      <c r="D270" s="172" t="s">
        <v>267</v>
      </c>
      <c r="E270" s="100">
        <f ca="1">C270*Units!D549</f>
        <v>105.73262277353989</v>
      </c>
      <c r="I270" s="846"/>
      <c r="J270" s="127"/>
    </row>
    <row r="271" spans="1:10" x14ac:dyDescent="0.2">
      <c r="A271" s="638" t="s">
        <v>2162</v>
      </c>
      <c r="B271" s="172" t="s">
        <v>267</v>
      </c>
      <c r="C271" s="100">
        <f ca="1">ExpBase!E1860</f>
        <v>-2.7150705312499057</v>
      </c>
      <c r="D271" s="172" t="s">
        <v>267</v>
      </c>
      <c r="E271" s="100">
        <f ca="1">C271*Units!D550</f>
        <v>-1.9291763766376218</v>
      </c>
      <c r="I271" s="846"/>
      <c r="J271" s="127"/>
    </row>
    <row r="272" spans="1:10" x14ac:dyDescent="0.2">
      <c r="A272" s="638" t="s">
        <v>2163</v>
      </c>
      <c r="B272" s="172" t="s">
        <v>267</v>
      </c>
      <c r="C272" s="100">
        <f ca="1">ExpBase!E1861</f>
        <v>14.855269587335547</v>
      </c>
      <c r="D272" s="172" t="s">
        <v>267</v>
      </c>
      <c r="E272" s="100">
        <f ca="1">C272*Units!D551</f>
        <v>10.709498864517325</v>
      </c>
      <c r="I272" s="846"/>
      <c r="J272" s="127"/>
    </row>
    <row r="273" spans="1:10" x14ac:dyDescent="0.2">
      <c r="A273" s="638" t="s">
        <v>2164</v>
      </c>
      <c r="B273" s="172" t="s">
        <v>267</v>
      </c>
      <c r="C273" s="100">
        <f ca="1">ExpBase!E1862</f>
        <v>0</v>
      </c>
      <c r="D273" s="172" t="s">
        <v>267</v>
      </c>
      <c r="E273" s="100">
        <f ca="1">C273*Units!D552</f>
        <v>0</v>
      </c>
      <c r="I273" s="846"/>
      <c r="J273" s="127"/>
    </row>
    <row r="274" spans="1:10" x14ac:dyDescent="0.2">
      <c r="A274" s="638" t="s">
        <v>2165</v>
      </c>
      <c r="B274" s="172" t="s">
        <v>267</v>
      </c>
      <c r="C274" s="100">
        <f ca="1">ExpBase!E1863</f>
        <v>0</v>
      </c>
      <c r="D274" s="172" t="s">
        <v>267</v>
      </c>
      <c r="E274" s="100">
        <f ca="1">C274*Units!D553</f>
        <v>0</v>
      </c>
      <c r="I274" s="846"/>
      <c r="J274" s="127"/>
    </row>
    <row r="275" spans="1:10" x14ac:dyDescent="0.2">
      <c r="A275" s="317" t="s">
        <v>400</v>
      </c>
      <c r="B275" s="172" t="s">
        <v>267</v>
      </c>
      <c r="C275" s="100">
        <f ca="1">ExpBase!E1864</f>
        <v>7.958964567258324E-2</v>
      </c>
      <c r="D275" s="172" t="s">
        <v>267</v>
      </c>
      <c r="E275" s="100">
        <f ca="1">C275*Units!D498</f>
        <v>3.2383171889342727E-2</v>
      </c>
      <c r="I275" s="846"/>
      <c r="J275" s="127"/>
    </row>
    <row r="276" spans="1:10" x14ac:dyDescent="0.2">
      <c r="A276" s="317" t="s">
        <v>401</v>
      </c>
      <c r="B276" s="172" t="s">
        <v>267</v>
      </c>
      <c r="C276" s="100">
        <f ca="1">ExpBase!E1865</f>
        <v>0.29873600584492632</v>
      </c>
      <c r="D276" s="172" t="s">
        <v>267</v>
      </c>
      <c r="E276" s="100">
        <f ca="1">C276*Units!D499</f>
        <v>0.14731564935828975</v>
      </c>
      <c r="I276" s="846"/>
      <c r="J276" s="127"/>
    </row>
    <row r="277" spans="1:10" x14ac:dyDescent="0.2">
      <c r="A277" s="317" t="s">
        <v>402</v>
      </c>
      <c r="B277" s="172" t="s">
        <v>267</v>
      </c>
      <c r="C277" s="100">
        <f ca="1">ExpBase!E1866</f>
        <v>0.74721765521691863</v>
      </c>
      <c r="D277" s="172" t="s">
        <v>267</v>
      </c>
      <c r="E277" s="100">
        <f ca="1">C277*Units!D500</f>
        <v>0.41216217023239538</v>
      </c>
      <c r="I277" s="846"/>
      <c r="J277" s="127"/>
    </row>
    <row r="278" spans="1:10" x14ac:dyDescent="0.2">
      <c r="A278" s="317" t="s">
        <v>403</v>
      </c>
      <c r="B278" s="172" t="s">
        <v>267</v>
      </c>
      <c r="C278" s="100">
        <f ca="1">ExpBase!E1867</f>
        <v>0.31423763242350378</v>
      </c>
      <c r="D278" s="172" t="s">
        <v>267</v>
      </c>
      <c r="E278" s="100">
        <f ca="1">C278*Units!D501</f>
        <v>0.17333217924402772</v>
      </c>
      <c r="I278" s="846"/>
      <c r="J278" s="127"/>
    </row>
    <row r="279" spans="1:10" x14ac:dyDescent="0.2">
      <c r="A279" s="317" t="s">
        <v>404</v>
      </c>
      <c r="B279" s="172" t="s">
        <v>267</v>
      </c>
      <c r="C279" s="100">
        <f ca="1">ExpBase!E1868</f>
        <v>-0.19264303648455103</v>
      </c>
      <c r="D279" s="172" t="s">
        <v>267</v>
      </c>
      <c r="E279" s="100">
        <f ca="1">C279*Units!D502</f>
        <v>-0.11441037931249715</v>
      </c>
      <c r="I279" s="846"/>
      <c r="J279" s="127"/>
    </row>
    <row r="280" spans="1:10" x14ac:dyDescent="0.2">
      <c r="A280" s="317" t="s">
        <v>405</v>
      </c>
      <c r="B280" s="172" t="s">
        <v>267</v>
      </c>
      <c r="C280" s="100">
        <f ca="1">ExpBase!E1869</f>
        <v>-2.545195190899991</v>
      </c>
      <c r="D280" s="172" t="s">
        <v>267</v>
      </c>
      <c r="E280" s="100">
        <f ca="1">C280*Units!D503</f>
        <v>-1.511587195307545</v>
      </c>
      <c r="I280" s="846"/>
      <c r="J280" s="127"/>
    </row>
    <row r="281" spans="1:10" x14ac:dyDescent="0.2">
      <c r="A281" s="317" t="s">
        <v>420</v>
      </c>
      <c r="B281" s="172" t="s">
        <v>267</v>
      </c>
      <c r="C281" s="100">
        <f ca="1">ExpBase!E1870</f>
        <v>0</v>
      </c>
      <c r="D281" s="172" t="s">
        <v>267</v>
      </c>
      <c r="E281" s="100">
        <f ca="1">C281*Units!D504</f>
        <v>0</v>
      </c>
      <c r="I281" s="846"/>
      <c r="J281" s="127"/>
    </row>
    <row r="282" spans="1:10" x14ac:dyDescent="0.2">
      <c r="A282" s="317" t="s">
        <v>421</v>
      </c>
      <c r="B282" s="172" t="s">
        <v>267</v>
      </c>
      <c r="C282" s="100">
        <f ca="1">ExpBase!E1871</f>
        <v>0</v>
      </c>
      <c r="D282" s="172" t="s">
        <v>267</v>
      </c>
      <c r="E282" s="100">
        <f ca="1">C282*Units!D505</f>
        <v>0</v>
      </c>
      <c r="I282" s="846"/>
      <c r="J282" s="127"/>
    </row>
    <row r="283" spans="1:10" x14ac:dyDescent="0.2">
      <c r="A283" s="317" t="s">
        <v>409</v>
      </c>
      <c r="B283" s="172" t="s">
        <v>267</v>
      </c>
      <c r="C283" s="100">
        <f ca="1">ExpBase!E1872</f>
        <v>0</v>
      </c>
      <c r="D283" s="172" t="s">
        <v>267</v>
      </c>
      <c r="E283" s="100">
        <f ca="1">C283*Units!D529</f>
        <v>0</v>
      </c>
      <c r="I283" s="846"/>
      <c r="J283" s="127"/>
    </row>
    <row r="284" spans="1:10" x14ac:dyDescent="0.2">
      <c r="A284" s="317" t="s">
        <v>410</v>
      </c>
      <c r="B284" s="172" t="s">
        <v>267</v>
      </c>
      <c r="C284" s="100">
        <f ca="1">ExpBase!E1873</f>
        <v>0</v>
      </c>
      <c r="D284" s="172" t="s">
        <v>267</v>
      </c>
      <c r="E284" s="100">
        <f ca="1">C284*Units!D530</f>
        <v>0</v>
      </c>
      <c r="I284" s="846"/>
      <c r="J284" s="127"/>
    </row>
    <row r="285" spans="1:10" ht="16" x14ac:dyDescent="0.2">
      <c r="A285" s="306" t="s">
        <v>412</v>
      </c>
      <c r="B285" s="172" t="s">
        <v>267</v>
      </c>
      <c r="C285" s="100">
        <f ca="1">ExpBase!E1874</f>
        <v>0</v>
      </c>
      <c r="D285" s="172" t="s">
        <v>267</v>
      </c>
      <c r="E285" s="100">
        <f ca="1">C285*Units!D531</f>
        <v>0</v>
      </c>
      <c r="I285" s="846"/>
      <c r="J285" s="127"/>
    </row>
    <row r="286" spans="1:10" ht="16" x14ac:dyDescent="0.2">
      <c r="A286" s="306" t="s">
        <v>411</v>
      </c>
      <c r="B286" s="172" t="s">
        <v>267</v>
      </c>
      <c r="C286" s="100">
        <f ca="1">ExpBase!E1875</f>
        <v>0</v>
      </c>
      <c r="D286" s="172" t="s">
        <v>267</v>
      </c>
      <c r="E286" s="100">
        <f ca="1">C286*Units!D532</f>
        <v>0</v>
      </c>
      <c r="I286" s="846"/>
      <c r="J286" s="127"/>
    </row>
    <row r="287" spans="1:10" ht="16" x14ac:dyDescent="0.2">
      <c r="A287" s="306" t="s">
        <v>413</v>
      </c>
      <c r="B287" s="172" t="s">
        <v>267</v>
      </c>
      <c r="C287" s="100">
        <f ca="1">ExpBase!E1876</f>
        <v>1.587053128999572</v>
      </c>
      <c r="D287" s="172" t="s">
        <v>267</v>
      </c>
      <c r="E287" s="100">
        <f ca="1">C287*Units!D533</f>
        <v>1.0812305803978364</v>
      </c>
      <c r="I287" s="846"/>
      <c r="J287" s="127"/>
    </row>
    <row r="288" spans="1:10" ht="16" x14ac:dyDescent="0.2">
      <c r="A288" s="306" t="s">
        <v>414</v>
      </c>
      <c r="B288" s="172" t="s">
        <v>267</v>
      </c>
      <c r="C288" s="100">
        <f ca="1">ExpBase!E1877</f>
        <v>1.2029153018055758</v>
      </c>
      <c r="D288" s="172" t="s">
        <v>267</v>
      </c>
      <c r="E288" s="100">
        <f ca="1">C288*Units!D534</f>
        <v>0.81952442938098513</v>
      </c>
      <c r="I288" s="846"/>
      <c r="J288" s="127"/>
    </row>
    <row r="289" spans="1:36" ht="16" x14ac:dyDescent="0.2">
      <c r="A289" s="307" t="s">
        <v>415</v>
      </c>
      <c r="B289" s="178" t="s">
        <v>267</v>
      </c>
      <c r="C289" s="168">
        <f ca="1">ExpBase!E1878</f>
        <v>52.588425753867369</v>
      </c>
      <c r="D289" s="178" t="s">
        <v>267</v>
      </c>
      <c r="E289" s="168">
        <f ca="1">C289*Units!D535</f>
        <v>36.876885184180267</v>
      </c>
      <c r="F289" s="183"/>
      <c r="G289" s="118"/>
      <c r="H289" s="183"/>
      <c r="I289" s="1094"/>
      <c r="J289" s="120"/>
    </row>
    <row r="290" spans="1:36" x14ac:dyDescent="0.2">
      <c r="I290" s="846"/>
    </row>
    <row r="291" spans="1:36" ht="16" thickBot="1" x14ac:dyDescent="0.25">
      <c r="I291" s="846"/>
    </row>
    <row r="292" spans="1:36" ht="16" thickBot="1" x14ac:dyDescent="0.25">
      <c r="A292" s="643" t="s">
        <v>2185</v>
      </c>
      <c r="B292" s="644"/>
      <c r="C292" s="644"/>
      <c r="D292" s="644"/>
      <c r="E292" s="644"/>
      <c r="F292" s="644"/>
      <c r="G292" s="644"/>
      <c r="H292" s="644"/>
      <c r="I292" s="644"/>
      <c r="J292" s="644"/>
      <c r="K292" s="644"/>
      <c r="L292" s="644"/>
      <c r="M292" s="644"/>
      <c r="N292" s="644"/>
      <c r="O292" s="644"/>
    </row>
    <row r="293" spans="1:36" x14ac:dyDescent="0.2">
      <c r="A293" s="266" t="s">
        <v>580</v>
      </c>
      <c r="B293" s="977" t="s">
        <v>372</v>
      </c>
      <c r="C293" s="977" t="s">
        <v>42</v>
      </c>
      <c r="D293" s="977" t="s">
        <v>372</v>
      </c>
      <c r="E293" s="977" t="s">
        <v>3025</v>
      </c>
      <c r="F293" s="977" t="s">
        <v>372</v>
      </c>
      <c r="G293" s="977" t="s">
        <v>3024</v>
      </c>
      <c r="H293" s="977" t="s">
        <v>372</v>
      </c>
      <c r="I293" s="977" t="s">
        <v>3060</v>
      </c>
      <c r="J293" s="977" t="s">
        <v>3063</v>
      </c>
    </row>
    <row r="294" spans="1:36" x14ac:dyDescent="0.2">
      <c r="A294" s="29" t="s">
        <v>1695</v>
      </c>
      <c r="B294" s="976"/>
      <c r="C294" s="31"/>
      <c r="D294" s="976"/>
      <c r="E294" s="31"/>
      <c r="F294" s="976"/>
      <c r="G294" s="31"/>
      <c r="H294" s="976" t="str">
        <f>H258</f>
        <v>MT/hr</v>
      </c>
      <c r="I294" s="1106">
        <f ca="1">I258</f>
        <v>0.44477190269475142</v>
      </c>
      <c r="J294" s="1071" t="str">
        <f>J258</f>
        <v>ESTERIFICATION CONT</v>
      </c>
    </row>
    <row r="295" spans="1:36" x14ac:dyDescent="0.2">
      <c r="A295" s="993" t="s">
        <v>1696</v>
      </c>
      <c r="B295" s="192"/>
      <c r="C295" s="110"/>
      <c r="D295" s="192"/>
      <c r="E295" s="110"/>
      <c r="F295" s="192" t="s">
        <v>3059</v>
      </c>
      <c r="G295" s="160">
        <f ca="1">G258-(SUM(E275:E289)/1000)</f>
        <v>0.40685506690468831</v>
      </c>
      <c r="H295" s="192" t="s">
        <v>3059</v>
      </c>
      <c r="I295" s="1093">
        <f ca="1">G295</f>
        <v>0.40685506690468831</v>
      </c>
      <c r="J295" s="112" t="s">
        <v>3154</v>
      </c>
    </row>
    <row r="296" spans="1:36" x14ac:dyDescent="0.2">
      <c r="A296" s="21"/>
      <c r="B296" s="183"/>
      <c r="C296" s="118"/>
      <c r="D296" s="183"/>
      <c r="E296" s="118"/>
      <c r="F296" s="183"/>
      <c r="G296" s="118"/>
      <c r="H296" s="183" t="s">
        <v>3059</v>
      </c>
      <c r="I296" s="1094">
        <f ca="1">I294-I295</f>
        <v>3.7916835790063108E-2</v>
      </c>
      <c r="J296" s="120" t="s">
        <v>3097</v>
      </c>
    </row>
    <row r="297" spans="1:36" x14ac:dyDescent="0.2">
      <c r="I297" s="846"/>
    </row>
    <row r="298" spans="1:36" x14ac:dyDescent="0.2">
      <c r="I298" s="846"/>
    </row>
    <row r="301" spans="1:36" x14ac:dyDescent="0.2">
      <c r="A301" s="988" t="s">
        <v>3139</v>
      </c>
      <c r="B301" s="987"/>
      <c r="C301" s="986"/>
      <c r="D301" s="987"/>
      <c r="E301" s="986"/>
      <c r="F301" s="987"/>
      <c r="G301" s="986"/>
      <c r="H301" s="987"/>
      <c r="I301" s="986"/>
      <c r="J301" s="986"/>
      <c r="K301" s="986"/>
      <c r="L301" s="986"/>
      <c r="M301" s="986"/>
    </row>
    <row r="303" spans="1:36" s="8" customFormat="1" ht="48" x14ac:dyDescent="0.2">
      <c r="A303" s="253" t="s">
        <v>3109</v>
      </c>
      <c r="B303" s="989" t="s">
        <v>2652</v>
      </c>
      <c r="C303" s="989" t="s">
        <v>2652</v>
      </c>
      <c r="D303" s="989" t="s">
        <v>3112</v>
      </c>
      <c r="E303" s="989" t="s">
        <v>3112</v>
      </c>
      <c r="F303" s="989" t="s">
        <v>3116</v>
      </c>
      <c r="G303" s="989" t="s">
        <v>3116</v>
      </c>
      <c r="H303" s="989" t="s">
        <v>3125</v>
      </c>
      <c r="I303" s="8" t="s">
        <v>3118</v>
      </c>
      <c r="J303" s="8" t="s">
        <v>3118</v>
      </c>
      <c r="K303" s="8" t="s">
        <v>1584</v>
      </c>
      <c r="L303" s="8" t="s">
        <v>1584</v>
      </c>
      <c r="M303" s="8" t="s">
        <v>3120</v>
      </c>
      <c r="N303" s="8" t="s">
        <v>3120</v>
      </c>
      <c r="O303" s="8" t="s">
        <v>3119</v>
      </c>
      <c r="P303" s="8" t="s">
        <v>3124</v>
      </c>
      <c r="Q303" s="989" t="s">
        <v>3114</v>
      </c>
      <c r="R303" s="8" t="s">
        <v>3126</v>
      </c>
      <c r="S303" s="8" t="s">
        <v>3129</v>
      </c>
      <c r="T303" s="8" t="s">
        <v>1802</v>
      </c>
      <c r="U303" s="8" t="s">
        <v>1802</v>
      </c>
      <c r="V303" s="8" t="s">
        <v>1939</v>
      </c>
      <c r="W303" s="8" t="s">
        <v>1939</v>
      </c>
      <c r="X303" s="8" t="s">
        <v>3127</v>
      </c>
      <c r="Y303" s="8" t="s">
        <v>3127</v>
      </c>
      <c r="Z303" s="8" t="s">
        <v>1567</v>
      </c>
      <c r="AA303" s="8" t="s">
        <v>3128</v>
      </c>
      <c r="AB303" s="8" t="s">
        <v>3127</v>
      </c>
      <c r="AC303" s="8" t="s">
        <v>3127</v>
      </c>
      <c r="AD303" s="8" t="s">
        <v>3128</v>
      </c>
      <c r="AE303" s="8" t="s">
        <v>3128</v>
      </c>
      <c r="AF303" s="8" t="s">
        <v>1765</v>
      </c>
      <c r="AG303" s="8" t="s">
        <v>1765</v>
      </c>
      <c r="AH303" s="8" t="s">
        <v>1765</v>
      </c>
      <c r="AI303" s="8" t="s">
        <v>3085</v>
      </c>
      <c r="AJ303" s="8" t="s">
        <v>3085</v>
      </c>
    </row>
    <row r="304" spans="1:36" x14ac:dyDescent="0.2">
      <c r="B304" s="103">
        <v>1</v>
      </c>
      <c r="C304">
        <v>1</v>
      </c>
      <c r="D304" s="103">
        <v>2</v>
      </c>
      <c r="E304">
        <v>2</v>
      </c>
      <c r="F304" s="103">
        <v>6</v>
      </c>
      <c r="G304">
        <v>6</v>
      </c>
      <c r="H304" s="103">
        <v>9</v>
      </c>
      <c r="I304">
        <v>10</v>
      </c>
      <c r="J304" s="103">
        <v>10</v>
      </c>
      <c r="K304">
        <v>7</v>
      </c>
      <c r="L304" s="103">
        <v>7</v>
      </c>
      <c r="M304">
        <v>12</v>
      </c>
      <c r="N304" s="103">
        <v>12</v>
      </c>
      <c r="O304">
        <v>11</v>
      </c>
      <c r="P304">
        <v>14</v>
      </c>
      <c r="Q304" s="103">
        <v>4</v>
      </c>
      <c r="R304">
        <v>17</v>
      </c>
      <c r="S304">
        <v>18</v>
      </c>
      <c r="T304">
        <v>16</v>
      </c>
      <c r="U304">
        <v>16</v>
      </c>
      <c r="V304">
        <v>19</v>
      </c>
      <c r="W304">
        <v>19</v>
      </c>
      <c r="X304">
        <v>20</v>
      </c>
      <c r="Y304">
        <v>20</v>
      </c>
      <c r="Z304">
        <v>23</v>
      </c>
      <c r="AA304">
        <v>21</v>
      </c>
      <c r="AB304">
        <v>20</v>
      </c>
      <c r="AC304">
        <v>20</v>
      </c>
      <c r="AD304">
        <v>21</v>
      </c>
      <c r="AE304">
        <v>21</v>
      </c>
      <c r="AF304">
        <v>24</v>
      </c>
      <c r="AG304">
        <v>24</v>
      </c>
      <c r="AH304">
        <v>24</v>
      </c>
      <c r="AI304">
        <v>13</v>
      </c>
      <c r="AJ304">
        <v>13</v>
      </c>
    </row>
    <row r="307" spans="1:36" s="8" customFormat="1" ht="32" x14ac:dyDescent="0.2">
      <c r="A307" s="253" t="s">
        <v>3110</v>
      </c>
      <c r="B307" s="989" t="s">
        <v>3112</v>
      </c>
      <c r="C307" s="8" t="s">
        <v>3113</v>
      </c>
      <c r="D307" s="989" t="s">
        <v>3114</v>
      </c>
      <c r="E307" s="8" t="s">
        <v>3115</v>
      </c>
      <c r="F307" s="989" t="s">
        <v>1584</v>
      </c>
      <c r="G307" s="989" t="s">
        <v>3117</v>
      </c>
      <c r="H307" s="989" t="s">
        <v>1584</v>
      </c>
      <c r="I307" s="8" t="s">
        <v>3119</v>
      </c>
      <c r="J307" s="8" t="s">
        <v>3117</v>
      </c>
      <c r="K307" s="8" t="s">
        <v>3120</v>
      </c>
      <c r="L307" s="8" t="s">
        <v>3085</v>
      </c>
      <c r="M307" s="8" t="s">
        <v>3124</v>
      </c>
      <c r="N307" s="8" t="s">
        <v>3121</v>
      </c>
      <c r="O307" s="8" t="s">
        <v>1802</v>
      </c>
      <c r="P307" s="8" t="s">
        <v>1802</v>
      </c>
      <c r="Q307" s="8" t="s">
        <v>1802</v>
      </c>
      <c r="R307" s="8" t="s">
        <v>1802</v>
      </c>
      <c r="S307" s="8" t="s">
        <v>1802</v>
      </c>
      <c r="T307" s="8" t="s">
        <v>1939</v>
      </c>
      <c r="U307" s="8" t="s">
        <v>3085</v>
      </c>
      <c r="V307" s="8" t="s">
        <v>3127</v>
      </c>
      <c r="W307" s="8" t="s">
        <v>3115</v>
      </c>
      <c r="X307" s="8" t="s">
        <v>3128</v>
      </c>
      <c r="Y307" s="8" t="s">
        <v>3129</v>
      </c>
      <c r="Z307" s="8" t="s">
        <v>3127</v>
      </c>
      <c r="AA307" s="8" t="s">
        <v>1567</v>
      </c>
      <c r="AB307" s="8" t="s">
        <v>3130</v>
      </c>
      <c r="AC307" s="8" t="s">
        <v>3115</v>
      </c>
      <c r="AD307" s="8" t="s">
        <v>1765</v>
      </c>
      <c r="AE307" s="8" t="s">
        <v>3131</v>
      </c>
      <c r="AF307" s="8" t="s">
        <v>666</v>
      </c>
      <c r="AG307" s="8" t="s">
        <v>664</v>
      </c>
      <c r="AH307" s="8" t="s">
        <v>3115</v>
      </c>
      <c r="AI307" s="989" t="s">
        <v>3125</v>
      </c>
      <c r="AJ307" s="8" t="s">
        <v>3126</v>
      </c>
    </row>
    <row r="308" spans="1:36" x14ac:dyDescent="0.2">
      <c r="B308" s="103">
        <v>2</v>
      </c>
      <c r="C308">
        <v>3</v>
      </c>
      <c r="D308" s="103">
        <v>4</v>
      </c>
      <c r="E308">
        <v>5</v>
      </c>
      <c r="F308" s="103">
        <v>7</v>
      </c>
      <c r="G308">
        <v>8</v>
      </c>
      <c r="H308" s="103">
        <v>7</v>
      </c>
      <c r="I308">
        <v>11</v>
      </c>
      <c r="J308" s="103">
        <v>8</v>
      </c>
      <c r="K308">
        <v>12</v>
      </c>
      <c r="L308" s="103">
        <v>13</v>
      </c>
      <c r="M308">
        <v>14</v>
      </c>
      <c r="N308" s="103">
        <v>16</v>
      </c>
      <c r="O308">
        <v>16</v>
      </c>
      <c r="P308" s="133">
        <v>16</v>
      </c>
      <c r="Q308">
        <v>16</v>
      </c>
      <c r="R308">
        <v>16</v>
      </c>
      <c r="S308">
        <v>16</v>
      </c>
      <c r="T308">
        <v>19</v>
      </c>
      <c r="U308">
        <v>13</v>
      </c>
      <c r="V308">
        <v>20</v>
      </c>
      <c r="W308">
        <v>5</v>
      </c>
      <c r="X308">
        <v>21</v>
      </c>
      <c r="Y308">
        <v>18</v>
      </c>
      <c r="Z308">
        <v>20</v>
      </c>
      <c r="AA308">
        <v>22</v>
      </c>
      <c r="AB308">
        <v>23</v>
      </c>
      <c r="AC308">
        <v>5</v>
      </c>
      <c r="AD308">
        <v>24</v>
      </c>
      <c r="AE308">
        <v>25</v>
      </c>
      <c r="AF308">
        <v>26</v>
      </c>
      <c r="AG308">
        <v>27</v>
      </c>
      <c r="AH308">
        <v>5</v>
      </c>
      <c r="AI308" s="103">
        <v>9</v>
      </c>
      <c r="AJ308">
        <v>17</v>
      </c>
    </row>
    <row r="311" spans="1:36" x14ac:dyDescent="0.2">
      <c r="A311" s="6" t="s">
        <v>3111</v>
      </c>
      <c r="B311" s="103">
        <f ca="1">I12</f>
        <v>0.84813695710082326</v>
      </c>
      <c r="C311">
        <f ca="1">I13</f>
        <v>4.1368585067366959E-2</v>
      </c>
      <c r="D311" s="103">
        <f ca="1">I20</f>
        <v>0.83965558752981495</v>
      </c>
      <c r="E311">
        <f ca="1">I21</f>
        <v>8.4813695710083126E-3</v>
      </c>
      <c r="F311" s="103">
        <f ca="1">I28-I31</f>
        <v>1.3723377519754327</v>
      </c>
      <c r="G311">
        <f ca="1">I31</f>
        <v>0.10433521308136712</v>
      </c>
      <c r="H311" s="103">
        <f ca="1">I29-I31</f>
        <v>0.19099937992999289</v>
      </c>
      <c r="I311" s="100">
        <f>I46-I48</f>
        <v>1.2200781214694294</v>
      </c>
      <c r="J311" s="100">
        <f>I48</f>
        <v>2.99218785305706E-2</v>
      </c>
      <c r="K311" s="100">
        <f ca="1">I68</f>
        <v>9.2794334946137133E-2</v>
      </c>
      <c r="L311" s="100">
        <f ca="1">I69</f>
        <v>1.1752082039479284</v>
      </c>
      <c r="M311" s="100">
        <f ca="1">I72</f>
        <v>9.0185342097208201E-2</v>
      </c>
      <c r="N311" s="100">
        <f ca="1">I73</f>
        <v>2.6089928489289316E-3</v>
      </c>
      <c r="O311" s="100">
        <f>I311</f>
        <v>1.2200781214694294</v>
      </c>
      <c r="P311" s="100">
        <f ca="1">I88</f>
        <v>9.0185342097208201E-2</v>
      </c>
      <c r="Q311" s="100">
        <f ca="1">I89</f>
        <v>0.83965558752981495</v>
      </c>
      <c r="R311" s="100">
        <f ca="1">I90</f>
        <v>1.1633358572921316E-2</v>
      </c>
      <c r="S311" s="100">
        <f ca="1">I91</f>
        <v>3.9721944066833381E-3</v>
      </c>
      <c r="T311" s="100">
        <f ca="1">I104</f>
        <v>0.90103803610993483</v>
      </c>
      <c r="U311" s="100">
        <f ca="1">SUM(O311:S311)-T311</f>
        <v>1.2644865679661224</v>
      </c>
      <c r="V311" s="100">
        <f ca="1">I111</f>
        <v>0.61090060992514816</v>
      </c>
      <c r="W311" s="100">
        <f ca="1">I112</f>
        <v>0.29013742618478666</v>
      </c>
      <c r="X311" s="100">
        <f ca="1">I127</f>
        <v>0.57117866585831478</v>
      </c>
      <c r="Y311" s="100">
        <f ca="1">I123-I127</f>
        <v>3.9721944066833381E-2</v>
      </c>
      <c r="Z311" s="100">
        <f ca="1">SUM(I124:I125)</f>
        <v>0.63382164518293482</v>
      </c>
      <c r="AA311" s="100">
        <f ca="1">I125</f>
        <v>0.60213056292378808</v>
      </c>
      <c r="AB311" s="100">
        <f ca="1">I124</f>
        <v>3.1691082259146741E-2</v>
      </c>
      <c r="AC311" s="100">
        <f ca="1">I135</f>
        <v>3.5749749660150043E-2</v>
      </c>
      <c r="AD311" s="100">
        <f ca="1">I143</f>
        <v>0.56832277252902319</v>
      </c>
      <c r="AE311" s="100">
        <f ca="1">I144</f>
        <v>2.855893329291574E-3</v>
      </c>
      <c r="AF311" s="846">
        <f ca="1">I166</f>
        <v>0.54632202736582769</v>
      </c>
      <c r="AG311" s="846">
        <f ca="1">I167</f>
        <v>1.0857161388116626E-2</v>
      </c>
      <c r="AH311" s="100">
        <f ca="1">I168</f>
        <v>1.1143583775078847E-2</v>
      </c>
      <c r="AI311">
        <f ca="1">H311</f>
        <v>0.19099937992999289</v>
      </c>
      <c r="AJ311" s="100">
        <f ca="1">R311</f>
        <v>1.1633358572921316E-2</v>
      </c>
    </row>
    <row r="313" spans="1:36" x14ac:dyDescent="0.2">
      <c r="A313" s="6" t="s">
        <v>3135</v>
      </c>
      <c r="D313" s="180" t="s">
        <v>3109</v>
      </c>
      <c r="E313" s="180" t="s">
        <v>3110</v>
      </c>
      <c r="F313" s="180" t="s">
        <v>3111</v>
      </c>
      <c r="G313" s="180"/>
    </row>
    <row r="314" spans="1:36" x14ac:dyDescent="0.2">
      <c r="A314" t="s">
        <v>2652</v>
      </c>
      <c r="B314" s="1054">
        <v>1</v>
      </c>
      <c r="C314">
        <f>B314-1</f>
        <v>0</v>
      </c>
      <c r="D314" s="133">
        <v>1</v>
      </c>
      <c r="E314" s="133">
        <v>2</v>
      </c>
      <c r="F314" s="133">
        <v>5.0013453412857265</v>
      </c>
      <c r="G314" s="180"/>
    </row>
    <row r="315" spans="1:36" x14ac:dyDescent="0.2">
      <c r="A315" t="s">
        <v>3112</v>
      </c>
      <c r="B315" s="1054">
        <v>2</v>
      </c>
      <c r="C315">
        <f t="shared" ref="C315:C348" si="7">B315-1</f>
        <v>1</v>
      </c>
      <c r="D315" s="133">
        <v>1</v>
      </c>
      <c r="E315" s="133">
        <v>3</v>
      </c>
      <c r="F315" s="133">
        <v>0.24394477621809596</v>
      </c>
    </row>
    <row r="316" spans="1:36" x14ac:dyDescent="0.2">
      <c r="A316" t="s">
        <v>3113</v>
      </c>
      <c r="B316" s="1054">
        <v>3</v>
      </c>
      <c r="C316">
        <f t="shared" si="7"/>
        <v>2</v>
      </c>
      <c r="D316" s="133">
        <v>2</v>
      </c>
      <c r="E316" s="133">
        <v>4</v>
      </c>
      <c r="F316" s="133">
        <v>4.9513318878728683</v>
      </c>
    </row>
    <row r="317" spans="1:36" x14ac:dyDescent="0.2">
      <c r="A317" t="s">
        <v>3114</v>
      </c>
      <c r="B317" s="1054">
        <v>4</v>
      </c>
      <c r="C317">
        <f t="shared" si="7"/>
        <v>3</v>
      </c>
      <c r="D317" s="133">
        <v>2</v>
      </c>
      <c r="E317" s="133">
        <v>5</v>
      </c>
      <c r="F317" s="133">
        <v>5.0013453412858233E-2</v>
      </c>
    </row>
    <row r="318" spans="1:36" x14ac:dyDescent="0.2">
      <c r="A318" t="s">
        <v>3115</v>
      </c>
      <c r="B318" s="1054">
        <v>5</v>
      </c>
      <c r="C318">
        <f t="shared" si="7"/>
        <v>4</v>
      </c>
      <c r="D318" s="133">
        <v>6</v>
      </c>
      <c r="E318" s="133">
        <v>7</v>
      </c>
      <c r="F318" s="133">
        <v>8.4412495124008871</v>
      </c>
    </row>
    <row r="319" spans="1:36" x14ac:dyDescent="0.2">
      <c r="A319" t="s">
        <v>3116</v>
      </c>
      <c r="B319" s="1054">
        <v>6</v>
      </c>
      <c r="C319">
        <f t="shared" si="7"/>
        <v>5</v>
      </c>
      <c r="D319" s="133">
        <v>6</v>
      </c>
      <c r="E319" s="133">
        <v>8</v>
      </c>
      <c r="F319" s="133">
        <v>0.64176589566348918</v>
      </c>
    </row>
    <row r="320" spans="1:36" x14ac:dyDescent="0.2">
      <c r="A320" t="s">
        <v>1584</v>
      </c>
      <c r="B320" s="1054">
        <v>7</v>
      </c>
      <c r="C320">
        <f t="shared" si="7"/>
        <v>6</v>
      </c>
      <c r="D320" s="133">
        <v>9</v>
      </c>
      <c r="E320" s="133">
        <v>7</v>
      </c>
      <c r="F320" s="133">
        <v>1.1748371859493862</v>
      </c>
    </row>
    <row r="321" spans="1:8" x14ac:dyDescent="0.2">
      <c r="A321" t="s">
        <v>3117</v>
      </c>
      <c r="B321" s="1054">
        <v>8</v>
      </c>
      <c r="C321">
        <f t="shared" si="7"/>
        <v>7</v>
      </c>
      <c r="D321" s="133">
        <v>10</v>
      </c>
      <c r="E321" s="133">
        <v>11</v>
      </c>
      <c r="F321" s="133">
        <v>7.5047005251584604</v>
      </c>
    </row>
    <row r="322" spans="1:8" x14ac:dyDescent="0.2">
      <c r="A322" t="s">
        <v>3132</v>
      </c>
      <c r="B322" s="1054">
        <v>9</v>
      </c>
      <c r="C322">
        <f t="shared" si="7"/>
        <v>8</v>
      </c>
      <c r="D322" s="133">
        <v>10</v>
      </c>
      <c r="E322" s="133">
        <v>8</v>
      </c>
      <c r="F322" s="133">
        <v>0.18404947484153975</v>
      </c>
    </row>
    <row r="323" spans="1:8" x14ac:dyDescent="0.2">
      <c r="A323" t="s">
        <v>3118</v>
      </c>
      <c r="B323" s="1054">
        <v>10</v>
      </c>
      <c r="C323">
        <f t="shared" si="7"/>
        <v>9</v>
      </c>
      <c r="D323" s="133">
        <v>7</v>
      </c>
      <c r="E323" s="133">
        <v>12</v>
      </c>
      <c r="F323" s="133">
        <v>0.55041248447527802</v>
      </c>
    </row>
    <row r="324" spans="1:8" x14ac:dyDescent="0.2">
      <c r="A324" t="s">
        <v>1585</v>
      </c>
      <c r="B324" s="1054">
        <v>11</v>
      </c>
      <c r="C324">
        <f t="shared" si="7"/>
        <v>10</v>
      </c>
      <c r="D324" s="133">
        <v>7</v>
      </c>
      <c r="E324" s="133">
        <v>13</v>
      </c>
      <c r="F324" s="133">
        <v>7.2490711322621202</v>
      </c>
      <c r="G324" s="100">
        <f ca="1">F311-K311</f>
        <v>1.2795434170292956</v>
      </c>
      <c r="H324" s="103" t="s">
        <v>3136</v>
      </c>
    </row>
    <row r="325" spans="1:8" x14ac:dyDescent="0.2">
      <c r="A325" t="s">
        <v>3120</v>
      </c>
      <c r="B325" s="1054">
        <v>12</v>
      </c>
      <c r="C325">
        <f t="shared" si="7"/>
        <v>11</v>
      </c>
      <c r="D325" s="133">
        <v>12</v>
      </c>
      <c r="E325" s="133">
        <v>14</v>
      </c>
      <c r="F325" s="133">
        <v>0.53493716222827614</v>
      </c>
    </row>
    <row r="326" spans="1:8" x14ac:dyDescent="0.2">
      <c r="A326" t="s">
        <v>3133</v>
      </c>
      <c r="B326" s="1054">
        <v>13</v>
      </c>
      <c r="C326">
        <f t="shared" si="7"/>
        <v>12</v>
      </c>
      <c r="D326" s="133">
        <v>12</v>
      </c>
      <c r="E326" s="133">
        <v>16</v>
      </c>
      <c r="F326" s="133">
        <v>1.5475322247001877E-2</v>
      </c>
    </row>
    <row r="327" spans="1:8" x14ac:dyDescent="0.2">
      <c r="A327" t="s">
        <v>3124</v>
      </c>
      <c r="B327" s="1054">
        <v>14</v>
      </c>
      <c r="C327">
        <f t="shared" si="7"/>
        <v>13</v>
      </c>
      <c r="D327" s="133">
        <v>11</v>
      </c>
      <c r="E327" s="133">
        <v>16</v>
      </c>
      <c r="F327" s="133">
        <v>7.5047005251584604</v>
      </c>
    </row>
    <row r="328" spans="1:8" x14ac:dyDescent="0.2">
      <c r="A328" t="s">
        <v>3121</v>
      </c>
      <c r="B328" s="1054">
        <v>15</v>
      </c>
      <c r="C328">
        <f t="shared" si="7"/>
        <v>14</v>
      </c>
      <c r="D328" s="133">
        <v>14</v>
      </c>
      <c r="E328" s="133">
        <v>16</v>
      </c>
      <c r="F328" s="133">
        <v>0.53493716222827614</v>
      </c>
    </row>
    <row r="329" spans="1:8" x14ac:dyDescent="0.2">
      <c r="A329" t="s">
        <v>1802</v>
      </c>
      <c r="B329" s="1054">
        <v>16</v>
      </c>
      <c r="C329">
        <f t="shared" si="7"/>
        <v>15</v>
      </c>
      <c r="D329" s="133">
        <v>4</v>
      </c>
      <c r="E329" s="133">
        <v>16</v>
      </c>
      <c r="F329" s="133">
        <v>4.9513318878728683</v>
      </c>
    </row>
    <row r="330" spans="1:8" x14ac:dyDescent="0.2">
      <c r="A330" t="s">
        <v>3134</v>
      </c>
      <c r="B330" s="1054">
        <v>17</v>
      </c>
      <c r="C330">
        <f t="shared" si="7"/>
        <v>16</v>
      </c>
      <c r="D330" s="133">
        <v>17</v>
      </c>
      <c r="E330" s="133">
        <v>16</v>
      </c>
      <c r="F330" s="133">
        <v>6.6152976676142936E-2</v>
      </c>
    </row>
    <row r="331" spans="1:8" x14ac:dyDescent="0.2">
      <c r="A331" t="s">
        <v>3129</v>
      </c>
      <c r="B331" s="1054">
        <v>18</v>
      </c>
      <c r="C331">
        <f t="shared" si="7"/>
        <v>17</v>
      </c>
      <c r="D331" s="133">
        <v>18</v>
      </c>
      <c r="E331" s="133">
        <v>16</v>
      </c>
      <c r="F331" s="133">
        <v>2.3562897982031351E-2</v>
      </c>
    </row>
    <row r="332" spans="1:8" x14ac:dyDescent="0.2">
      <c r="A332" t="s">
        <v>1939</v>
      </c>
      <c r="B332" s="1054">
        <v>19</v>
      </c>
      <c r="C332">
        <f t="shared" si="7"/>
        <v>18</v>
      </c>
      <c r="D332" s="133">
        <v>16</v>
      </c>
      <c r="E332" s="133">
        <v>19</v>
      </c>
      <c r="F332" s="133">
        <v>5.34393030719135</v>
      </c>
    </row>
    <row r="333" spans="1:8" x14ac:dyDescent="0.2">
      <c r="A333" t="s">
        <v>3127</v>
      </c>
      <c r="B333" s="1054">
        <v>20</v>
      </c>
      <c r="C333">
        <f t="shared" si="7"/>
        <v>19</v>
      </c>
      <c r="D333" s="133">
        <v>16</v>
      </c>
      <c r="E333" s="133">
        <v>13</v>
      </c>
      <c r="F333" s="133">
        <v>7.7367551427264303</v>
      </c>
    </row>
    <row r="334" spans="1:8" x14ac:dyDescent="0.2">
      <c r="A334" t="s">
        <v>3128</v>
      </c>
      <c r="B334" s="1054">
        <v>21</v>
      </c>
      <c r="C334">
        <f t="shared" si="7"/>
        <v>20</v>
      </c>
      <c r="D334" s="133">
        <v>19</v>
      </c>
      <c r="E334" s="133">
        <v>20</v>
      </c>
      <c r="F334" s="133">
        <v>3.623969861383225</v>
      </c>
    </row>
    <row r="335" spans="1:8" x14ac:dyDescent="0.2">
      <c r="A335" t="s">
        <v>1567</v>
      </c>
      <c r="B335" s="1054">
        <v>22</v>
      </c>
      <c r="C335">
        <f t="shared" si="7"/>
        <v>21</v>
      </c>
      <c r="D335" s="133">
        <v>19</v>
      </c>
      <c r="E335" s="133">
        <v>5</v>
      </c>
      <c r="F335" s="133">
        <v>1.719960445808125</v>
      </c>
    </row>
    <row r="336" spans="1:8" x14ac:dyDescent="0.2">
      <c r="A336" t="s">
        <v>3130</v>
      </c>
      <c r="B336" s="1054">
        <v>23</v>
      </c>
      <c r="C336">
        <f t="shared" si="7"/>
        <v>22</v>
      </c>
      <c r="D336" s="133">
        <v>20</v>
      </c>
      <c r="E336" s="133">
        <v>21</v>
      </c>
      <c r="F336" s="133">
        <v>3.3883408815629115</v>
      </c>
    </row>
    <row r="337" spans="1:8" x14ac:dyDescent="0.2">
      <c r="A337" t="s">
        <v>1765</v>
      </c>
      <c r="B337" s="1054">
        <v>24</v>
      </c>
      <c r="C337">
        <f t="shared" si="7"/>
        <v>23</v>
      </c>
      <c r="D337" s="133">
        <v>20</v>
      </c>
      <c r="E337" s="133">
        <v>18</v>
      </c>
      <c r="F337" s="133">
        <v>0.2356289798203135</v>
      </c>
    </row>
    <row r="338" spans="1:8" x14ac:dyDescent="0.2">
      <c r="A338" t="s">
        <v>3131</v>
      </c>
      <c r="B338" s="1054">
        <v>25</v>
      </c>
      <c r="C338">
        <f t="shared" si="7"/>
        <v>24</v>
      </c>
      <c r="D338" s="133">
        <v>23</v>
      </c>
      <c r="E338" s="133">
        <v>20</v>
      </c>
      <c r="F338" s="133">
        <v>3.8752315370345958</v>
      </c>
    </row>
    <row r="339" spans="1:8" x14ac:dyDescent="0.2">
      <c r="A339" t="s">
        <v>666</v>
      </c>
      <c r="B339" s="1054">
        <v>26</v>
      </c>
      <c r="C339">
        <f t="shared" si="7"/>
        <v>25</v>
      </c>
      <c r="D339" s="133">
        <v>21</v>
      </c>
      <c r="E339" s="133">
        <v>22</v>
      </c>
      <c r="F339" s="133">
        <v>3.681469960182866</v>
      </c>
    </row>
    <row r="340" spans="1:8" x14ac:dyDescent="0.2">
      <c r="A340" t="s">
        <v>664</v>
      </c>
      <c r="B340" s="1054">
        <v>27</v>
      </c>
      <c r="C340">
        <f t="shared" si="7"/>
        <v>26</v>
      </c>
      <c r="D340" s="133">
        <v>20</v>
      </c>
      <c r="E340" s="133">
        <v>23</v>
      </c>
      <c r="F340" s="133">
        <v>0.19376157685172982</v>
      </c>
    </row>
    <row r="341" spans="1:8" x14ac:dyDescent="0.2">
      <c r="A341" t="s">
        <v>2452</v>
      </c>
      <c r="B341" s="1054">
        <v>28</v>
      </c>
      <c r="C341">
        <f t="shared" si="7"/>
        <v>27</v>
      </c>
      <c r="D341" s="133">
        <v>20</v>
      </c>
      <c r="E341" s="133">
        <v>5</v>
      </c>
      <c r="F341" s="133">
        <v>0.21206608183828216</v>
      </c>
    </row>
    <row r="342" spans="1:8" x14ac:dyDescent="0.2">
      <c r="A342" t="s">
        <v>3156</v>
      </c>
      <c r="B342" s="1054">
        <v>29</v>
      </c>
      <c r="C342" s="6">
        <f t="shared" si="7"/>
        <v>28</v>
      </c>
      <c r="D342" s="133">
        <v>21</v>
      </c>
      <c r="E342" s="133">
        <v>24</v>
      </c>
      <c r="F342" s="133">
        <v>3.3713991771550971</v>
      </c>
    </row>
    <row r="343" spans="1:8" x14ac:dyDescent="0.2">
      <c r="A343" t="s">
        <v>3143</v>
      </c>
      <c r="B343" s="1054">
        <v>30</v>
      </c>
      <c r="C343" s="6">
        <f t="shared" si="7"/>
        <v>29</v>
      </c>
      <c r="D343" s="133">
        <v>21</v>
      </c>
      <c r="E343" s="133">
        <v>25</v>
      </c>
      <c r="F343" s="133">
        <v>1.6941704407814558E-2</v>
      </c>
    </row>
    <row r="344" spans="1:8" x14ac:dyDescent="0.2">
      <c r="A344" t="s">
        <v>3168</v>
      </c>
      <c r="B344" s="1054">
        <v>31</v>
      </c>
      <c r="C344" s="6">
        <f t="shared" si="7"/>
        <v>30</v>
      </c>
      <c r="D344" s="133">
        <v>24</v>
      </c>
      <c r="E344" s="133">
        <v>26</v>
      </c>
      <c r="F344" s="133">
        <v>3.2408920470807052</v>
      </c>
    </row>
    <row r="345" spans="1:8" x14ac:dyDescent="0.2">
      <c r="A345" t="s">
        <v>3149</v>
      </c>
      <c r="B345" s="1054">
        <v>32</v>
      </c>
      <c r="C345" s="6">
        <f t="shared" si="7"/>
        <v>31</v>
      </c>
      <c r="D345" s="133">
        <v>24</v>
      </c>
      <c r="E345" s="133">
        <v>27</v>
      </c>
      <c r="F345" s="133">
        <v>6.4401263855663762E-2</v>
      </c>
    </row>
    <row r="346" spans="1:8" x14ac:dyDescent="0.2">
      <c r="A346" t="s">
        <v>3150</v>
      </c>
      <c r="B346" s="1054">
        <v>33</v>
      </c>
      <c r="C346" s="6">
        <f t="shared" si="7"/>
        <v>32</v>
      </c>
      <c r="D346" s="133">
        <v>24</v>
      </c>
      <c r="E346" s="133">
        <v>5</v>
      </c>
      <c r="F346" s="133">
        <v>6.610586621872816E-2</v>
      </c>
    </row>
    <row r="347" spans="1:8" x14ac:dyDescent="0.2">
      <c r="A347" t="s">
        <v>3170</v>
      </c>
      <c r="B347" s="1054">
        <v>34</v>
      </c>
      <c r="C347" s="6">
        <f t="shared" si="7"/>
        <v>33</v>
      </c>
      <c r="D347" s="133">
        <v>13</v>
      </c>
      <c r="E347" s="133">
        <v>9</v>
      </c>
      <c r="F347" s="133">
        <v>1.1748371859493862</v>
      </c>
    </row>
    <row r="348" spans="1:8" x14ac:dyDescent="0.2">
      <c r="A348" t="s">
        <v>3171</v>
      </c>
      <c r="B348" s="1054">
        <v>35</v>
      </c>
      <c r="C348" s="6">
        <f t="shared" si="7"/>
        <v>34</v>
      </c>
      <c r="D348" s="133">
        <v>13</v>
      </c>
      <c r="E348" s="133">
        <v>17</v>
      </c>
      <c r="F348" s="133">
        <v>6.6152976676142936E-2</v>
      </c>
    </row>
    <row r="350" spans="1:8" x14ac:dyDescent="0.2">
      <c r="A350" s="9"/>
      <c r="B350" s="1052"/>
      <c r="C350" s="9"/>
      <c r="D350" s="969" t="s">
        <v>3109</v>
      </c>
      <c r="E350" s="969" t="s">
        <v>3110</v>
      </c>
      <c r="F350" s="969" t="s">
        <v>3111</v>
      </c>
      <c r="G350" s="969" t="s">
        <v>3138</v>
      </c>
      <c r="H350" s="969" t="s">
        <v>3138</v>
      </c>
    </row>
    <row r="351" spans="1:8" x14ac:dyDescent="0.2">
      <c r="A351" s="30" t="s">
        <v>3243</v>
      </c>
      <c r="B351" s="1052"/>
      <c r="C351" s="9"/>
      <c r="D351" s="1110">
        <f t="shared" ref="D351:E362" si="8">D314-1</f>
        <v>0</v>
      </c>
      <c r="E351" s="26">
        <f t="shared" si="8"/>
        <v>1</v>
      </c>
      <c r="F351" s="1109">
        <f>F314</f>
        <v>5.0013453412857265</v>
      </c>
      <c r="G351" s="27">
        <f>F351*2</f>
        <v>10.002690682571453</v>
      </c>
      <c r="H351" s="1107">
        <f>G351</f>
        <v>10.002690682571453</v>
      </c>
    </row>
    <row r="352" spans="1:8" x14ac:dyDescent="0.2">
      <c r="A352" s="30" t="s">
        <v>3244</v>
      </c>
      <c r="B352" s="1052"/>
      <c r="C352" s="9"/>
      <c r="D352" s="1110">
        <f t="shared" si="8"/>
        <v>0</v>
      </c>
      <c r="E352" s="26">
        <f t="shared" si="8"/>
        <v>2</v>
      </c>
      <c r="F352" s="1109">
        <f t="shared" ref="F352:F385" si="9">F315</f>
        <v>0.24394477621809596</v>
      </c>
      <c r="G352" s="27">
        <f t="shared" ref="G352:G385" si="10">F352*2</f>
        <v>0.48788955243619192</v>
      </c>
      <c r="H352" s="1107">
        <f t="shared" ref="H352:H360" si="11">G352</f>
        <v>0.48788955243619192</v>
      </c>
    </row>
    <row r="353" spans="1:9" x14ac:dyDescent="0.2">
      <c r="A353" s="30" t="s">
        <v>3245</v>
      </c>
      <c r="B353" s="1052"/>
      <c r="C353" s="9"/>
      <c r="D353" s="1110">
        <f t="shared" si="8"/>
        <v>1</v>
      </c>
      <c r="E353" s="26">
        <f t="shared" si="8"/>
        <v>3</v>
      </c>
      <c r="F353" s="1109">
        <f t="shared" si="9"/>
        <v>4.9513318878728683</v>
      </c>
      <c r="G353" s="27">
        <f t="shared" si="10"/>
        <v>9.9026637757457365</v>
      </c>
      <c r="H353" s="1107">
        <f t="shared" si="11"/>
        <v>9.9026637757457365</v>
      </c>
    </row>
    <row r="354" spans="1:9" x14ac:dyDescent="0.2">
      <c r="A354" s="30" t="s">
        <v>3246</v>
      </c>
      <c r="B354" s="1052"/>
      <c r="C354" s="9"/>
      <c r="D354" s="1110">
        <f t="shared" si="8"/>
        <v>1</v>
      </c>
      <c r="E354" s="26">
        <f t="shared" si="8"/>
        <v>4</v>
      </c>
      <c r="F354" s="1109">
        <f t="shared" si="9"/>
        <v>5.0013453412858233E-2</v>
      </c>
      <c r="G354" s="27">
        <f t="shared" si="10"/>
        <v>0.10002690682571647</v>
      </c>
      <c r="H354" s="1107">
        <f t="shared" si="11"/>
        <v>0.10002690682571647</v>
      </c>
    </row>
    <row r="355" spans="1:9" x14ac:dyDescent="0.2">
      <c r="A355" s="1091" t="s">
        <v>3247</v>
      </c>
      <c r="B355" s="1052"/>
      <c r="C355" s="9"/>
      <c r="D355" s="1110">
        <f t="shared" si="8"/>
        <v>5</v>
      </c>
      <c r="E355" s="26">
        <f t="shared" si="8"/>
        <v>6</v>
      </c>
      <c r="F355" s="1109">
        <f>F318</f>
        <v>8.4412495124008871</v>
      </c>
      <c r="G355" s="27">
        <f t="shared" si="10"/>
        <v>16.882499024801774</v>
      </c>
      <c r="H355" s="1107">
        <f t="shared" si="11"/>
        <v>16.882499024801774</v>
      </c>
    </row>
    <row r="356" spans="1:9" x14ac:dyDescent="0.2">
      <c r="A356" s="1091" t="s">
        <v>3248</v>
      </c>
      <c r="B356" s="1052"/>
      <c r="C356" s="9"/>
      <c r="D356" s="1110">
        <f t="shared" si="8"/>
        <v>5</v>
      </c>
      <c r="E356" s="26">
        <f t="shared" si="8"/>
        <v>7</v>
      </c>
      <c r="F356" s="1109">
        <f t="shared" si="9"/>
        <v>0.64176589566348918</v>
      </c>
      <c r="G356" s="27">
        <f t="shared" si="10"/>
        <v>1.2835317913269784</v>
      </c>
      <c r="H356" s="1107">
        <f t="shared" si="11"/>
        <v>1.2835317913269784</v>
      </c>
    </row>
    <row r="357" spans="1:9" x14ac:dyDescent="0.2">
      <c r="A357" s="1108" t="s">
        <v>3250</v>
      </c>
      <c r="B357" s="1052"/>
      <c r="C357" s="9"/>
      <c r="D357" s="1111">
        <f t="shared" si="8"/>
        <v>8</v>
      </c>
      <c r="E357" s="1112">
        <f t="shared" si="8"/>
        <v>6</v>
      </c>
      <c r="F357" s="1113">
        <f t="shared" si="9"/>
        <v>1.1748371859493862</v>
      </c>
      <c r="G357" s="27">
        <f t="shared" si="10"/>
        <v>2.3496743718987725</v>
      </c>
      <c r="H357" s="1107"/>
    </row>
    <row r="358" spans="1:9" x14ac:dyDescent="0.2">
      <c r="A358" s="30" t="s">
        <v>3249</v>
      </c>
      <c r="B358" s="1052"/>
      <c r="C358" s="9"/>
      <c r="D358" s="1110">
        <f t="shared" si="8"/>
        <v>9</v>
      </c>
      <c r="E358" s="26">
        <f t="shared" si="8"/>
        <v>10</v>
      </c>
      <c r="F358" s="1109">
        <f t="shared" si="9"/>
        <v>7.5047005251584604</v>
      </c>
      <c r="G358" s="27">
        <f t="shared" si="10"/>
        <v>15.009401050316921</v>
      </c>
      <c r="H358" s="1107">
        <f t="shared" si="11"/>
        <v>15.009401050316921</v>
      </c>
    </row>
    <row r="359" spans="1:9" x14ac:dyDescent="0.2">
      <c r="A359" s="30" t="s">
        <v>3251</v>
      </c>
      <c r="B359" s="1052"/>
      <c r="C359" s="9"/>
      <c r="D359" s="1110">
        <f t="shared" si="8"/>
        <v>9</v>
      </c>
      <c r="E359" s="26">
        <f t="shared" si="8"/>
        <v>7</v>
      </c>
      <c r="F359" s="1109">
        <f t="shared" si="9"/>
        <v>0.18404947484153975</v>
      </c>
      <c r="G359" s="27">
        <f t="shared" si="10"/>
        <v>0.36809894968307949</v>
      </c>
      <c r="H359" s="1107">
        <f t="shared" si="11"/>
        <v>0.36809894968307949</v>
      </c>
    </row>
    <row r="360" spans="1:9" x14ac:dyDescent="0.2">
      <c r="A360" s="1091" t="s">
        <v>3252</v>
      </c>
      <c r="B360" s="1052"/>
      <c r="C360" s="9"/>
      <c r="D360" s="1110">
        <f t="shared" si="8"/>
        <v>6</v>
      </c>
      <c r="E360" s="26">
        <f t="shared" si="8"/>
        <v>11</v>
      </c>
      <c r="F360" s="1109">
        <f t="shared" si="9"/>
        <v>0.55041248447527802</v>
      </c>
      <c r="G360" s="27">
        <f t="shared" si="10"/>
        <v>1.100824968950556</v>
      </c>
      <c r="H360" s="1107">
        <f t="shared" si="11"/>
        <v>1.100824968950556</v>
      </c>
    </row>
    <row r="361" spans="1:9" x14ac:dyDescent="0.2">
      <c r="A361" s="1091" t="s">
        <v>3253</v>
      </c>
      <c r="B361" s="1052"/>
      <c r="C361" s="9"/>
      <c r="D361" s="1110">
        <f t="shared" si="8"/>
        <v>6</v>
      </c>
      <c r="E361" s="26">
        <f t="shared" si="8"/>
        <v>12</v>
      </c>
      <c r="F361" s="1109">
        <f t="shared" si="9"/>
        <v>7.2490711322621202</v>
      </c>
      <c r="G361" s="27">
        <f t="shared" si="10"/>
        <v>14.49814226452424</v>
      </c>
      <c r="H361" s="1117">
        <f ca="1">G324*2</f>
        <v>2.5590868340585913</v>
      </c>
      <c r="I361" s="1118" t="s">
        <v>3137</v>
      </c>
    </row>
    <row r="362" spans="1:9" x14ac:dyDescent="0.2">
      <c r="A362" s="1091" t="s">
        <v>3254</v>
      </c>
      <c r="B362" s="1052"/>
      <c r="C362" s="9"/>
      <c r="D362" s="1110">
        <f t="shared" si="8"/>
        <v>11</v>
      </c>
      <c r="E362" s="26">
        <f t="shared" si="8"/>
        <v>13</v>
      </c>
      <c r="F362" s="1109">
        <f t="shared" si="9"/>
        <v>0.53493716222827614</v>
      </c>
      <c r="G362" s="27">
        <f t="shared" si="10"/>
        <v>1.0698743244565523</v>
      </c>
      <c r="H362" s="1107">
        <f>G362</f>
        <v>1.0698743244565523</v>
      </c>
    </row>
    <row r="363" spans="1:9" x14ac:dyDescent="0.2">
      <c r="D363" s="133">
        <f t="shared" ref="D363:D373" si="12">D326-1</f>
        <v>11</v>
      </c>
      <c r="E363" s="133">
        <v>14</v>
      </c>
      <c r="F363" s="990">
        <f t="shared" si="9"/>
        <v>1.5475322247001877E-2</v>
      </c>
      <c r="G363" s="243">
        <f t="shared" si="10"/>
        <v>3.0950644494003754E-2</v>
      </c>
      <c r="H363" s="992">
        <f>G363</f>
        <v>3.0950644494003754E-2</v>
      </c>
    </row>
    <row r="364" spans="1:9" x14ac:dyDescent="0.2">
      <c r="C364" s="104">
        <f>F358-F359</f>
        <v>7.3206510503169211</v>
      </c>
      <c r="D364" s="133">
        <f t="shared" si="12"/>
        <v>10</v>
      </c>
      <c r="E364" s="133">
        <f t="shared" ref="E364:E374" si="13">E327-1</f>
        <v>15</v>
      </c>
      <c r="F364" s="990">
        <f t="shared" si="9"/>
        <v>7.5047005251584604</v>
      </c>
      <c r="G364" s="243">
        <f t="shared" si="10"/>
        <v>15.009401050316921</v>
      </c>
      <c r="H364" s="992">
        <f>G364</f>
        <v>15.009401050316921</v>
      </c>
    </row>
    <row r="365" spans="1:9" x14ac:dyDescent="0.2">
      <c r="D365" s="133">
        <f t="shared" si="12"/>
        <v>13</v>
      </c>
      <c r="E365" s="133">
        <f t="shared" si="13"/>
        <v>15</v>
      </c>
      <c r="F365" s="990">
        <f t="shared" si="9"/>
        <v>0.53493716222827614</v>
      </c>
      <c r="G365" s="243">
        <f t="shared" si="10"/>
        <v>1.0698743244565523</v>
      </c>
      <c r="H365" s="992">
        <f>G365</f>
        <v>1.0698743244565523</v>
      </c>
    </row>
    <row r="366" spans="1:9" x14ac:dyDescent="0.2">
      <c r="D366" s="133">
        <f t="shared" si="12"/>
        <v>3</v>
      </c>
      <c r="E366" s="133">
        <f t="shared" si="13"/>
        <v>15</v>
      </c>
      <c r="F366" s="990">
        <f t="shared" si="9"/>
        <v>4.9513318878728683</v>
      </c>
      <c r="G366" s="243">
        <f t="shared" si="10"/>
        <v>9.9026637757457365</v>
      </c>
      <c r="H366" s="992">
        <f>G366</f>
        <v>9.9026637757457365</v>
      </c>
    </row>
    <row r="367" spans="1:9" x14ac:dyDescent="0.2">
      <c r="D367" s="1114">
        <f t="shared" si="12"/>
        <v>16</v>
      </c>
      <c r="E367" s="1114">
        <f t="shared" si="13"/>
        <v>15</v>
      </c>
      <c r="F367" s="1115">
        <f t="shared" si="9"/>
        <v>6.6152976676142936E-2</v>
      </c>
      <c r="G367" s="243">
        <f t="shared" si="10"/>
        <v>0.13230595335228587</v>
      </c>
      <c r="H367" s="133"/>
    </row>
    <row r="368" spans="1:9" x14ac:dyDescent="0.2">
      <c r="D368" s="1114">
        <f t="shared" si="12"/>
        <v>17</v>
      </c>
      <c r="E368" s="1114">
        <f t="shared" si="13"/>
        <v>15</v>
      </c>
      <c r="F368" s="1115">
        <f t="shared" si="9"/>
        <v>2.3562897982031351E-2</v>
      </c>
      <c r="G368" s="243">
        <f t="shared" si="10"/>
        <v>4.7125795964062703E-2</v>
      </c>
      <c r="H368" s="133"/>
    </row>
    <row r="369" spans="1:9" x14ac:dyDescent="0.2">
      <c r="D369" s="133">
        <f t="shared" si="12"/>
        <v>15</v>
      </c>
      <c r="E369" s="133">
        <f t="shared" si="13"/>
        <v>18</v>
      </c>
      <c r="F369" s="990">
        <f t="shared" si="9"/>
        <v>5.34393030719135</v>
      </c>
      <c r="G369" s="243">
        <f t="shared" si="10"/>
        <v>10.6878606143827</v>
      </c>
      <c r="H369" s="992">
        <f>G369</f>
        <v>10.6878606143827</v>
      </c>
    </row>
    <row r="370" spans="1:9" x14ac:dyDescent="0.2">
      <c r="D370" s="133">
        <f t="shared" si="12"/>
        <v>15</v>
      </c>
      <c r="E370" s="133">
        <f t="shared" si="13"/>
        <v>12</v>
      </c>
      <c r="F370" s="990">
        <f t="shared" si="9"/>
        <v>7.7367551427264303</v>
      </c>
      <c r="G370" s="243">
        <f t="shared" si="10"/>
        <v>15.473510285452861</v>
      </c>
      <c r="H370" s="992">
        <f>G370</f>
        <v>15.473510285452861</v>
      </c>
    </row>
    <row r="371" spans="1:9" x14ac:dyDescent="0.2">
      <c r="D371" s="133">
        <f t="shared" si="12"/>
        <v>18</v>
      </c>
      <c r="E371" s="133">
        <f t="shared" si="13"/>
        <v>19</v>
      </c>
      <c r="F371" s="990">
        <f t="shared" si="9"/>
        <v>3.623969861383225</v>
      </c>
      <c r="G371" s="243">
        <f>F371*2</f>
        <v>7.2479397227664499</v>
      </c>
      <c r="H371" s="992">
        <f>F371</f>
        <v>3.623969861383225</v>
      </c>
    </row>
    <row r="372" spans="1:9" x14ac:dyDescent="0.2">
      <c r="D372" s="133">
        <f t="shared" si="12"/>
        <v>18</v>
      </c>
      <c r="E372" s="133">
        <f t="shared" si="13"/>
        <v>4</v>
      </c>
      <c r="F372" s="990">
        <f t="shared" si="9"/>
        <v>1.719960445808125</v>
      </c>
      <c r="G372" s="243">
        <f t="shared" si="10"/>
        <v>3.43992089161625</v>
      </c>
      <c r="H372" s="992">
        <f>G372</f>
        <v>3.43992089161625</v>
      </c>
    </row>
    <row r="373" spans="1:9" x14ac:dyDescent="0.2">
      <c r="D373" s="26">
        <f t="shared" si="12"/>
        <v>19</v>
      </c>
      <c r="E373" s="26">
        <f t="shared" si="13"/>
        <v>20</v>
      </c>
      <c r="F373" s="1109">
        <f t="shared" si="9"/>
        <v>3.3883408815629115</v>
      </c>
      <c r="G373" s="27">
        <f t="shared" si="10"/>
        <v>6.7766817631258229</v>
      </c>
      <c r="H373" s="1107">
        <f>F373</f>
        <v>3.3883408815629115</v>
      </c>
      <c r="I373" s="29" t="s">
        <v>3294</v>
      </c>
    </row>
    <row r="374" spans="1:9" x14ac:dyDescent="0.2">
      <c r="D374" s="133">
        <v>20</v>
      </c>
      <c r="E374" s="133">
        <f t="shared" si="13"/>
        <v>17</v>
      </c>
      <c r="F374" s="990">
        <f t="shared" si="9"/>
        <v>0.2356289798203135</v>
      </c>
      <c r="G374" s="243">
        <f t="shared" si="10"/>
        <v>0.471257959640627</v>
      </c>
      <c r="H374" s="992">
        <f>F374</f>
        <v>0.2356289798203135</v>
      </c>
    </row>
    <row r="375" spans="1:9" x14ac:dyDescent="0.2">
      <c r="D375" s="1114">
        <v>21</v>
      </c>
      <c r="E375" s="1114">
        <v>20</v>
      </c>
      <c r="F375" s="1115">
        <f t="shared" si="9"/>
        <v>3.8752315370345958</v>
      </c>
      <c r="G375" s="243">
        <f t="shared" si="10"/>
        <v>7.7504630740691915</v>
      </c>
      <c r="H375" s="133"/>
    </row>
    <row r="376" spans="1:9" x14ac:dyDescent="0.2">
      <c r="D376" s="1114">
        <f>D339-1</f>
        <v>20</v>
      </c>
      <c r="E376" s="1114">
        <f>E339-1</f>
        <v>21</v>
      </c>
      <c r="F376" s="1115">
        <f t="shared" si="9"/>
        <v>3.681469960182866</v>
      </c>
      <c r="G376" s="243">
        <f t="shared" si="10"/>
        <v>7.362939920365732</v>
      </c>
      <c r="H376" s="133"/>
    </row>
    <row r="377" spans="1:9" x14ac:dyDescent="0.2">
      <c r="A377" s="9" t="s">
        <v>3128</v>
      </c>
      <c r="B377" s="1052">
        <v>21</v>
      </c>
      <c r="C377" s="9"/>
      <c r="D377" s="1112">
        <v>21</v>
      </c>
      <c r="E377" s="1112">
        <f t="shared" ref="E377:E385" si="14">E340-1</f>
        <v>22</v>
      </c>
      <c r="F377" s="1113">
        <f t="shared" si="9"/>
        <v>0.19376157685172982</v>
      </c>
      <c r="G377" s="27">
        <f t="shared" si="10"/>
        <v>0.38752315370345963</v>
      </c>
      <c r="H377" s="26"/>
    </row>
    <row r="378" spans="1:9" x14ac:dyDescent="0.2">
      <c r="A378" s="9" t="s">
        <v>1567</v>
      </c>
      <c r="B378" s="1052">
        <v>22</v>
      </c>
      <c r="C378" s="9"/>
      <c r="D378" s="26">
        <v>20</v>
      </c>
      <c r="E378" s="26">
        <f t="shared" si="14"/>
        <v>4</v>
      </c>
      <c r="F378" s="1109">
        <f t="shared" si="9"/>
        <v>0.21206608183828216</v>
      </c>
      <c r="G378" s="27">
        <f t="shared" si="10"/>
        <v>0.42413216367656431</v>
      </c>
      <c r="H378" s="1109">
        <f t="shared" ref="H378:H383" si="15">F378</f>
        <v>0.21206608183828216</v>
      </c>
    </row>
    <row r="379" spans="1:9" x14ac:dyDescent="0.2">
      <c r="A379" s="9" t="s">
        <v>3130</v>
      </c>
      <c r="B379" s="1052">
        <v>23</v>
      </c>
      <c r="C379" s="9"/>
      <c r="D379" s="26">
        <f t="shared" ref="D379:D385" si="16">D342-1</f>
        <v>20</v>
      </c>
      <c r="E379" s="26">
        <f t="shared" si="14"/>
        <v>23</v>
      </c>
      <c r="F379" s="1109">
        <f t="shared" si="9"/>
        <v>3.3713991771550971</v>
      </c>
      <c r="G379" s="27">
        <f t="shared" si="10"/>
        <v>6.7427983543101941</v>
      </c>
      <c r="H379" s="1109">
        <f t="shared" si="15"/>
        <v>3.3713991771550971</v>
      </c>
    </row>
    <row r="380" spans="1:9" x14ac:dyDescent="0.2">
      <c r="D380" s="133">
        <f t="shared" si="16"/>
        <v>20</v>
      </c>
      <c r="E380" s="133">
        <f t="shared" si="14"/>
        <v>24</v>
      </c>
      <c r="F380" s="990">
        <f t="shared" si="9"/>
        <v>1.6941704407814558E-2</v>
      </c>
      <c r="G380" s="243">
        <f t="shared" si="10"/>
        <v>3.3883408815629117E-2</v>
      </c>
      <c r="H380" s="990">
        <f t="shared" si="15"/>
        <v>1.6941704407814558E-2</v>
      </c>
    </row>
    <row r="381" spans="1:9" x14ac:dyDescent="0.2">
      <c r="D381" s="133">
        <f t="shared" si="16"/>
        <v>23</v>
      </c>
      <c r="E381" s="133">
        <f t="shared" si="14"/>
        <v>25</v>
      </c>
      <c r="F381" s="990">
        <f t="shared" si="9"/>
        <v>3.2408920470807052</v>
      </c>
      <c r="G381" s="243">
        <f t="shared" si="10"/>
        <v>6.4817840941614104</v>
      </c>
      <c r="H381" s="990">
        <f t="shared" si="15"/>
        <v>3.2408920470807052</v>
      </c>
    </row>
    <row r="382" spans="1:9" x14ac:dyDescent="0.2">
      <c r="D382" s="133">
        <f t="shared" si="16"/>
        <v>23</v>
      </c>
      <c r="E382" s="133">
        <f t="shared" si="14"/>
        <v>26</v>
      </c>
      <c r="F382" s="990">
        <f t="shared" si="9"/>
        <v>6.4401263855663762E-2</v>
      </c>
      <c r="G382" s="243">
        <f t="shared" si="10"/>
        <v>0.12880252771132752</v>
      </c>
      <c r="H382" s="990">
        <f t="shared" si="15"/>
        <v>6.4401263855663762E-2</v>
      </c>
    </row>
    <row r="383" spans="1:9" x14ac:dyDescent="0.2">
      <c r="D383" s="133">
        <f t="shared" si="16"/>
        <v>23</v>
      </c>
      <c r="E383" s="133">
        <f t="shared" si="14"/>
        <v>4</v>
      </c>
      <c r="F383" s="990">
        <f t="shared" si="9"/>
        <v>6.610586621872816E-2</v>
      </c>
      <c r="G383" s="243">
        <f t="shared" si="10"/>
        <v>0.13221173243745632</v>
      </c>
      <c r="H383" s="990">
        <f t="shared" si="15"/>
        <v>6.610586621872816E-2</v>
      </c>
    </row>
    <row r="384" spans="1:9" x14ac:dyDescent="0.2">
      <c r="D384" s="1114">
        <f t="shared" si="16"/>
        <v>12</v>
      </c>
      <c r="E384" s="1114">
        <f t="shared" si="14"/>
        <v>8</v>
      </c>
      <c r="F384" s="1115">
        <f t="shared" si="9"/>
        <v>1.1748371859493862</v>
      </c>
      <c r="G384" s="243">
        <f t="shared" si="10"/>
        <v>2.3496743718987725</v>
      </c>
      <c r="H384" s="991"/>
    </row>
    <row r="385" spans="1:8" x14ac:dyDescent="0.2">
      <c r="D385" s="1114">
        <f t="shared" si="16"/>
        <v>12</v>
      </c>
      <c r="E385" s="1114">
        <f t="shared" si="14"/>
        <v>16</v>
      </c>
      <c r="F385" s="1115">
        <f t="shared" si="9"/>
        <v>6.6152976676142936E-2</v>
      </c>
      <c r="G385" s="243">
        <f t="shared" si="10"/>
        <v>0.13230595335228587</v>
      </c>
    </row>
    <row r="386" spans="1:8" x14ac:dyDescent="0.2">
      <c r="A386" s="9" t="s">
        <v>3155</v>
      </c>
      <c r="B386" s="1052"/>
      <c r="C386" s="9"/>
      <c r="D386" s="9">
        <v>18</v>
      </c>
      <c r="E386" s="26">
        <v>28</v>
      </c>
      <c r="F386" s="1116">
        <f ca="1">I179</f>
        <v>0.90103803610993483</v>
      </c>
      <c r="G386" s="243"/>
    </row>
    <row r="387" spans="1:8" x14ac:dyDescent="0.2">
      <c r="A387" s="9" t="s">
        <v>3157</v>
      </c>
      <c r="B387" s="1052"/>
      <c r="C387" s="9"/>
      <c r="D387" s="9">
        <v>27</v>
      </c>
      <c r="E387" s="26">
        <v>28</v>
      </c>
      <c r="F387" s="1116">
        <f>I186</f>
        <v>1.5</v>
      </c>
    </row>
    <row r="388" spans="1:8" x14ac:dyDescent="0.2">
      <c r="A388" s="9" t="s">
        <v>3158</v>
      </c>
      <c r="B388" s="1052"/>
      <c r="C388" s="9"/>
      <c r="D388" s="9">
        <v>28</v>
      </c>
      <c r="E388" s="26">
        <v>29</v>
      </c>
      <c r="F388" s="1116">
        <f ca="1">I189</f>
        <v>0.49350933436352418</v>
      </c>
    </row>
    <row r="389" spans="1:8" x14ac:dyDescent="0.2">
      <c r="A389" s="9" t="s">
        <v>3159</v>
      </c>
      <c r="B389" s="1052"/>
      <c r="C389" s="9"/>
      <c r="D389" s="9">
        <v>28</v>
      </c>
      <c r="E389" s="26">
        <v>30</v>
      </c>
      <c r="F389" s="1116">
        <f ca="1">I198</f>
        <v>0.67676162475204982</v>
      </c>
    </row>
    <row r="390" spans="1:8" x14ac:dyDescent="0.2">
      <c r="A390" s="9" t="s">
        <v>3160</v>
      </c>
      <c r="B390" s="1052"/>
      <c r="C390" s="9"/>
      <c r="D390" s="9">
        <v>28</v>
      </c>
      <c r="E390" s="26">
        <v>4</v>
      </c>
      <c r="F390" s="1116">
        <f ca="1">I204</f>
        <v>1.2307670769943608</v>
      </c>
    </row>
    <row r="391" spans="1:8" x14ac:dyDescent="0.2">
      <c r="A391" s="9" t="s">
        <v>3161</v>
      </c>
      <c r="B391" s="1052"/>
      <c r="C391" s="9"/>
      <c r="D391" s="9">
        <v>29</v>
      </c>
      <c r="E391" s="26">
        <v>31</v>
      </c>
      <c r="F391" s="1116">
        <f ca="1">I219</f>
        <v>0.45378381389503608</v>
      </c>
    </row>
    <row r="392" spans="1:8" x14ac:dyDescent="0.2">
      <c r="A392" s="9" t="s">
        <v>3162</v>
      </c>
      <c r="B392" s="1052"/>
      <c r="C392" s="9"/>
      <c r="D392" s="9">
        <v>29</v>
      </c>
      <c r="E392" s="26">
        <v>4</v>
      </c>
      <c r="F392" s="1116">
        <f ca="1">I222</f>
        <v>3.9725520468488096E-2</v>
      </c>
      <c r="H392" s="996"/>
    </row>
    <row r="393" spans="1:8" x14ac:dyDescent="0.2">
      <c r="A393" s="9" t="s">
        <v>3163</v>
      </c>
      <c r="B393" s="1052"/>
      <c r="C393" s="9"/>
      <c r="D393" s="9">
        <v>30</v>
      </c>
      <c r="E393" s="26">
        <v>32</v>
      </c>
      <c r="F393" s="1116">
        <f ca="1">I234</f>
        <v>0.46937173653882674</v>
      </c>
      <c r="H393" s="996"/>
    </row>
    <row r="394" spans="1:8" x14ac:dyDescent="0.2">
      <c r="A394" s="9" t="s">
        <v>3164</v>
      </c>
      <c r="B394" s="1052"/>
      <c r="C394" s="9"/>
      <c r="D394" s="9">
        <v>30</v>
      </c>
      <c r="E394" s="26">
        <v>4</v>
      </c>
      <c r="F394" s="1116">
        <f ca="1">I236</f>
        <v>0.20738988821322307</v>
      </c>
      <c r="H394" s="996"/>
    </row>
    <row r="395" spans="1:8" x14ac:dyDescent="0.2">
      <c r="A395" s="9" t="s">
        <v>3169</v>
      </c>
      <c r="B395" s="1052"/>
      <c r="C395" s="9"/>
      <c r="D395" s="9">
        <v>31</v>
      </c>
      <c r="E395" s="26">
        <v>33</v>
      </c>
      <c r="F395" s="1116">
        <f ca="1">I255</f>
        <v>0.45378381389503608</v>
      </c>
      <c r="H395" s="996"/>
    </row>
    <row r="396" spans="1:8" x14ac:dyDescent="0.2">
      <c r="A396" s="9" t="s">
        <v>3165</v>
      </c>
      <c r="B396" s="1052"/>
      <c r="C396" s="9"/>
      <c r="D396" s="9">
        <v>32</v>
      </c>
      <c r="E396" s="26">
        <v>33</v>
      </c>
      <c r="F396" s="1116">
        <f ca="1">I256</f>
        <v>0.46937173653882674</v>
      </c>
      <c r="H396" s="996"/>
    </row>
    <row r="397" spans="1:8" x14ac:dyDescent="0.2">
      <c r="A397" s="9" t="s">
        <v>3166</v>
      </c>
      <c r="B397" s="1052"/>
      <c r="C397" s="9"/>
      <c r="D397" s="9">
        <v>33</v>
      </c>
      <c r="E397" s="26">
        <v>34</v>
      </c>
      <c r="F397" s="1116">
        <f ca="1">I295</f>
        <v>0.40685506690468831</v>
      </c>
      <c r="H397" s="996"/>
    </row>
    <row r="398" spans="1:8" x14ac:dyDescent="0.2">
      <c r="A398" s="9" t="s">
        <v>3167</v>
      </c>
      <c r="B398" s="1052"/>
      <c r="C398" s="9"/>
      <c r="D398" s="9">
        <v>33</v>
      </c>
      <c r="E398" s="26">
        <v>4</v>
      </c>
      <c r="F398" s="1116">
        <f ca="1">I296+I260</f>
        <v>0.51630048352917457</v>
      </c>
      <c r="H398" s="996"/>
    </row>
    <row r="399" spans="1:8" x14ac:dyDescent="0.2">
      <c r="H399" s="996"/>
    </row>
    <row r="400" spans="1:8" x14ac:dyDescent="0.2">
      <c r="H400" s="996"/>
    </row>
    <row r="401" spans="8:8" x14ac:dyDescent="0.2">
      <c r="H401" s="996"/>
    </row>
    <row r="402" spans="8:8" x14ac:dyDescent="0.2">
      <c r="H402" s="996"/>
    </row>
    <row r="403" spans="8:8" x14ac:dyDescent="0.2">
      <c r="H403" s="996"/>
    </row>
    <row r="404" spans="8:8" x14ac:dyDescent="0.2">
      <c r="H404" s="996"/>
    </row>
    <row r="405" spans="8:8" x14ac:dyDescent="0.2">
      <c r="H405" s="996"/>
    </row>
    <row r="406" spans="8:8" x14ac:dyDescent="0.2">
      <c r="H406" s="996"/>
    </row>
    <row r="407" spans="8:8" x14ac:dyDescent="0.2">
      <c r="H407" s="996"/>
    </row>
    <row r="408" spans="8:8" x14ac:dyDescent="0.2">
      <c r="H408" s="996"/>
    </row>
    <row r="409" spans="8:8" x14ac:dyDescent="0.2">
      <c r="H409" s="996"/>
    </row>
    <row r="410" spans="8:8" x14ac:dyDescent="0.2">
      <c r="H410" s="996"/>
    </row>
    <row r="411" spans="8:8" x14ac:dyDescent="0.2">
      <c r="H411" s="996"/>
    </row>
    <row r="412" spans="8:8" x14ac:dyDescent="0.2">
      <c r="H412" s="996"/>
    </row>
    <row r="413" spans="8:8" x14ac:dyDescent="0.2">
      <c r="H413" s="996"/>
    </row>
    <row r="414" spans="8:8" x14ac:dyDescent="0.2">
      <c r="H414" s="996"/>
    </row>
    <row r="415" spans="8:8" x14ac:dyDescent="0.2">
      <c r="H415" s="996"/>
    </row>
    <row r="416" spans="8:8" x14ac:dyDescent="0.2">
      <c r="H416" s="996"/>
    </row>
    <row r="417" spans="8:8" x14ac:dyDescent="0.2">
      <c r="H417" s="996"/>
    </row>
    <row r="418" spans="8:8" x14ac:dyDescent="0.2">
      <c r="H418" s="996"/>
    </row>
    <row r="419" spans="8:8" x14ac:dyDescent="0.2">
      <c r="H419" s="994"/>
    </row>
    <row r="420" spans="8:8" x14ac:dyDescent="0.2">
      <c r="H420" s="994"/>
    </row>
    <row r="421" spans="8:8" x14ac:dyDescent="0.2">
      <c r="H421" s="994"/>
    </row>
    <row r="422" spans="8:8" x14ac:dyDescent="0.2">
      <c r="H422" s="994"/>
    </row>
    <row r="423" spans="8:8" x14ac:dyDescent="0.2">
      <c r="H423" s="994"/>
    </row>
    <row r="424" spans="8:8" x14ac:dyDescent="0.2">
      <c r="H424" s="994"/>
    </row>
    <row r="425" spans="8:8" x14ac:dyDescent="0.2">
      <c r="H425" s="994"/>
    </row>
    <row r="426" spans="8:8" x14ac:dyDescent="0.2">
      <c r="H426" s="994"/>
    </row>
    <row r="427" spans="8:8" x14ac:dyDescent="0.2">
      <c r="H427" s="994"/>
    </row>
    <row r="428" spans="8:8" x14ac:dyDescent="0.2">
      <c r="H428" s="994"/>
    </row>
    <row r="429" spans="8:8" x14ac:dyDescent="0.2">
      <c r="H429" s="994"/>
    </row>
    <row r="430" spans="8:8" x14ac:dyDescent="0.2">
      <c r="H430" s="994"/>
    </row>
    <row r="431" spans="8:8" x14ac:dyDescent="0.2">
      <c r="H431" s="994"/>
    </row>
  </sheetData>
  <mergeCells count="2">
    <mergeCell ref="A1:J2"/>
    <mergeCell ref="A173:P174"/>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03BEC-3BC6-4DD4-AD3C-310BB15692D9}">
  <sheetPr codeName="Sheet10"/>
  <dimension ref="A1:AH852"/>
  <sheetViews>
    <sheetView zoomScale="90" zoomScaleNormal="90" workbookViewId="0">
      <selection activeCell="D768" sqref="D768"/>
    </sheetView>
  </sheetViews>
  <sheetFormatPr baseColWidth="10" defaultColWidth="8.83203125" defaultRowHeight="15" x14ac:dyDescent="0.2"/>
  <cols>
    <col min="1" max="1" width="36.33203125" customWidth="1"/>
    <col min="2" max="2" width="22.5" customWidth="1"/>
    <col min="3" max="3" width="12.83203125" customWidth="1"/>
    <col min="4" max="4" width="18.33203125" customWidth="1"/>
    <col min="5" max="5" width="24.5" customWidth="1"/>
    <col min="6" max="6" width="19" customWidth="1"/>
    <col min="7" max="7" width="13.5" customWidth="1"/>
    <col min="8" max="8" width="16.1640625" customWidth="1"/>
  </cols>
  <sheetData>
    <row r="1" spans="1:34" ht="15" customHeight="1" x14ac:dyDescent="0.2">
      <c r="A1" s="1629" t="s">
        <v>3295</v>
      </c>
      <c r="B1" s="1630"/>
      <c r="C1" s="1630"/>
      <c r="D1" s="1630"/>
      <c r="E1" s="1630"/>
      <c r="F1" s="1630"/>
      <c r="G1" s="1630"/>
      <c r="H1" s="1630"/>
      <c r="I1" s="1630"/>
      <c r="J1" s="1630"/>
      <c r="K1" s="1630"/>
      <c r="L1" s="1630"/>
      <c r="M1" s="1630"/>
      <c r="N1" s="1630"/>
      <c r="O1" s="1630"/>
      <c r="P1" s="1631"/>
      <c r="S1" s="1628"/>
      <c r="T1" s="1628"/>
      <c r="U1" s="1628"/>
      <c r="V1" s="1628"/>
      <c r="W1" s="1628"/>
      <c r="X1" s="1628"/>
      <c r="Y1" s="1628"/>
      <c r="Z1" s="1628"/>
      <c r="AA1" s="1628"/>
      <c r="AB1" s="1628"/>
      <c r="AC1" s="1628"/>
      <c r="AD1" s="1628"/>
      <c r="AE1" s="1628"/>
      <c r="AF1" s="1628"/>
      <c r="AG1" s="1628"/>
      <c r="AH1" s="1628"/>
    </row>
    <row r="2" spans="1:34" ht="15.75" customHeight="1" thickBot="1" x14ac:dyDescent="0.25">
      <c r="A2" s="1632"/>
      <c r="B2" s="1633"/>
      <c r="C2" s="1633"/>
      <c r="D2" s="1633"/>
      <c r="E2" s="1633"/>
      <c r="F2" s="1633"/>
      <c r="G2" s="1633"/>
      <c r="H2" s="1633"/>
      <c r="I2" s="1633"/>
      <c r="J2" s="1633"/>
      <c r="K2" s="1633"/>
      <c r="L2" s="1633"/>
      <c r="M2" s="1633"/>
      <c r="N2" s="1633"/>
      <c r="O2" s="1633"/>
      <c r="P2" s="1634"/>
      <c r="S2" s="1628"/>
      <c r="T2" s="1628"/>
      <c r="U2" s="1628"/>
      <c r="V2" s="1628"/>
      <c r="W2" s="1628"/>
      <c r="X2" s="1628"/>
      <c r="Y2" s="1628"/>
      <c r="Z2" s="1628"/>
      <c r="AA2" s="1628"/>
      <c r="AB2" s="1628"/>
      <c r="AC2" s="1628"/>
      <c r="AD2" s="1628"/>
      <c r="AE2" s="1628"/>
      <c r="AF2" s="1628"/>
      <c r="AG2" s="1628"/>
      <c r="AH2" s="1628"/>
    </row>
    <row r="3" spans="1:34" ht="15.75" customHeight="1" x14ac:dyDescent="0.2">
      <c r="A3" s="259"/>
      <c r="B3" s="254"/>
      <c r="C3" s="254"/>
      <c r="D3" s="254"/>
      <c r="E3" s="254"/>
      <c r="F3" s="254"/>
      <c r="G3" s="254"/>
      <c r="H3" s="254"/>
      <c r="I3" s="254"/>
      <c r="J3" s="254"/>
      <c r="K3" s="254"/>
      <c r="L3" s="254"/>
      <c r="M3" s="254"/>
      <c r="N3" s="254"/>
      <c r="O3" s="254"/>
      <c r="P3" s="254"/>
      <c r="S3" s="254"/>
      <c r="T3" s="254"/>
      <c r="U3" s="254"/>
      <c r="V3" s="254"/>
      <c r="W3" s="254"/>
      <c r="X3" s="254"/>
      <c r="Y3" s="254"/>
      <c r="Z3" s="254"/>
      <c r="AA3" s="254"/>
      <c r="AB3" s="254"/>
      <c r="AC3" s="254"/>
      <c r="AD3" s="254"/>
      <c r="AE3" s="254"/>
      <c r="AF3" s="254"/>
      <c r="AG3" s="254"/>
      <c r="AH3" s="254"/>
    </row>
    <row r="4" spans="1:34" ht="15.75" customHeight="1" x14ac:dyDescent="0.2">
      <c r="J4" s="254"/>
      <c r="K4" s="254"/>
      <c r="L4" s="254"/>
      <c r="M4" s="254"/>
      <c r="N4" s="254"/>
      <c r="O4" s="254"/>
      <c r="P4" s="254"/>
      <c r="S4" s="254"/>
      <c r="T4" s="254"/>
      <c r="U4" s="254"/>
      <c r="V4" s="254"/>
      <c r="W4" s="254"/>
      <c r="X4" s="254"/>
      <c r="Y4" s="254"/>
      <c r="Z4" s="254"/>
      <c r="AA4" s="254"/>
      <c r="AB4" s="254"/>
      <c r="AC4" s="254"/>
      <c r="AD4" s="254"/>
      <c r="AE4" s="254"/>
      <c r="AF4" s="254"/>
      <c r="AG4" s="254"/>
      <c r="AH4" s="254"/>
    </row>
    <row r="5" spans="1:34" ht="15.75" customHeight="1" thickBot="1" x14ac:dyDescent="0.25">
      <c r="A5" s="257"/>
      <c r="B5" s="258"/>
      <c r="C5" s="258"/>
      <c r="D5" s="258"/>
      <c r="E5" s="258"/>
      <c r="F5" s="254"/>
      <c r="G5" s="254"/>
      <c r="H5" s="254"/>
      <c r="I5" s="254"/>
      <c r="J5" s="254"/>
      <c r="K5" s="254"/>
      <c r="L5" s="254"/>
      <c r="M5" s="254"/>
      <c r="N5" s="254"/>
      <c r="O5" s="254"/>
      <c r="P5" s="254"/>
      <c r="S5" s="254"/>
      <c r="T5" s="254"/>
      <c r="U5" s="254"/>
      <c r="V5" s="254"/>
      <c r="W5" s="254"/>
      <c r="X5" s="254"/>
      <c r="Y5" s="254"/>
      <c r="Z5" s="254"/>
      <c r="AA5" s="254"/>
      <c r="AB5" s="254"/>
      <c r="AC5" s="254"/>
      <c r="AD5" s="254"/>
      <c r="AE5" s="254"/>
      <c r="AF5" s="254"/>
      <c r="AG5" s="254"/>
      <c r="AH5" s="254"/>
    </row>
    <row r="6" spans="1:34" ht="16" thickBot="1" x14ac:dyDescent="0.25">
      <c r="A6" s="1635" t="s">
        <v>753</v>
      </c>
      <c r="B6" s="1636"/>
      <c r="C6" s="1636"/>
      <c r="D6" s="1636"/>
      <c r="E6" s="1637"/>
    </row>
    <row r="7" spans="1:34" ht="16" thickBot="1" x14ac:dyDescent="0.25">
      <c r="A7" s="1612" t="s">
        <v>580</v>
      </c>
      <c r="B7" s="1614" t="s">
        <v>581</v>
      </c>
      <c r="C7" s="1615"/>
      <c r="D7" s="1615"/>
      <c r="E7" s="1616"/>
    </row>
    <row r="8" spans="1:34" ht="16" thickBot="1" x14ac:dyDescent="0.25">
      <c r="A8" s="1613"/>
      <c r="B8" s="64" t="s">
        <v>515</v>
      </c>
      <c r="C8" s="64" t="s">
        <v>372</v>
      </c>
      <c r="D8" s="74" t="s">
        <v>518</v>
      </c>
      <c r="E8" s="64" t="s">
        <v>372</v>
      </c>
    </row>
    <row r="9" spans="1:34" x14ac:dyDescent="0.2">
      <c r="A9" s="172"/>
    </row>
    <row r="10" spans="1:34" x14ac:dyDescent="0.2">
      <c r="A10" s="188" t="s">
        <v>584</v>
      </c>
      <c r="B10" s="109">
        <f>Inputs!F13*(Inputs!F15)/Units!C15</f>
        <v>22.5</v>
      </c>
      <c r="C10" s="112" t="s">
        <v>444</v>
      </c>
      <c r="D10" s="110"/>
      <c r="E10" s="112"/>
    </row>
    <row r="11" spans="1:34" x14ac:dyDescent="0.2">
      <c r="A11" s="126"/>
      <c r="B11" s="126">
        <f>B10*Units!C5</f>
        <v>85.162500000000009</v>
      </c>
      <c r="C11" s="127" t="s">
        <v>588</v>
      </c>
      <c r="E11" s="127"/>
    </row>
    <row r="12" spans="1:34" x14ac:dyDescent="0.2">
      <c r="A12" s="175" t="s">
        <v>585</v>
      </c>
      <c r="B12" s="126">
        <f>Inputs!F13*(Inputs!F14)/Units!C15</f>
        <v>2.5</v>
      </c>
      <c r="C12" s="127" t="s">
        <v>444</v>
      </c>
      <c r="E12" s="127"/>
    </row>
    <row r="13" spans="1:34" x14ac:dyDescent="0.2">
      <c r="A13" s="126"/>
      <c r="B13" s="126">
        <f>B12*Units!C5</f>
        <v>9.4625000000000004</v>
      </c>
      <c r="C13" s="127" t="s">
        <v>588</v>
      </c>
      <c r="E13" s="127"/>
    </row>
    <row r="14" spans="1:34" x14ac:dyDescent="0.2">
      <c r="A14" s="126" t="s">
        <v>586</v>
      </c>
      <c r="B14" s="126">
        <f>SUM(B10,B12)</f>
        <v>25</v>
      </c>
      <c r="C14" s="127" t="s">
        <v>444</v>
      </c>
      <c r="E14" s="127"/>
    </row>
    <row r="15" spans="1:34" x14ac:dyDescent="0.2">
      <c r="A15" s="126"/>
      <c r="B15" s="126">
        <f>B14*Units!C$5</f>
        <v>94.625</v>
      </c>
      <c r="C15" s="127" t="s">
        <v>588</v>
      </c>
      <c r="E15" s="127"/>
    </row>
    <row r="16" spans="1:34" x14ac:dyDescent="0.2">
      <c r="A16" s="126"/>
      <c r="B16" s="126">
        <f>B15*Units!C$55</f>
        <v>2271</v>
      </c>
      <c r="C16" s="127" t="s">
        <v>600</v>
      </c>
      <c r="E16" s="127"/>
    </row>
    <row r="17" spans="1:5" x14ac:dyDescent="0.2">
      <c r="A17" s="126" t="s">
        <v>590</v>
      </c>
      <c r="B17" s="126">
        <v>242</v>
      </c>
      <c r="C17" s="127" t="s">
        <v>589</v>
      </c>
      <c r="E17" s="127"/>
    </row>
    <row r="18" spans="1:5" x14ac:dyDescent="0.2">
      <c r="A18" s="126" t="s">
        <v>594</v>
      </c>
      <c r="B18" s="126">
        <f>Inputs!F8</f>
        <v>60</v>
      </c>
      <c r="C18" s="127" t="s">
        <v>593</v>
      </c>
      <c r="E18" s="127"/>
    </row>
    <row r="19" spans="1:5" x14ac:dyDescent="0.2">
      <c r="A19" s="126" t="s">
        <v>384</v>
      </c>
      <c r="B19" s="126">
        <f>B17/B18</f>
        <v>4.0333333333333332</v>
      </c>
      <c r="C19" s="127" t="s">
        <v>596</v>
      </c>
      <c r="E19" s="127"/>
    </row>
    <row r="20" spans="1:5" x14ac:dyDescent="0.2">
      <c r="A20" s="126" t="s">
        <v>595</v>
      </c>
      <c r="B20" s="126">
        <f>8/B19</f>
        <v>1.9834710743801653</v>
      </c>
      <c r="C20" s="127" t="s">
        <v>598</v>
      </c>
      <c r="E20" s="127"/>
    </row>
    <row r="21" spans="1:5" x14ac:dyDescent="0.2">
      <c r="A21" s="126" t="s">
        <v>587</v>
      </c>
      <c r="B21" s="126">
        <v>40</v>
      </c>
      <c r="C21" s="127" t="s">
        <v>599</v>
      </c>
      <c r="E21" s="127"/>
    </row>
    <row r="22" spans="1:5" x14ac:dyDescent="0.2">
      <c r="A22" s="126"/>
      <c r="B22" s="126">
        <f>B21*B20</f>
        <v>79.338842975206617</v>
      </c>
      <c r="C22" s="127" t="s">
        <v>600</v>
      </c>
      <c r="E22" s="127"/>
    </row>
    <row r="23" spans="1:5" x14ac:dyDescent="0.2">
      <c r="A23" s="117" t="s">
        <v>597</v>
      </c>
      <c r="B23" s="117">
        <f>ROUNDUP((B16/B22)*1.5,0)</f>
        <v>43</v>
      </c>
      <c r="C23" s="120" t="s">
        <v>601</v>
      </c>
      <c r="D23" s="118"/>
      <c r="E23" s="120"/>
    </row>
    <row r="26" spans="1:5" x14ac:dyDescent="0.2">
      <c r="A26" s="188" t="s">
        <v>2652</v>
      </c>
      <c r="B26" s="109">
        <v>25.78</v>
      </c>
      <c r="C26" s="112" t="s">
        <v>444</v>
      </c>
    </row>
    <row r="27" spans="1:5" x14ac:dyDescent="0.2">
      <c r="A27" s="126" t="s">
        <v>586</v>
      </c>
      <c r="B27" s="126">
        <f>B26</f>
        <v>25.78</v>
      </c>
      <c r="C27" s="127" t="s">
        <v>444</v>
      </c>
    </row>
    <row r="28" spans="1:5" x14ac:dyDescent="0.2">
      <c r="A28" s="126"/>
      <c r="B28" s="126">
        <f>B27*Units!C$5</f>
        <v>97.577300000000008</v>
      </c>
      <c r="C28" s="127" t="s">
        <v>588</v>
      </c>
    </row>
    <row r="29" spans="1:5" x14ac:dyDescent="0.2">
      <c r="A29" s="126"/>
      <c r="B29" s="126">
        <f>B28*Units!C$55</f>
        <v>2341.8552</v>
      </c>
      <c r="C29" s="127" t="s">
        <v>600</v>
      </c>
    </row>
    <row r="30" spans="1:5" x14ac:dyDescent="0.2">
      <c r="A30" s="126" t="s">
        <v>590</v>
      </c>
      <c r="B30" s="126">
        <v>190</v>
      </c>
      <c r="C30" s="127" t="s">
        <v>589</v>
      </c>
    </row>
    <row r="31" spans="1:5" x14ac:dyDescent="0.2">
      <c r="A31" s="126" t="s">
        <v>594</v>
      </c>
      <c r="B31" s="126">
        <v>60</v>
      </c>
      <c r="C31" s="127" t="s">
        <v>593</v>
      </c>
    </row>
    <row r="32" spans="1:5" x14ac:dyDescent="0.2">
      <c r="A32" s="126" t="s">
        <v>384</v>
      </c>
      <c r="B32" s="126">
        <f>B30/B31</f>
        <v>3.1666666666666665</v>
      </c>
      <c r="C32" s="127" t="s">
        <v>596</v>
      </c>
    </row>
    <row r="33" spans="1:3" x14ac:dyDescent="0.2">
      <c r="A33" s="126" t="s">
        <v>595</v>
      </c>
      <c r="B33" s="126">
        <f>8/B32</f>
        <v>2.5263157894736845</v>
      </c>
      <c r="C33" s="127" t="s">
        <v>598</v>
      </c>
    </row>
    <row r="34" spans="1:3" x14ac:dyDescent="0.2">
      <c r="A34" s="126" t="s">
        <v>587</v>
      </c>
      <c r="B34" s="126">
        <v>40</v>
      </c>
      <c r="C34" s="127" t="s">
        <v>599</v>
      </c>
    </row>
    <row r="35" spans="1:3" x14ac:dyDescent="0.2">
      <c r="A35" s="126"/>
      <c r="B35" s="126">
        <f>B34*B33</f>
        <v>101.05263157894738</v>
      </c>
      <c r="C35" s="127" t="s">
        <v>600</v>
      </c>
    </row>
    <row r="36" spans="1:3" x14ac:dyDescent="0.2">
      <c r="A36" s="117" t="s">
        <v>597</v>
      </c>
      <c r="B36" s="117">
        <f>ROUNDUP((B29/B35)*1.5,0)</f>
        <v>35</v>
      </c>
      <c r="C36" s="120" t="s">
        <v>601</v>
      </c>
    </row>
    <row r="38" spans="1:3" x14ac:dyDescent="0.2">
      <c r="A38" s="188" t="s">
        <v>2589</v>
      </c>
      <c r="B38" s="844">
        <f ca="1">ExpBase!Q102</f>
        <v>33.955948381944353</v>
      </c>
      <c r="C38" s="112" t="s">
        <v>444</v>
      </c>
    </row>
    <row r="39" spans="1:3" x14ac:dyDescent="0.2">
      <c r="A39" s="126" t="s">
        <v>586</v>
      </c>
      <c r="B39" s="126">
        <f ca="1">B38</f>
        <v>33.955948381944353</v>
      </c>
      <c r="C39" s="127" t="s">
        <v>444</v>
      </c>
    </row>
    <row r="40" spans="1:3" x14ac:dyDescent="0.2">
      <c r="A40" s="126"/>
      <c r="B40" s="126">
        <f ca="1">B39*Units!C$5</f>
        <v>128.52326462565938</v>
      </c>
      <c r="C40" s="127" t="s">
        <v>588</v>
      </c>
    </row>
    <row r="41" spans="1:3" x14ac:dyDescent="0.2">
      <c r="A41" s="126"/>
      <c r="B41" s="126">
        <f ca="1">B40*Units!C$55</f>
        <v>3084.5583510158249</v>
      </c>
      <c r="C41" s="127" t="s">
        <v>600</v>
      </c>
    </row>
    <row r="42" spans="1:3" x14ac:dyDescent="0.2">
      <c r="A42" s="126" t="s">
        <v>590</v>
      </c>
      <c r="B42" s="126">
        <v>170</v>
      </c>
      <c r="C42" s="127" t="s">
        <v>589</v>
      </c>
    </row>
    <row r="43" spans="1:3" x14ac:dyDescent="0.2">
      <c r="A43" s="126" t="s">
        <v>594</v>
      </c>
      <c r="B43" s="126">
        <v>60</v>
      </c>
      <c r="C43" s="127" t="s">
        <v>593</v>
      </c>
    </row>
    <row r="44" spans="1:3" x14ac:dyDescent="0.2">
      <c r="A44" s="126" t="s">
        <v>384</v>
      </c>
      <c r="B44" s="126">
        <f>B42/B43</f>
        <v>2.8333333333333335</v>
      </c>
      <c r="C44" s="127" t="s">
        <v>596</v>
      </c>
    </row>
    <row r="45" spans="1:3" x14ac:dyDescent="0.2">
      <c r="A45" s="126" t="s">
        <v>595</v>
      </c>
      <c r="B45" s="126">
        <f>8/B44</f>
        <v>2.8235294117647056</v>
      </c>
      <c r="C45" s="127" t="s">
        <v>598</v>
      </c>
    </row>
    <row r="46" spans="1:3" x14ac:dyDescent="0.2">
      <c r="A46" s="126" t="s">
        <v>587</v>
      </c>
      <c r="B46" s="126">
        <v>40</v>
      </c>
      <c r="C46" s="127" t="s">
        <v>599</v>
      </c>
    </row>
    <row r="47" spans="1:3" x14ac:dyDescent="0.2">
      <c r="A47" s="126"/>
      <c r="B47" s="126">
        <f>B46*B45</f>
        <v>112.94117647058823</v>
      </c>
      <c r="C47" s="127" t="s">
        <v>600</v>
      </c>
    </row>
    <row r="48" spans="1:3" x14ac:dyDescent="0.2">
      <c r="A48" s="117" t="s">
        <v>597</v>
      </c>
      <c r="B48" s="117">
        <f ca="1">ROUNDUP((B41/B47)*1.5,0)</f>
        <v>41</v>
      </c>
      <c r="C48" s="120" t="s">
        <v>601</v>
      </c>
    </row>
    <row r="50" spans="1:8" x14ac:dyDescent="0.2">
      <c r="A50" s="188" t="s">
        <v>2961</v>
      </c>
      <c r="B50" s="160">
        <f ca="1">SUM(B38,B26,B10)</f>
        <v>82.235948381944354</v>
      </c>
      <c r="C50" s="112" t="s">
        <v>444</v>
      </c>
    </row>
    <row r="51" spans="1:8" x14ac:dyDescent="0.2">
      <c r="A51" s="117"/>
      <c r="B51" s="168">
        <f ca="1">B50*Units!C15*Units!C46</f>
        <v>37301.592969247416</v>
      </c>
      <c r="C51" s="120" t="s">
        <v>2494</v>
      </c>
    </row>
    <row r="53" spans="1:8" x14ac:dyDescent="0.2">
      <c r="A53" s="188" t="s">
        <v>2963</v>
      </c>
      <c r="B53" s="110"/>
      <c r="C53" s="112"/>
    </row>
    <row r="54" spans="1:8" x14ac:dyDescent="0.2">
      <c r="A54" s="109" t="s">
        <v>2589</v>
      </c>
      <c r="B54" s="845">
        <f>(B42*B45)*2/Units!C$55*Inputs!F$3/Inputs!F$7</f>
        <v>711111.11111111101</v>
      </c>
      <c r="C54" s="112" t="s">
        <v>2962</v>
      </c>
    </row>
    <row r="55" spans="1:8" x14ac:dyDescent="0.2">
      <c r="A55" s="126" t="s">
        <v>2652</v>
      </c>
      <c r="B55" s="166">
        <f>(B30*B33)/Units!C$55*Inputs!F$3/Inputs!F$7</f>
        <v>355555.55555555562</v>
      </c>
      <c r="C55" s="127" t="s">
        <v>2962</v>
      </c>
    </row>
    <row r="56" spans="1:8" x14ac:dyDescent="0.2">
      <c r="A56" s="117" t="s">
        <v>2964</v>
      </c>
      <c r="B56" s="833">
        <f>(B17*B20)/Units!C$55*Inputs!F$3/Inputs!F$7</f>
        <v>355555.55555555556</v>
      </c>
      <c r="C56" s="120" t="s">
        <v>2962</v>
      </c>
    </row>
    <row r="58" spans="1:8" ht="16" thickBot="1" x14ac:dyDescent="0.25"/>
    <row r="59" spans="1:8" ht="16" thickBot="1" x14ac:dyDescent="0.25">
      <c r="A59" s="1638" t="s">
        <v>1412</v>
      </c>
      <c r="B59" s="1639"/>
      <c r="C59" s="1639"/>
      <c r="D59" s="1639"/>
      <c r="E59" s="1639"/>
      <c r="F59" s="1639"/>
      <c r="G59" s="1639"/>
      <c r="H59" s="1640"/>
    </row>
    <row r="60" spans="1:8" ht="16" thickBot="1" x14ac:dyDescent="0.25">
      <c r="A60" s="1612" t="s">
        <v>580</v>
      </c>
      <c r="B60" s="1619" t="s">
        <v>581</v>
      </c>
      <c r="C60" s="1619"/>
      <c r="D60" s="1619"/>
      <c r="E60" s="1619"/>
      <c r="F60" s="1619" t="s">
        <v>582</v>
      </c>
      <c r="G60" s="1619"/>
      <c r="H60" s="1619"/>
    </row>
    <row r="61" spans="1:8" ht="16" thickBot="1" x14ac:dyDescent="0.25">
      <c r="A61" s="1613"/>
      <c r="B61" s="64" t="s">
        <v>515</v>
      </c>
      <c r="C61" s="64" t="s">
        <v>372</v>
      </c>
      <c r="D61" s="64" t="s">
        <v>583</v>
      </c>
      <c r="E61" s="64" t="s">
        <v>517</v>
      </c>
      <c r="F61" s="64" t="s">
        <v>42</v>
      </c>
      <c r="G61" s="64" t="s">
        <v>515</v>
      </c>
      <c r="H61" s="64" t="s">
        <v>372</v>
      </c>
    </row>
    <row r="62" spans="1:8" ht="27" x14ac:dyDescent="0.2">
      <c r="A62" s="254"/>
      <c r="B62" s="254"/>
      <c r="C62" s="254"/>
      <c r="D62" s="254"/>
      <c r="E62" s="254"/>
      <c r="F62" s="254"/>
      <c r="G62" s="254"/>
      <c r="H62" s="254"/>
    </row>
    <row r="63" spans="1:8" x14ac:dyDescent="0.2">
      <c r="A63" s="188" t="s">
        <v>531</v>
      </c>
      <c r="B63" s="179">
        <v>178</v>
      </c>
      <c r="C63" s="179" t="s">
        <v>2</v>
      </c>
      <c r="D63" s="179"/>
      <c r="E63" s="179"/>
      <c r="F63" s="189">
        <f>Inputs!F857</f>
        <v>4430</v>
      </c>
      <c r="G63" s="179">
        <v>178</v>
      </c>
      <c r="H63" s="190" t="s">
        <v>2</v>
      </c>
    </row>
    <row r="64" spans="1:8" x14ac:dyDescent="0.2">
      <c r="A64" s="126"/>
      <c r="F64" s="141"/>
      <c r="H64" s="127"/>
    </row>
    <row r="65" spans="1:8" x14ac:dyDescent="0.2">
      <c r="A65" s="126"/>
      <c r="H65" s="127"/>
    </row>
    <row r="66" spans="1:8" x14ac:dyDescent="0.2">
      <c r="A66" s="117"/>
      <c r="B66" s="118"/>
      <c r="C66" s="118"/>
      <c r="D66" s="118"/>
      <c r="E66" s="118"/>
      <c r="F66" s="118"/>
      <c r="G66" s="118"/>
      <c r="H66" s="120"/>
    </row>
    <row r="68" spans="1:8" ht="16" thickBot="1" x14ac:dyDescent="0.25"/>
    <row r="69" spans="1:8" ht="16" thickBot="1" x14ac:dyDescent="0.25">
      <c r="A69" s="1653" t="s">
        <v>2814</v>
      </c>
      <c r="B69" s="1654"/>
      <c r="C69" s="1654"/>
      <c r="D69" s="1654"/>
      <c r="E69" s="1654"/>
      <c r="F69" s="1654"/>
      <c r="G69" s="1654"/>
      <c r="H69" s="1655"/>
    </row>
    <row r="70" spans="1:8" ht="16" thickBot="1" x14ac:dyDescent="0.25">
      <c r="A70" s="1656" t="s">
        <v>580</v>
      </c>
      <c r="B70" s="1658" t="s">
        <v>581</v>
      </c>
      <c r="C70" s="1658"/>
      <c r="D70" s="1658"/>
      <c r="E70" s="1658"/>
      <c r="F70" s="1658" t="s">
        <v>582</v>
      </c>
      <c r="G70" s="1658"/>
      <c r="H70" s="1659"/>
    </row>
    <row r="71" spans="1:8" ht="16" thickBot="1" x14ac:dyDescent="0.25">
      <c r="A71" s="1657"/>
      <c r="B71" s="64" t="s">
        <v>515</v>
      </c>
      <c r="C71" s="64" t="s">
        <v>372</v>
      </c>
      <c r="D71" s="64" t="s">
        <v>583</v>
      </c>
      <c r="E71" s="64" t="s">
        <v>517</v>
      </c>
      <c r="F71" s="64" t="s">
        <v>42</v>
      </c>
      <c r="G71" s="64" t="s">
        <v>515</v>
      </c>
      <c r="H71" s="828" t="s">
        <v>372</v>
      </c>
    </row>
    <row r="72" spans="1:8" x14ac:dyDescent="0.2">
      <c r="A72" s="126"/>
      <c r="H72" s="127"/>
    </row>
    <row r="73" spans="1:8" x14ac:dyDescent="0.2">
      <c r="A73" s="109" t="s">
        <v>2797</v>
      </c>
      <c r="B73" s="160">
        <f ca="1">ExpBase!Q102</f>
        <v>33.955948381944353</v>
      </c>
      <c r="C73" s="112" t="s">
        <v>444</v>
      </c>
      <c r="H73" s="127"/>
    </row>
    <row r="74" spans="1:8" x14ac:dyDescent="0.2">
      <c r="A74" s="117"/>
      <c r="B74" s="168">
        <f ca="1">B73*Units!C15</f>
        <v>33955.948381944356</v>
      </c>
      <c r="C74" s="120" t="s">
        <v>267</v>
      </c>
      <c r="H74" s="127"/>
    </row>
    <row r="75" spans="1:8" x14ac:dyDescent="0.2">
      <c r="A75" s="126"/>
      <c r="H75" s="127"/>
    </row>
    <row r="76" spans="1:8" x14ac:dyDescent="0.2">
      <c r="A76" s="188" t="s">
        <v>535</v>
      </c>
      <c r="B76" s="110"/>
      <c r="C76" s="112"/>
      <c r="H76" s="127"/>
    </row>
    <row r="77" spans="1:8" x14ac:dyDescent="0.2">
      <c r="A77" s="126" t="s">
        <v>749</v>
      </c>
      <c r="B77" s="100">
        <f ca="1">B73*Inputs!F86</f>
        <v>203.73569029166612</v>
      </c>
      <c r="C77" s="127" t="s">
        <v>1</v>
      </c>
      <c r="H77" s="127"/>
    </row>
    <row r="78" spans="1:8" x14ac:dyDescent="0.2">
      <c r="A78" s="126" t="s">
        <v>773</v>
      </c>
      <c r="B78" s="100">
        <f ca="1">B77*Inputs!F103</f>
        <v>101867.84514583305</v>
      </c>
      <c r="C78" s="127" t="s">
        <v>7</v>
      </c>
      <c r="H78" s="127"/>
    </row>
    <row r="79" spans="1:8" x14ac:dyDescent="0.2">
      <c r="A79" s="126" t="s">
        <v>774</v>
      </c>
      <c r="B79" s="100">
        <f ca="1">ROUNDUP(B78/Inputs!F99,0)</f>
        <v>101868</v>
      </c>
      <c r="C79" s="127" t="s">
        <v>763</v>
      </c>
      <c r="H79" s="127"/>
    </row>
    <row r="80" spans="1:8" x14ac:dyDescent="0.2">
      <c r="A80" s="126" t="s">
        <v>783</v>
      </c>
      <c r="B80" s="166">
        <f ca="1">ROUNDUP(B79/Inputs!D106,-1)</f>
        <v>33960</v>
      </c>
      <c r="C80" s="127" t="s">
        <v>763</v>
      </c>
      <c r="H80" s="127"/>
    </row>
    <row r="81" spans="1:8" x14ac:dyDescent="0.2">
      <c r="A81" s="126" t="s">
        <v>741</v>
      </c>
      <c r="B81">
        <v>127</v>
      </c>
      <c r="C81" s="127" t="s">
        <v>742</v>
      </c>
      <c r="H81" s="127"/>
    </row>
    <row r="82" spans="1:8" x14ac:dyDescent="0.2">
      <c r="A82" s="126"/>
      <c r="B82" s="33">
        <f>B81*Units!C80</f>
        <v>1.27E-4</v>
      </c>
      <c r="C82" s="127" t="s">
        <v>10</v>
      </c>
      <c r="H82" s="127"/>
    </row>
    <row r="83" spans="1:8" x14ac:dyDescent="0.2">
      <c r="A83" s="126" t="s">
        <v>743</v>
      </c>
      <c r="B83">
        <f>Inputs!F105</f>
        <v>1E-3</v>
      </c>
      <c r="C83" s="127" t="s">
        <v>10</v>
      </c>
      <c r="H83" s="127"/>
    </row>
    <row r="84" spans="1:8" x14ac:dyDescent="0.2">
      <c r="A84" s="126" t="s">
        <v>744</v>
      </c>
      <c r="B84" s="100">
        <f ca="1">(B83+B82)*B79</f>
        <v>114.80523599999999</v>
      </c>
      <c r="C84" s="127" t="s">
        <v>10</v>
      </c>
      <c r="H84" s="127"/>
    </row>
    <row r="85" spans="1:8" x14ac:dyDescent="0.2">
      <c r="A85" s="126" t="s">
        <v>730</v>
      </c>
      <c r="B85">
        <f ca="1">B73/B84</f>
        <v>0.29577003249176159</v>
      </c>
      <c r="C85" s="127" t="s">
        <v>7</v>
      </c>
      <c r="H85" s="127"/>
    </row>
    <row r="86" spans="1:8" x14ac:dyDescent="0.2">
      <c r="A86" s="126"/>
      <c r="C86" s="127"/>
      <c r="H86" s="127"/>
    </row>
    <row r="87" spans="1:8" x14ac:dyDescent="0.2">
      <c r="A87" s="126" t="s">
        <v>785</v>
      </c>
      <c r="B87" s="100">
        <f ca="1">B80*Inputs!F107</f>
        <v>33960</v>
      </c>
      <c r="C87" s="127" t="s">
        <v>763</v>
      </c>
      <c r="H87" s="127"/>
    </row>
    <row r="88" spans="1:8" x14ac:dyDescent="0.2">
      <c r="A88" s="126" t="s">
        <v>784</v>
      </c>
      <c r="B88" s="100">
        <f ca="1">B80*Inputs!F108</f>
        <v>33960</v>
      </c>
      <c r="C88" s="127" t="s">
        <v>763</v>
      </c>
      <c r="H88" s="127"/>
    </row>
    <row r="89" spans="1:8" x14ac:dyDescent="0.2">
      <c r="A89" s="126" t="s">
        <v>786</v>
      </c>
      <c r="B89" s="100">
        <f ca="1">B80*Inputs!F109</f>
        <v>67920</v>
      </c>
      <c r="C89" s="127" t="s">
        <v>763</v>
      </c>
      <c r="H89" s="127"/>
    </row>
    <row r="90" spans="1:8" x14ac:dyDescent="0.2">
      <c r="A90" s="126" t="s">
        <v>789</v>
      </c>
      <c r="B90" s="100">
        <f ca="1">SUM(B87:B89)/3</f>
        <v>45280</v>
      </c>
      <c r="C90" s="127" t="s">
        <v>763</v>
      </c>
      <c r="H90" s="127"/>
    </row>
    <row r="91" spans="1:8" x14ac:dyDescent="0.2">
      <c r="A91" s="126"/>
      <c r="C91" s="127"/>
      <c r="H91" s="127"/>
    </row>
    <row r="92" spans="1:8" x14ac:dyDescent="0.2">
      <c r="A92" s="126" t="s">
        <v>809</v>
      </c>
      <c r="B92" s="100">
        <f ca="1">B87*Inputs!F$99</f>
        <v>33960</v>
      </c>
      <c r="C92" s="127" t="s">
        <v>7</v>
      </c>
      <c r="H92" s="127"/>
    </row>
    <row r="93" spans="1:8" x14ac:dyDescent="0.2">
      <c r="A93" s="126" t="s">
        <v>810</v>
      </c>
      <c r="B93" s="100">
        <f ca="1">B88*Inputs!F$99</f>
        <v>33960</v>
      </c>
      <c r="C93" s="127" t="s">
        <v>7</v>
      </c>
      <c r="H93" s="127"/>
    </row>
    <row r="94" spans="1:8" x14ac:dyDescent="0.2">
      <c r="A94" s="117" t="s">
        <v>811</v>
      </c>
      <c r="B94" s="168">
        <f ca="1">B89*Inputs!F$99</f>
        <v>67920</v>
      </c>
      <c r="C94" s="120" t="s">
        <v>7</v>
      </c>
      <c r="H94" s="127"/>
    </row>
    <row r="95" spans="1:8" x14ac:dyDescent="0.2">
      <c r="A95" s="126"/>
      <c r="H95" s="127"/>
    </row>
    <row r="96" spans="1:8" x14ac:dyDescent="0.2">
      <c r="A96" s="109" t="s">
        <v>790</v>
      </c>
      <c r="B96" s="160">
        <f ca="1">B90*Inputs!F90</f>
        <v>90560</v>
      </c>
      <c r="C96" s="112"/>
      <c r="H96" s="127"/>
    </row>
    <row r="97" spans="1:8" x14ac:dyDescent="0.2">
      <c r="A97" s="126" t="s">
        <v>791</v>
      </c>
      <c r="B97" s="100">
        <f ca="1">B90*Inputs!D91</f>
        <v>27168</v>
      </c>
      <c r="C97" s="127"/>
      <c r="H97" s="127"/>
    </row>
    <row r="98" spans="1:8" x14ac:dyDescent="0.2">
      <c r="A98" s="126"/>
      <c r="C98" s="127"/>
      <c r="H98" s="127"/>
    </row>
    <row r="99" spans="1:8" x14ac:dyDescent="0.2">
      <c r="A99" s="117" t="s">
        <v>792</v>
      </c>
      <c r="B99" s="168">
        <f ca="1">ROUNDUP(B80/Inputs!F104,0)</f>
        <v>340</v>
      </c>
      <c r="C99" s="120" t="s">
        <v>763</v>
      </c>
      <c r="H99" s="127"/>
    </row>
    <row r="100" spans="1:8" x14ac:dyDescent="0.2">
      <c r="A100" s="117"/>
      <c r="H100" s="127"/>
    </row>
    <row r="101" spans="1:8" x14ac:dyDescent="0.2">
      <c r="A101" s="126"/>
      <c r="H101" s="127"/>
    </row>
    <row r="102" spans="1:8" x14ac:dyDescent="0.2">
      <c r="A102" s="109" t="s">
        <v>622</v>
      </c>
      <c r="B102" s="160">
        <f ca="1">Inputs!F110*Inputs!D111*B99</f>
        <v>122.39999999999999</v>
      </c>
      <c r="C102" s="112" t="s">
        <v>1</v>
      </c>
      <c r="H102" s="127"/>
    </row>
    <row r="103" spans="1:8" x14ac:dyDescent="0.2">
      <c r="A103" s="126" t="s">
        <v>623</v>
      </c>
      <c r="B103">
        <f ca="1">B102</f>
        <v>122.39999999999999</v>
      </c>
      <c r="C103" s="127" t="s">
        <v>1</v>
      </c>
      <c r="H103" s="127"/>
    </row>
    <row r="104" spans="1:8" x14ac:dyDescent="0.2">
      <c r="A104" s="126" t="s">
        <v>624</v>
      </c>
      <c r="B104">
        <f ca="1">B103/G312</f>
        <v>86.485556970188</v>
      </c>
      <c r="C104" s="127" t="s">
        <v>14</v>
      </c>
      <c r="H104" s="127"/>
    </row>
    <row r="105" spans="1:8" x14ac:dyDescent="0.2">
      <c r="A105" s="126" t="s">
        <v>625</v>
      </c>
      <c r="B105">
        <f ca="1">B104</f>
        <v>86.485556970188</v>
      </c>
      <c r="C105" s="127" t="s">
        <v>14</v>
      </c>
      <c r="H105" s="127"/>
    </row>
    <row r="106" spans="1:8" x14ac:dyDescent="0.2">
      <c r="A106" s="117"/>
      <c r="B106" s="118"/>
      <c r="C106" s="120"/>
      <c r="H106" s="127"/>
    </row>
    <row r="107" spans="1:8" x14ac:dyDescent="0.2">
      <c r="A107" s="126"/>
      <c r="H107" s="127"/>
    </row>
    <row r="108" spans="1:8" x14ac:dyDescent="0.2">
      <c r="A108" s="188" t="s">
        <v>745</v>
      </c>
      <c r="B108" s="110"/>
      <c r="C108" s="112"/>
      <c r="H108" s="127"/>
    </row>
    <row r="109" spans="1:8" x14ac:dyDescent="0.2">
      <c r="A109" s="126" t="s">
        <v>536</v>
      </c>
      <c r="B109" s="100">
        <f ca="1">B74</f>
        <v>33955.948381944356</v>
      </c>
      <c r="C109" s="127" t="s">
        <v>391</v>
      </c>
      <c r="H109" s="127"/>
    </row>
    <row r="110" spans="1:8" x14ac:dyDescent="0.2">
      <c r="A110" s="117" t="s">
        <v>583</v>
      </c>
      <c r="B110" s="118"/>
      <c r="C110" s="120"/>
      <c r="H110" s="127"/>
    </row>
    <row r="111" spans="1:8" x14ac:dyDescent="0.2">
      <c r="A111" s="126"/>
      <c r="H111" s="127"/>
    </row>
    <row r="112" spans="1:8" x14ac:dyDescent="0.2">
      <c r="H112" s="127"/>
    </row>
    <row r="113" spans="1:8" x14ac:dyDescent="0.2">
      <c r="A113" s="126"/>
      <c r="H113" s="127"/>
    </row>
    <row r="114" spans="1:8" x14ac:dyDescent="0.2">
      <c r="A114" s="188" t="s">
        <v>746</v>
      </c>
      <c r="B114" s="110"/>
      <c r="C114" s="110"/>
      <c r="D114" s="112"/>
      <c r="H114" s="127"/>
    </row>
    <row r="115" spans="1:8" x14ac:dyDescent="0.2">
      <c r="A115" s="126" t="s">
        <v>381</v>
      </c>
      <c r="B115" s="100">
        <f ca="1">ExpBase!N102*Inputs!F86</f>
        <v>40.747138058333228</v>
      </c>
      <c r="C115" t="s">
        <v>1</v>
      </c>
      <c r="D115" s="268">
        <f ca="1">IF(B115&gt;Inputs!F$113,ROUNDUP(B115/Inputs!F$113,0),1)</f>
        <v>41</v>
      </c>
      <c r="H115" s="127"/>
    </row>
    <row r="116" spans="1:8" x14ac:dyDescent="0.2">
      <c r="A116" s="126" t="s">
        <v>529</v>
      </c>
      <c r="B116" s="100">
        <f ca="1">((4*B115)/(1.2*Units!C$79))^(1/3)</f>
        <v>3.5097433343289604</v>
      </c>
      <c r="C116" t="s">
        <v>10</v>
      </c>
      <c r="D116" s="127"/>
      <c r="H116" s="127"/>
    </row>
    <row r="117" spans="1:8" x14ac:dyDescent="0.2">
      <c r="A117" s="126" t="s">
        <v>626</v>
      </c>
      <c r="B117" s="100">
        <f ca="1">B116/2</f>
        <v>1.7548716671644802</v>
      </c>
      <c r="C117" t="s">
        <v>10</v>
      </c>
      <c r="D117" s="127"/>
      <c r="H117" s="127"/>
    </row>
    <row r="118" spans="1:8" x14ac:dyDescent="0.2">
      <c r="A118" s="126" t="s">
        <v>821</v>
      </c>
      <c r="B118" s="100">
        <f ca="1">B116*Inputs!F$114</f>
        <v>4.2116920011947521</v>
      </c>
      <c r="C118" t="s">
        <v>10</v>
      </c>
      <c r="D118" s="127"/>
      <c r="H118" s="127"/>
    </row>
    <row r="119" spans="1:8" x14ac:dyDescent="0.2">
      <c r="A119" s="126" t="s">
        <v>731</v>
      </c>
      <c r="B119" s="100">
        <f ca="1">(2*B117*B118*Units!C$79)+(2*Units!C$79*CostCalc!B$117^2)</f>
        <v>65.788414423007424</v>
      </c>
      <c r="C119" t="s">
        <v>7</v>
      </c>
      <c r="D119" s="127"/>
      <c r="H119" s="127"/>
    </row>
    <row r="120" spans="1:8" x14ac:dyDescent="0.2">
      <c r="A120" s="126" t="s">
        <v>612</v>
      </c>
      <c r="B120">
        <f>0.5</f>
        <v>0.5</v>
      </c>
      <c r="C120" t="s">
        <v>10</v>
      </c>
      <c r="D120" s="127"/>
      <c r="H120" s="127"/>
    </row>
    <row r="121" spans="1:8" x14ac:dyDescent="0.2">
      <c r="A121" s="117" t="s">
        <v>747</v>
      </c>
      <c r="B121" s="168">
        <f ca="1">B119*B120</f>
        <v>32.894207211503712</v>
      </c>
      <c r="C121" s="118" t="s">
        <v>1</v>
      </c>
      <c r="D121" s="120"/>
      <c r="H121" s="127"/>
    </row>
    <row r="122" spans="1:8" x14ac:dyDescent="0.2">
      <c r="A122" s="126"/>
      <c r="H122" s="127"/>
    </row>
    <row r="123" spans="1:8" x14ac:dyDescent="0.2">
      <c r="A123" s="188" t="s">
        <v>748</v>
      </c>
      <c r="B123" s="110"/>
      <c r="C123" s="110"/>
      <c r="D123" s="112"/>
      <c r="H123" s="127"/>
    </row>
    <row r="124" spans="1:8" x14ac:dyDescent="0.2">
      <c r="A124" s="126" t="s">
        <v>381</v>
      </c>
      <c r="B124" s="100">
        <f ca="1">ExpBase!Q102*Inputs!F86</f>
        <v>203.73569029166612</v>
      </c>
      <c r="C124" t="s">
        <v>1</v>
      </c>
      <c r="D124" s="268">
        <f ca="1">IF(B124&gt;Inputs!F$113,ROUNDUP(B124/Inputs!F$113,0),1)</f>
        <v>204</v>
      </c>
      <c r="H124" s="127"/>
    </row>
    <row r="125" spans="1:8" x14ac:dyDescent="0.2">
      <c r="A125" s="126" t="s">
        <v>529</v>
      </c>
      <c r="B125" s="100">
        <f ca="1">((4*B124)/(1.2*Units!C$79))^(1/3)</f>
        <v>6.0015766807113913</v>
      </c>
      <c r="C125" t="s">
        <v>10</v>
      </c>
      <c r="D125" s="127"/>
      <c r="H125" s="127"/>
    </row>
    <row r="126" spans="1:8" x14ac:dyDescent="0.2">
      <c r="A126" s="126" t="s">
        <v>626</v>
      </c>
      <c r="B126" s="100">
        <f ca="1">B125/2</f>
        <v>3.0007883403556956</v>
      </c>
      <c r="C126" t="s">
        <v>10</v>
      </c>
      <c r="D126" s="127"/>
      <c r="H126" s="127"/>
    </row>
    <row r="127" spans="1:8" x14ac:dyDescent="0.2">
      <c r="A127" s="126" t="s">
        <v>821</v>
      </c>
      <c r="B127" s="100">
        <f ca="1">B125*Inputs!F$114</f>
        <v>7.2018920168536695</v>
      </c>
      <c r="C127" t="s">
        <v>10</v>
      </c>
      <c r="D127" s="127"/>
      <c r="H127" s="127"/>
    </row>
    <row r="128" spans="1:8" x14ac:dyDescent="0.2">
      <c r="A128" s="126" t="s">
        <v>731</v>
      </c>
      <c r="B128" s="100">
        <f ca="1">(2*B126*B127*Units!C$79)+(2*Units!C$79*CostCalc!B$117^2)</f>
        <v>155.13764476566541</v>
      </c>
      <c r="C128" t="s">
        <v>7</v>
      </c>
      <c r="D128" s="127"/>
      <c r="H128" s="127"/>
    </row>
    <row r="129" spans="1:8" x14ac:dyDescent="0.2">
      <c r="A129" s="126" t="s">
        <v>612</v>
      </c>
      <c r="B129">
        <f>0.5</f>
        <v>0.5</v>
      </c>
      <c r="C129" t="s">
        <v>10</v>
      </c>
      <c r="D129" s="127"/>
      <c r="H129" s="127"/>
    </row>
    <row r="130" spans="1:8" x14ac:dyDescent="0.2">
      <c r="A130" s="117" t="s">
        <v>747</v>
      </c>
      <c r="B130" s="168">
        <f ca="1">B128*B129</f>
        <v>77.568822382832707</v>
      </c>
      <c r="C130" s="118" t="s">
        <v>1</v>
      </c>
      <c r="D130" s="120"/>
      <c r="H130" s="127"/>
    </row>
    <row r="131" spans="1:8" x14ac:dyDescent="0.2">
      <c r="A131" s="126"/>
      <c r="H131" s="127"/>
    </row>
    <row r="132" spans="1:8" x14ac:dyDescent="0.2">
      <c r="A132" s="188" t="s">
        <v>828</v>
      </c>
      <c r="B132" s="110"/>
      <c r="C132" s="110"/>
      <c r="D132" s="112"/>
      <c r="H132" s="127"/>
    </row>
    <row r="133" spans="1:8" x14ac:dyDescent="0.2">
      <c r="A133" s="126" t="s">
        <v>381</v>
      </c>
      <c r="B133" s="100">
        <f ca="1">ExpBase!N102*Inputs!F86</f>
        <v>40.747138058333228</v>
      </c>
      <c r="C133" t="s">
        <v>1</v>
      </c>
      <c r="D133" s="268">
        <f ca="1">IF(B133&gt;Inputs!F$113,ROUNDUP(B133/Inputs!F$113,0),1)</f>
        <v>41</v>
      </c>
      <c r="H133" s="127"/>
    </row>
    <row r="134" spans="1:8" x14ac:dyDescent="0.2">
      <c r="A134" s="126" t="s">
        <v>529</v>
      </c>
      <c r="B134" s="100">
        <f ca="1">((4*B133)/(1.2*Units!C$79))^(1/3)</f>
        <v>3.5097433343289604</v>
      </c>
      <c r="C134" t="s">
        <v>10</v>
      </c>
      <c r="D134" s="127"/>
      <c r="H134" s="127"/>
    </row>
    <row r="135" spans="1:8" x14ac:dyDescent="0.2">
      <c r="A135" s="126" t="s">
        <v>626</v>
      </c>
      <c r="B135" s="100">
        <f ca="1">B134/2</f>
        <v>1.7548716671644802</v>
      </c>
      <c r="C135" t="s">
        <v>10</v>
      </c>
      <c r="D135" s="127"/>
      <c r="H135" s="127"/>
    </row>
    <row r="136" spans="1:8" x14ac:dyDescent="0.2">
      <c r="A136" s="126" t="s">
        <v>821</v>
      </c>
      <c r="B136" s="100">
        <f ca="1">B134*Inputs!F$114</f>
        <v>4.2116920011947521</v>
      </c>
      <c r="C136" t="s">
        <v>10</v>
      </c>
      <c r="D136" s="127"/>
      <c r="H136" s="127"/>
    </row>
    <row r="137" spans="1:8" x14ac:dyDescent="0.2">
      <c r="A137" s="126" t="s">
        <v>731</v>
      </c>
      <c r="B137" s="100">
        <f ca="1">(2*B135*B136*Units!C$79)+(2*Units!C$79*CostCalc!B$117^2)</f>
        <v>65.788414423007424</v>
      </c>
      <c r="C137" t="s">
        <v>7</v>
      </c>
      <c r="D137" s="127"/>
      <c r="H137" s="127"/>
    </row>
    <row r="138" spans="1:8" x14ac:dyDescent="0.2">
      <c r="A138" s="126" t="s">
        <v>612</v>
      </c>
      <c r="B138">
        <f>0.5</f>
        <v>0.5</v>
      </c>
      <c r="C138" t="s">
        <v>10</v>
      </c>
      <c r="D138" s="127"/>
      <c r="H138" s="127"/>
    </row>
    <row r="139" spans="1:8" x14ac:dyDescent="0.2">
      <c r="A139" s="117" t="s">
        <v>747</v>
      </c>
      <c r="B139" s="168">
        <f ca="1">B137*B138</f>
        <v>32.894207211503712</v>
      </c>
      <c r="C139" s="118" t="s">
        <v>1</v>
      </c>
      <c r="D139" s="120"/>
      <c r="H139" s="127"/>
    </row>
    <row r="140" spans="1:8" x14ac:dyDescent="0.2">
      <c r="A140" s="126"/>
      <c r="H140" s="127"/>
    </row>
    <row r="141" spans="1:8" x14ac:dyDescent="0.2">
      <c r="A141" s="188" t="s">
        <v>829</v>
      </c>
      <c r="B141" s="110"/>
      <c r="C141" s="110"/>
      <c r="D141" s="112"/>
      <c r="H141" s="127"/>
    </row>
    <row r="142" spans="1:8" x14ac:dyDescent="0.2">
      <c r="A142" s="126" t="s">
        <v>381</v>
      </c>
      <c r="B142" s="100">
        <f ca="1">ExpBase!N102*Inputs!F86</f>
        <v>40.747138058333228</v>
      </c>
      <c r="C142" t="s">
        <v>1</v>
      </c>
      <c r="D142" s="268">
        <f ca="1">IF(B142&gt;Inputs!F$113,ROUNDUP(B142/Inputs!F$113,0),1)</f>
        <v>41</v>
      </c>
      <c r="H142" s="127"/>
    </row>
    <row r="143" spans="1:8" x14ac:dyDescent="0.2">
      <c r="A143" s="126" t="s">
        <v>529</v>
      </c>
      <c r="B143" s="100">
        <f ca="1">((4*B142)/(1.2*Units!C$79))^(1/3)</f>
        <v>3.5097433343289604</v>
      </c>
      <c r="C143" t="s">
        <v>10</v>
      </c>
      <c r="D143" s="127"/>
      <c r="H143" s="127"/>
    </row>
    <row r="144" spans="1:8" x14ac:dyDescent="0.2">
      <c r="A144" s="126" t="s">
        <v>626</v>
      </c>
      <c r="B144" s="100">
        <f ca="1">B143/2</f>
        <v>1.7548716671644802</v>
      </c>
      <c r="C144" t="s">
        <v>10</v>
      </c>
      <c r="D144" s="127"/>
      <c r="H144" s="127"/>
    </row>
    <row r="145" spans="1:8" x14ac:dyDescent="0.2">
      <c r="A145" s="126" t="s">
        <v>821</v>
      </c>
      <c r="B145" s="100">
        <f ca="1">B143*Inputs!F$114</f>
        <v>4.2116920011947521</v>
      </c>
      <c r="C145" t="s">
        <v>10</v>
      </c>
      <c r="D145" s="127"/>
      <c r="H145" s="127"/>
    </row>
    <row r="146" spans="1:8" x14ac:dyDescent="0.2">
      <c r="A146" s="126" t="s">
        <v>731</v>
      </c>
      <c r="B146" s="100">
        <f ca="1">(2*B144*B145*Units!C$79)+(2*Units!C$79*CostCalc!B$117^2)</f>
        <v>65.788414423007424</v>
      </c>
      <c r="C146" t="s">
        <v>7</v>
      </c>
      <c r="D146" s="127"/>
      <c r="H146" s="127"/>
    </row>
    <row r="147" spans="1:8" x14ac:dyDescent="0.2">
      <c r="A147" s="126" t="s">
        <v>612</v>
      </c>
      <c r="B147">
        <f>0.5</f>
        <v>0.5</v>
      </c>
      <c r="C147" t="s">
        <v>10</v>
      </c>
      <c r="D147" s="127"/>
      <c r="H147" s="127"/>
    </row>
    <row r="148" spans="1:8" x14ac:dyDescent="0.2">
      <c r="A148" s="117" t="s">
        <v>747</v>
      </c>
      <c r="B148" s="168">
        <f ca="1">B146*B147</f>
        <v>32.894207211503712</v>
      </c>
      <c r="C148" s="118" t="s">
        <v>1</v>
      </c>
      <c r="D148" s="120"/>
      <c r="H148" s="127"/>
    </row>
    <row r="149" spans="1:8" x14ac:dyDescent="0.2">
      <c r="A149" s="117"/>
      <c r="H149" s="127"/>
    </row>
    <row r="150" spans="1:8" x14ac:dyDescent="0.2">
      <c r="A150" s="126"/>
      <c r="H150" s="127"/>
    </row>
    <row r="151" spans="1:8" x14ac:dyDescent="0.2">
      <c r="A151" s="188" t="s">
        <v>2799</v>
      </c>
      <c r="B151" s="110"/>
      <c r="C151" s="112"/>
      <c r="H151" s="127"/>
    </row>
    <row r="152" spans="1:8" x14ac:dyDescent="0.2">
      <c r="A152" s="126" t="s">
        <v>2800</v>
      </c>
      <c r="B152" s="100">
        <f ca="1">ExpBase!O102</f>
        <v>6.7911896763888713</v>
      </c>
      <c r="C152" s="127" t="s">
        <v>444</v>
      </c>
      <c r="H152" s="127"/>
    </row>
    <row r="153" spans="1:8" x14ac:dyDescent="0.2">
      <c r="A153" s="126"/>
      <c r="B153" s="100">
        <f ca="1">B152*Units!C15*Units!C46</f>
        <v>3080.4313450494842</v>
      </c>
      <c r="C153" s="127" t="s">
        <v>2494</v>
      </c>
      <c r="H153" s="127"/>
    </row>
    <row r="154" spans="1:8" x14ac:dyDescent="0.2">
      <c r="A154" s="126"/>
      <c r="C154" s="127"/>
      <c r="H154" s="127"/>
    </row>
    <row r="155" spans="1:8" x14ac:dyDescent="0.2">
      <c r="A155" s="175" t="s">
        <v>2801</v>
      </c>
      <c r="C155" s="127"/>
      <c r="H155" s="127"/>
    </row>
    <row r="156" spans="1:8" x14ac:dyDescent="0.2">
      <c r="A156" s="126" t="s">
        <v>536</v>
      </c>
      <c r="B156" s="100">
        <f ca="1">ExpBase!Q102</f>
        <v>33.955948381944353</v>
      </c>
      <c r="C156" s="127" t="s">
        <v>444</v>
      </c>
      <c r="H156" s="127"/>
    </row>
    <row r="157" spans="1:8" x14ac:dyDescent="0.2">
      <c r="A157" s="117"/>
      <c r="B157" s="168">
        <f ca="1">Units!C$14/Units!C$3*B156/Units!C$56</f>
        <v>149.51980793458546</v>
      </c>
      <c r="C157" s="120" t="s">
        <v>738</v>
      </c>
      <c r="H157" s="127"/>
    </row>
    <row r="158" spans="1:8" x14ac:dyDescent="0.2">
      <c r="A158" s="126"/>
      <c r="H158" s="127"/>
    </row>
    <row r="159" spans="1:8" x14ac:dyDescent="0.2">
      <c r="A159" s="188" t="s">
        <v>565</v>
      </c>
      <c r="B159" s="110"/>
      <c r="C159" s="112"/>
      <c r="H159" s="127"/>
    </row>
    <row r="160" spans="1:8" x14ac:dyDescent="0.2">
      <c r="A160" s="126" t="s">
        <v>1027</v>
      </c>
      <c r="B160" s="166">
        <f ca="1">((Units!C$15*Units!C$71*B127*ExpBase!Q102)/(Inputs!F$9*Units!C$70))*2</f>
        <v>1.9039736442751152</v>
      </c>
      <c r="C160" s="127" t="s">
        <v>2811</v>
      </c>
      <c r="H160" s="127"/>
    </row>
    <row r="161" spans="1:8" x14ac:dyDescent="0.2">
      <c r="A161" s="126" t="s">
        <v>2502</v>
      </c>
      <c r="B161" s="166">
        <f ca="1">2*(Units!C$15*Units!C$71*B136*ExpBase!N102)/(Inputs!F$9*Units!C$70)</f>
        <v>0.2226901083580092</v>
      </c>
      <c r="C161" s="127" t="s">
        <v>2811</v>
      </c>
      <c r="H161" s="127"/>
    </row>
    <row r="162" spans="1:8" x14ac:dyDescent="0.2">
      <c r="A162" s="126" t="s">
        <v>2807</v>
      </c>
      <c r="B162" s="166">
        <f ca="1">2*(Units!C$15*Units!C$71*B145*ExpBase!O102)/(Inputs!F$9*Units!C$70)</f>
        <v>0.2226901083580092</v>
      </c>
      <c r="C162" s="127" t="s">
        <v>2811</v>
      </c>
      <c r="H162" s="127"/>
    </row>
    <row r="163" spans="1:8" x14ac:dyDescent="0.2">
      <c r="A163" s="126" t="s">
        <v>2808</v>
      </c>
      <c r="B163" s="166">
        <f ca="1">2*(Units!C$15*Units!C$71*B118*ExpBase!N102)/(Inputs!F$9*Units!C$70)</f>
        <v>0.2226901083580092</v>
      </c>
      <c r="C163" s="127" t="s">
        <v>2811</v>
      </c>
      <c r="H163" s="127"/>
    </row>
    <row r="164" spans="1:8" x14ac:dyDescent="0.2">
      <c r="A164" s="117" t="s">
        <v>2809</v>
      </c>
      <c r="B164" s="168">
        <f ca="1">Inputs!F91*Inputs!F90*B90/1000</f>
        <v>54.335999999999999</v>
      </c>
      <c r="C164" s="120" t="s">
        <v>545</v>
      </c>
      <c r="H164" s="127"/>
    </row>
    <row r="165" spans="1:8" x14ac:dyDescent="0.2">
      <c r="A165" s="117"/>
      <c r="B165" s="118"/>
      <c r="C165" s="118"/>
      <c r="D165" s="118"/>
      <c r="E165" s="118"/>
      <c r="F165" s="118"/>
      <c r="G165" s="118"/>
      <c r="H165" s="120"/>
    </row>
    <row r="166" spans="1:8" ht="16" thickBot="1" x14ac:dyDescent="0.25"/>
    <row r="167" spans="1:8" ht="16" thickBot="1" x14ac:dyDescent="0.25">
      <c r="A167" s="1660" t="s">
        <v>2318</v>
      </c>
      <c r="B167" s="1661"/>
      <c r="C167" s="1661"/>
      <c r="D167" s="1661"/>
      <c r="E167" s="1661"/>
      <c r="F167" s="1661"/>
      <c r="G167" s="1661"/>
      <c r="H167" s="1662"/>
    </row>
    <row r="168" spans="1:8" ht="16" thickBot="1" x14ac:dyDescent="0.25">
      <c r="A168" s="1656" t="s">
        <v>580</v>
      </c>
      <c r="B168" s="1658" t="s">
        <v>581</v>
      </c>
      <c r="C168" s="1658"/>
      <c r="D168" s="1658"/>
      <c r="E168" s="1658"/>
      <c r="F168" s="1658" t="s">
        <v>582</v>
      </c>
      <c r="G168" s="1658"/>
      <c r="H168" s="1659"/>
    </row>
    <row r="169" spans="1:8" ht="16" thickBot="1" x14ac:dyDescent="0.25">
      <c r="A169" s="1657"/>
      <c r="B169" s="64" t="s">
        <v>515</v>
      </c>
      <c r="C169" s="64" t="s">
        <v>372</v>
      </c>
      <c r="D169" s="64" t="s">
        <v>583</v>
      </c>
      <c r="E169" s="64" t="s">
        <v>517</v>
      </c>
      <c r="F169" s="64" t="s">
        <v>42</v>
      </c>
      <c r="G169" s="64" t="s">
        <v>515</v>
      </c>
      <c r="H169" s="828" t="s">
        <v>372</v>
      </c>
    </row>
    <row r="171" spans="1:8" x14ac:dyDescent="0.2">
      <c r="A171" t="s">
        <v>2851</v>
      </c>
      <c r="B171" s="100">
        <f ca="1">ExpBase!C143</f>
        <v>12071.38484500999</v>
      </c>
      <c r="C171" t="s">
        <v>391</v>
      </c>
    </row>
    <row r="172" spans="1:8" x14ac:dyDescent="0.2">
      <c r="A172" t="s">
        <v>1764</v>
      </c>
      <c r="B172" s="100">
        <f ca="1">ExpBase!C143+ExpBase!C152</f>
        <v>15692.800298512988</v>
      </c>
      <c r="C172" t="s">
        <v>391</v>
      </c>
    </row>
    <row r="174" spans="1:8" x14ac:dyDescent="0.2">
      <c r="A174" s="188" t="s">
        <v>2858</v>
      </c>
      <c r="B174" s="110"/>
      <c r="C174" s="110"/>
      <c r="D174" s="112"/>
    </row>
    <row r="175" spans="1:8" x14ac:dyDescent="0.2">
      <c r="A175" s="126" t="s">
        <v>381</v>
      </c>
      <c r="B175" s="100">
        <f ca="1">(B172/Units!C$17*Inputs!F$122)/Inputs!F$126</f>
        <v>1569.2800298512987</v>
      </c>
      <c r="C175" t="s">
        <v>1</v>
      </c>
      <c r="D175" s="268">
        <f ca="1">IF(B175&gt;Inputs!F$124,ROUNDUP(B175/Inputs!F$124,0),1)</f>
        <v>32</v>
      </c>
    </row>
    <row r="176" spans="1:8" x14ac:dyDescent="0.2">
      <c r="A176" s="126" t="s">
        <v>529</v>
      </c>
      <c r="B176" s="100">
        <f ca="1">((4*B175)/(1.2*Units!C$79))^(1/3)</f>
        <v>11.852495624801403</v>
      </c>
      <c r="C176" t="s">
        <v>10</v>
      </c>
      <c r="D176" s="127"/>
    </row>
    <row r="177" spans="1:4" x14ac:dyDescent="0.2">
      <c r="A177" s="126" t="s">
        <v>626</v>
      </c>
      <c r="B177" s="100">
        <f ca="1">B176/2</f>
        <v>5.9262478124007014</v>
      </c>
      <c r="C177" t="s">
        <v>10</v>
      </c>
      <c r="D177" s="127"/>
    </row>
    <row r="178" spans="1:4" x14ac:dyDescent="0.2">
      <c r="A178" s="126" t="s">
        <v>821</v>
      </c>
      <c r="B178" s="100">
        <f ca="1">B176*Inputs!D125</f>
        <v>14.222994749761684</v>
      </c>
      <c r="C178" t="s">
        <v>10</v>
      </c>
      <c r="D178" s="127"/>
    </row>
    <row r="179" spans="1:4" x14ac:dyDescent="0.2">
      <c r="A179" s="126" t="s">
        <v>731</v>
      </c>
      <c r="B179" s="100">
        <f ca="1">(2*B177*B178*Units!C$79)+(2*Units!C$79*B177^2)</f>
        <v>750.27126078125184</v>
      </c>
      <c r="C179" t="s">
        <v>7</v>
      </c>
      <c r="D179" s="127"/>
    </row>
    <row r="180" spans="1:4" x14ac:dyDescent="0.2">
      <c r="A180" s="126" t="s">
        <v>612</v>
      </c>
      <c r="B180">
        <f>0.5</f>
        <v>0.5</v>
      </c>
      <c r="C180" t="s">
        <v>10</v>
      </c>
      <c r="D180" s="127"/>
    </row>
    <row r="181" spans="1:4" x14ac:dyDescent="0.2">
      <c r="A181" s="117" t="s">
        <v>747</v>
      </c>
      <c r="B181" s="168">
        <f ca="1">B179*B180</f>
        <v>375.13563039062592</v>
      </c>
      <c r="C181" s="118" t="s">
        <v>1</v>
      </c>
      <c r="D181" s="120"/>
    </row>
    <row r="183" spans="1:4" x14ac:dyDescent="0.2">
      <c r="A183" s="109" t="s">
        <v>629</v>
      </c>
      <c r="B183" s="110">
        <f>Inputs!F$127</f>
        <v>100</v>
      </c>
      <c r="C183" s="110" t="s">
        <v>281</v>
      </c>
      <c r="D183" s="830">
        <f ca="1">D175</f>
        <v>32</v>
      </c>
    </row>
    <row r="184" spans="1:4" x14ac:dyDescent="0.2">
      <c r="A184" s="126"/>
      <c r="B184" s="100">
        <f ca="1">B183*0.27*(B172/Units!C$18)/(83/Units!C$55)</f>
        <v>116.68312786501912</v>
      </c>
      <c r="C184" t="s">
        <v>545</v>
      </c>
      <c r="D184" s="182"/>
    </row>
    <row r="185" spans="1:4" x14ac:dyDescent="0.2">
      <c r="A185" s="117"/>
      <c r="B185" s="118">
        <f ca="1">B184*1000/Units!C$65</f>
        <v>156.47462500337818</v>
      </c>
      <c r="C185" s="118" t="s">
        <v>11</v>
      </c>
      <c r="D185" s="831"/>
    </row>
    <row r="186" spans="1:4" x14ac:dyDescent="0.2">
      <c r="A186" s="126"/>
      <c r="D186" s="6"/>
    </row>
    <row r="187" spans="1:4" x14ac:dyDescent="0.2">
      <c r="A187" s="188" t="s">
        <v>2858</v>
      </c>
      <c r="B187" s="110"/>
      <c r="C187" s="110"/>
      <c r="D187" s="112"/>
    </row>
    <row r="188" spans="1:4" x14ac:dyDescent="0.2">
      <c r="A188" s="126" t="s">
        <v>381</v>
      </c>
      <c r="B188" s="100">
        <f ca="1">(ExpBase!C169/Units!C$17*Inputs!F136)/Inputs!F126</f>
        <v>9.3410124793238953</v>
      </c>
      <c r="C188" t="s">
        <v>1</v>
      </c>
      <c r="D188" s="268">
        <f ca="1">IF(B188&gt;Inputs!F$124,ROUNDUP(B188/Inputs!F$124,0),1)</f>
        <v>1</v>
      </c>
    </row>
    <row r="189" spans="1:4" x14ac:dyDescent="0.2">
      <c r="A189" s="126" t="s">
        <v>529</v>
      </c>
      <c r="B189" s="100">
        <f ca="1">((4*B188)/(1.2*Units!C$79))^(1/3)</f>
        <v>2.1480331119928486</v>
      </c>
      <c r="C189" t="s">
        <v>10</v>
      </c>
      <c r="D189" s="127"/>
    </row>
    <row r="190" spans="1:4" x14ac:dyDescent="0.2">
      <c r="A190" s="126" t="s">
        <v>626</v>
      </c>
      <c r="B190" s="100">
        <f ca="1">B189/2</f>
        <v>1.0740165559964243</v>
      </c>
      <c r="C190" t="s">
        <v>10</v>
      </c>
      <c r="D190" s="127"/>
    </row>
    <row r="191" spans="1:4" x14ac:dyDescent="0.2">
      <c r="A191" s="126" t="s">
        <v>821</v>
      </c>
      <c r="B191" s="100">
        <f ca="1">B189*Inputs!D138</f>
        <v>2.5776397343914184</v>
      </c>
      <c r="C191" t="s">
        <v>10</v>
      </c>
      <c r="D191" s="127"/>
    </row>
    <row r="192" spans="1:4" x14ac:dyDescent="0.2">
      <c r="A192" s="126" t="s">
        <v>731</v>
      </c>
      <c r="B192" s="100">
        <f ca="1">(2*B190*B191*Units!C$79)+(2*Units!C$79*B190^2)</f>
        <v>24.642266338433579</v>
      </c>
      <c r="C192" t="s">
        <v>7</v>
      </c>
      <c r="D192" s="127"/>
    </row>
    <row r="193" spans="1:4" x14ac:dyDescent="0.2">
      <c r="A193" s="126" t="s">
        <v>612</v>
      </c>
      <c r="B193">
        <f>0.5</f>
        <v>0.5</v>
      </c>
      <c r="C193" t="s">
        <v>10</v>
      </c>
      <c r="D193" s="127"/>
    </row>
    <row r="194" spans="1:4" x14ac:dyDescent="0.2">
      <c r="A194" s="117" t="s">
        <v>747</v>
      </c>
      <c r="B194" s="168">
        <f ca="1">B192*B193</f>
        <v>12.32113316921679</v>
      </c>
      <c r="C194" s="118" t="s">
        <v>1</v>
      </c>
      <c r="D194" s="120"/>
    </row>
    <row r="196" spans="1:4" x14ac:dyDescent="0.2">
      <c r="A196" s="109" t="s">
        <v>629</v>
      </c>
      <c r="B196" s="110">
        <f>Inputs!F$127</f>
        <v>100</v>
      </c>
      <c r="C196" s="110" t="s">
        <v>281</v>
      </c>
      <c r="D196" s="830">
        <f ca="1">D188</f>
        <v>1</v>
      </c>
    </row>
    <row r="197" spans="1:4" x14ac:dyDescent="0.2">
      <c r="A197" s="126"/>
      <c r="B197" s="100">
        <f ca="1">B196*0.27*(ExpBase!C169/Units!C$18)/(83/Units!C$55)</f>
        <v>116.68387636822909</v>
      </c>
      <c r="C197" t="s">
        <v>545</v>
      </c>
      <c r="D197" s="182"/>
    </row>
    <row r="198" spans="1:4" x14ac:dyDescent="0.2">
      <c r="A198" s="117"/>
      <c r="B198" s="118">
        <f ca="1">B197*1000/Units!C$65</f>
        <v>156.47562876254403</v>
      </c>
      <c r="C198" s="118" t="s">
        <v>11</v>
      </c>
      <c r="D198" s="831"/>
    </row>
    <row r="200" spans="1:4" x14ac:dyDescent="0.2">
      <c r="A200" s="188" t="s">
        <v>2871</v>
      </c>
      <c r="B200" s="110"/>
      <c r="C200" s="112"/>
    </row>
    <row r="201" spans="1:4" x14ac:dyDescent="0.2">
      <c r="A201" s="126" t="s">
        <v>2026</v>
      </c>
      <c r="B201" s="100">
        <f ca="1">ExpBase!C169</f>
        <v>15692.900965264145</v>
      </c>
      <c r="C201" s="127" t="s">
        <v>391</v>
      </c>
    </row>
    <row r="202" spans="1:4" x14ac:dyDescent="0.2">
      <c r="A202" s="126"/>
      <c r="B202" s="100">
        <f ca="1">B201/Units!C46</f>
        <v>34596.92980957601</v>
      </c>
      <c r="C202" s="127" t="s">
        <v>2494</v>
      </c>
    </row>
    <row r="203" spans="1:4" x14ac:dyDescent="0.2">
      <c r="A203" s="126" t="s">
        <v>1431</v>
      </c>
      <c r="B203">
        <f ca="1">ExpBase!C182</f>
        <v>6277.1603861056583</v>
      </c>
      <c r="C203" s="127" t="s">
        <v>391</v>
      </c>
    </row>
    <row r="204" spans="1:4" x14ac:dyDescent="0.2">
      <c r="A204" s="126"/>
      <c r="B204">
        <f ca="1">B203*1/Units!C18</f>
        <v>5.9782479867672933</v>
      </c>
      <c r="C204" s="127" t="s">
        <v>1</v>
      </c>
    </row>
    <row r="205" spans="1:4" x14ac:dyDescent="0.2">
      <c r="A205" s="126" t="s">
        <v>2872</v>
      </c>
      <c r="B205">
        <f ca="1">ExpBase!E182</f>
        <v>9415.7405791584861</v>
      </c>
      <c r="C205" s="127" t="s">
        <v>391</v>
      </c>
    </row>
    <row r="206" spans="1:4" x14ac:dyDescent="0.2">
      <c r="A206" s="117"/>
      <c r="B206" s="168">
        <f ca="1">Units!C$3*B205/Units!C$56</f>
        <v>593.97630153524779</v>
      </c>
      <c r="C206" s="120" t="s">
        <v>738</v>
      </c>
    </row>
    <row r="208" spans="1:4" x14ac:dyDescent="0.2">
      <c r="A208" s="188" t="s">
        <v>2844</v>
      </c>
      <c r="B208" s="110"/>
      <c r="C208" s="112"/>
    </row>
    <row r="209" spans="1:5" x14ac:dyDescent="0.2">
      <c r="A209" s="126" t="s">
        <v>2875</v>
      </c>
      <c r="B209">
        <f>ExpBase!E126</f>
        <v>3750</v>
      </c>
      <c r="C209" s="127" t="s">
        <v>2656</v>
      </c>
    </row>
    <row r="210" spans="1:5" x14ac:dyDescent="0.2">
      <c r="A210" s="117"/>
      <c r="B210" s="168">
        <f ca="1">B209*(ExpBase!C143+ExpBase!C152)</f>
        <v>58848001.119423702</v>
      </c>
      <c r="C210" s="120" t="s">
        <v>391</v>
      </c>
    </row>
    <row r="212" spans="1:5" x14ac:dyDescent="0.2">
      <c r="A212" s="188" t="s">
        <v>565</v>
      </c>
      <c r="B212" s="110"/>
      <c r="C212" s="112"/>
    </row>
    <row r="213" spans="1:5" x14ac:dyDescent="0.2">
      <c r="A213" s="126" t="s">
        <v>1027</v>
      </c>
      <c r="B213" s="166">
        <f ca="1">((Units!C$15*Units!C$71*B178*B172/1000)/(Inputs!F$9*Units!C$70))*2</f>
        <v>1.7377606551267262</v>
      </c>
      <c r="C213" s="127" t="s">
        <v>2811</v>
      </c>
    </row>
    <row r="214" spans="1:5" x14ac:dyDescent="0.2">
      <c r="A214" s="126" t="s">
        <v>2876</v>
      </c>
      <c r="B214" s="166">
        <f ca="1">2*(Units!C$15*Units!C$71*B178*ExpBase!C152/1000)/(Inputs!F$9*Units!C$70)</f>
        <v>0.40102168964462909</v>
      </c>
      <c r="C214" s="127" t="s">
        <v>2811</v>
      </c>
    </row>
    <row r="215" spans="1:5" x14ac:dyDescent="0.2">
      <c r="A215" s="126" t="s">
        <v>1027</v>
      </c>
      <c r="B215" s="166">
        <f ca="1">2*(Units!C$15*Units!C$71*B191*ExpBase!C169/1000)/(Inputs!F$9*Units!C$70)</f>
        <v>0.3149371652340599</v>
      </c>
      <c r="C215" s="127" t="s">
        <v>2811</v>
      </c>
    </row>
    <row r="216" spans="1:5" x14ac:dyDescent="0.2">
      <c r="A216" s="117" t="s">
        <v>2871</v>
      </c>
      <c r="B216" s="833">
        <f ca="1">(Inputs!F141*(ExpBase!E182/(1000*3600)))/Inputs!F142</f>
        <v>0.22667523616492655</v>
      </c>
      <c r="C216" s="120" t="s">
        <v>545</v>
      </c>
    </row>
    <row r="218" spans="1:5" x14ac:dyDescent="0.2">
      <c r="A218" s="188" t="s">
        <v>2879</v>
      </c>
      <c r="B218" s="110"/>
      <c r="C218" s="112"/>
      <c r="E218" s="243"/>
    </row>
    <row r="219" spans="1:5" x14ac:dyDescent="0.2">
      <c r="A219" s="126" t="s">
        <v>2882</v>
      </c>
      <c r="B219" s="100">
        <f ca="1">B$172*Units!C$67*(Inputs!F123-20)</f>
        <v>2299152.1717351377</v>
      </c>
      <c r="C219" s="127" t="s">
        <v>2883</v>
      </c>
    </row>
    <row r="220" spans="1:5" x14ac:dyDescent="0.2">
      <c r="A220" s="126"/>
      <c r="B220" s="100">
        <f ca="1">B219/Units!C70</f>
        <v>0.63865338103753821</v>
      </c>
      <c r="C220" s="127" t="s">
        <v>2811</v>
      </c>
    </row>
    <row r="221" spans="1:5" x14ac:dyDescent="0.2">
      <c r="A221" s="126" t="s">
        <v>2884</v>
      </c>
      <c r="B221" s="100">
        <f ca="1">B$172*Units!C$67*(Inputs!F131-44)</f>
        <v>65690.062049575368</v>
      </c>
      <c r="C221" s="127" t="s">
        <v>2883</v>
      </c>
    </row>
    <row r="222" spans="1:5" x14ac:dyDescent="0.2">
      <c r="A222" s="117"/>
      <c r="B222" s="168">
        <f ca="1">B221/Units!C70</f>
        <v>1.8247239458215381E-2</v>
      </c>
      <c r="C222" s="120" t="s">
        <v>2811</v>
      </c>
    </row>
    <row r="226" spans="1:8" ht="16" thickBot="1" x14ac:dyDescent="0.25"/>
    <row r="227" spans="1:8" ht="16" thickBot="1" x14ac:dyDescent="0.25">
      <c r="A227" s="1622" t="s">
        <v>1420</v>
      </c>
      <c r="B227" s="1623"/>
      <c r="C227" s="1623"/>
      <c r="D227" s="1623"/>
      <c r="E227" s="1623"/>
      <c r="F227" s="1623"/>
      <c r="G227" s="1623"/>
      <c r="H227" s="1624"/>
    </row>
    <row r="228" spans="1:8" ht="16" thickBot="1" x14ac:dyDescent="0.25">
      <c r="A228" s="1612" t="s">
        <v>580</v>
      </c>
      <c r="B228" s="1619" t="s">
        <v>581</v>
      </c>
      <c r="C228" s="1619"/>
      <c r="D228" s="1619"/>
      <c r="E228" s="1619"/>
      <c r="F228" s="1619" t="s">
        <v>582</v>
      </c>
      <c r="G228" s="1619"/>
      <c r="H228" s="1619"/>
    </row>
    <row r="229" spans="1:8" ht="16" thickBot="1" x14ac:dyDescent="0.25">
      <c r="A229" s="1613"/>
      <c r="B229" s="64" t="s">
        <v>515</v>
      </c>
      <c r="C229" s="64" t="s">
        <v>372</v>
      </c>
      <c r="D229" s="64" t="s">
        <v>583</v>
      </c>
      <c r="E229" s="64" t="s">
        <v>517</v>
      </c>
      <c r="F229" s="64" t="s">
        <v>42</v>
      </c>
      <c r="G229" s="64" t="s">
        <v>515</v>
      </c>
      <c r="H229" s="64" t="s">
        <v>372</v>
      </c>
    </row>
    <row r="230" spans="1:8" x14ac:dyDescent="0.2">
      <c r="A230" s="172"/>
    </row>
    <row r="231" spans="1:8" x14ac:dyDescent="0.2">
      <c r="A231" s="839" t="s">
        <v>2894</v>
      </c>
      <c r="B231" s="110">
        <f>Inputs!F4</f>
        <v>53.8</v>
      </c>
      <c r="C231" s="112" t="s">
        <v>283</v>
      </c>
      <c r="E231" t="s">
        <v>15</v>
      </c>
      <c r="F231" t="s">
        <v>269</v>
      </c>
    </row>
    <row r="232" spans="1:8" x14ac:dyDescent="0.2">
      <c r="A232" s="840"/>
      <c r="B232">
        <f>B231/Units!C55</f>
        <v>2.2416666666666667</v>
      </c>
      <c r="C232" s="127" t="s">
        <v>2895</v>
      </c>
      <c r="E232" t="s">
        <v>269</v>
      </c>
      <c r="F232" t="s">
        <v>23</v>
      </c>
    </row>
    <row r="233" spans="1:8" x14ac:dyDescent="0.2">
      <c r="A233" s="841"/>
      <c r="B233" s="833">
        <f>Inputs!F13/B232</f>
        <v>11152.416356877324</v>
      </c>
      <c r="C233" s="120" t="s">
        <v>1543</v>
      </c>
    </row>
    <row r="234" spans="1:8" x14ac:dyDescent="0.2">
      <c r="A234" s="172"/>
    </row>
    <row r="235" spans="1:8" x14ac:dyDescent="0.2">
      <c r="A235" s="126"/>
      <c r="H235" s="127"/>
    </row>
    <row r="236" spans="1:8" x14ac:dyDescent="0.2">
      <c r="A236" s="109" t="s">
        <v>1421</v>
      </c>
      <c r="B236" s="185">
        <f>Inputs!F$13*Inputs!F$15</f>
        <v>22500</v>
      </c>
      <c r="C236" s="110" t="s">
        <v>267</v>
      </c>
      <c r="D236" s="110"/>
      <c r="E236" s="110" t="s">
        <v>2928</v>
      </c>
      <c r="F236" s="186">
        <f>Inputs!F845</f>
        <v>0.1</v>
      </c>
      <c r="G236" s="110">
        <v>3000</v>
      </c>
      <c r="H236" s="112" t="s">
        <v>602</v>
      </c>
    </row>
    <row r="237" spans="1:8" x14ac:dyDescent="0.2">
      <c r="A237" s="126"/>
      <c r="B237" s="838">
        <f>B236*Units!C3/Units!C56</f>
        <v>1419.375</v>
      </c>
      <c r="C237" t="s">
        <v>738</v>
      </c>
      <c r="F237" s="101"/>
      <c r="G237" s="187">
        <f>G236*Units!C$4</f>
        <v>11700</v>
      </c>
      <c r="H237" s="120" t="s">
        <v>267</v>
      </c>
    </row>
    <row r="238" spans="1:8" x14ac:dyDescent="0.2">
      <c r="A238" s="126"/>
      <c r="B238" s="838"/>
      <c r="F238" s="101"/>
      <c r="G238">
        <f>ROUNDUP(B236/G237,0)</f>
        <v>2</v>
      </c>
      <c r="H238" s="127"/>
    </row>
    <row r="239" spans="1:8" x14ac:dyDescent="0.2">
      <c r="A239" s="117"/>
      <c r="B239" s="118"/>
      <c r="C239" s="118"/>
      <c r="D239" s="118"/>
      <c r="E239" s="118" t="s">
        <v>603</v>
      </c>
      <c r="F239" s="119"/>
    </row>
    <row r="240" spans="1:8" x14ac:dyDescent="0.2">
      <c r="A240" s="188" t="s">
        <v>2896</v>
      </c>
      <c r="B240" s="110"/>
      <c r="C240" s="110"/>
      <c r="D240" s="112"/>
      <c r="F240" s="101"/>
      <c r="G240" s="838"/>
      <c r="H240" s="127"/>
    </row>
    <row r="241" spans="1:8" x14ac:dyDescent="0.2">
      <c r="A241" s="126" t="s">
        <v>381</v>
      </c>
      <c r="B241" s="100">
        <f>(B236/Units!C$17*Inputs!F148)/Inputs!F151</f>
        <v>13.392857142857141</v>
      </c>
      <c r="C241" t="s">
        <v>1</v>
      </c>
      <c r="D241" s="268">
        <f>IF(B241&gt;Inputs!F$124,ROUNDUP(B241/Inputs!F$124,0),1)</f>
        <v>1</v>
      </c>
      <c r="F241" s="101"/>
      <c r="G241" s="838"/>
      <c r="H241" s="127"/>
    </row>
    <row r="242" spans="1:8" x14ac:dyDescent="0.2">
      <c r="A242" s="126" t="s">
        <v>529</v>
      </c>
      <c r="B242" s="100">
        <f>((4*B241)/(1.2*Units!C$79))^(1/3)</f>
        <v>2.4221483172637321</v>
      </c>
      <c r="C242" t="s">
        <v>10</v>
      </c>
      <c r="D242" s="127"/>
      <c r="F242" s="101"/>
      <c r="G242" s="838"/>
      <c r="H242" s="127"/>
    </row>
    <row r="243" spans="1:8" x14ac:dyDescent="0.2">
      <c r="A243" s="126" t="s">
        <v>626</v>
      </c>
      <c r="B243" s="100">
        <f>B242/2</f>
        <v>1.2110741586318661</v>
      </c>
      <c r="C243" t="s">
        <v>10</v>
      </c>
      <c r="D243" s="127"/>
      <c r="F243" s="101"/>
      <c r="G243" s="838"/>
      <c r="H243" s="127"/>
    </row>
    <row r="244" spans="1:8" x14ac:dyDescent="0.2">
      <c r="A244" s="126" t="s">
        <v>821</v>
      </c>
      <c r="B244" s="100">
        <f>B242*Inputs!D202</f>
        <v>7.2664449517911955E-2</v>
      </c>
      <c r="C244" t="s">
        <v>10</v>
      </c>
      <c r="D244" s="127"/>
      <c r="F244" s="101"/>
      <c r="G244" s="838"/>
      <c r="H244" s="127"/>
    </row>
    <row r="245" spans="1:8" x14ac:dyDescent="0.2">
      <c r="A245" s="126" t="s">
        <v>731</v>
      </c>
      <c r="B245" s="100">
        <f>(2*B243*B244*Units!C$79)+(2*Units!C$79*B243^2)</f>
        <v>9.7684828451972994</v>
      </c>
      <c r="C245" t="s">
        <v>7</v>
      </c>
      <c r="D245" s="127"/>
      <c r="F245" s="101"/>
      <c r="G245" s="838"/>
      <c r="H245" s="127"/>
    </row>
    <row r="246" spans="1:8" x14ac:dyDescent="0.2">
      <c r="A246" s="126" t="s">
        <v>612</v>
      </c>
      <c r="B246">
        <f>0.5</f>
        <v>0.5</v>
      </c>
      <c r="C246" t="s">
        <v>10</v>
      </c>
      <c r="D246" s="127"/>
      <c r="F246" s="101"/>
      <c r="G246" s="838"/>
      <c r="H246" s="127"/>
    </row>
    <row r="247" spans="1:8" x14ac:dyDescent="0.2">
      <c r="A247" s="117" t="s">
        <v>747</v>
      </c>
      <c r="B247" s="168">
        <f>B245*B246</f>
        <v>4.8842414225986497</v>
      </c>
      <c r="C247" s="118" t="s">
        <v>1</v>
      </c>
      <c r="D247" s="120"/>
      <c r="F247" s="101"/>
      <c r="G247" s="838"/>
      <c r="H247" s="127"/>
    </row>
    <row r="248" spans="1:8" x14ac:dyDescent="0.2">
      <c r="A248" s="126"/>
      <c r="F248" s="101"/>
      <c r="G248" s="838"/>
      <c r="H248" s="127"/>
    </row>
    <row r="249" spans="1:8" x14ac:dyDescent="0.2">
      <c r="A249" s="109" t="s">
        <v>629</v>
      </c>
      <c r="B249" s="110">
        <f>Inputs!F$127</f>
        <v>100</v>
      </c>
      <c r="C249" s="110" t="s">
        <v>281</v>
      </c>
      <c r="D249" s="830">
        <f>D241</f>
        <v>1</v>
      </c>
      <c r="F249" s="101"/>
      <c r="G249" s="838"/>
      <c r="H249" s="127"/>
    </row>
    <row r="250" spans="1:8" x14ac:dyDescent="0.2">
      <c r="A250" s="126"/>
      <c r="B250" s="100">
        <f>B249*0.27*(B236/Units!C$18)/(83/Units!C$55)</f>
        <v>167.29776247848537</v>
      </c>
      <c r="C250" t="s">
        <v>545</v>
      </c>
      <c r="D250" s="182"/>
      <c r="F250" s="101"/>
      <c r="G250" s="838"/>
      <c r="H250" s="127"/>
    </row>
    <row r="251" spans="1:8" x14ac:dyDescent="0.2">
      <c r="A251" s="117"/>
      <c r="B251" s="118">
        <f>B250*1000/Units!C$65</f>
        <v>224.34995638793797</v>
      </c>
      <c r="C251" s="118" t="s">
        <v>11</v>
      </c>
      <c r="D251" s="831"/>
      <c r="F251" s="101"/>
      <c r="G251" s="838"/>
      <c r="H251" s="127"/>
    </row>
    <row r="252" spans="1:8" x14ac:dyDescent="0.2">
      <c r="A252" s="126"/>
      <c r="F252" s="101"/>
      <c r="G252" s="838"/>
      <c r="H252" s="127"/>
    </row>
    <row r="253" spans="1:8" x14ac:dyDescent="0.2">
      <c r="A253" s="126"/>
      <c r="H253" s="127"/>
    </row>
    <row r="254" spans="1:8" x14ac:dyDescent="0.2">
      <c r="A254" s="109" t="s">
        <v>1422</v>
      </c>
      <c r="B254" s="185">
        <f>Inputs!F$13*Inputs!F$14</f>
        <v>2500</v>
      </c>
      <c r="C254" s="110" t="s">
        <v>267</v>
      </c>
      <c r="D254" s="110"/>
      <c r="E254" s="110" t="s">
        <v>2928</v>
      </c>
      <c r="F254" s="186">
        <f>Inputs!F848</f>
        <v>8.35</v>
      </c>
      <c r="G254" s="110">
        <v>3000</v>
      </c>
      <c r="H254" s="112" t="s">
        <v>602</v>
      </c>
    </row>
    <row r="255" spans="1:8" x14ac:dyDescent="0.2">
      <c r="A255" s="126"/>
      <c r="B255" s="838">
        <f>B254*Units!C3/Units!C56</f>
        <v>157.70833333333334</v>
      </c>
      <c r="C255" t="s">
        <v>738</v>
      </c>
      <c r="F255" s="101"/>
      <c r="G255" s="187">
        <f>G254*Units!C$4</f>
        <v>11700</v>
      </c>
      <c r="H255" s="120" t="s">
        <v>267</v>
      </c>
    </row>
    <row r="256" spans="1:8" x14ac:dyDescent="0.2">
      <c r="A256" s="117"/>
      <c r="B256" s="118"/>
      <c r="C256" s="118"/>
      <c r="D256" s="118"/>
      <c r="E256" s="118" t="s">
        <v>603</v>
      </c>
      <c r="F256" s="119"/>
      <c r="G256">
        <f>ROUNDUP(B254/G255,0)</f>
        <v>1</v>
      </c>
    </row>
    <row r="257" spans="1:8" x14ac:dyDescent="0.2">
      <c r="F257" s="101"/>
      <c r="G257" s="838"/>
    </row>
    <row r="258" spans="1:8" x14ac:dyDescent="0.2">
      <c r="A258" s="188" t="s">
        <v>2923</v>
      </c>
      <c r="B258" s="110"/>
      <c r="C258" s="110"/>
      <c r="D258" s="112"/>
      <c r="F258" s="101"/>
      <c r="G258" s="838"/>
    </row>
    <row r="259" spans="1:8" x14ac:dyDescent="0.2">
      <c r="A259" s="126" t="s">
        <v>381</v>
      </c>
      <c r="B259" s="100">
        <f>(B254/Units!C$17*Inputs!F153)/Inputs!F156</f>
        <v>1.4880952380952379</v>
      </c>
      <c r="C259" t="s">
        <v>1</v>
      </c>
      <c r="D259" s="268">
        <f>IF(B259&gt;Inputs!F$124,ROUNDUP(B259/Inputs!F$124,0),1)</f>
        <v>1</v>
      </c>
      <c r="F259" s="101"/>
      <c r="G259" s="838"/>
    </row>
    <row r="260" spans="1:8" x14ac:dyDescent="0.2">
      <c r="A260" s="126" t="s">
        <v>529</v>
      </c>
      <c r="B260" s="100">
        <f>((4*B259)/(1.2*Units!C$79))^(1/3)</f>
        <v>1.1644474565981435</v>
      </c>
      <c r="C260" t="s">
        <v>10</v>
      </c>
      <c r="D260" s="127"/>
      <c r="F260" s="101"/>
      <c r="G260" s="838"/>
    </row>
    <row r="261" spans="1:8" x14ac:dyDescent="0.2">
      <c r="A261" s="126" t="s">
        <v>626</v>
      </c>
      <c r="B261" s="100">
        <f>B260/2</f>
        <v>0.58222372829907176</v>
      </c>
      <c r="C261" t="s">
        <v>10</v>
      </c>
      <c r="D261" s="127"/>
      <c r="F261" s="101"/>
      <c r="G261" s="838"/>
    </row>
    <row r="262" spans="1:8" x14ac:dyDescent="0.2">
      <c r="A262" s="126" t="s">
        <v>821</v>
      </c>
      <c r="B262" s="100">
        <f>B260*Inputs!D219</f>
        <v>0.46577898263925743</v>
      </c>
      <c r="C262" t="s">
        <v>10</v>
      </c>
      <c r="D262" s="127"/>
      <c r="F262" s="101"/>
      <c r="G262" s="838"/>
    </row>
    <row r="263" spans="1:8" x14ac:dyDescent="0.2">
      <c r="A263" s="126" t="s">
        <v>731</v>
      </c>
      <c r="B263" s="100">
        <f>(2*B261*B262*Units!C$79)+(2*Units!C$79*B261^2)</f>
        <v>3.8338232343499903</v>
      </c>
      <c r="C263" t="s">
        <v>7</v>
      </c>
      <c r="D263" s="127"/>
      <c r="F263" s="101"/>
      <c r="G263" s="838"/>
    </row>
    <row r="264" spans="1:8" x14ac:dyDescent="0.2">
      <c r="A264" s="126" t="s">
        <v>612</v>
      </c>
      <c r="B264">
        <f>0.5</f>
        <v>0.5</v>
      </c>
      <c r="C264" t="s">
        <v>10</v>
      </c>
      <c r="D264" s="127"/>
      <c r="F264" s="101"/>
      <c r="G264" s="838"/>
    </row>
    <row r="265" spans="1:8" x14ac:dyDescent="0.2">
      <c r="A265" s="117" t="s">
        <v>747</v>
      </c>
      <c r="B265" s="168">
        <f>B263*B264</f>
        <v>1.9169116171749951</v>
      </c>
      <c r="C265" s="118" t="s">
        <v>1</v>
      </c>
      <c r="D265" s="120"/>
      <c r="F265" s="101"/>
      <c r="G265" s="838"/>
    </row>
    <row r="266" spans="1:8" x14ac:dyDescent="0.2">
      <c r="A266" s="126"/>
      <c r="F266" s="101"/>
      <c r="G266" s="838"/>
    </row>
    <row r="267" spans="1:8" x14ac:dyDescent="0.2">
      <c r="A267" s="109" t="s">
        <v>629</v>
      </c>
      <c r="B267" s="110">
        <f>Inputs!F$127</f>
        <v>100</v>
      </c>
      <c r="C267" s="110" t="s">
        <v>281</v>
      </c>
      <c r="D267" s="830">
        <f>D259</f>
        <v>1</v>
      </c>
      <c r="F267" s="101"/>
      <c r="G267" s="838"/>
    </row>
    <row r="268" spans="1:8" x14ac:dyDescent="0.2">
      <c r="A268" s="126"/>
      <c r="B268" s="100">
        <f>B267*0.27*(B254/Units!C$18)/(83/Units!C$55)</f>
        <v>18.588640275387263</v>
      </c>
      <c r="C268" t="s">
        <v>545</v>
      </c>
      <c r="D268" s="182"/>
      <c r="F268" s="101"/>
      <c r="G268" s="838"/>
    </row>
    <row r="269" spans="1:8" x14ac:dyDescent="0.2">
      <c r="A269" s="117"/>
      <c r="B269" s="118">
        <f>B268*1000/Units!C$65</f>
        <v>24.927772931993111</v>
      </c>
      <c r="C269" s="118" t="s">
        <v>11</v>
      </c>
      <c r="D269" s="831"/>
      <c r="E269" s="118"/>
      <c r="F269" s="118"/>
      <c r="G269" s="118"/>
      <c r="H269" s="120"/>
    </row>
    <row r="270" spans="1:8" x14ac:dyDescent="0.2">
      <c r="D270" s="6"/>
    </row>
    <row r="271" spans="1:8" x14ac:dyDescent="0.2">
      <c r="A271" s="188" t="s">
        <v>2576</v>
      </c>
      <c r="B271" s="110">
        <f>SUM(ExpBase!E242:E243)</f>
        <v>6250</v>
      </c>
      <c r="C271" s="110" t="s">
        <v>267</v>
      </c>
      <c r="D271" s="190"/>
    </row>
    <row r="272" spans="1:8" x14ac:dyDescent="0.2">
      <c r="A272" s="117"/>
      <c r="B272" s="118">
        <f>B271*Units!C3/Units!C56</f>
        <v>394.27083333333331</v>
      </c>
      <c r="C272" s="118" t="s">
        <v>738</v>
      </c>
      <c r="D272" s="831"/>
    </row>
    <row r="273" spans="1:8" x14ac:dyDescent="0.2">
      <c r="D273" s="6"/>
    </row>
    <row r="274" spans="1:8" x14ac:dyDescent="0.2">
      <c r="A274" s="188" t="s">
        <v>565</v>
      </c>
      <c r="B274" s="110"/>
      <c r="C274" s="112"/>
      <c r="D274" s="6"/>
    </row>
    <row r="275" spans="1:8" x14ac:dyDescent="0.2">
      <c r="A275" s="126" t="s">
        <v>2916</v>
      </c>
      <c r="B275" s="100">
        <f>Inputs!F146*Inputs!F147*B233</f>
        <v>44609.665427509295</v>
      </c>
      <c r="C275" s="127" t="s">
        <v>2921</v>
      </c>
      <c r="D275" s="6"/>
    </row>
    <row r="276" spans="1:8" x14ac:dyDescent="0.2">
      <c r="A276" s="126"/>
      <c r="B276" s="100">
        <f>B275*Units!C65/Units!C84*(Units!C52/Units!C56)</f>
        <v>202364.68401486988</v>
      </c>
      <c r="C276" s="127" t="s">
        <v>40</v>
      </c>
      <c r="D276" s="6"/>
    </row>
    <row r="277" spans="1:8" x14ac:dyDescent="0.2">
      <c r="A277" s="126" t="s">
        <v>2922</v>
      </c>
      <c r="B277" s="100">
        <f>((Units!C$15*Units!C$71*B271*(B262+B244)/1000)/(Inputs!F$9*Units!C$70))*2</f>
        <v>2.6201042011219401E-2</v>
      </c>
      <c r="C277" s="127" t="s">
        <v>545</v>
      </c>
      <c r="D277" s="6"/>
    </row>
    <row r="278" spans="1:8" x14ac:dyDescent="0.2">
      <c r="A278" s="126" t="s">
        <v>2924</v>
      </c>
      <c r="B278" s="100">
        <f>((Units!C$18*Units!C$71*B236*B244/1000)/(Inputs!F$9*Units!C$70))*2</f>
        <v>1.3365717183200929E-2</v>
      </c>
      <c r="C278" s="127" t="s">
        <v>545</v>
      </c>
      <c r="D278" s="6"/>
    </row>
    <row r="279" spans="1:8" x14ac:dyDescent="0.2">
      <c r="A279" s="126" t="s">
        <v>2925</v>
      </c>
      <c r="B279" s="100">
        <f>((Units!C$18*Units!C$71*B254*B262/1000)/(Inputs!F$9*Units!C$70))*2</f>
        <v>9.5193579576898241E-3</v>
      </c>
      <c r="C279" s="127" t="s">
        <v>545</v>
      </c>
      <c r="D279" s="6"/>
    </row>
    <row r="280" spans="1:8" x14ac:dyDescent="0.2">
      <c r="A280" s="126" t="s">
        <v>2926</v>
      </c>
      <c r="B280">
        <f>G238*Units!C65/Units!C84</f>
        <v>1.4914000000000001</v>
      </c>
      <c r="C280" s="127" t="s">
        <v>545</v>
      </c>
      <c r="D280" s="6"/>
    </row>
    <row r="281" spans="1:8" x14ac:dyDescent="0.2">
      <c r="A281" s="117" t="s">
        <v>2927</v>
      </c>
      <c r="B281" s="118">
        <f>G256*Units!C65/Units!C84</f>
        <v>0.74570000000000003</v>
      </c>
      <c r="C281" s="120" t="s">
        <v>545</v>
      </c>
      <c r="D281" s="6"/>
    </row>
    <row r="283" spans="1:8" ht="16" thickBot="1" x14ac:dyDescent="0.25"/>
    <row r="284" spans="1:8" ht="16" thickBot="1" x14ac:dyDescent="0.25">
      <c r="A284" s="1621" t="s">
        <v>1570</v>
      </c>
      <c r="B284" s="1621"/>
      <c r="C284" s="1621"/>
      <c r="D284" s="1621"/>
      <c r="E284" s="1621"/>
      <c r="F284" s="1621"/>
      <c r="G284" s="1621"/>
      <c r="H284" s="1621"/>
    </row>
    <row r="285" spans="1:8" ht="16" thickBot="1" x14ac:dyDescent="0.25">
      <c r="A285" s="1612" t="s">
        <v>580</v>
      </c>
      <c r="B285" s="1619" t="s">
        <v>581</v>
      </c>
      <c r="C285" s="1619"/>
      <c r="D285" s="1619"/>
      <c r="E285" s="1619"/>
      <c r="F285" s="1619" t="s">
        <v>582</v>
      </c>
      <c r="G285" s="1619"/>
      <c r="H285" s="1619"/>
    </row>
    <row r="286" spans="1:8" ht="16" thickBot="1" x14ac:dyDescent="0.25">
      <c r="A286" s="1613"/>
      <c r="B286" s="64" t="s">
        <v>515</v>
      </c>
      <c r="C286" s="64" t="s">
        <v>372</v>
      </c>
      <c r="D286" s="64" t="s">
        <v>583</v>
      </c>
      <c r="E286" s="64" t="s">
        <v>517</v>
      </c>
      <c r="F286" s="64" t="s">
        <v>42</v>
      </c>
      <c r="G286" s="64" t="s">
        <v>515</v>
      </c>
      <c r="H286" s="64" t="s">
        <v>372</v>
      </c>
    </row>
    <row r="287" spans="1:8" x14ac:dyDescent="0.2">
      <c r="A287" s="6" t="s">
        <v>607</v>
      </c>
    </row>
    <row r="288" spans="1:8" x14ac:dyDescent="0.2">
      <c r="A288" s="109" t="s">
        <v>381</v>
      </c>
      <c r="B288" s="110">
        <f>Inputs!F171</f>
        <v>300</v>
      </c>
      <c r="C288" s="110" t="s">
        <v>1</v>
      </c>
      <c r="D288" s="110">
        <f>(((Inputs!F$13*Inputs!F$14)*Units!C$55*Inputs!F$170)+Inputs!F$174)/(B288*Units!C$18)</f>
        <v>1.9142857142857144</v>
      </c>
      <c r="E288" s="1607" t="s">
        <v>530</v>
      </c>
      <c r="F288" s="111">
        <f>Inputs!F$847</f>
        <v>188.34</v>
      </c>
      <c r="G288" s="110">
        <v>1</v>
      </c>
      <c r="H288" s="112" t="s">
        <v>13</v>
      </c>
    </row>
    <row r="289" spans="1:9" x14ac:dyDescent="0.2">
      <c r="A289" s="126"/>
      <c r="B289">
        <f>B288*Units!C18</f>
        <v>315000</v>
      </c>
      <c r="C289" t="s">
        <v>15</v>
      </c>
      <c r="D289">
        <f>ROUNDUP(D288*2,0)</f>
        <v>4</v>
      </c>
      <c r="E289" s="1608"/>
      <c r="F289" s="101">
        <f>F288</f>
        <v>188.34</v>
      </c>
      <c r="G289" s="104">
        <f>G288*Units!C$6</f>
        <v>0.76454999999999995</v>
      </c>
      <c r="H289" s="127" t="s">
        <v>1</v>
      </c>
    </row>
    <row r="290" spans="1:9" x14ac:dyDescent="0.2">
      <c r="A290" s="126" t="s">
        <v>529</v>
      </c>
      <c r="B290">
        <f>((4*B288)/(Inputs!F172*Units!C79))^(1/3)</f>
        <v>6.8278411060503261</v>
      </c>
      <c r="C290" t="s">
        <v>10</v>
      </c>
      <c r="H290" s="127"/>
    </row>
    <row r="291" spans="1:9" x14ac:dyDescent="0.2">
      <c r="A291" s="126" t="s">
        <v>626</v>
      </c>
      <c r="B291">
        <f>B290/2</f>
        <v>3.4139205530251631</v>
      </c>
      <c r="C291" t="s">
        <v>10</v>
      </c>
      <c r="E291" s="1608" t="s">
        <v>528</v>
      </c>
      <c r="F291" s="141">
        <f>Inputs!F848</f>
        <v>8.35</v>
      </c>
      <c r="G291">
        <v>1</v>
      </c>
      <c r="H291" s="127" t="s">
        <v>608</v>
      </c>
    </row>
    <row r="292" spans="1:9" x14ac:dyDescent="0.2">
      <c r="A292" s="126" t="s">
        <v>609</v>
      </c>
      <c r="B292">
        <f>(B290*Inputs!F172)-(B290/9)+(B290/6)</f>
        <v>8.5727338331520748</v>
      </c>
      <c r="C292" t="s">
        <v>10</v>
      </c>
      <c r="E292" s="1608"/>
      <c r="F292" s="141">
        <f>F291</f>
        <v>8.35</v>
      </c>
      <c r="G292">
        <f>G291*Units!C$42^2</f>
        <v>9.2903040000000006E-2</v>
      </c>
      <c r="H292" s="127" t="s">
        <v>7</v>
      </c>
    </row>
    <row r="293" spans="1:9" x14ac:dyDescent="0.2">
      <c r="A293" s="126" t="s">
        <v>610</v>
      </c>
      <c r="B293">
        <f>B292/6</f>
        <v>1.4287889721920124</v>
      </c>
      <c r="C293" t="s">
        <v>10</v>
      </c>
      <c r="H293" s="127"/>
    </row>
    <row r="294" spans="1:9" x14ac:dyDescent="0.2">
      <c r="A294" s="126" t="s">
        <v>614</v>
      </c>
      <c r="B294">
        <f>B290/(B292+B293)</f>
        <v>0.68268015170670049</v>
      </c>
      <c r="H294" s="127"/>
    </row>
    <row r="295" spans="1:9" x14ac:dyDescent="0.2">
      <c r="A295" s="126" t="s">
        <v>628</v>
      </c>
      <c r="B295">
        <f>B290</f>
        <v>6.8278411060503261</v>
      </c>
      <c r="C295" t="s">
        <v>10</v>
      </c>
      <c r="H295" s="127"/>
    </row>
    <row r="296" spans="1:9" x14ac:dyDescent="0.2">
      <c r="A296" s="126" t="s">
        <v>627</v>
      </c>
      <c r="B296">
        <f>B292+B293</f>
        <v>10.001522805344088</v>
      </c>
      <c r="C296" t="s">
        <v>10</v>
      </c>
      <c r="E296" s="103"/>
      <c r="F296" s="141"/>
      <c r="H296" s="127"/>
      <c r="I296" s="101"/>
    </row>
    <row r="297" spans="1:9" x14ac:dyDescent="0.2">
      <c r="A297" s="126" t="s">
        <v>615</v>
      </c>
      <c r="B297">
        <f>2*Units!C79*(B295/2)*B296+(2*Units!C79*(B295/2)^2)</f>
        <v>287.76516387789724</v>
      </c>
      <c r="C297" t="s">
        <v>7</v>
      </c>
      <c r="H297" s="127"/>
    </row>
    <row r="298" spans="1:9" x14ac:dyDescent="0.2">
      <c r="A298" s="117" t="s">
        <v>612</v>
      </c>
      <c r="B298" s="118">
        <v>0.5</v>
      </c>
      <c r="C298" s="118" t="s">
        <v>10</v>
      </c>
      <c r="D298" s="118"/>
      <c r="E298" s="118"/>
      <c r="F298" s="118"/>
      <c r="G298" s="118"/>
      <c r="H298" s="120"/>
    </row>
    <row r="299" spans="1:9" x14ac:dyDescent="0.2">
      <c r="A299" s="126"/>
      <c r="H299" s="127"/>
    </row>
    <row r="300" spans="1:9" x14ac:dyDescent="0.2">
      <c r="A300" s="109" t="s">
        <v>613</v>
      </c>
      <c r="B300" s="160">
        <f>ExpBase!C$362/Units!C$14*Inputs!F$14</f>
        <v>11.182240097902751</v>
      </c>
      <c r="C300" s="110" t="s">
        <v>1012</v>
      </c>
      <c r="D300" s="173">
        <f>ROUNDUP((B300/G301)*2,0)</f>
        <v>1</v>
      </c>
      <c r="E300" s="1607" t="s">
        <v>613</v>
      </c>
      <c r="F300" s="174">
        <f>Inputs!F$850*G300</f>
        <v>32000.06</v>
      </c>
      <c r="G300" s="110">
        <v>12.4</v>
      </c>
      <c r="H300" s="112" t="s">
        <v>725</v>
      </c>
    </row>
    <row r="301" spans="1:9" x14ac:dyDescent="0.2">
      <c r="A301" s="126"/>
      <c r="E301" s="1608"/>
      <c r="F301" s="101" t="s">
        <v>723</v>
      </c>
      <c r="G301">
        <v>1000</v>
      </c>
      <c r="H301" s="127" t="s">
        <v>1</v>
      </c>
    </row>
    <row r="302" spans="1:9" x14ac:dyDescent="0.2">
      <c r="A302" s="175"/>
      <c r="B302" s="6"/>
      <c r="C302" s="6"/>
      <c r="D302" s="6"/>
      <c r="E302" s="1608"/>
      <c r="F302" s="101" t="s">
        <v>724</v>
      </c>
      <c r="G302">
        <v>1120</v>
      </c>
      <c r="H302" s="127" t="s">
        <v>1</v>
      </c>
    </row>
    <row r="303" spans="1:9" x14ac:dyDescent="0.2">
      <c r="A303" s="176"/>
      <c r="B303" s="177"/>
      <c r="C303" s="177"/>
      <c r="D303" s="177"/>
      <c r="E303" s="178"/>
      <c r="F303" s="119"/>
      <c r="G303" s="118"/>
      <c r="H303" s="120"/>
    </row>
    <row r="304" spans="1:9" x14ac:dyDescent="0.2">
      <c r="A304" s="175"/>
      <c r="B304" s="6"/>
      <c r="C304" s="6"/>
      <c r="D304" s="6"/>
      <c r="E304" s="172"/>
      <c r="F304" s="101"/>
      <c r="H304" s="127"/>
    </row>
    <row r="305" spans="1:8" x14ac:dyDescent="0.2">
      <c r="A305" s="109" t="s">
        <v>629</v>
      </c>
      <c r="B305" s="110">
        <f>Inputs!F175</f>
        <v>254</v>
      </c>
      <c r="C305" s="110" t="s">
        <v>281</v>
      </c>
      <c r="D305" s="173">
        <f>D289</f>
        <v>4</v>
      </c>
      <c r="E305" s="1607" t="s">
        <v>611</v>
      </c>
      <c r="F305" s="111">
        <f>Inputs!F$849</f>
        <v>600</v>
      </c>
      <c r="G305" s="110">
        <v>1</v>
      </c>
      <c r="H305" s="112" t="s">
        <v>11</v>
      </c>
    </row>
    <row r="306" spans="1:8" x14ac:dyDescent="0.2">
      <c r="A306" s="126"/>
      <c r="B306">
        <f>B305*0.27*(B254/Units!C$18)/(83/Units!C$55)</f>
        <v>47.215146299483642</v>
      </c>
      <c r="C306" t="s">
        <v>545</v>
      </c>
      <c r="D306" s="6"/>
      <c r="E306" s="1608"/>
      <c r="F306" s="101">
        <f>F305</f>
        <v>600</v>
      </c>
      <c r="G306">
        <f>G305*Units!C133</f>
        <v>44.01</v>
      </c>
      <c r="H306" s="127" t="s">
        <v>12</v>
      </c>
    </row>
    <row r="307" spans="1:8" x14ac:dyDescent="0.2">
      <c r="A307" s="126"/>
      <c r="B307">
        <f>B306*1000/Units!C$65</f>
        <v>63.316543247262487</v>
      </c>
      <c r="C307" t="s">
        <v>11</v>
      </c>
      <c r="D307" s="6"/>
      <c r="E307" s="180"/>
      <c r="F307" s="181"/>
      <c r="G307" s="6"/>
      <c r="H307" s="182"/>
    </row>
    <row r="308" spans="1:8" x14ac:dyDescent="0.2">
      <c r="A308" s="126"/>
      <c r="D308" s="6"/>
      <c r="E308" s="180"/>
      <c r="F308" s="181"/>
      <c r="G308" s="6"/>
      <c r="H308" s="182"/>
    </row>
    <row r="309" spans="1:8" x14ac:dyDescent="0.2">
      <c r="A309" s="117"/>
      <c r="B309" s="118"/>
      <c r="C309" s="118"/>
      <c r="D309" s="118"/>
      <c r="E309" s="183"/>
      <c r="F309" s="119"/>
      <c r="G309" s="118"/>
      <c r="H309" s="120"/>
    </row>
    <row r="310" spans="1:8" x14ac:dyDescent="0.2">
      <c r="A310" s="126"/>
      <c r="E310" s="103"/>
      <c r="F310" s="101"/>
      <c r="H310" s="127"/>
    </row>
    <row r="311" spans="1:8" x14ac:dyDescent="0.2">
      <c r="A311" s="109" t="s">
        <v>622</v>
      </c>
      <c r="B311" s="110">
        <f>(B296-(B296*0.5))*(B295-(B295*0.75))^2</f>
        <v>14.5707854371169</v>
      </c>
      <c r="C311" s="110" t="s">
        <v>1</v>
      </c>
      <c r="D311" s="173">
        <f>D289</f>
        <v>4</v>
      </c>
      <c r="E311" s="1607" t="s">
        <v>621</v>
      </c>
      <c r="F311" s="111">
        <v>3000</v>
      </c>
      <c r="G311" s="110">
        <v>1</v>
      </c>
      <c r="H311" s="112" t="s">
        <v>14</v>
      </c>
    </row>
    <row r="312" spans="1:8" x14ac:dyDescent="0.2">
      <c r="A312" s="126" t="s">
        <v>623</v>
      </c>
      <c r="B312">
        <f>B311</f>
        <v>14.5707854371169</v>
      </c>
      <c r="C312" t="s">
        <v>1</v>
      </c>
      <c r="D312" s="184">
        <f>D289</f>
        <v>4</v>
      </c>
      <c r="E312" s="1608"/>
      <c r="F312" s="141">
        <f>F311</f>
        <v>3000</v>
      </c>
      <c r="G312">
        <f>G311*Units!C$45*(Units!C$48/Units!A$48)</f>
        <v>1.4152652106084243</v>
      </c>
      <c r="H312" s="127" t="s">
        <v>1</v>
      </c>
    </row>
    <row r="313" spans="1:8" x14ac:dyDescent="0.2">
      <c r="A313" s="126" t="s">
        <v>624</v>
      </c>
      <c r="B313">
        <f>B311/G$312</f>
        <v>10.295445212599342</v>
      </c>
      <c r="C313" t="s">
        <v>14</v>
      </c>
      <c r="D313" s="184"/>
      <c r="F313" s="141"/>
      <c r="H313" s="127"/>
    </row>
    <row r="314" spans="1:8" x14ac:dyDescent="0.2">
      <c r="A314" s="126" t="s">
        <v>625</v>
      </c>
      <c r="B314">
        <f>B312/G$312</f>
        <v>10.295445212599342</v>
      </c>
      <c r="C314" t="s">
        <v>14</v>
      </c>
      <c r="D314" s="184"/>
      <c r="F314" s="141"/>
      <c r="H314" s="127"/>
    </row>
    <row r="315" spans="1:8" x14ac:dyDescent="0.2">
      <c r="A315" s="117"/>
      <c r="B315" s="118"/>
      <c r="C315" s="118"/>
      <c r="D315" s="118"/>
      <c r="E315" s="118"/>
      <c r="F315" s="118"/>
      <c r="G315" s="118"/>
      <c r="H315" s="120"/>
    </row>
    <row r="316" spans="1:8" x14ac:dyDescent="0.2">
      <c r="A316" s="126"/>
    </row>
    <row r="317" spans="1:8" x14ac:dyDescent="0.2">
      <c r="A317" s="188" t="s">
        <v>565</v>
      </c>
      <c r="B317" s="110"/>
      <c r="C317" s="112"/>
    </row>
    <row r="318" spans="1:8" x14ac:dyDescent="0.2">
      <c r="A318" s="126" t="s">
        <v>2943</v>
      </c>
      <c r="B318" s="100">
        <f>((Units!C$18*Units!C$71*ExpBase!G243*B292/1000)/(Inputs!F$9*Units!C$70))*2</f>
        <v>0.21900655964380694</v>
      </c>
      <c r="C318" s="127" t="s">
        <v>545</v>
      </c>
    </row>
    <row r="319" spans="1:8" x14ac:dyDescent="0.2">
      <c r="A319" s="126" t="s">
        <v>2944</v>
      </c>
      <c r="B319">
        <f>((Units!C$18*Units!C$71*ExpBase!G243*B292/1000)/(Inputs!F$9*Units!C$70))*2</f>
        <v>0.21900655964380694</v>
      </c>
      <c r="C319" s="127" t="s">
        <v>545</v>
      </c>
    </row>
    <row r="320" spans="1:8" x14ac:dyDescent="0.2">
      <c r="A320" s="126" t="s">
        <v>2945</v>
      </c>
      <c r="B320" s="100">
        <f>ExpBase!G243*Units!C67*(Inputs!F183-20)</f>
        <v>196218.75</v>
      </c>
      <c r="C320" s="127" t="s">
        <v>2883</v>
      </c>
    </row>
    <row r="321" spans="1:8" x14ac:dyDescent="0.2">
      <c r="A321" s="117"/>
      <c r="B321" s="168">
        <f>B320/Units!C70</f>
        <v>5.4505208333333333E-2</v>
      </c>
      <c r="C321" s="120" t="s">
        <v>2811</v>
      </c>
    </row>
    <row r="322" spans="1:8" x14ac:dyDescent="0.2">
      <c r="A322" s="126"/>
    </row>
    <row r="323" spans="1:8" x14ac:dyDescent="0.2">
      <c r="A323" s="126"/>
    </row>
    <row r="324" spans="1:8" x14ac:dyDescent="0.2">
      <c r="A324" s="126"/>
    </row>
    <row r="325" spans="1:8" ht="16" thickBot="1" x14ac:dyDescent="0.25">
      <c r="A325" s="126"/>
    </row>
    <row r="326" spans="1:8" ht="16" thickBot="1" x14ac:dyDescent="0.25">
      <c r="A326" s="1621" t="s">
        <v>1571</v>
      </c>
      <c r="B326" s="1621"/>
      <c r="C326" s="1621"/>
      <c r="D326" s="1621"/>
      <c r="E326" s="1621"/>
      <c r="F326" s="1621"/>
      <c r="G326" s="1621"/>
      <c r="H326" s="1621"/>
    </row>
    <row r="327" spans="1:8" ht="16" thickBot="1" x14ac:dyDescent="0.25">
      <c r="A327" s="1612" t="s">
        <v>580</v>
      </c>
      <c r="B327" s="1619" t="s">
        <v>581</v>
      </c>
      <c r="C327" s="1619"/>
      <c r="D327" s="1619"/>
      <c r="E327" s="1619"/>
      <c r="F327" s="1619" t="s">
        <v>582</v>
      </c>
      <c r="G327" s="1619"/>
      <c r="H327" s="1619"/>
    </row>
    <row r="328" spans="1:8" ht="16" thickBot="1" x14ac:dyDescent="0.25">
      <c r="A328" s="1613"/>
      <c r="B328" s="64" t="s">
        <v>515</v>
      </c>
      <c r="C328" s="64" t="s">
        <v>372</v>
      </c>
      <c r="D328" s="64" t="s">
        <v>583</v>
      </c>
      <c r="E328" s="64" t="s">
        <v>517</v>
      </c>
      <c r="F328" s="64" t="s">
        <v>42</v>
      </c>
      <c r="G328" s="64" t="s">
        <v>515</v>
      </c>
      <c r="H328" s="64" t="s">
        <v>372</v>
      </c>
    </row>
    <row r="329" spans="1:8" x14ac:dyDescent="0.2">
      <c r="A329" s="6" t="s">
        <v>607</v>
      </c>
    </row>
    <row r="330" spans="1:8" x14ac:dyDescent="0.2">
      <c r="A330" s="109" t="s">
        <v>381</v>
      </c>
      <c r="B330" s="110">
        <f>Inputs!F$171</f>
        <v>300</v>
      </c>
      <c r="C330" s="110" t="s">
        <v>1</v>
      </c>
      <c r="D330" s="110">
        <f>(((Inputs!F$13*Inputs!F$15)*Units!C$55*Inputs!F$170)+Inputs!F$174)/(B330*Units!C$18)</f>
        <v>17.152380952380952</v>
      </c>
      <c r="E330" s="1607" t="s">
        <v>530</v>
      </c>
      <c r="F330" s="111">
        <f>Inputs!F$847</f>
        <v>188.34</v>
      </c>
      <c r="G330" s="110">
        <v>1</v>
      </c>
      <c r="H330" s="112" t="s">
        <v>13</v>
      </c>
    </row>
    <row r="331" spans="1:8" x14ac:dyDescent="0.2">
      <c r="A331" s="126"/>
      <c r="B331">
        <f>B330*Units!C$18</f>
        <v>315000</v>
      </c>
      <c r="C331" t="s">
        <v>15</v>
      </c>
      <c r="D331">
        <f>ROUNDUP(D330*2,0)</f>
        <v>35</v>
      </c>
      <c r="E331" s="1608"/>
      <c r="F331" s="101">
        <f>F330</f>
        <v>188.34</v>
      </c>
      <c r="G331" s="104">
        <f>G330*Units!C$6</f>
        <v>0.76454999999999995</v>
      </c>
      <c r="H331" s="127" t="s">
        <v>1</v>
      </c>
    </row>
    <row r="332" spans="1:8" x14ac:dyDescent="0.2">
      <c r="A332" s="126" t="s">
        <v>529</v>
      </c>
      <c r="B332">
        <f>((4*B330)/(Inputs!F$172*Units!C$79))^(1/3)</f>
        <v>6.8278411060503261</v>
      </c>
      <c r="C332" t="s">
        <v>10</v>
      </c>
      <c r="H332" s="127"/>
    </row>
    <row r="333" spans="1:8" x14ac:dyDescent="0.2">
      <c r="A333" s="126" t="s">
        <v>626</v>
      </c>
      <c r="B333">
        <f>B332/2</f>
        <v>3.4139205530251631</v>
      </c>
      <c r="C333" t="s">
        <v>10</v>
      </c>
      <c r="E333" s="1608" t="s">
        <v>528</v>
      </c>
      <c r="F333" s="141">
        <f>Inputs!F881</f>
        <v>32</v>
      </c>
      <c r="G333">
        <v>1</v>
      </c>
      <c r="H333" s="127" t="s">
        <v>608</v>
      </c>
    </row>
    <row r="334" spans="1:8" x14ac:dyDescent="0.2">
      <c r="A334" s="126" t="s">
        <v>609</v>
      </c>
      <c r="B334">
        <f>(B332*Inputs!F$172)-(B332/9)+(B332/6)</f>
        <v>8.5727338331520748</v>
      </c>
      <c r="C334" t="s">
        <v>10</v>
      </c>
      <c r="E334" s="1608"/>
      <c r="F334" s="141">
        <f>F333</f>
        <v>32</v>
      </c>
      <c r="G334">
        <f>G333*Units!C$42^2</f>
        <v>9.2903040000000006E-2</v>
      </c>
      <c r="H334" s="127" t="s">
        <v>7</v>
      </c>
    </row>
    <row r="335" spans="1:8" x14ac:dyDescent="0.2">
      <c r="A335" s="126" t="s">
        <v>610</v>
      </c>
      <c r="B335">
        <f>B334/6</f>
        <v>1.4287889721920124</v>
      </c>
      <c r="C335" t="s">
        <v>10</v>
      </c>
      <c r="H335" s="127"/>
    </row>
    <row r="336" spans="1:8" x14ac:dyDescent="0.2">
      <c r="A336" s="126" t="s">
        <v>614</v>
      </c>
      <c r="B336">
        <f>B332/(B334+B335)</f>
        <v>0.68268015170670049</v>
      </c>
      <c r="H336" s="127"/>
    </row>
    <row r="337" spans="1:8" x14ac:dyDescent="0.2">
      <c r="A337" s="126" t="s">
        <v>628</v>
      </c>
      <c r="B337">
        <f>B332</f>
        <v>6.8278411060503261</v>
      </c>
      <c r="C337" t="s">
        <v>10</v>
      </c>
      <c r="H337" s="127"/>
    </row>
    <row r="338" spans="1:8" x14ac:dyDescent="0.2">
      <c r="A338" s="126" t="s">
        <v>627</v>
      </c>
      <c r="B338">
        <f>B334+B335</f>
        <v>10.001522805344088</v>
      </c>
      <c r="C338" t="s">
        <v>10</v>
      </c>
      <c r="E338" s="103"/>
      <c r="F338" s="141"/>
      <c r="H338" s="127"/>
    </row>
    <row r="339" spans="1:8" x14ac:dyDescent="0.2">
      <c r="A339" s="126" t="s">
        <v>615</v>
      </c>
      <c r="B339">
        <f>2*Units!C$79*(B337/2)*B338+(2*Units!C$79*(B337/2)^2)</f>
        <v>287.76516387789724</v>
      </c>
      <c r="C339" t="s">
        <v>7</v>
      </c>
      <c r="H339" s="127"/>
    </row>
    <row r="340" spans="1:8" x14ac:dyDescent="0.2">
      <c r="A340" s="117" t="s">
        <v>612</v>
      </c>
      <c r="B340" s="118">
        <v>0.5</v>
      </c>
      <c r="C340" s="118" t="s">
        <v>10</v>
      </c>
      <c r="D340" s="118"/>
      <c r="E340" s="118"/>
      <c r="F340" s="118"/>
      <c r="G340" s="118"/>
      <c r="H340" s="120"/>
    </row>
    <row r="341" spans="1:8" x14ac:dyDescent="0.2">
      <c r="A341" s="126"/>
      <c r="H341" s="127"/>
    </row>
    <row r="342" spans="1:8" x14ac:dyDescent="0.2">
      <c r="A342" s="109" t="s">
        <v>613</v>
      </c>
      <c r="B342" s="160">
        <f>ExpBase!C$362/Units!C$14*Inputs!F$15</f>
        <v>100.64016088112476</v>
      </c>
      <c r="C342" s="110" t="s">
        <v>1012</v>
      </c>
      <c r="D342" s="173">
        <f>ROUNDUP((B342/G343)*2,0)</f>
        <v>1</v>
      </c>
      <c r="E342" s="1607" t="s">
        <v>613</v>
      </c>
      <c r="F342" s="174">
        <f>Inputs!F$850*G342</f>
        <v>32000.06</v>
      </c>
      <c r="G342" s="110">
        <v>12.4</v>
      </c>
      <c r="H342" s="112" t="s">
        <v>725</v>
      </c>
    </row>
    <row r="343" spans="1:8" x14ac:dyDescent="0.2">
      <c r="A343" s="126"/>
      <c r="E343" s="1608"/>
      <c r="F343" s="101" t="s">
        <v>723</v>
      </c>
      <c r="G343">
        <v>1000</v>
      </c>
      <c r="H343" s="127" t="s">
        <v>1</v>
      </c>
    </row>
    <row r="344" spans="1:8" x14ac:dyDescent="0.2">
      <c r="A344" s="175"/>
      <c r="B344" s="6"/>
      <c r="C344" s="6"/>
      <c r="D344" s="6"/>
      <c r="E344" s="1608"/>
      <c r="F344" s="101" t="s">
        <v>724</v>
      </c>
      <c r="G344">
        <v>1120</v>
      </c>
      <c r="H344" s="127" t="s">
        <v>1</v>
      </c>
    </row>
    <row r="345" spans="1:8" x14ac:dyDescent="0.2">
      <c r="A345" s="176"/>
      <c r="B345" s="177"/>
      <c r="C345" s="177"/>
      <c r="D345" s="177"/>
      <c r="E345" s="178"/>
      <c r="F345" s="119"/>
      <c r="G345" s="118"/>
      <c r="H345" s="120"/>
    </row>
    <row r="346" spans="1:8" x14ac:dyDescent="0.2">
      <c r="A346" s="175"/>
      <c r="B346" s="6"/>
      <c r="C346" s="6"/>
      <c r="D346" s="6"/>
      <c r="E346" s="172"/>
      <c r="F346" s="101"/>
      <c r="H346" s="127"/>
    </row>
    <row r="347" spans="1:8" x14ac:dyDescent="0.2">
      <c r="A347" s="109" t="s">
        <v>629</v>
      </c>
      <c r="B347" s="110">
        <f>Inputs!F$175</f>
        <v>254</v>
      </c>
      <c r="C347" s="110" t="s">
        <v>281</v>
      </c>
      <c r="D347" s="173">
        <f>D331</f>
        <v>35</v>
      </c>
      <c r="E347" s="1607" t="s">
        <v>611</v>
      </c>
      <c r="F347" s="111">
        <f>Inputs!F$849</f>
        <v>600</v>
      </c>
      <c r="G347" s="110">
        <v>1</v>
      </c>
      <c r="H347" s="112" t="s">
        <v>11</v>
      </c>
    </row>
    <row r="348" spans="1:8" x14ac:dyDescent="0.2">
      <c r="A348" s="126"/>
      <c r="B348">
        <f>B347*0.27*(B236/Units!C18)/(83/Units!C55)</f>
        <v>424.93631669535279</v>
      </c>
      <c r="C348" t="s">
        <v>545</v>
      </c>
      <c r="D348" s="6"/>
      <c r="E348" s="1608"/>
      <c r="F348" s="101">
        <f>F347</f>
        <v>600</v>
      </c>
      <c r="G348">
        <f>G347*Units!C366</f>
        <v>2</v>
      </c>
      <c r="H348" s="127" t="s">
        <v>12</v>
      </c>
    </row>
    <row r="349" spans="1:8" x14ac:dyDescent="0.2">
      <c r="A349" s="126"/>
      <c r="B349">
        <f>B348*1000/Units!C$65</f>
        <v>569.84888922536243</v>
      </c>
      <c r="C349" t="s">
        <v>11</v>
      </c>
      <c r="D349" s="6"/>
      <c r="E349" s="180"/>
      <c r="F349" s="181"/>
      <c r="G349" s="6"/>
      <c r="H349" s="182"/>
    </row>
    <row r="350" spans="1:8" x14ac:dyDescent="0.2">
      <c r="A350" s="126"/>
      <c r="D350" s="6"/>
      <c r="E350" s="180"/>
      <c r="F350" s="181"/>
      <c r="G350" s="6"/>
      <c r="H350" s="182"/>
    </row>
    <row r="351" spans="1:8" x14ac:dyDescent="0.2">
      <c r="A351" s="117"/>
      <c r="B351" s="118"/>
      <c r="C351" s="118"/>
      <c r="D351" s="118"/>
      <c r="E351" s="183"/>
      <c r="F351" s="119"/>
      <c r="G351" s="118"/>
      <c r="H351" s="120"/>
    </row>
    <row r="352" spans="1:8" x14ac:dyDescent="0.2">
      <c r="A352" s="126"/>
      <c r="E352" s="103"/>
      <c r="F352" s="101"/>
      <c r="H352" s="127"/>
    </row>
    <row r="353" spans="1:8" x14ac:dyDescent="0.2">
      <c r="A353" s="109" t="s">
        <v>622</v>
      </c>
      <c r="B353" s="110">
        <f>(B338-(B338*0.5))*(B337-(B337*0.75))^2</f>
        <v>14.5707854371169</v>
      </c>
      <c r="C353" s="110" t="s">
        <v>1</v>
      </c>
      <c r="D353" s="173">
        <f>D331</f>
        <v>35</v>
      </c>
      <c r="E353" s="1607" t="s">
        <v>621</v>
      </c>
      <c r="F353" s="111">
        <v>3000</v>
      </c>
      <c r="G353" s="110">
        <v>1</v>
      </c>
      <c r="H353" s="112" t="s">
        <v>14</v>
      </c>
    </row>
    <row r="354" spans="1:8" x14ac:dyDescent="0.2">
      <c r="A354" s="126" t="s">
        <v>623</v>
      </c>
      <c r="B354">
        <f>B353</f>
        <v>14.5707854371169</v>
      </c>
      <c r="C354" t="s">
        <v>1</v>
      </c>
      <c r="D354" s="184">
        <f>D331</f>
        <v>35</v>
      </c>
      <c r="E354" s="1608"/>
      <c r="F354" s="141">
        <f>F353</f>
        <v>3000</v>
      </c>
      <c r="G354">
        <f>G353*Units!C$45*(Units!C$48/Units!A$48)</f>
        <v>1.4152652106084243</v>
      </c>
      <c r="H354" s="127" t="s">
        <v>1</v>
      </c>
    </row>
    <row r="355" spans="1:8" x14ac:dyDescent="0.2">
      <c r="A355" s="126" t="s">
        <v>624</v>
      </c>
      <c r="B355">
        <f>B353/G$312</f>
        <v>10.295445212599342</v>
      </c>
      <c r="C355" t="s">
        <v>14</v>
      </c>
      <c r="D355" s="184"/>
      <c r="F355" s="141"/>
      <c r="H355" s="127"/>
    </row>
    <row r="356" spans="1:8" x14ac:dyDescent="0.2">
      <c r="A356" s="126" t="s">
        <v>625</v>
      </c>
      <c r="B356">
        <f>B354/G$312</f>
        <v>10.295445212599342</v>
      </c>
      <c r="C356" t="s">
        <v>14</v>
      </c>
      <c r="D356" s="184"/>
      <c r="F356" s="141"/>
      <c r="H356" s="127"/>
    </row>
    <row r="357" spans="1:8" x14ac:dyDescent="0.2">
      <c r="A357" s="117"/>
      <c r="B357" s="118"/>
      <c r="C357" s="118"/>
      <c r="D357" s="118"/>
      <c r="E357" s="118"/>
      <c r="F357" s="118"/>
      <c r="G357" s="118"/>
      <c r="H357" s="118"/>
    </row>
    <row r="358" spans="1:8" x14ac:dyDescent="0.2">
      <c r="A358" s="126"/>
    </row>
    <row r="359" spans="1:8" x14ac:dyDescent="0.2">
      <c r="A359" s="188" t="s">
        <v>565</v>
      </c>
      <c r="B359" s="110"/>
      <c r="C359" s="112"/>
    </row>
    <row r="360" spans="1:8" x14ac:dyDescent="0.2">
      <c r="A360" s="126" t="s">
        <v>629</v>
      </c>
      <c r="B360" s="166">
        <f>B348</f>
        <v>424.93631669535279</v>
      </c>
      <c r="C360" s="127" t="s">
        <v>545</v>
      </c>
    </row>
    <row r="361" spans="1:8" x14ac:dyDescent="0.2">
      <c r="A361" s="126" t="s">
        <v>1027</v>
      </c>
      <c r="B361" s="100">
        <f>((Units!C$18*Units!C$71*ExpBase!G242*B334/1000)/(Inputs!F$9*Units!C$70))*2</f>
        <v>1.971059036794262</v>
      </c>
      <c r="C361" s="127" t="s">
        <v>545</v>
      </c>
    </row>
    <row r="362" spans="1:8" x14ac:dyDescent="0.2">
      <c r="A362" s="126" t="s">
        <v>2404</v>
      </c>
      <c r="B362" s="100">
        <f>ExpBase!G242*Units!C$67*(Inputs!F183-20)</f>
        <v>1765968.75</v>
      </c>
      <c r="C362" s="127" t="s">
        <v>2883</v>
      </c>
    </row>
    <row r="363" spans="1:8" x14ac:dyDescent="0.2">
      <c r="A363" s="117"/>
      <c r="B363" s="168">
        <f>B362/Units!C70</f>
        <v>0.49054687499999999</v>
      </c>
      <c r="C363" s="120" t="s">
        <v>2811</v>
      </c>
    </row>
    <row r="365" spans="1:8" x14ac:dyDescent="0.2">
      <c r="F365" s="101"/>
    </row>
    <row r="366" spans="1:8" ht="16" thickBot="1" x14ac:dyDescent="0.25">
      <c r="F366" s="101"/>
    </row>
    <row r="367" spans="1:8" ht="16" thickBot="1" x14ac:dyDescent="0.25">
      <c r="A367" s="1625" t="s">
        <v>1572</v>
      </c>
      <c r="B367" s="1626"/>
      <c r="C367" s="1626"/>
      <c r="D367" s="1626"/>
      <c r="E367" s="1626"/>
      <c r="F367" s="1626"/>
      <c r="G367" s="1626"/>
      <c r="H367" s="1627"/>
    </row>
    <row r="368" spans="1:8" ht="16" thickBot="1" x14ac:dyDescent="0.25">
      <c r="A368" s="1651" t="s">
        <v>580</v>
      </c>
      <c r="B368" s="1493" t="s">
        <v>581</v>
      </c>
      <c r="C368" s="1494"/>
      <c r="D368" s="1494"/>
      <c r="E368" s="1495"/>
      <c r="F368" s="1493" t="s">
        <v>582</v>
      </c>
      <c r="G368" s="1494"/>
      <c r="H368" s="1495"/>
    </row>
    <row r="369" spans="1:8" ht="16" thickBot="1" x14ac:dyDescent="0.25">
      <c r="A369" s="1652"/>
      <c r="B369" s="4" t="s">
        <v>515</v>
      </c>
      <c r="C369" s="4" t="s">
        <v>372</v>
      </c>
      <c r="D369" s="4" t="s">
        <v>583</v>
      </c>
      <c r="E369" s="4" t="s">
        <v>517</v>
      </c>
      <c r="F369" s="4" t="s">
        <v>42</v>
      </c>
      <c r="G369" s="4" t="s">
        <v>515</v>
      </c>
      <c r="H369" s="4" t="s">
        <v>372</v>
      </c>
    </row>
    <row r="370" spans="1:8" x14ac:dyDescent="0.2">
      <c r="F370" s="101"/>
    </row>
    <row r="371" spans="1:8" x14ac:dyDescent="0.2">
      <c r="A371" s="126"/>
      <c r="E371" s="103"/>
      <c r="F371" s="101"/>
    </row>
    <row r="372" spans="1:8" x14ac:dyDescent="0.2">
      <c r="A372" s="188" t="s">
        <v>533</v>
      </c>
      <c r="B372" s="110"/>
      <c r="C372" s="110"/>
      <c r="D372" s="110"/>
      <c r="E372" s="110"/>
      <c r="F372" s="110"/>
      <c r="G372" s="110"/>
      <c r="H372" s="112"/>
    </row>
    <row r="373" spans="1:8" x14ac:dyDescent="0.2">
      <c r="A373" s="126"/>
      <c r="E373" s="1608" t="s">
        <v>735</v>
      </c>
      <c r="F373" t="s">
        <v>731</v>
      </c>
      <c r="G373">
        <v>4.4999999999999997E-3</v>
      </c>
      <c r="H373" s="127" t="s">
        <v>7</v>
      </c>
    </row>
    <row r="374" spans="1:8" x14ac:dyDescent="0.2">
      <c r="A374" s="126"/>
      <c r="E374" s="1608"/>
      <c r="F374" t="s">
        <v>732</v>
      </c>
      <c r="G374">
        <v>2.5</v>
      </c>
      <c r="H374" s="127" t="s">
        <v>733</v>
      </c>
    </row>
    <row r="375" spans="1:8" x14ac:dyDescent="0.2">
      <c r="A375" s="126"/>
      <c r="B375" s="166"/>
      <c r="E375" s="1608"/>
      <c r="G375">
        <f>G373*G374</f>
        <v>1.125E-2</v>
      </c>
      <c r="H375" s="127" t="s">
        <v>734</v>
      </c>
    </row>
    <row r="376" spans="1:8" x14ac:dyDescent="0.2">
      <c r="A376" s="126"/>
      <c r="E376" s="1608"/>
      <c r="G376">
        <f>G375*Units!C56*Units!C57</f>
        <v>40.499999999999993</v>
      </c>
      <c r="H376" s="127" t="s">
        <v>444</v>
      </c>
    </row>
    <row r="377" spans="1:8" x14ac:dyDescent="0.2">
      <c r="A377" s="126"/>
      <c r="E377" s="1608"/>
      <c r="F377" s="141">
        <f>Inputs!F859</f>
        <v>220000</v>
      </c>
      <c r="G377">
        <v>1</v>
      </c>
      <c r="H377" s="127" t="s">
        <v>341</v>
      </c>
    </row>
    <row r="378" spans="1:8" x14ac:dyDescent="0.2">
      <c r="A378" s="117"/>
      <c r="B378" s="118"/>
      <c r="C378" s="118"/>
      <c r="D378" s="118"/>
      <c r="E378" s="118"/>
      <c r="F378" s="119">
        <f>F377*G373</f>
        <v>989.99999999999989</v>
      </c>
      <c r="G378" s="118">
        <v>2.5</v>
      </c>
      <c r="H378" s="120" t="s">
        <v>733</v>
      </c>
    </row>
    <row r="379" spans="1:8" x14ac:dyDescent="0.2">
      <c r="F379" s="101"/>
    </row>
    <row r="380" spans="1:8" x14ac:dyDescent="0.2">
      <c r="A380" s="188" t="s">
        <v>2813</v>
      </c>
      <c r="B380" s="110">
        <v>1.3</v>
      </c>
      <c r="C380" s="112" t="s">
        <v>2695</v>
      </c>
      <c r="F380" s="101"/>
    </row>
    <row r="381" spans="1:8" x14ac:dyDescent="0.2">
      <c r="A381" s="117"/>
      <c r="B381" s="118">
        <f ca="1">ExpBase!C387*B380</f>
        <v>47.700587084148729</v>
      </c>
      <c r="C381" s="120" t="s">
        <v>2811</v>
      </c>
      <c r="F381" s="101"/>
    </row>
    <row r="382" spans="1:8" x14ac:dyDescent="0.2">
      <c r="F382" s="101"/>
    </row>
    <row r="383" spans="1:8" x14ac:dyDescent="0.2">
      <c r="A383" s="188" t="s">
        <v>2501</v>
      </c>
      <c r="B383" s="110"/>
      <c r="C383" s="112"/>
      <c r="F383" s="101"/>
    </row>
    <row r="384" spans="1:8" x14ac:dyDescent="0.2">
      <c r="A384" s="126" t="s">
        <v>2800</v>
      </c>
      <c r="B384" s="100">
        <f ca="1">ExpBase!C400+ExpBase!C402+ExpBase!C413</f>
        <v>21474.378441953133</v>
      </c>
      <c r="C384" s="127" t="s">
        <v>391</v>
      </c>
      <c r="F384" s="101"/>
    </row>
    <row r="385" spans="1:6" x14ac:dyDescent="0.2">
      <c r="A385" s="117"/>
      <c r="B385" s="168">
        <f ca="1">B384*Units!C46</f>
        <v>9740.6127085559383</v>
      </c>
      <c r="C385" s="120" t="s">
        <v>2494</v>
      </c>
      <c r="F385" s="101"/>
    </row>
    <row r="386" spans="1:6" x14ac:dyDescent="0.2">
      <c r="F386" s="101"/>
    </row>
    <row r="387" spans="1:6" x14ac:dyDescent="0.2">
      <c r="A387" s="188" t="s">
        <v>1563</v>
      </c>
      <c r="B387" s="110"/>
      <c r="C387" s="112"/>
      <c r="F387" s="101"/>
    </row>
    <row r="388" spans="1:6" x14ac:dyDescent="0.2">
      <c r="A388" s="126" t="s">
        <v>536</v>
      </c>
      <c r="B388" s="100">
        <f ca="1">ExpBase!C552</f>
        <v>6791.1896763888717</v>
      </c>
      <c r="C388" s="127" t="s">
        <v>391</v>
      </c>
      <c r="F388" s="101"/>
    </row>
    <row r="389" spans="1:6" x14ac:dyDescent="0.2">
      <c r="A389" s="126"/>
      <c r="B389" s="100">
        <f ca="1">B388*Units!C3/Units!C56</f>
        <v>428.41088208553134</v>
      </c>
      <c r="C389" s="127" t="s">
        <v>738</v>
      </c>
      <c r="F389" s="101"/>
    </row>
    <row r="390" spans="1:6" x14ac:dyDescent="0.2">
      <c r="A390" s="126"/>
      <c r="B390" s="100">
        <f ca="1">B388*Units!C46</f>
        <v>3080.4313450494842</v>
      </c>
      <c r="C390" s="127" t="s">
        <v>2494</v>
      </c>
      <c r="F390" s="101"/>
    </row>
    <row r="391" spans="1:6" x14ac:dyDescent="0.2">
      <c r="A391" s="117"/>
      <c r="B391" s="168">
        <f ca="1">B389*Units!C56*Units!C55</f>
        <v>616911.67020316515</v>
      </c>
      <c r="C391" s="120" t="s">
        <v>2932</v>
      </c>
      <c r="F391" s="101"/>
    </row>
    <row r="392" spans="1:6" x14ac:dyDescent="0.2">
      <c r="F392" s="101"/>
    </row>
    <row r="393" spans="1:6" x14ac:dyDescent="0.2">
      <c r="A393" s="188" t="s">
        <v>1562</v>
      </c>
      <c r="B393" s="110"/>
      <c r="C393" s="112"/>
      <c r="F393" s="101"/>
    </row>
    <row r="394" spans="1:6" x14ac:dyDescent="0.2">
      <c r="A394" s="126"/>
      <c r="B394" s="100">
        <f ca="1">ExpBase!C414</f>
        <v>55272.474816103837</v>
      </c>
      <c r="C394" s="127" t="s">
        <v>391</v>
      </c>
      <c r="F394" s="101"/>
    </row>
    <row r="395" spans="1:6" x14ac:dyDescent="0.2">
      <c r="A395" s="117"/>
      <c r="B395" s="168">
        <f ca="1">B394*Units!C3/Units!C56</f>
        <v>3486.7719529825504</v>
      </c>
      <c r="C395" s="120" t="s">
        <v>738</v>
      </c>
      <c r="F395" s="101"/>
    </row>
    <row r="396" spans="1:6" x14ac:dyDescent="0.2">
      <c r="F396" s="101"/>
    </row>
    <row r="397" spans="1:6" x14ac:dyDescent="0.2">
      <c r="A397" s="188" t="s">
        <v>2404</v>
      </c>
      <c r="B397" s="110"/>
      <c r="C397" s="112"/>
      <c r="F397" s="101"/>
    </row>
    <row r="398" spans="1:6" x14ac:dyDescent="0.2">
      <c r="A398" s="126" t="s">
        <v>1562</v>
      </c>
      <c r="B398" s="100">
        <f ca="1">B394*Units!C67*(Inputs!F397-Inputs!F183)</f>
        <v>4627411.5916042132</v>
      </c>
      <c r="C398" s="127" t="s">
        <v>2883</v>
      </c>
      <c r="F398" s="101"/>
    </row>
    <row r="399" spans="1:6" x14ac:dyDescent="0.2">
      <c r="A399" s="126"/>
      <c r="B399" s="100">
        <f ca="1">B398/Units!C70</f>
        <v>1.2853921087789482</v>
      </c>
      <c r="C399" s="127" t="s">
        <v>2811</v>
      </c>
      <c r="F399" s="101"/>
    </row>
    <row r="400" spans="1:6" x14ac:dyDescent="0.2">
      <c r="A400" s="126" t="s">
        <v>2326</v>
      </c>
      <c r="B400" s="100">
        <f ca="1">B388*Units!C67*(Inputs!F409-Inputs!F398)</f>
        <v>2132093.9989022864</v>
      </c>
      <c r="C400" s="127" t="s">
        <v>2883</v>
      </c>
      <c r="F400" s="101"/>
    </row>
    <row r="401" spans="1:8" x14ac:dyDescent="0.2">
      <c r="A401" s="117"/>
      <c r="B401" s="168">
        <f ca="1">B400/Units!C70</f>
        <v>0.59224833302841284</v>
      </c>
      <c r="C401" s="120" t="s">
        <v>2811</v>
      </c>
      <c r="F401" s="101"/>
    </row>
    <row r="402" spans="1:8" x14ac:dyDescent="0.2">
      <c r="F402" s="101"/>
    </row>
    <row r="403" spans="1:8" x14ac:dyDescent="0.2">
      <c r="A403" s="188" t="s">
        <v>565</v>
      </c>
      <c r="B403" s="110"/>
      <c r="C403" s="112"/>
      <c r="F403" s="101"/>
    </row>
    <row r="404" spans="1:8" x14ac:dyDescent="0.2">
      <c r="A404" s="126" t="s">
        <v>2934</v>
      </c>
      <c r="B404" s="100">
        <f ca="1">((Units!C32*Units!C$71*ExpBase!C539*0.01/1000)/(Inputs!F$9*Units!C$70))*2</f>
        <v>0.10323010479272832</v>
      </c>
      <c r="C404" s="127" t="s">
        <v>545</v>
      </c>
      <c r="F404" s="101"/>
    </row>
    <row r="405" spans="1:8" x14ac:dyDescent="0.2">
      <c r="A405" s="126" t="s">
        <v>1027</v>
      </c>
      <c r="B405" s="100">
        <f ca="1">((Units!C$18*Units!C$71*B394*B$334/1000)/(Inputs!F$9*Units!C$70))*2</f>
        <v>3.8736110567916353</v>
      </c>
      <c r="C405" s="127" t="s">
        <v>545</v>
      </c>
      <c r="F405" s="101"/>
    </row>
    <row r="406" spans="1:8" x14ac:dyDescent="0.2">
      <c r="A406" s="126" t="s">
        <v>2502</v>
      </c>
      <c r="B406" s="100">
        <f ca="1">((Units!C$15*Units!C$71*B388*B$334/1000)/(Inputs!F$9*Units!C$70))*2</f>
        <v>0.45327697886917029</v>
      </c>
      <c r="C406" s="127" t="s">
        <v>545</v>
      </c>
      <c r="F406" s="101"/>
    </row>
    <row r="407" spans="1:8" x14ac:dyDescent="0.2">
      <c r="A407" s="117" t="s">
        <v>2935</v>
      </c>
      <c r="B407" s="168">
        <f ca="1">((Units!C$15*Units!C$71*B388*B$334/1000)/(Inputs!F$9*Units!C$70))*2</f>
        <v>0.45327697886917029</v>
      </c>
      <c r="C407" s="120" t="s">
        <v>545</v>
      </c>
      <c r="F407" s="101"/>
    </row>
    <row r="408" spans="1:8" x14ac:dyDescent="0.2">
      <c r="F408" s="101"/>
    </row>
    <row r="409" spans="1:8" x14ac:dyDescent="0.2">
      <c r="F409" s="101"/>
    </row>
    <row r="410" spans="1:8" x14ac:dyDescent="0.2">
      <c r="F410" s="101"/>
    </row>
    <row r="411" spans="1:8" ht="16" thickBot="1" x14ac:dyDescent="0.25">
      <c r="F411" s="101"/>
    </row>
    <row r="412" spans="1:8" ht="16" thickBot="1" x14ac:dyDescent="0.25">
      <c r="A412" s="1648" t="s">
        <v>843</v>
      </c>
      <c r="B412" s="1649"/>
      <c r="C412" s="1649"/>
      <c r="D412" s="1649"/>
      <c r="E412" s="1649"/>
      <c r="F412" s="1649"/>
      <c r="G412" s="1649"/>
      <c r="H412" s="1650"/>
    </row>
    <row r="413" spans="1:8" ht="16" thickBot="1" x14ac:dyDescent="0.25">
      <c r="A413" s="1651" t="s">
        <v>580</v>
      </c>
      <c r="B413" s="1493" t="s">
        <v>581</v>
      </c>
      <c r="C413" s="1494"/>
      <c r="D413" s="1494"/>
      <c r="E413" s="1495"/>
      <c r="F413" s="1493" t="s">
        <v>582</v>
      </c>
      <c r="G413" s="1494"/>
      <c r="H413" s="1495"/>
    </row>
    <row r="414" spans="1:8" ht="16" thickBot="1" x14ac:dyDescent="0.25">
      <c r="A414" s="1652"/>
      <c r="B414" s="4" t="s">
        <v>515</v>
      </c>
      <c r="C414" s="4" t="s">
        <v>372</v>
      </c>
      <c r="D414" s="4" t="s">
        <v>583</v>
      </c>
      <c r="E414" s="4" t="s">
        <v>517</v>
      </c>
      <c r="F414" s="4" t="s">
        <v>42</v>
      </c>
      <c r="G414" s="4" t="s">
        <v>515</v>
      </c>
      <c r="H414" s="4" t="s">
        <v>372</v>
      </c>
    </row>
    <row r="415" spans="1:8" x14ac:dyDescent="0.2">
      <c r="A415" s="6" t="s">
        <v>860</v>
      </c>
    </row>
    <row r="416" spans="1:8" x14ac:dyDescent="0.2">
      <c r="A416" s="109" t="s">
        <v>381</v>
      </c>
      <c r="B416" s="160">
        <f ca="1">((ExpBase!E678*Inputs!F466)+Inputs!F471)/Inputs!F470</f>
        <v>35691.248896632256</v>
      </c>
      <c r="C416" s="110" t="s">
        <v>1</v>
      </c>
      <c r="D416" s="110">
        <f ca="1">IF(B416&gt;Inputs!F468,ROUNDUP(B416/Inputs!F468,0),1)</f>
        <v>1190</v>
      </c>
      <c r="E416" s="1607" t="s">
        <v>530</v>
      </c>
      <c r="F416" s="111">
        <f>Inputs!F$847</f>
        <v>188.34</v>
      </c>
      <c r="G416" s="110">
        <v>1</v>
      </c>
      <c r="H416" s="112" t="s">
        <v>13</v>
      </c>
    </row>
    <row r="417" spans="1:8" x14ac:dyDescent="0.2">
      <c r="A417" s="126"/>
      <c r="B417" s="100">
        <f ca="1">B416*Units!C$15</f>
        <v>35691248.896632254</v>
      </c>
      <c r="C417" t="s">
        <v>15</v>
      </c>
      <c r="D417">
        <f ca="1">ROUNDUP(D416*2,0)</f>
        <v>2380</v>
      </c>
      <c r="E417" s="1608"/>
      <c r="F417" s="101">
        <f>F416</f>
        <v>188.34</v>
      </c>
      <c r="G417" s="104">
        <f>G416*Units!C$6</f>
        <v>0.76454999999999995</v>
      </c>
      <c r="H417" s="127" t="s">
        <v>1</v>
      </c>
    </row>
    <row r="418" spans="1:8" x14ac:dyDescent="0.2">
      <c r="A418" s="126" t="s">
        <v>529</v>
      </c>
      <c r="B418" s="100">
        <f ca="1">((4*B416)/(Inputs!F$469*Units!C$79))^(1/3)</f>
        <v>33.581253456725456</v>
      </c>
      <c r="C418" t="s">
        <v>10</v>
      </c>
      <c r="H418" s="127"/>
    </row>
    <row r="419" spans="1:8" x14ac:dyDescent="0.2">
      <c r="A419" s="126" t="s">
        <v>626</v>
      </c>
      <c r="B419" s="100">
        <f ca="1">B418/2</f>
        <v>16.790626728362728</v>
      </c>
      <c r="C419" t="s">
        <v>10</v>
      </c>
      <c r="E419" s="1608" t="s">
        <v>528</v>
      </c>
      <c r="F419" s="141">
        <f>Inputs!F$848</f>
        <v>8.35</v>
      </c>
      <c r="G419">
        <v>1</v>
      </c>
      <c r="H419" s="127" t="s">
        <v>608</v>
      </c>
    </row>
    <row r="420" spans="1:8" x14ac:dyDescent="0.2">
      <c r="A420" s="126" t="s">
        <v>609</v>
      </c>
      <c r="B420" s="100">
        <f ca="1">(B418*Inputs!F$469)-(B418/9)+(B418/6)</f>
        <v>42.163129340110849</v>
      </c>
      <c r="C420" t="s">
        <v>10</v>
      </c>
      <c r="E420" s="1608"/>
      <c r="F420" s="141">
        <f>F419</f>
        <v>8.35</v>
      </c>
      <c r="G420">
        <f>G419*Units!C$42^2</f>
        <v>9.2903040000000006E-2</v>
      </c>
      <c r="H420" s="127" t="s">
        <v>7</v>
      </c>
    </row>
    <row r="421" spans="1:8" x14ac:dyDescent="0.2">
      <c r="A421" s="126" t="s">
        <v>610</v>
      </c>
      <c r="B421">
        <f ca="1">B420/6</f>
        <v>7.0271882233518079</v>
      </c>
      <c r="C421" t="s">
        <v>10</v>
      </c>
      <c r="H421" s="127"/>
    </row>
    <row r="422" spans="1:8" x14ac:dyDescent="0.2">
      <c r="A422" s="126" t="s">
        <v>614</v>
      </c>
      <c r="B422">
        <f ca="1">B418/(B420+B421)</f>
        <v>0.68268015170670038</v>
      </c>
      <c r="H422" s="127"/>
    </row>
    <row r="423" spans="1:8" x14ac:dyDescent="0.2">
      <c r="A423" s="126" t="s">
        <v>628</v>
      </c>
      <c r="B423" s="100">
        <f ca="1">B418</f>
        <v>33.581253456725456</v>
      </c>
      <c r="C423" t="s">
        <v>10</v>
      </c>
      <c r="H423" s="127"/>
    </row>
    <row r="424" spans="1:8" x14ac:dyDescent="0.2">
      <c r="A424" s="126" t="s">
        <v>627</v>
      </c>
      <c r="B424">
        <f ca="1">B420+B421</f>
        <v>49.190317563462656</v>
      </c>
      <c r="C424" t="s">
        <v>10</v>
      </c>
      <c r="E424" s="103"/>
      <c r="F424" s="141"/>
      <c r="H424" s="127"/>
    </row>
    <row r="425" spans="1:8" x14ac:dyDescent="0.2">
      <c r="A425" s="126" t="s">
        <v>615</v>
      </c>
      <c r="B425" s="100">
        <f ca="1">2*Units!C$79*(B423/2)*B424+(2*Units!C$79*(B423/2)^2)</f>
        <v>6960.8970653537308</v>
      </c>
      <c r="C425" t="s">
        <v>7</v>
      </c>
      <c r="H425" s="127"/>
    </row>
    <row r="426" spans="1:8" x14ac:dyDescent="0.2">
      <c r="A426" s="117" t="s">
        <v>612</v>
      </c>
      <c r="B426" s="118">
        <v>0.5</v>
      </c>
      <c r="C426" s="118" t="s">
        <v>10</v>
      </c>
      <c r="D426" s="118"/>
      <c r="E426" s="118"/>
      <c r="F426" s="118"/>
      <c r="G426" s="118"/>
      <c r="H426" s="120"/>
    </row>
    <row r="427" spans="1:8" x14ac:dyDescent="0.2">
      <c r="A427" s="126"/>
      <c r="H427" s="127"/>
    </row>
    <row r="428" spans="1:8" x14ac:dyDescent="0.2">
      <c r="A428" s="109" t="s">
        <v>613</v>
      </c>
      <c r="B428" s="200">
        <f ca="1">B418</f>
        <v>33.581253456725456</v>
      </c>
      <c r="C428" s="110" t="s">
        <v>725</v>
      </c>
      <c r="D428" s="173">
        <f ca="1">D417</f>
        <v>2380</v>
      </c>
      <c r="E428" s="1607" t="s">
        <v>613</v>
      </c>
      <c r="F428" s="174">
        <f>Inputs!F$850*G428</f>
        <v>32000.06</v>
      </c>
      <c r="G428" s="110">
        <v>12.4</v>
      </c>
      <c r="H428" s="112" t="s">
        <v>725</v>
      </c>
    </row>
    <row r="429" spans="1:8" x14ac:dyDescent="0.2">
      <c r="A429" s="126"/>
      <c r="E429" s="1608"/>
      <c r="F429" s="101" t="s">
        <v>723</v>
      </c>
      <c r="G429">
        <v>1000</v>
      </c>
      <c r="H429" s="127" t="s">
        <v>1</v>
      </c>
    </row>
    <row r="430" spans="1:8" x14ac:dyDescent="0.2">
      <c r="A430" s="175"/>
      <c r="B430" s="6"/>
      <c r="C430" s="6"/>
      <c r="D430" s="6"/>
      <c r="E430" s="1608"/>
      <c r="F430" s="101" t="s">
        <v>724</v>
      </c>
      <c r="G430">
        <v>1120</v>
      </c>
      <c r="H430" s="127" t="s">
        <v>1</v>
      </c>
    </row>
    <row r="431" spans="1:8" x14ac:dyDescent="0.2">
      <c r="A431" s="176"/>
      <c r="B431" s="177"/>
      <c r="C431" s="177"/>
      <c r="D431" s="177"/>
      <c r="E431" s="178"/>
      <c r="F431" s="119"/>
      <c r="G431" s="118"/>
      <c r="H431" s="120"/>
    </row>
    <row r="432" spans="1:8" x14ac:dyDescent="0.2">
      <c r="A432" s="175"/>
      <c r="B432" s="6"/>
      <c r="C432" s="6"/>
      <c r="D432" s="6"/>
      <c r="E432" s="172"/>
      <c r="F432" s="101"/>
      <c r="H432" s="127"/>
    </row>
    <row r="433" spans="1:8" x14ac:dyDescent="0.2">
      <c r="A433" s="109" t="s">
        <v>629</v>
      </c>
      <c r="B433" s="110">
        <f>Inputs!F$467</f>
        <v>100</v>
      </c>
      <c r="C433" s="110" t="s">
        <v>281</v>
      </c>
      <c r="D433" s="173">
        <f ca="1">D428</f>
        <v>2380</v>
      </c>
      <c r="E433" s="1607" t="s">
        <v>611</v>
      </c>
      <c r="F433" s="111">
        <f>Inputs!F$849</f>
        <v>600</v>
      </c>
      <c r="G433" s="110">
        <v>1</v>
      </c>
      <c r="H433" s="112" t="s">
        <v>11</v>
      </c>
    </row>
    <row r="434" spans="1:8" x14ac:dyDescent="0.2">
      <c r="A434" s="126"/>
      <c r="B434" s="201">
        <f ca="1">B433*0.27*((B416/Inputs!F$466*Units!C$55)/83)</f>
        <v>580.52031337895835</v>
      </c>
      <c r="C434" t="s">
        <v>545</v>
      </c>
      <c r="D434" s="6"/>
      <c r="E434" s="1608"/>
      <c r="F434" s="101">
        <f>F433</f>
        <v>600</v>
      </c>
      <c r="H434" s="127"/>
    </row>
    <row r="435" spans="1:8" x14ac:dyDescent="0.2">
      <c r="A435" s="126"/>
      <c r="B435" s="100">
        <f ca="1">B434*1000/Units!C$65</f>
        <v>778.49042963518616</v>
      </c>
      <c r="C435" t="s">
        <v>11</v>
      </c>
      <c r="D435" s="6"/>
      <c r="E435" s="180"/>
      <c r="F435" s="181"/>
      <c r="G435" s="6"/>
      <c r="H435" s="182"/>
    </row>
    <row r="436" spans="1:8" x14ac:dyDescent="0.2">
      <c r="A436" s="126"/>
      <c r="D436" s="6"/>
      <c r="E436" s="180"/>
      <c r="F436" s="181"/>
      <c r="G436" s="6"/>
      <c r="H436" s="182"/>
    </row>
    <row r="437" spans="1:8" x14ac:dyDescent="0.2">
      <c r="A437" s="117"/>
      <c r="B437" s="118"/>
      <c r="C437" s="118"/>
      <c r="D437" s="118"/>
      <c r="E437" s="183"/>
      <c r="F437" s="119"/>
      <c r="G437" s="118"/>
      <c r="H437" s="120"/>
    </row>
    <row r="438" spans="1:8" x14ac:dyDescent="0.2">
      <c r="A438" s="126"/>
      <c r="E438" s="103"/>
      <c r="F438" s="101"/>
      <c r="H438" s="127"/>
    </row>
    <row r="439" spans="1:8" x14ac:dyDescent="0.2">
      <c r="A439" s="109" t="s">
        <v>622</v>
      </c>
      <c r="B439" s="160">
        <f ca="1">(B424-(B424*0.5))*(B423-(B423*0.75))^2</f>
        <v>1733.4984321852135</v>
      </c>
      <c r="C439" s="110" t="s">
        <v>1</v>
      </c>
      <c r="D439" s="173">
        <f ca="1">D428</f>
        <v>2380</v>
      </c>
      <c r="E439" s="1607" t="s">
        <v>621</v>
      </c>
      <c r="F439" s="111">
        <v>3000</v>
      </c>
      <c r="G439" s="110">
        <v>1</v>
      </c>
      <c r="H439" s="112" t="s">
        <v>14</v>
      </c>
    </row>
    <row r="440" spans="1:8" x14ac:dyDescent="0.2">
      <c r="A440" s="126" t="s">
        <v>623</v>
      </c>
      <c r="B440" s="100">
        <f ca="1">B439</f>
        <v>1733.4984321852135</v>
      </c>
      <c r="C440" t="s">
        <v>1</v>
      </c>
      <c r="D440" s="184">
        <f ca="1">D428</f>
        <v>2380</v>
      </c>
      <c r="E440" s="1608"/>
      <c r="F440" s="141">
        <f>F439</f>
        <v>3000</v>
      </c>
      <c r="G440">
        <f>G439*Units!C$45*(Units!C$48/Units!A$48)</f>
        <v>1.4152652106084243</v>
      </c>
      <c r="H440" s="127" t="s">
        <v>1</v>
      </c>
    </row>
    <row r="441" spans="1:8" x14ac:dyDescent="0.2">
      <c r="A441" s="126" t="s">
        <v>624</v>
      </c>
      <c r="B441" s="100">
        <f ca="1">B439/G$312</f>
        <v>1224.8576586150807</v>
      </c>
      <c r="C441" t="s">
        <v>14</v>
      </c>
      <c r="D441" s="184"/>
      <c r="F441" s="141"/>
      <c r="H441" s="127"/>
    </row>
    <row r="442" spans="1:8" x14ac:dyDescent="0.2">
      <c r="A442" s="126" t="s">
        <v>625</v>
      </c>
      <c r="B442">
        <f ca="1">B440/G$312</f>
        <v>1224.8576586150807</v>
      </c>
      <c r="C442" t="s">
        <v>14</v>
      </c>
      <c r="D442" s="184"/>
      <c r="F442" s="141"/>
      <c r="H442" s="127"/>
    </row>
    <row r="443" spans="1:8" x14ac:dyDescent="0.2">
      <c r="A443" s="117"/>
      <c r="B443" s="118"/>
      <c r="C443" s="118"/>
      <c r="D443" s="118"/>
      <c r="E443" s="118"/>
      <c r="F443" s="118"/>
      <c r="G443" s="118"/>
      <c r="H443" s="120"/>
    </row>
    <row r="445" spans="1:8" x14ac:dyDescent="0.2">
      <c r="A445" s="188" t="s">
        <v>565</v>
      </c>
      <c r="B445" s="110"/>
      <c r="C445" s="112"/>
    </row>
    <row r="446" spans="1:8" x14ac:dyDescent="0.2">
      <c r="A446" s="126" t="s">
        <v>2948</v>
      </c>
      <c r="B446" s="100">
        <f ca="1">((Units!C$15*Units!C$71*ExpBase!C182*B$334/1000)/(Inputs!F$9*Units!C$70))*2</f>
        <v>0.41896816776941431</v>
      </c>
      <c r="C446" s="127" t="s">
        <v>545</v>
      </c>
    </row>
    <row r="447" spans="1:8" x14ac:dyDescent="0.2">
      <c r="A447" s="126" t="s">
        <v>2949</v>
      </c>
      <c r="B447" s="100">
        <f>((Units!C$15*Units!C$71*ExpBase!G243*B$334/1000)/(Inputs!F$9*Units!C$70))*2</f>
        <v>0.2085776758512447</v>
      </c>
      <c r="C447" s="127" t="s">
        <v>545</v>
      </c>
    </row>
    <row r="448" spans="1:8" x14ac:dyDescent="0.2">
      <c r="A448" s="126" t="s">
        <v>2950</v>
      </c>
      <c r="B448" s="100">
        <f ca="1">((Units!C$15*Units!C$71*ExpBase!C414*B$334/1000)/(Inputs!F$9*Units!C$70))*2</f>
        <v>3.6891533874206051</v>
      </c>
      <c r="C448" s="127" t="s">
        <v>545</v>
      </c>
    </row>
    <row r="449" spans="1:8" x14ac:dyDescent="0.2">
      <c r="A449" s="126" t="s">
        <v>2404</v>
      </c>
      <c r="B449" s="100">
        <f ca="1">ExpBase!C678*Units!C67*(35-30)</f>
        <v>1306823.3752113981</v>
      </c>
      <c r="C449" s="127" t="s">
        <v>2883</v>
      </c>
    </row>
    <row r="450" spans="1:8" x14ac:dyDescent="0.2">
      <c r="A450" s="117"/>
      <c r="B450" s="168">
        <f ca="1">B449/Units!C70</f>
        <v>0.36300649311427724</v>
      </c>
      <c r="C450" s="120" t="s">
        <v>2811</v>
      </c>
    </row>
    <row r="451" spans="1:8" x14ac:dyDescent="0.2">
      <c r="A451" s="109" t="s">
        <v>2951</v>
      </c>
      <c r="B451" s="110">
        <v>1.3</v>
      </c>
      <c r="C451" s="112" t="s">
        <v>2695</v>
      </c>
    </row>
    <row r="452" spans="1:8" x14ac:dyDescent="0.2">
      <c r="A452" s="126"/>
      <c r="B452" s="100">
        <f ca="1">B451*ExpBase!E678</f>
        <v>77.303955942703226</v>
      </c>
      <c r="C452" s="127" t="s">
        <v>2811</v>
      </c>
    </row>
    <row r="453" spans="1:8" x14ac:dyDescent="0.2">
      <c r="A453" s="117" t="s">
        <v>1027</v>
      </c>
      <c r="B453" s="118">
        <f ca="1">((Units!C$15*Units!C$71*ExpBase!C678*B$334/1000)/(Inputs!F$9*Units!C$70))*2</f>
        <v>4.1674026923982419</v>
      </c>
      <c r="C453" s="120" t="s">
        <v>545</v>
      </c>
    </row>
    <row r="460" spans="1:8" ht="16" thickBot="1" x14ac:dyDescent="0.25"/>
    <row r="461" spans="1:8" ht="16" thickBot="1" x14ac:dyDescent="0.25">
      <c r="A461" s="1620" t="s">
        <v>2798</v>
      </c>
      <c r="B461" s="1620"/>
      <c r="C461" s="1620"/>
      <c r="D461" s="1620"/>
      <c r="E461" s="1620"/>
      <c r="F461" s="1620"/>
      <c r="G461" s="1620"/>
      <c r="H461" s="1620"/>
    </row>
    <row r="462" spans="1:8" ht="16" thickBot="1" x14ac:dyDescent="0.25">
      <c r="A462" s="1612" t="s">
        <v>580</v>
      </c>
      <c r="B462" s="1619" t="s">
        <v>581</v>
      </c>
      <c r="C462" s="1619"/>
      <c r="D462" s="1619"/>
      <c r="E462" s="1619"/>
      <c r="F462" s="1619" t="s">
        <v>582</v>
      </c>
      <c r="G462" s="1619"/>
      <c r="H462" s="1619"/>
    </row>
    <row r="463" spans="1:8" x14ac:dyDescent="0.2">
      <c r="A463" s="1618"/>
      <c r="B463" s="62" t="s">
        <v>515</v>
      </c>
      <c r="C463" s="62" t="s">
        <v>372</v>
      </c>
      <c r="D463" s="62" t="s">
        <v>583</v>
      </c>
      <c r="E463" s="62" t="s">
        <v>517</v>
      </c>
      <c r="F463" s="62" t="s">
        <v>42</v>
      </c>
      <c r="G463" s="62" t="s">
        <v>515</v>
      </c>
      <c r="H463" s="62" t="s">
        <v>372</v>
      </c>
    </row>
    <row r="464" spans="1:8" x14ac:dyDescent="0.2">
      <c r="A464" s="188" t="s">
        <v>535</v>
      </c>
      <c r="B464" s="110"/>
      <c r="C464" s="110"/>
      <c r="D464" s="110"/>
      <c r="E464" s="110"/>
      <c r="F464" s="110"/>
      <c r="G464" s="110"/>
      <c r="H464" s="112"/>
    </row>
    <row r="465" spans="1:8" x14ac:dyDescent="0.2">
      <c r="A465" s="126" t="s">
        <v>749</v>
      </c>
      <c r="B465" s="100">
        <f ca="1">ExpBase!C730*Inputs!F413</f>
        <v>288.56330691885671</v>
      </c>
      <c r="C465" t="s">
        <v>1</v>
      </c>
      <c r="E465" t="s">
        <v>806</v>
      </c>
      <c r="F465" s="141">
        <f>Inputs!F855</f>
        <v>17.5</v>
      </c>
      <c r="G465">
        <v>1</v>
      </c>
      <c r="H465" s="127" t="s">
        <v>7</v>
      </c>
    </row>
    <row r="466" spans="1:8" x14ac:dyDescent="0.2">
      <c r="A466" s="126" t="s">
        <v>773</v>
      </c>
      <c r="B466" s="100">
        <f ca="1">B465*Inputs!F430</f>
        <v>144281.65345942834</v>
      </c>
      <c r="C466" t="s">
        <v>7</v>
      </c>
      <c r="E466" t="s">
        <v>807</v>
      </c>
      <c r="F466" s="141">
        <f>Inputs!F854</f>
        <v>16</v>
      </c>
      <c r="G466">
        <v>1</v>
      </c>
      <c r="H466" s="127" t="s">
        <v>7</v>
      </c>
    </row>
    <row r="467" spans="1:8" x14ac:dyDescent="0.2">
      <c r="A467" s="126" t="s">
        <v>774</v>
      </c>
      <c r="B467" s="100">
        <f ca="1">ROUNDUP(B466/Inputs!F426,-1)</f>
        <v>144290</v>
      </c>
      <c r="D467" s="100">
        <f ca="1">B467*2</f>
        <v>288580</v>
      </c>
      <c r="E467" t="s">
        <v>808</v>
      </c>
      <c r="F467" s="141">
        <f>Inputs!F856</f>
        <v>52.5</v>
      </c>
      <c r="G467">
        <v>1</v>
      </c>
      <c r="H467" s="127" t="s">
        <v>7</v>
      </c>
    </row>
    <row r="468" spans="1:8" x14ac:dyDescent="0.2">
      <c r="A468" s="126" t="s">
        <v>783</v>
      </c>
      <c r="B468" s="100">
        <f ca="1">ROUNDUP(B467/Inputs!F433,-1)</f>
        <v>48100</v>
      </c>
      <c r="C468" t="s">
        <v>763</v>
      </c>
      <c r="D468" s="100">
        <f ca="1">B468*2</f>
        <v>96200</v>
      </c>
      <c r="H468" s="127"/>
    </row>
    <row r="469" spans="1:8" x14ac:dyDescent="0.2">
      <c r="A469" s="126" t="s">
        <v>741</v>
      </c>
      <c r="B469">
        <v>127</v>
      </c>
      <c r="C469" t="s">
        <v>742</v>
      </c>
      <c r="H469" s="127"/>
    </row>
    <row r="470" spans="1:8" x14ac:dyDescent="0.2">
      <c r="A470" s="126"/>
      <c r="B470" s="33">
        <f>B469*Units!C80</f>
        <v>1.27E-4</v>
      </c>
      <c r="C470" t="s">
        <v>10</v>
      </c>
      <c r="H470" s="127"/>
    </row>
    <row r="471" spans="1:8" x14ac:dyDescent="0.2">
      <c r="A471" s="126" t="s">
        <v>743</v>
      </c>
      <c r="B471">
        <f>Inputs!F432</f>
        <v>1E-3</v>
      </c>
      <c r="C471" t="s">
        <v>10</v>
      </c>
      <c r="H471" s="127"/>
    </row>
    <row r="472" spans="1:8" x14ac:dyDescent="0.2">
      <c r="A472" s="126" t="s">
        <v>744</v>
      </c>
      <c r="B472" s="100">
        <f ca="1">(B470+B471)*B467</f>
        <v>162.61482999999998</v>
      </c>
      <c r="C472" t="s">
        <v>10</v>
      </c>
      <c r="H472" s="127"/>
    </row>
    <row r="473" spans="1:8" x14ac:dyDescent="0.2">
      <c r="A473" s="126" t="s">
        <v>730</v>
      </c>
      <c r="B473">
        <f ca="1">B465/B472</f>
        <v>1.7745202385222598</v>
      </c>
      <c r="C473" t="s">
        <v>7</v>
      </c>
      <c r="H473" s="127"/>
    </row>
    <row r="474" spans="1:8" x14ac:dyDescent="0.2">
      <c r="A474" s="126"/>
      <c r="H474" s="127"/>
    </row>
    <row r="475" spans="1:8" x14ac:dyDescent="0.2">
      <c r="A475" s="126" t="s">
        <v>785</v>
      </c>
      <c r="B475" s="100">
        <f ca="1">B468*Inputs!F434</f>
        <v>48100</v>
      </c>
      <c r="C475" t="s">
        <v>763</v>
      </c>
      <c r="H475" s="127"/>
    </row>
    <row r="476" spans="1:8" x14ac:dyDescent="0.2">
      <c r="A476" s="126" t="s">
        <v>784</v>
      </c>
      <c r="B476" s="100">
        <f ca="1">B468*Inputs!F435</f>
        <v>48100</v>
      </c>
      <c r="C476" t="s">
        <v>763</v>
      </c>
      <c r="H476" s="127"/>
    </row>
    <row r="477" spans="1:8" x14ac:dyDescent="0.2">
      <c r="A477" s="126" t="s">
        <v>786</v>
      </c>
      <c r="B477" s="100">
        <f ca="1">Inputs!F436*CostCalc!B468</f>
        <v>48100</v>
      </c>
      <c r="C477" t="s">
        <v>763</v>
      </c>
      <c r="H477" s="127"/>
    </row>
    <row r="478" spans="1:8" x14ac:dyDescent="0.2">
      <c r="A478" s="126" t="s">
        <v>789</v>
      </c>
      <c r="B478" s="100">
        <f ca="1">SUM(B475:B476)/3+B477</f>
        <v>80166.666666666672</v>
      </c>
      <c r="C478" t="s">
        <v>763</v>
      </c>
      <c r="H478" s="127"/>
    </row>
    <row r="479" spans="1:8" x14ac:dyDescent="0.2">
      <c r="A479" s="126"/>
      <c r="H479" s="127"/>
    </row>
    <row r="480" spans="1:8" x14ac:dyDescent="0.2">
      <c r="A480" s="126" t="s">
        <v>809</v>
      </c>
      <c r="B480" s="100">
        <f ca="1">B475*Inputs!F$426</f>
        <v>48100</v>
      </c>
      <c r="C480" t="s">
        <v>7</v>
      </c>
      <c r="H480" s="127"/>
    </row>
    <row r="481" spans="1:8" x14ac:dyDescent="0.2">
      <c r="A481" s="126" t="s">
        <v>810</v>
      </c>
      <c r="B481" s="100">
        <f ca="1">B476*Inputs!F$426</f>
        <v>48100</v>
      </c>
      <c r="C481" t="s">
        <v>7</v>
      </c>
      <c r="H481" s="127"/>
    </row>
    <row r="482" spans="1:8" x14ac:dyDescent="0.2">
      <c r="A482" s="117" t="s">
        <v>811</v>
      </c>
      <c r="B482" s="168">
        <f ca="1">B477*Inputs!F$426</f>
        <v>48100</v>
      </c>
      <c r="C482" s="118" t="s">
        <v>7</v>
      </c>
      <c r="D482" s="118"/>
      <c r="E482" s="118"/>
      <c r="F482" s="118"/>
      <c r="G482" s="118"/>
      <c r="H482" s="120"/>
    </row>
    <row r="483" spans="1:8" x14ac:dyDescent="0.2">
      <c r="A483" s="126"/>
      <c r="H483" s="127"/>
    </row>
    <row r="484" spans="1:8" x14ac:dyDescent="0.2">
      <c r="A484" s="109" t="s">
        <v>790</v>
      </c>
      <c r="B484" s="160">
        <f ca="1">B478*Inputs!F417</f>
        <v>160333.33333333334</v>
      </c>
      <c r="C484" s="110" t="s">
        <v>294</v>
      </c>
      <c r="D484" s="110"/>
      <c r="E484" s="110"/>
      <c r="F484" s="110"/>
      <c r="G484" s="110"/>
      <c r="H484" s="112"/>
    </row>
    <row r="485" spans="1:8" x14ac:dyDescent="0.2">
      <c r="A485" s="126" t="s">
        <v>791</v>
      </c>
      <c r="B485" s="100">
        <f ca="1">B478*Inputs!F418</f>
        <v>48100</v>
      </c>
      <c r="C485" t="s">
        <v>298</v>
      </c>
      <c r="H485" s="127"/>
    </row>
    <row r="486" spans="1:8" x14ac:dyDescent="0.2">
      <c r="A486" s="126"/>
      <c r="B486" s="100"/>
      <c r="H486" s="127"/>
    </row>
    <row r="487" spans="1:8" x14ac:dyDescent="0.2">
      <c r="A487" s="126" t="s">
        <v>792</v>
      </c>
      <c r="B487" s="100">
        <f ca="1">ROUNDUP(D468/Inputs!F431,0)</f>
        <v>962</v>
      </c>
      <c r="C487" t="s">
        <v>763</v>
      </c>
      <c r="D487" s="100">
        <f ca="1">B487</f>
        <v>962</v>
      </c>
      <c r="H487" s="127"/>
    </row>
    <row r="488" spans="1:8" x14ac:dyDescent="0.2">
      <c r="A488" s="117"/>
      <c r="B488" s="118"/>
      <c r="C488" s="118"/>
      <c r="D488" s="118"/>
      <c r="E488" s="118"/>
      <c r="F488" s="118"/>
      <c r="G488" s="118"/>
      <c r="H488" s="120"/>
    </row>
    <row r="489" spans="1:8" x14ac:dyDescent="0.2">
      <c r="A489" s="126"/>
      <c r="H489" s="127"/>
    </row>
    <row r="490" spans="1:8" x14ac:dyDescent="0.2">
      <c r="A490" s="109" t="s">
        <v>622</v>
      </c>
      <c r="B490" s="160">
        <f>Inputs!F437*Inputs!F438</f>
        <v>0.36</v>
      </c>
      <c r="C490" s="110" t="s">
        <v>1</v>
      </c>
      <c r="D490" s="173">
        <f ca="1">D487</f>
        <v>962</v>
      </c>
      <c r="E490" s="1607" t="s">
        <v>621</v>
      </c>
      <c r="F490" s="111">
        <f>Inputs!F$853</f>
        <v>3000</v>
      </c>
      <c r="G490" s="110">
        <v>1</v>
      </c>
      <c r="H490" s="112" t="s">
        <v>14</v>
      </c>
    </row>
    <row r="491" spans="1:8" x14ac:dyDescent="0.2">
      <c r="A491" s="126" t="s">
        <v>623</v>
      </c>
      <c r="B491">
        <f>B490</f>
        <v>0.36</v>
      </c>
      <c r="C491" t="s">
        <v>1</v>
      </c>
      <c r="D491" s="184">
        <f>D461</f>
        <v>0</v>
      </c>
      <c r="E491" s="1608"/>
      <c r="F491" s="141">
        <f>F490</f>
        <v>3000</v>
      </c>
      <c r="G491">
        <f>G312</f>
        <v>1.4152652106084243</v>
      </c>
      <c r="H491" s="127" t="s">
        <v>1</v>
      </c>
    </row>
    <row r="492" spans="1:8" x14ac:dyDescent="0.2">
      <c r="A492" s="126" t="s">
        <v>624</v>
      </c>
      <c r="B492">
        <f>B490/G$312</f>
        <v>0.25436928520643531</v>
      </c>
      <c r="C492" t="s">
        <v>14</v>
      </c>
      <c r="D492" s="184"/>
      <c r="F492" s="141"/>
      <c r="H492" s="127"/>
    </row>
    <row r="493" spans="1:8" x14ac:dyDescent="0.2">
      <c r="A493" s="126" t="s">
        <v>625</v>
      </c>
      <c r="B493">
        <f>B491/G$312</f>
        <v>0.25436928520643531</v>
      </c>
      <c r="C493" t="s">
        <v>14</v>
      </c>
      <c r="D493" s="184"/>
      <c r="F493" s="141"/>
      <c r="H493" s="127"/>
    </row>
    <row r="494" spans="1:8" x14ac:dyDescent="0.2">
      <c r="A494" s="117"/>
      <c r="B494" s="118"/>
      <c r="C494" s="118"/>
      <c r="D494" s="118"/>
      <c r="E494" s="118"/>
      <c r="F494" s="118"/>
      <c r="G494" s="118"/>
      <c r="H494" s="120"/>
    </row>
    <row r="495" spans="1:8" x14ac:dyDescent="0.2">
      <c r="A495" s="126"/>
      <c r="H495" s="127"/>
    </row>
    <row r="496" spans="1:8" x14ac:dyDescent="0.2">
      <c r="A496" s="188" t="s">
        <v>745</v>
      </c>
      <c r="B496" s="110"/>
      <c r="C496" s="110"/>
      <c r="D496" s="110"/>
      <c r="E496" s="110"/>
      <c r="F496" s="110"/>
      <c r="G496" s="110"/>
      <c r="H496" s="112"/>
    </row>
    <row r="497" spans="1:8" x14ac:dyDescent="0.2">
      <c r="A497" s="126" t="s">
        <v>536</v>
      </c>
      <c r="B497">
        <f>Inputs!F$415</f>
        <v>18</v>
      </c>
      <c r="C497" t="s">
        <v>391</v>
      </c>
      <c r="E497" s="1608" t="s">
        <v>536</v>
      </c>
      <c r="F497" s="141">
        <f>Inputs!F860*G499</f>
        <v>631.68996000000004</v>
      </c>
      <c r="G497">
        <v>40</v>
      </c>
      <c r="H497" s="127" t="s">
        <v>817</v>
      </c>
    </row>
    <row r="498" spans="1:8" x14ac:dyDescent="0.2">
      <c r="A498" s="126" t="s">
        <v>583</v>
      </c>
      <c r="B498">
        <f>Inputs!F$439</f>
        <v>4</v>
      </c>
      <c r="C498" t="s">
        <v>763</v>
      </c>
      <c r="E498" s="1608"/>
      <c r="F498" s="101">
        <f>F497</f>
        <v>631.68996000000004</v>
      </c>
      <c r="G498">
        <f>G497*Units!C8</f>
        <v>1.1829399999999999</v>
      </c>
      <c r="H498" s="127" t="s">
        <v>818</v>
      </c>
    </row>
    <row r="499" spans="1:8" x14ac:dyDescent="0.2">
      <c r="A499" s="126"/>
      <c r="E499" s="1608"/>
      <c r="F499" s="101">
        <f>F498</f>
        <v>631.68996000000004</v>
      </c>
      <c r="G499">
        <f>G498*Units!C56</f>
        <v>70.976399999999998</v>
      </c>
      <c r="H499" s="127" t="s">
        <v>391</v>
      </c>
    </row>
    <row r="500" spans="1:8" x14ac:dyDescent="0.2">
      <c r="A500" s="117"/>
      <c r="B500" s="118"/>
      <c r="C500" s="118"/>
      <c r="D500" s="118"/>
      <c r="E500" s="183"/>
      <c r="F500" s="119"/>
      <c r="G500" s="118"/>
      <c r="H500" s="120"/>
    </row>
    <row r="501" spans="1:8" x14ac:dyDescent="0.2">
      <c r="A501" s="126"/>
      <c r="E501" s="103"/>
      <c r="F501" s="101"/>
      <c r="H501" s="127"/>
    </row>
    <row r="502" spans="1:8" x14ac:dyDescent="0.2">
      <c r="A502" s="188" t="s">
        <v>746</v>
      </c>
      <c r="B502" s="110"/>
      <c r="C502" s="110"/>
      <c r="D502" s="110"/>
      <c r="E502" s="192"/>
      <c r="F502" s="186"/>
      <c r="G502" s="110"/>
      <c r="H502" s="112"/>
    </row>
    <row r="503" spans="1:8" x14ac:dyDescent="0.2">
      <c r="A503" s="126" t="s">
        <v>381</v>
      </c>
      <c r="B503" s="100">
        <f ca="1">ExpBase!C887*Inputs!F413/Units!C$14</f>
        <v>57.712661383771334</v>
      </c>
      <c r="C503" t="s">
        <v>1</v>
      </c>
      <c r="D503" s="100">
        <f ca="1">IF(B503&gt;Inputs!F440,ROUNDUP(B503/Inputs!F440,0),1)</f>
        <v>58</v>
      </c>
      <c r="E503" s="1608" t="s">
        <v>530</v>
      </c>
      <c r="H503" s="127"/>
    </row>
    <row r="504" spans="1:8" x14ac:dyDescent="0.2">
      <c r="A504" s="126" t="s">
        <v>529</v>
      </c>
      <c r="B504" s="100">
        <f ca="1">((4*B503)/(1.2*Units!C$79))^(1/3)</f>
        <v>3.9415468070834048</v>
      </c>
      <c r="C504" t="s">
        <v>10</v>
      </c>
      <c r="E504" s="1608"/>
      <c r="F504" s="101">
        <f>Inputs!F$847</f>
        <v>188.34</v>
      </c>
      <c r="G504" s="104">
        <f>G289</f>
        <v>0.76454999999999995</v>
      </c>
      <c r="H504" s="127" t="s">
        <v>1</v>
      </c>
    </row>
    <row r="505" spans="1:8" x14ac:dyDescent="0.2">
      <c r="A505" s="126" t="s">
        <v>626</v>
      </c>
      <c r="B505" s="100">
        <f ca="1">B504/2</f>
        <v>1.9707734035417024</v>
      </c>
      <c r="C505" t="s">
        <v>10</v>
      </c>
      <c r="E505" s="1608"/>
      <c r="F505" s="101"/>
      <c r="G505" s="104"/>
      <c r="H505" s="127"/>
    </row>
    <row r="506" spans="1:8" x14ac:dyDescent="0.2">
      <c r="A506" s="126" t="s">
        <v>821</v>
      </c>
      <c r="B506" s="100">
        <f ca="1">B504*Inputs!F441</f>
        <v>4.7298561685000857</v>
      </c>
      <c r="C506" t="s">
        <v>10</v>
      </c>
      <c r="E506" s="1608"/>
      <c r="F506" s="101"/>
      <c r="H506" s="127"/>
    </row>
    <row r="507" spans="1:8" x14ac:dyDescent="0.2">
      <c r="A507" s="126" t="s">
        <v>731</v>
      </c>
      <c r="B507" s="100">
        <f ca="1">(2*B505*B506*Units!C$79)+(2*Units!C$79*CostCalc!B$505^2)</f>
        <v>82.972099664099488</v>
      </c>
      <c r="C507" t="s">
        <v>7</v>
      </c>
      <c r="F507" s="101"/>
      <c r="H507" s="127"/>
    </row>
    <row r="508" spans="1:8" x14ac:dyDescent="0.2">
      <c r="A508" s="126" t="s">
        <v>612</v>
      </c>
      <c r="B508">
        <f>0.5</f>
        <v>0.5</v>
      </c>
      <c r="C508" t="s">
        <v>10</v>
      </c>
      <c r="F508" s="101"/>
      <c r="H508" s="127"/>
    </row>
    <row r="509" spans="1:8" x14ac:dyDescent="0.2">
      <c r="A509" s="117" t="s">
        <v>747</v>
      </c>
      <c r="B509" s="168">
        <f ca="1">B507*B508</f>
        <v>41.486049832049744</v>
      </c>
      <c r="C509" s="118" t="s">
        <v>1</v>
      </c>
      <c r="D509" s="118"/>
      <c r="E509" s="118"/>
      <c r="F509" s="118"/>
      <c r="G509" s="118"/>
      <c r="H509" s="120"/>
    </row>
    <row r="510" spans="1:8" x14ac:dyDescent="0.2">
      <c r="A510" s="126"/>
      <c r="B510" s="100"/>
      <c r="H510" s="127"/>
    </row>
    <row r="511" spans="1:8" x14ac:dyDescent="0.2">
      <c r="A511" s="188" t="s">
        <v>748</v>
      </c>
      <c r="B511" s="110"/>
      <c r="C511" s="110"/>
      <c r="D511" s="110"/>
      <c r="E511" s="192"/>
      <c r="F511" s="186"/>
      <c r="G511" s="110"/>
      <c r="H511" s="112"/>
    </row>
    <row r="512" spans="1:8" x14ac:dyDescent="0.2">
      <c r="A512" s="126" t="s">
        <v>381</v>
      </c>
      <c r="B512" s="100">
        <f ca="1">ExpBase!C730*Inputs!F413</f>
        <v>288.56330691885671</v>
      </c>
      <c r="C512" t="s">
        <v>1</v>
      </c>
      <c r="D512">
        <f ca="1">IF(B512&gt;Inputs!F440,ROUNDUP(B512/Inputs!F440,0),1)</f>
        <v>289</v>
      </c>
      <c r="E512" s="76"/>
      <c r="F512" s="101"/>
      <c r="H512" s="127"/>
    </row>
    <row r="513" spans="1:8" x14ac:dyDescent="0.2">
      <c r="A513" s="126" t="s">
        <v>529</v>
      </c>
      <c r="B513" s="100">
        <f ca="1">((4*B512)/(Inputs!F$441*Units!C$79))^(1/3)</f>
        <v>6.7399502328129568</v>
      </c>
      <c r="C513" t="s">
        <v>10</v>
      </c>
      <c r="E513" s="76"/>
      <c r="F513" s="101"/>
      <c r="H513" s="127"/>
    </row>
    <row r="514" spans="1:8" x14ac:dyDescent="0.2">
      <c r="A514" s="126" t="s">
        <v>626</v>
      </c>
      <c r="B514" s="100">
        <f ca="1">B513/2</f>
        <v>3.3699751164064784</v>
      </c>
      <c r="C514" t="s">
        <v>10</v>
      </c>
      <c r="E514" s="76"/>
      <c r="F514" s="101"/>
      <c r="H514" s="127"/>
    </row>
    <row r="515" spans="1:8" x14ac:dyDescent="0.2">
      <c r="A515" s="126" t="s">
        <v>821</v>
      </c>
      <c r="B515" s="100">
        <f ca="1">B513*Inputs!F$441</f>
        <v>8.0879402793755482</v>
      </c>
      <c r="C515" t="s">
        <v>10</v>
      </c>
      <c r="E515" s="76"/>
      <c r="F515" s="101"/>
      <c r="H515" s="127"/>
    </row>
    <row r="516" spans="1:8" x14ac:dyDescent="0.2">
      <c r="A516" s="126" t="s">
        <v>731</v>
      </c>
      <c r="B516" s="100">
        <f ca="1">(2*B514*B515*Units!C$79)+(2*Units!C$79*CostCalc!B$505^2)</f>
        <v>195.65901133268292</v>
      </c>
      <c r="C516" t="s">
        <v>7</v>
      </c>
      <c r="E516" s="76"/>
      <c r="F516" s="101"/>
      <c r="H516" s="127"/>
    </row>
    <row r="517" spans="1:8" x14ac:dyDescent="0.2">
      <c r="A517" s="126" t="s">
        <v>612</v>
      </c>
      <c r="B517">
        <f>0.5</f>
        <v>0.5</v>
      </c>
      <c r="C517" t="s">
        <v>10</v>
      </c>
      <c r="E517" s="103"/>
      <c r="F517" s="101"/>
      <c r="H517" s="127"/>
    </row>
    <row r="518" spans="1:8" x14ac:dyDescent="0.2">
      <c r="A518" s="126" t="s">
        <v>747</v>
      </c>
      <c r="B518" s="100">
        <f ca="1">B516*B517</f>
        <v>97.829505666341461</v>
      </c>
      <c r="C518" t="s">
        <v>1</v>
      </c>
      <c r="F518" s="101"/>
      <c r="H518" s="127"/>
    </row>
    <row r="519" spans="1:8" x14ac:dyDescent="0.2">
      <c r="A519" s="117"/>
      <c r="B519" s="118"/>
      <c r="C519" s="118"/>
      <c r="D519" s="118"/>
      <c r="E519" s="118"/>
      <c r="F519" s="119"/>
      <c r="G519" s="118"/>
      <c r="H519" s="120"/>
    </row>
    <row r="520" spans="1:8" x14ac:dyDescent="0.2">
      <c r="A520" s="188" t="s">
        <v>828</v>
      </c>
      <c r="B520" s="110"/>
      <c r="C520" s="110"/>
      <c r="D520" s="110"/>
      <c r="E520" s="192"/>
      <c r="F520" s="186"/>
      <c r="G520" s="110"/>
      <c r="H520" s="112"/>
    </row>
    <row r="521" spans="1:8" x14ac:dyDescent="0.2">
      <c r="A521" s="126" t="s">
        <v>381</v>
      </c>
      <c r="B521" s="100">
        <f ca="1">ExpBase!E887*Inputs!F413</f>
        <v>57.712661383771334</v>
      </c>
      <c r="C521" t="s">
        <v>1</v>
      </c>
      <c r="D521" s="100">
        <f ca="1">IF(B530&gt;Inputs!F440,ROUNDUP(B530/Inputs!F440,0),1)</f>
        <v>58</v>
      </c>
      <c r="F521" s="101"/>
      <c r="H521" s="127"/>
    </row>
    <row r="522" spans="1:8" x14ac:dyDescent="0.2">
      <c r="A522" s="126" t="s">
        <v>529</v>
      </c>
      <c r="B522" s="100">
        <f ca="1">((4*B521)/(Inputs!F$441*Units!C$79))^(1/3)</f>
        <v>3.9415468070834048</v>
      </c>
      <c r="C522" t="s">
        <v>10</v>
      </c>
      <c r="D522" s="100"/>
      <c r="F522" s="101"/>
      <c r="H522" s="127"/>
    </row>
    <row r="523" spans="1:8" x14ac:dyDescent="0.2">
      <c r="A523" s="126" t="s">
        <v>626</v>
      </c>
      <c r="B523" s="100">
        <f ca="1">B522/2</f>
        <v>1.9707734035417024</v>
      </c>
      <c r="C523" t="s">
        <v>10</v>
      </c>
      <c r="F523" s="101"/>
      <c r="H523" s="127"/>
    </row>
    <row r="524" spans="1:8" x14ac:dyDescent="0.2">
      <c r="A524" s="126" t="s">
        <v>821</v>
      </c>
      <c r="B524" s="100">
        <f ca="1">B522*Inputs!F$441</f>
        <v>4.7298561685000857</v>
      </c>
      <c r="C524" t="s">
        <v>10</v>
      </c>
      <c r="F524" s="101"/>
      <c r="H524" s="127"/>
    </row>
    <row r="525" spans="1:8" x14ac:dyDescent="0.2">
      <c r="A525" s="126" t="s">
        <v>731</v>
      </c>
      <c r="B525" s="100">
        <f ca="1">(2*B523*B524*Units!C$79)+(2*Units!C$79*CostCalc!B$505^2)</f>
        <v>82.972099664099488</v>
      </c>
      <c r="C525" t="s">
        <v>7</v>
      </c>
      <c r="H525" s="127"/>
    </row>
    <row r="526" spans="1:8" x14ac:dyDescent="0.2">
      <c r="A526" s="126" t="s">
        <v>612</v>
      </c>
      <c r="B526">
        <f>0.5</f>
        <v>0.5</v>
      </c>
      <c r="C526" t="s">
        <v>10</v>
      </c>
      <c r="H526" s="127"/>
    </row>
    <row r="527" spans="1:8" x14ac:dyDescent="0.2">
      <c r="A527" s="126" t="s">
        <v>747</v>
      </c>
      <c r="B527" s="100">
        <f ca="1">B525*B526</f>
        <v>41.486049832049744</v>
      </c>
      <c r="C527" t="s">
        <v>1</v>
      </c>
      <c r="H527" s="127"/>
    </row>
    <row r="528" spans="1:8" x14ac:dyDescent="0.2">
      <c r="A528" s="117"/>
      <c r="B528" s="118"/>
      <c r="C528" s="118"/>
      <c r="D528" s="118"/>
      <c r="E528" s="118"/>
      <c r="F528" s="118"/>
      <c r="G528" s="118"/>
      <c r="H528" s="120"/>
    </row>
    <row r="529" spans="1:8" x14ac:dyDescent="0.2">
      <c r="A529" s="188" t="s">
        <v>829</v>
      </c>
      <c r="B529" s="110"/>
      <c r="C529" s="110"/>
      <c r="D529" s="110"/>
      <c r="E529" s="110"/>
      <c r="F529" s="110"/>
      <c r="G529" s="110"/>
      <c r="H529" s="112"/>
    </row>
    <row r="530" spans="1:8" x14ac:dyDescent="0.2">
      <c r="A530" s="126" t="s">
        <v>381</v>
      </c>
      <c r="B530" s="100">
        <f ca="1">ExpBase!E887*Inputs!F413</f>
        <v>57.712661383771334</v>
      </c>
      <c r="C530" t="s">
        <v>1</v>
      </c>
      <c r="D530">
        <f ca="1">IF(B530&gt;Inputs!F440,ROUNDUP(B530/Inputs!F440,0),1)</f>
        <v>58</v>
      </c>
      <c r="H530" s="127"/>
    </row>
    <row r="531" spans="1:8" x14ac:dyDescent="0.2">
      <c r="A531" s="126" t="s">
        <v>529</v>
      </c>
      <c r="B531" s="100">
        <f ca="1">((4*B530)/(Inputs!F$441*Units!C$79))^(1/3)</f>
        <v>3.9415468070834048</v>
      </c>
      <c r="C531" t="s">
        <v>10</v>
      </c>
      <c r="H531" s="127"/>
    </row>
    <row r="532" spans="1:8" x14ac:dyDescent="0.2">
      <c r="A532" s="126" t="s">
        <v>626</v>
      </c>
      <c r="B532" s="100">
        <f ca="1">B531/2</f>
        <v>1.9707734035417024</v>
      </c>
      <c r="C532" t="s">
        <v>10</v>
      </c>
      <c r="H532" s="127"/>
    </row>
    <row r="533" spans="1:8" x14ac:dyDescent="0.2">
      <c r="A533" s="126" t="s">
        <v>821</v>
      </c>
      <c r="B533" s="100">
        <f ca="1">B531*Inputs!F$441</f>
        <v>4.7298561685000857</v>
      </c>
      <c r="C533" t="s">
        <v>10</v>
      </c>
      <c r="H533" s="127"/>
    </row>
    <row r="534" spans="1:8" x14ac:dyDescent="0.2">
      <c r="A534" s="126" t="s">
        <v>731</v>
      </c>
      <c r="B534" s="100">
        <f ca="1">(2*B532*B533*Units!C$79)+(2*Units!C$79*CostCalc!B$505^2)</f>
        <v>82.972099664099488</v>
      </c>
      <c r="C534" t="s">
        <v>7</v>
      </c>
      <c r="H534" s="127"/>
    </row>
    <row r="535" spans="1:8" x14ac:dyDescent="0.2">
      <c r="A535" s="126" t="s">
        <v>612</v>
      </c>
      <c r="B535">
        <f>0.5</f>
        <v>0.5</v>
      </c>
      <c r="C535" t="s">
        <v>10</v>
      </c>
      <c r="H535" s="127"/>
    </row>
    <row r="536" spans="1:8" x14ac:dyDescent="0.2">
      <c r="A536" s="126" t="s">
        <v>747</v>
      </c>
      <c r="B536" s="100">
        <f ca="1">B534*B535</f>
        <v>41.486049832049744</v>
      </c>
      <c r="C536" t="s">
        <v>1</v>
      </c>
      <c r="H536" s="127"/>
    </row>
    <row r="537" spans="1:8" x14ac:dyDescent="0.2">
      <c r="A537" s="117"/>
      <c r="B537" s="118"/>
      <c r="C537" s="118"/>
      <c r="D537" s="118"/>
      <c r="E537" s="118"/>
      <c r="F537" s="118"/>
      <c r="G537" s="118"/>
      <c r="H537" s="120"/>
    </row>
    <row r="538" spans="1:8" x14ac:dyDescent="0.2">
      <c r="A538" s="117"/>
      <c r="B538" s="118"/>
      <c r="C538" s="118"/>
      <c r="D538" s="118"/>
      <c r="E538" s="118"/>
      <c r="F538" s="118"/>
      <c r="G538" s="118"/>
      <c r="H538" s="120"/>
    </row>
    <row r="540" spans="1:8" x14ac:dyDescent="0.2">
      <c r="A540" s="188" t="s">
        <v>565</v>
      </c>
      <c r="B540" s="110"/>
      <c r="C540" s="112"/>
    </row>
    <row r="541" spans="1:8" x14ac:dyDescent="0.2">
      <c r="A541" s="126" t="s">
        <v>2953</v>
      </c>
      <c r="B541" s="100">
        <f ca="1">Inputs!F417*Inputs!F418*B478/1000</f>
        <v>96.2</v>
      </c>
      <c r="C541" s="127" t="s">
        <v>545</v>
      </c>
    </row>
    <row r="542" spans="1:8" x14ac:dyDescent="0.2">
      <c r="A542" s="126" t="s">
        <v>2808</v>
      </c>
      <c r="B542" s="100">
        <f ca="1">((Units!C$15*Units!C$71*ExpBase!C887*B506/1000)/(Inputs!F$9*Units!C$70))*2</f>
        <v>0.3542144289485481</v>
      </c>
      <c r="C542" s="127" t="s">
        <v>545</v>
      </c>
    </row>
    <row r="543" spans="1:8" x14ac:dyDescent="0.2">
      <c r="A543" s="126" t="s">
        <v>2954</v>
      </c>
      <c r="B543" s="100">
        <f ca="1">((Units!C$15*Units!C$71*ExpBase!C887*B533/1000)/(Inputs!F$9*Units!C$70))*2</f>
        <v>0.3542144289485481</v>
      </c>
      <c r="C543" s="127" t="s">
        <v>545</v>
      </c>
    </row>
    <row r="544" spans="1:8" x14ac:dyDescent="0.2">
      <c r="A544" s="126" t="s">
        <v>2955</v>
      </c>
      <c r="B544" s="100">
        <f ca="1">((Units!C$15*Units!C$71*ExpBase!C887*B533/1000)/(Inputs!F$9*Units!C$70))*2</f>
        <v>0.3542144289485481</v>
      </c>
      <c r="C544" s="127" t="s">
        <v>545</v>
      </c>
    </row>
    <row r="545" spans="1:8" x14ac:dyDescent="0.2">
      <c r="A545" s="126" t="s">
        <v>2957</v>
      </c>
      <c r="B545" s="100">
        <f ca="1">((Units!C$15*Units!C$71*ExpBase!C887*B533/1000)/(Inputs!F$9*Units!C$70))*2</f>
        <v>0.3542144289485481</v>
      </c>
      <c r="C545" s="127" t="s">
        <v>545</v>
      </c>
    </row>
    <row r="546" spans="1:8" x14ac:dyDescent="0.2">
      <c r="A546" s="126" t="s">
        <v>2956</v>
      </c>
      <c r="B546" s="100">
        <f ca="1">B545</f>
        <v>0.3542144289485481</v>
      </c>
      <c r="C546" s="127" t="s">
        <v>545</v>
      </c>
    </row>
    <row r="547" spans="1:8" x14ac:dyDescent="0.2">
      <c r="A547" s="117" t="s">
        <v>1027</v>
      </c>
      <c r="B547" s="168">
        <f ca="1">((Units!C$15*Units!C$71*(ExpBase!C887*5)*B515/1000)/(Inputs!F$9*Units!C$70))*2</f>
        <v>3.028490767339195</v>
      </c>
      <c r="C547" s="120" t="s">
        <v>545</v>
      </c>
    </row>
    <row r="549" spans="1:8" x14ac:dyDescent="0.2">
      <c r="A549" s="109" t="s">
        <v>2958</v>
      </c>
      <c r="B549" s="160">
        <f ca="1">ExpBase!C887*5</f>
        <v>48093.884486476105</v>
      </c>
      <c r="C549" s="112" t="s">
        <v>391</v>
      </c>
    </row>
    <row r="550" spans="1:8" x14ac:dyDescent="0.2">
      <c r="A550" s="117"/>
      <c r="B550" s="168">
        <f ca="1">B549*Units!C46</f>
        <v>21815.015680155015</v>
      </c>
      <c r="C550" s="120" t="s">
        <v>2494</v>
      </c>
    </row>
    <row r="552" spans="1:8" ht="16" thickBot="1" x14ac:dyDescent="0.25"/>
    <row r="553" spans="1:8" ht="16" thickBot="1" x14ac:dyDescent="0.25">
      <c r="A553" s="1609" t="s">
        <v>908</v>
      </c>
      <c r="B553" s="1610"/>
      <c r="C553" s="1610"/>
      <c r="D553" s="1610"/>
      <c r="E553" s="1610"/>
      <c r="F553" s="1610"/>
      <c r="G553" s="1610"/>
      <c r="H553" s="1611"/>
    </row>
    <row r="554" spans="1:8" ht="16" thickBot="1" x14ac:dyDescent="0.25">
      <c r="A554" s="1612" t="s">
        <v>580</v>
      </c>
      <c r="B554" s="1614" t="s">
        <v>581</v>
      </c>
      <c r="C554" s="1615"/>
      <c r="D554" s="1615"/>
      <c r="E554" s="1616"/>
      <c r="F554" s="1614" t="s">
        <v>582</v>
      </c>
      <c r="G554" s="1615"/>
      <c r="H554" s="1616"/>
    </row>
    <row r="555" spans="1:8" ht="16" thickBot="1" x14ac:dyDescent="0.25">
      <c r="A555" s="1613"/>
      <c r="B555" s="64" t="s">
        <v>515</v>
      </c>
      <c r="C555" s="64" t="s">
        <v>372</v>
      </c>
      <c r="D555" s="64" t="s">
        <v>583</v>
      </c>
      <c r="E555" s="64" t="s">
        <v>517</v>
      </c>
      <c r="F555" s="64" t="s">
        <v>42</v>
      </c>
      <c r="G555" s="64" t="s">
        <v>515</v>
      </c>
      <c r="H555" s="64" t="s">
        <v>372</v>
      </c>
    </row>
    <row r="556" spans="1:8" x14ac:dyDescent="0.2">
      <c r="A556" s="6" t="s">
        <v>909</v>
      </c>
    </row>
    <row r="557" spans="1:8" x14ac:dyDescent="0.2">
      <c r="A557" s="109" t="s">
        <v>381</v>
      </c>
      <c r="B557" s="160">
        <f ca="1">(ExpBase!I900+(ExpBase!C967/1050))*Inputs!F459</f>
        <v>9.4336957714931984</v>
      </c>
      <c r="C557" s="110" t="s">
        <v>1</v>
      </c>
      <c r="D557" s="110">
        <f ca="1">IF(B557&gt;Inputs!F$468,ROUNDUP(B557/Inputs!F$468,0),1)</f>
        <v>1</v>
      </c>
      <c r="E557" s="1607" t="s">
        <v>530</v>
      </c>
      <c r="F557" s="111">
        <f>Inputs!F$847</f>
        <v>188.34</v>
      </c>
      <c r="G557" s="110">
        <v>1</v>
      </c>
      <c r="H557" s="112" t="s">
        <v>13</v>
      </c>
    </row>
    <row r="558" spans="1:8" x14ac:dyDescent="0.2">
      <c r="A558" s="126"/>
      <c r="B558" s="100">
        <f ca="1">B557*Units!C$15</f>
        <v>9433.6957714931978</v>
      </c>
      <c r="C558" t="s">
        <v>15</v>
      </c>
      <c r="D558">
        <f ca="1">ROUNDUP(D557*2,0)</f>
        <v>2</v>
      </c>
      <c r="E558" s="1608"/>
      <c r="F558" s="101">
        <f>F557</f>
        <v>188.34</v>
      </c>
      <c r="G558" s="104">
        <f>G557*Units!C$6</f>
        <v>0.76454999999999995</v>
      </c>
      <c r="H558" s="127" t="s">
        <v>1</v>
      </c>
    </row>
    <row r="559" spans="1:8" x14ac:dyDescent="0.2">
      <c r="A559" s="126" t="s">
        <v>529</v>
      </c>
      <c r="B559" s="100">
        <f ca="1">((4*B557)/(Inputs!F$469*Units!C$79))^(1/3)</f>
        <v>2.1551141405165444</v>
      </c>
      <c r="C559" t="s">
        <v>10</v>
      </c>
      <c r="H559" s="127"/>
    </row>
    <row r="560" spans="1:8" x14ac:dyDescent="0.2">
      <c r="A560" s="126" t="s">
        <v>626</v>
      </c>
      <c r="B560" s="100">
        <f ca="1">B559/2</f>
        <v>1.0775570702582722</v>
      </c>
      <c r="C560" t="s">
        <v>10</v>
      </c>
      <c r="E560" s="1608" t="s">
        <v>528</v>
      </c>
      <c r="F560" s="141">
        <f>Inputs!F$848</f>
        <v>8.35</v>
      </c>
      <c r="G560">
        <v>1</v>
      </c>
      <c r="H560" s="127" t="s">
        <v>608</v>
      </c>
    </row>
    <row r="561" spans="1:8" x14ac:dyDescent="0.2">
      <c r="A561" s="126" t="s">
        <v>609</v>
      </c>
      <c r="B561" s="100">
        <f ca="1">(B559*Inputs!F$469)-(B559/9)+(B559/6)</f>
        <v>2.7058655319818832</v>
      </c>
      <c r="C561" t="s">
        <v>10</v>
      </c>
      <c r="E561" s="1608"/>
      <c r="F561" s="141">
        <f>F560</f>
        <v>8.35</v>
      </c>
      <c r="G561">
        <f>G560*Units!C$42^2</f>
        <v>9.2903040000000006E-2</v>
      </c>
      <c r="H561" s="127" t="s">
        <v>7</v>
      </c>
    </row>
    <row r="562" spans="1:8" x14ac:dyDescent="0.2">
      <c r="A562" s="126" t="s">
        <v>610</v>
      </c>
      <c r="B562">
        <f ca="1">B561/6</f>
        <v>0.45097758866364718</v>
      </c>
      <c r="C562" t="s">
        <v>10</v>
      </c>
      <c r="H562" s="127"/>
    </row>
    <row r="563" spans="1:8" x14ac:dyDescent="0.2">
      <c r="A563" s="126" t="s">
        <v>614</v>
      </c>
      <c r="B563">
        <f ca="1">B559/(B561+B562)</f>
        <v>0.68268015170670049</v>
      </c>
      <c r="H563" s="127"/>
    </row>
    <row r="564" spans="1:8" x14ac:dyDescent="0.2">
      <c r="A564" s="126" t="s">
        <v>628</v>
      </c>
      <c r="B564" s="100">
        <f ca="1">B559</f>
        <v>2.1551141405165444</v>
      </c>
      <c r="C564" t="s">
        <v>10</v>
      </c>
      <c r="H564" s="127"/>
    </row>
    <row r="565" spans="1:8" x14ac:dyDescent="0.2">
      <c r="A565" s="126" t="s">
        <v>627</v>
      </c>
      <c r="B565">
        <f ca="1">B561+B562</f>
        <v>3.1568431206455303</v>
      </c>
      <c r="C565" t="s">
        <v>10</v>
      </c>
      <c r="E565" s="103"/>
      <c r="F565" s="141"/>
      <c r="H565" s="127"/>
    </row>
    <row r="566" spans="1:8" x14ac:dyDescent="0.2">
      <c r="A566" s="126" t="s">
        <v>615</v>
      </c>
      <c r="B566" s="100">
        <f ca="1">2*Units!C$79*(B564/2)*B565+(2*Units!C$79*(B564/2)^2)</f>
        <v>28.668961366230413</v>
      </c>
      <c r="C566" t="s">
        <v>7</v>
      </c>
      <c r="H566" s="127"/>
    </row>
    <row r="567" spans="1:8" x14ac:dyDescent="0.2">
      <c r="A567" s="117" t="s">
        <v>612</v>
      </c>
      <c r="B567" s="118">
        <v>0.5</v>
      </c>
      <c r="C567" s="118" t="s">
        <v>10</v>
      </c>
      <c r="D567" s="118"/>
      <c r="E567" s="118"/>
      <c r="F567" s="118"/>
      <c r="G567" s="118"/>
      <c r="H567" s="120"/>
    </row>
    <row r="569" spans="1:8" x14ac:dyDescent="0.2">
      <c r="A569" s="188" t="s">
        <v>629</v>
      </c>
      <c r="B569" s="110">
        <f>Inputs!F$467</f>
        <v>100</v>
      </c>
      <c r="C569" s="110" t="s">
        <v>281</v>
      </c>
      <c r="D569" s="173">
        <f ca="1">D558</f>
        <v>2</v>
      </c>
      <c r="E569" s="1607" t="s">
        <v>611</v>
      </c>
      <c r="F569" s="111">
        <f>Inputs!F$849</f>
        <v>600</v>
      </c>
      <c r="G569" s="110">
        <v>1</v>
      </c>
      <c r="H569" s="112" t="s">
        <v>11</v>
      </c>
    </row>
    <row r="570" spans="1:8" x14ac:dyDescent="0.2">
      <c r="A570" s="126"/>
      <c r="B570" s="201">
        <f ca="1">B569*0.27*((B557/Inputs!F$466*Units!C$55)/83)</f>
        <v>0.15343963001826286</v>
      </c>
      <c r="C570" t="s">
        <v>545</v>
      </c>
      <c r="D570" s="6"/>
      <c r="E570" s="1608"/>
      <c r="F570" s="101">
        <f>F569</f>
        <v>600</v>
      </c>
      <c r="H570" s="127"/>
    </row>
    <row r="571" spans="1:8" x14ac:dyDescent="0.2">
      <c r="A571" s="126"/>
      <c r="B571" s="242">
        <f ca="1">B570*1000/Units!C$65</f>
        <v>0.20576589783862523</v>
      </c>
      <c r="C571" t="s">
        <v>11</v>
      </c>
      <c r="D571" s="6"/>
      <c r="E571" s="180"/>
      <c r="F571" s="181"/>
      <c r="G571" s="6"/>
      <c r="H571" s="182"/>
    </row>
    <row r="572" spans="1:8" x14ac:dyDescent="0.2">
      <c r="A572" s="126"/>
      <c r="D572" s="6"/>
      <c r="E572" s="180"/>
      <c r="F572" s="181"/>
      <c r="G572" s="6"/>
      <c r="H572" s="182"/>
    </row>
    <row r="573" spans="1:8" x14ac:dyDescent="0.2">
      <c r="A573" s="117"/>
      <c r="B573" s="118"/>
      <c r="C573" s="118"/>
      <c r="D573" s="118"/>
      <c r="E573" s="183"/>
      <c r="F573" s="119"/>
      <c r="G573" s="118"/>
      <c r="H573" s="120"/>
    </row>
    <row r="575" spans="1:8" x14ac:dyDescent="0.2">
      <c r="A575" s="188" t="s">
        <v>2966</v>
      </c>
      <c r="B575" s="845">
        <f ca="1">CAPEX!B294*Units!C67*(ExpBase!C932-ExpBase!C933)</f>
        <v>295362.97170521168</v>
      </c>
      <c r="C575" s="112" t="s">
        <v>2883</v>
      </c>
    </row>
    <row r="576" spans="1:8" x14ac:dyDescent="0.2">
      <c r="A576" s="126"/>
      <c r="B576">
        <f ca="1">B575/(Units!C$84*Units!C$64*Units!C$85)</f>
        <v>2.7994898082119658E-4</v>
      </c>
      <c r="C576" s="127" t="s">
        <v>999</v>
      </c>
    </row>
    <row r="577" spans="1:8" x14ac:dyDescent="0.2">
      <c r="A577" s="117"/>
      <c r="B577" s="168">
        <f ca="1">B575/Units!C$70</f>
        <v>8.2045269918114352E-2</v>
      </c>
      <c r="C577" s="120" t="s">
        <v>2967</v>
      </c>
    </row>
    <row r="579" spans="1:8" x14ac:dyDescent="0.2">
      <c r="A579" s="188" t="s">
        <v>2968</v>
      </c>
      <c r="B579" s="160">
        <f ca="1">ExpBase!D968*0.5</f>
        <v>4808.5627608711311</v>
      </c>
      <c r="C579" s="112" t="s">
        <v>267</v>
      </c>
    </row>
    <row r="580" spans="1:8" x14ac:dyDescent="0.2">
      <c r="A580" s="117"/>
      <c r="B580" s="168">
        <f ca="1">B579*Units!C46</f>
        <v>2181.1270423978863</v>
      </c>
      <c r="C580" s="120" t="s">
        <v>2494</v>
      </c>
    </row>
    <row r="582" spans="1:8" x14ac:dyDescent="0.2">
      <c r="A582" s="188" t="s">
        <v>565</v>
      </c>
      <c r="B582" s="110"/>
      <c r="C582" s="112"/>
    </row>
    <row r="583" spans="1:8" x14ac:dyDescent="0.2">
      <c r="A583" s="126" t="s">
        <v>1027</v>
      </c>
      <c r="B583" s="100">
        <f ca="1">((Units!C$15*Units!C$71*SUM(ExpBase!C968:C995)*B561/1000)/(Inputs!F$9*Units!C$70))*2</f>
        <v>0.22574186403413449</v>
      </c>
      <c r="C583" s="127" t="s">
        <v>545</v>
      </c>
    </row>
    <row r="584" spans="1:8" x14ac:dyDescent="0.2">
      <c r="A584" s="126" t="s">
        <v>2969</v>
      </c>
      <c r="B584" s="100">
        <f ca="1">((Units!C$15*Units!C$71*SUM(ExpBase!E967:E984)*B$561/1000)/(Inputs!F$9*Units!C$70))*2</f>
        <v>3.8915039965855325E-2</v>
      </c>
      <c r="C584" s="127" t="s">
        <v>545</v>
      </c>
    </row>
    <row r="585" spans="1:8" x14ac:dyDescent="0.2">
      <c r="A585" s="117" t="s">
        <v>2970</v>
      </c>
      <c r="B585" s="168">
        <f ca="1">((Units!C$15*Units!C$71*SUM(ExpBase!G967:G984)*B$561/1000)/(Inputs!F$9*Units!C$70))*2</f>
        <v>2.0087679841320469E-2</v>
      </c>
      <c r="C585" s="120" t="s">
        <v>545</v>
      </c>
    </row>
    <row r="589" spans="1:8" ht="16" thickBot="1" x14ac:dyDescent="0.25"/>
    <row r="590" spans="1:8" ht="16" thickBot="1" x14ac:dyDescent="0.25">
      <c r="A590" s="1645" t="s">
        <v>2965</v>
      </c>
      <c r="B590" s="1646"/>
      <c r="C590" s="1646"/>
      <c r="D590" s="1646"/>
      <c r="E590" s="1646"/>
      <c r="F590" s="1646"/>
      <c r="G590" s="1646"/>
      <c r="H590" s="1647"/>
    </row>
    <row r="591" spans="1:8" ht="16" thickBot="1" x14ac:dyDescent="0.25">
      <c r="A591" s="1612" t="s">
        <v>580</v>
      </c>
      <c r="B591" s="1614" t="s">
        <v>581</v>
      </c>
      <c r="C591" s="1615"/>
      <c r="D591" s="1615"/>
      <c r="E591" s="1616"/>
      <c r="F591" s="1614" t="s">
        <v>582</v>
      </c>
      <c r="G591" s="1615"/>
      <c r="H591" s="1616"/>
    </row>
    <row r="592" spans="1:8" ht="16" thickBot="1" x14ac:dyDescent="0.25">
      <c r="A592" s="1613"/>
      <c r="B592" s="64" t="s">
        <v>515</v>
      </c>
      <c r="C592" s="64" t="s">
        <v>372</v>
      </c>
      <c r="D592" s="64" t="s">
        <v>583</v>
      </c>
      <c r="E592" s="64" t="s">
        <v>517</v>
      </c>
      <c r="F592" s="64" t="s">
        <v>42</v>
      </c>
      <c r="G592" s="64" t="s">
        <v>515</v>
      </c>
      <c r="H592" s="64" t="s">
        <v>372</v>
      </c>
    </row>
    <row r="594" spans="1:3" x14ac:dyDescent="0.2">
      <c r="A594" s="188" t="s">
        <v>1027</v>
      </c>
      <c r="B594" s="160">
        <f ca="1">ExpBase!C1000</f>
        <v>950.78684940764629</v>
      </c>
      <c r="C594" s="112" t="s">
        <v>267</v>
      </c>
    </row>
    <row r="595" spans="1:3" x14ac:dyDescent="0.2">
      <c r="A595" s="126"/>
      <c r="B595" s="100">
        <f ca="1">B594*Units!C3/Units!C56</f>
        <v>59.978803750132357</v>
      </c>
      <c r="C595" s="127" t="s">
        <v>738</v>
      </c>
    </row>
    <row r="596" spans="1:3" x14ac:dyDescent="0.2">
      <c r="A596" s="176" t="s">
        <v>1090</v>
      </c>
      <c r="B596" s="168">
        <f ca="1">ExpBase!E1071</f>
        <v>950.78684940764629</v>
      </c>
      <c r="C596" s="120" t="s">
        <v>267</v>
      </c>
    </row>
    <row r="598" spans="1:3" x14ac:dyDescent="0.2">
      <c r="A598" s="188" t="s">
        <v>2437</v>
      </c>
      <c r="B598" s="845">
        <f ca="1">B$594*Units!C$67*(Inputs!F801-ExpBase!C933)</f>
        <v>1034798.3754213059</v>
      </c>
      <c r="C598" s="112" t="s">
        <v>2883</v>
      </c>
    </row>
    <row r="599" spans="1:3" x14ac:dyDescent="0.2">
      <c r="A599" s="126"/>
      <c r="B599">
        <f ca="1">B598/(Units!C$84*Units!C$64*Units!C$85)</f>
        <v>9.8079576083000557E-4</v>
      </c>
      <c r="C599" s="127" t="s">
        <v>999</v>
      </c>
    </row>
    <row r="600" spans="1:3" x14ac:dyDescent="0.2">
      <c r="A600" s="117"/>
      <c r="B600" s="168">
        <f ca="1">B598/Units!C$70</f>
        <v>0.28744399317258496</v>
      </c>
      <c r="C600" s="120" t="s">
        <v>2967</v>
      </c>
    </row>
    <row r="602" spans="1:3" x14ac:dyDescent="0.2">
      <c r="A602" s="188" t="s">
        <v>1568</v>
      </c>
      <c r="B602" s="110"/>
      <c r="C602" s="112"/>
    </row>
    <row r="603" spans="1:3" x14ac:dyDescent="0.2">
      <c r="A603" s="126" t="s">
        <v>2971</v>
      </c>
      <c r="B603">
        <f>Inputs!F803</f>
        <v>0.08</v>
      </c>
      <c r="C603" s="127" t="s">
        <v>2972</v>
      </c>
    </row>
    <row r="604" spans="1:3" x14ac:dyDescent="0.2">
      <c r="A604" s="126"/>
      <c r="B604" s="846">
        <f ca="1">B603*(B594*Inputs!F797)/(1000*1000)</f>
        <v>5.8568469923511008E-4</v>
      </c>
      <c r="C604" s="127" t="s">
        <v>15</v>
      </c>
    </row>
    <row r="605" spans="1:3" x14ac:dyDescent="0.2">
      <c r="A605" s="117"/>
      <c r="B605" s="848">
        <f ca="1">B604/Inputs!F804</f>
        <v>1.9522823307837004E-4</v>
      </c>
      <c r="C605" s="120" t="s">
        <v>566</v>
      </c>
    </row>
    <row r="607" spans="1:3" x14ac:dyDescent="0.2">
      <c r="A607" s="188" t="s">
        <v>2968</v>
      </c>
      <c r="B607" s="160">
        <f ca="1">ExpBase!E1091</f>
        <v>95.44286009601079</v>
      </c>
      <c r="C607" s="112" t="s">
        <v>267</v>
      </c>
    </row>
    <row r="608" spans="1:3" x14ac:dyDescent="0.2">
      <c r="A608" s="117"/>
      <c r="B608" s="168">
        <f ca="1">B607*Units!C46</f>
        <v>43.292146429527754</v>
      </c>
      <c r="C608" s="120" t="s">
        <v>2494</v>
      </c>
    </row>
    <row r="610" spans="1:8" x14ac:dyDescent="0.2">
      <c r="A610" s="188" t="s">
        <v>2437</v>
      </c>
      <c r="B610" s="845">
        <f ca="1">B$594*Units!C$67*(500-Inputs!F801)</f>
        <v>835798.68784028548</v>
      </c>
      <c r="C610" s="112" t="s">
        <v>2883</v>
      </c>
    </row>
    <row r="611" spans="1:8" x14ac:dyDescent="0.2">
      <c r="A611" s="126"/>
      <c r="B611">
        <f ca="1">B610/(Units!C$84*Units!C$64*Units!C$85)</f>
        <v>7.9218119143961989E-4</v>
      </c>
      <c r="C611" s="127" t="s">
        <v>999</v>
      </c>
    </row>
    <row r="612" spans="1:8" x14ac:dyDescent="0.2">
      <c r="A612" s="117"/>
      <c r="B612" s="168">
        <f ca="1">B610/Units!C$70</f>
        <v>0.23216630217785708</v>
      </c>
      <c r="C612" s="120" t="s">
        <v>2967</v>
      </c>
    </row>
    <row r="614" spans="1:8" x14ac:dyDescent="0.2">
      <c r="A614" s="188" t="s">
        <v>565</v>
      </c>
      <c r="B614" s="110"/>
      <c r="C614" s="112"/>
    </row>
    <row r="615" spans="1:8" x14ac:dyDescent="0.2">
      <c r="A615" s="126" t="s">
        <v>1027</v>
      </c>
      <c r="B615" s="100">
        <f ca="1">((Units!C$15*Units!C$71*B594*1/1000)/(Inputs!F$9*Units!C$70))*2</f>
        <v>7.4025547561023886E-3</v>
      </c>
      <c r="C615" s="127" t="s">
        <v>545</v>
      </c>
    </row>
    <row r="616" spans="1:8" x14ac:dyDescent="0.2">
      <c r="A616" s="126" t="s">
        <v>2973</v>
      </c>
      <c r="B616" s="100">
        <f ca="1">((Units!C$15*Units!C$71*B607*1/1000)/(Inputs!F$9*Units!C$70))*2</f>
        <v>7.4309083931894113E-4</v>
      </c>
      <c r="C616" s="127" t="s">
        <v>545</v>
      </c>
    </row>
    <row r="617" spans="1:8" x14ac:dyDescent="0.2">
      <c r="A617" s="117" t="s">
        <v>2934</v>
      </c>
      <c r="B617" s="168">
        <f>CAPEX!B314*Units!C64*Units!C84/Units!C70</f>
        <v>0.56445710000000004</v>
      </c>
      <c r="C617" s="120" t="s">
        <v>2967</v>
      </c>
    </row>
    <row r="619" spans="1:8" ht="16" thickBot="1" x14ac:dyDescent="0.25"/>
    <row r="620" spans="1:8" ht="16" thickBot="1" x14ac:dyDescent="0.25">
      <c r="A620" s="1641" t="s">
        <v>1003</v>
      </c>
      <c r="B620" s="1641"/>
      <c r="C620" s="1641"/>
      <c r="D620" s="1641"/>
      <c r="E620" s="1641"/>
      <c r="F620" s="1641"/>
      <c r="G620" s="1641"/>
      <c r="H620" s="1641"/>
    </row>
    <row r="621" spans="1:8" ht="16" thickBot="1" x14ac:dyDescent="0.25">
      <c r="A621" s="1612" t="s">
        <v>580</v>
      </c>
      <c r="B621" s="1619" t="s">
        <v>581</v>
      </c>
      <c r="C621" s="1619"/>
      <c r="D621" s="1619"/>
      <c r="E621" s="1619"/>
      <c r="F621" s="1619" t="s">
        <v>582</v>
      </c>
      <c r="G621" s="1619"/>
      <c r="H621" s="1619"/>
    </row>
    <row r="622" spans="1:8" ht="16" thickBot="1" x14ac:dyDescent="0.25">
      <c r="A622" s="1613"/>
      <c r="B622" s="64" t="s">
        <v>515</v>
      </c>
      <c r="C622" s="64" t="s">
        <v>372</v>
      </c>
      <c r="D622" s="64" t="s">
        <v>583</v>
      </c>
      <c r="E622" s="64" t="s">
        <v>517</v>
      </c>
      <c r="F622" s="64" t="s">
        <v>42</v>
      </c>
      <c r="G622" s="64" t="s">
        <v>515</v>
      </c>
      <c r="H622" s="64" t="s">
        <v>372</v>
      </c>
    </row>
    <row r="623" spans="1:8" x14ac:dyDescent="0.2">
      <c r="A623" s="6" t="s">
        <v>1002</v>
      </c>
    </row>
    <row r="624" spans="1:8" x14ac:dyDescent="0.2">
      <c r="A624" s="109" t="s">
        <v>1240</v>
      </c>
      <c r="B624" s="160">
        <f ca="1">B795/Inputs!F$819</f>
        <v>99226.746231854719</v>
      </c>
      <c r="C624" s="110" t="s">
        <v>15</v>
      </c>
      <c r="D624" s="110"/>
      <c r="E624" s="110"/>
      <c r="F624" s="110"/>
      <c r="G624" s="110"/>
      <c r="H624" s="112"/>
    </row>
    <row r="625" spans="1:8" x14ac:dyDescent="0.2">
      <c r="A625" s="126" t="s">
        <v>1241</v>
      </c>
      <c r="B625" s="100">
        <f ca="1">B624*(Units!A$28/Units!C$28)</f>
        <v>2674.5753701308549</v>
      </c>
      <c r="C625" t="s">
        <v>1</v>
      </c>
      <c r="H625" s="127"/>
    </row>
    <row r="626" spans="1:8" x14ac:dyDescent="0.2">
      <c r="A626" s="126" t="s">
        <v>1244</v>
      </c>
      <c r="B626" s="100">
        <f ca="1">B788</f>
        <v>297.68023869556413</v>
      </c>
      <c r="C626" t="s">
        <v>444</v>
      </c>
      <c r="H626" s="127"/>
    </row>
    <row r="627" spans="1:8" x14ac:dyDescent="0.2">
      <c r="A627" s="126" t="s">
        <v>1245</v>
      </c>
      <c r="B627">
        <f ca="1">B625/B626</f>
        <v>8.9847259658580416</v>
      </c>
      <c r="C627" t="s">
        <v>1125</v>
      </c>
      <c r="H627" s="127"/>
    </row>
    <row r="628" spans="1:8" x14ac:dyDescent="0.2">
      <c r="A628" s="126" t="s">
        <v>1246</v>
      </c>
      <c r="B628">
        <f ca="1">1/B627</f>
        <v>0.1113</v>
      </c>
      <c r="C628" t="s">
        <v>23</v>
      </c>
      <c r="H628" s="127"/>
    </row>
    <row r="629" spans="1:8" x14ac:dyDescent="0.2">
      <c r="A629" s="175"/>
      <c r="H629" s="127"/>
    </row>
    <row r="630" spans="1:8" x14ac:dyDescent="0.2">
      <c r="A630" s="176"/>
      <c r="B630" s="118"/>
      <c r="C630" s="118"/>
      <c r="D630" s="118"/>
      <c r="E630" s="118"/>
      <c r="F630" s="118"/>
      <c r="G630" s="118"/>
      <c r="H630" s="120"/>
    </row>
    <row r="631" spans="1:8" x14ac:dyDescent="0.2">
      <c r="A631" s="109" t="s">
        <v>381</v>
      </c>
      <c r="B631" s="160">
        <f ca="1">B626*B628</f>
        <v>33.131810566816284</v>
      </c>
      <c r="C631" s="110" t="s">
        <v>1</v>
      </c>
      <c r="D631" s="110">
        <f ca="1">IF(B631&gt;Inputs!F$583,ROUNDUP(B631/Inputs!F$583,0),1)</f>
        <v>2</v>
      </c>
      <c r="E631" s="220"/>
      <c r="F631" s="111"/>
      <c r="G631" s="110"/>
      <c r="H631" s="112"/>
    </row>
    <row r="632" spans="1:8" x14ac:dyDescent="0.2">
      <c r="A632" s="126"/>
      <c r="B632" s="100">
        <f ca="1">B631*Units!C$15</f>
        <v>33131.810566816283</v>
      </c>
      <c r="C632" t="s">
        <v>15</v>
      </c>
      <c r="D632">
        <f ca="1">ROUNDUP(D631*2,0)</f>
        <v>4</v>
      </c>
      <c r="E632" s="76"/>
      <c r="F632" s="101"/>
      <c r="G632" s="104"/>
      <c r="H632" s="127"/>
    </row>
    <row r="633" spans="1:8" x14ac:dyDescent="0.2">
      <c r="A633" s="126"/>
      <c r="B633" s="100">
        <f ca="1">B632/B628</f>
        <v>297680.2386955641</v>
      </c>
      <c r="C633" t="s">
        <v>267</v>
      </c>
      <c r="E633" s="76"/>
      <c r="F633" s="101"/>
      <c r="G633" s="104"/>
      <c r="H633" s="127"/>
    </row>
    <row r="634" spans="1:8" x14ac:dyDescent="0.2">
      <c r="A634" s="126" t="s">
        <v>529</v>
      </c>
      <c r="B634" s="100">
        <f ca="1">((4*B631)/(Inputs!F$721*Units!C$79))^(1/3)</f>
        <v>3.2758553063578955</v>
      </c>
      <c r="C634" t="s">
        <v>10</v>
      </c>
      <c r="E634" s="76"/>
      <c r="F634" s="154"/>
      <c r="H634" s="127"/>
    </row>
    <row r="635" spans="1:8" x14ac:dyDescent="0.2">
      <c r="A635" s="126" t="s">
        <v>626</v>
      </c>
      <c r="B635" s="100">
        <f ca="1">B634/2</f>
        <v>1.6379276531789477</v>
      </c>
      <c r="C635" t="s">
        <v>10</v>
      </c>
      <c r="E635" s="76"/>
      <c r="F635" s="154"/>
      <c r="H635" s="127"/>
    </row>
    <row r="636" spans="1:8" x14ac:dyDescent="0.2">
      <c r="A636" s="126" t="s">
        <v>609</v>
      </c>
      <c r="B636" s="100">
        <f ca="1">(B634*Inputs!F$721)-(B634/9)+(B634/6)</f>
        <v>4.1130183290938023</v>
      </c>
      <c r="C636" t="s">
        <v>10</v>
      </c>
      <c r="E636" s="76"/>
      <c r="F636" s="141"/>
      <c r="H636" s="127"/>
    </row>
    <row r="637" spans="1:8" x14ac:dyDescent="0.2">
      <c r="A637" s="126" t="s">
        <v>610</v>
      </c>
      <c r="B637">
        <f ca="1">B636/6</f>
        <v>0.68550305484896701</v>
      </c>
      <c r="C637" t="s">
        <v>10</v>
      </c>
      <c r="H637" s="127"/>
    </row>
    <row r="638" spans="1:8" x14ac:dyDescent="0.2">
      <c r="A638" s="126" t="s">
        <v>614</v>
      </c>
      <c r="B638">
        <f ca="1">B634/(B636+B637)</f>
        <v>0.68268015170670038</v>
      </c>
      <c r="H638" s="127"/>
    </row>
    <row r="639" spans="1:8" x14ac:dyDescent="0.2">
      <c r="A639" s="126" t="s">
        <v>628</v>
      </c>
      <c r="B639" s="100">
        <f ca="1">B634</f>
        <v>3.2758553063578955</v>
      </c>
      <c r="C639" t="s">
        <v>10</v>
      </c>
      <c r="H639" s="127"/>
    </row>
    <row r="640" spans="1:8" x14ac:dyDescent="0.2">
      <c r="A640" s="126" t="s">
        <v>627</v>
      </c>
      <c r="B640">
        <f ca="1">B636+B637</f>
        <v>4.7985213839427692</v>
      </c>
      <c r="C640" t="s">
        <v>10</v>
      </c>
      <c r="E640" s="103"/>
      <c r="F640" s="141"/>
      <c r="H640" s="127"/>
    </row>
    <row r="641" spans="1:8" x14ac:dyDescent="0.2">
      <c r="A641" s="126" t="s">
        <v>615</v>
      </c>
      <c r="B641" s="100">
        <f ca="1">2*Units!C$79*(B639/2)*B640+(2*Units!C$79*(B639/2)^2)</f>
        <v>66.240076921767979</v>
      </c>
      <c r="C641" t="s">
        <v>7</v>
      </c>
      <c r="H641" s="127"/>
    </row>
    <row r="642" spans="1:8" x14ac:dyDescent="0.2">
      <c r="A642" s="126" t="s">
        <v>612</v>
      </c>
      <c r="B642">
        <v>0.5</v>
      </c>
      <c r="C642" t="s">
        <v>10</v>
      </c>
      <c r="H642" s="127"/>
    </row>
    <row r="643" spans="1:8" x14ac:dyDescent="0.2">
      <c r="H643" s="127"/>
    </row>
    <row r="644" spans="1:8" x14ac:dyDescent="0.2">
      <c r="A644" s="109" t="s">
        <v>1015</v>
      </c>
      <c r="B644" s="160">
        <f ca="1">B632*Inputs!F754</f>
        <v>165659.05283408141</v>
      </c>
      <c r="C644" s="110" t="s">
        <v>267</v>
      </c>
      <c r="D644" s="173"/>
      <c r="E644" s="220"/>
      <c r="F644" s="174"/>
      <c r="G644" s="110"/>
      <c r="H644" s="112"/>
    </row>
    <row r="645" spans="1:8" x14ac:dyDescent="0.2">
      <c r="A645" s="126" t="s">
        <v>1232</v>
      </c>
      <c r="B645" s="100">
        <f ca="1">B644*Units!C13</f>
        <v>165659.05283408141</v>
      </c>
      <c r="C645" t="s">
        <v>391</v>
      </c>
      <c r="D645" s="184"/>
      <c r="E645" s="76"/>
      <c r="F645" s="219"/>
      <c r="H645" s="127"/>
    </row>
    <row r="646" spans="1:8" x14ac:dyDescent="0.2">
      <c r="A646" s="126"/>
      <c r="B646" s="100"/>
      <c r="D646" s="184"/>
      <c r="E646" s="76"/>
      <c r="F646" s="219"/>
      <c r="H646" s="127"/>
    </row>
    <row r="647" spans="1:8" x14ac:dyDescent="0.2">
      <c r="A647" s="117"/>
      <c r="B647" s="168"/>
      <c r="C647" s="118"/>
      <c r="D647" s="249"/>
      <c r="E647" s="248"/>
      <c r="F647" s="250"/>
      <c r="G647" s="118"/>
      <c r="H647" s="120"/>
    </row>
    <row r="648" spans="1:8" x14ac:dyDescent="0.2">
      <c r="A648" s="109" t="s">
        <v>1233</v>
      </c>
      <c r="B648" s="160">
        <f ca="1">B644*Units!C67*ABS(Inputs!F758-Inputs!F746)</f>
        <v>153252183.73112571</v>
      </c>
      <c r="C648" s="110" t="s">
        <v>1017</v>
      </c>
      <c r="D648" s="173"/>
      <c r="E648" s="220"/>
      <c r="F648" s="174"/>
      <c r="G648" s="110"/>
      <c r="H648" s="112"/>
    </row>
    <row r="649" spans="1:8" x14ac:dyDescent="0.2">
      <c r="A649" s="126"/>
      <c r="B649" s="100">
        <f ca="1">B648/(Units!C$64*Units!C$85)</f>
        <v>145.25447247656598</v>
      </c>
      <c r="C649" t="s">
        <v>999</v>
      </c>
      <c r="D649" s="184"/>
      <c r="E649" s="76"/>
      <c r="F649" s="219"/>
      <c r="H649" s="127"/>
    </row>
    <row r="650" spans="1:8" x14ac:dyDescent="0.2">
      <c r="A650" s="126"/>
      <c r="B650" s="100"/>
      <c r="D650" s="184"/>
      <c r="E650" s="76"/>
      <c r="F650" s="219"/>
      <c r="H650" s="127"/>
    </row>
    <row r="651" spans="1:8" x14ac:dyDescent="0.2">
      <c r="A651" s="126" t="s">
        <v>1234</v>
      </c>
      <c r="B651" s="100">
        <f ca="1">B644*Units!C67*ABS(Inputs!F$758-Inputs!F$759)</f>
        <v>169305523.33915991</v>
      </c>
      <c r="C651" t="s">
        <v>1017</v>
      </c>
      <c r="D651" s="184"/>
      <c r="E651" s="76"/>
      <c r="F651" s="219"/>
      <c r="H651" s="127"/>
    </row>
    <row r="652" spans="1:8" x14ac:dyDescent="0.2">
      <c r="A652" s="126"/>
      <c r="B652" s="100">
        <f ca="1">(B651*Units!C66)/Units!C85</f>
        <v>40.465035911199251</v>
      </c>
      <c r="C652" t="s">
        <v>1237</v>
      </c>
      <c r="D652" s="184"/>
      <c r="E652" s="76"/>
      <c r="F652" s="219"/>
      <c r="H652" s="127"/>
    </row>
    <row r="653" spans="1:8" x14ac:dyDescent="0.2">
      <c r="A653" s="117"/>
      <c r="B653" s="118"/>
      <c r="C653" s="118"/>
      <c r="D653" s="118"/>
      <c r="E653" s="248"/>
      <c r="F653" s="119"/>
      <c r="G653" s="118"/>
      <c r="H653" s="120"/>
    </row>
    <row r="654" spans="1:8" x14ac:dyDescent="0.2">
      <c r="A654" s="126" t="s">
        <v>1250</v>
      </c>
      <c r="C654" t="s">
        <v>1251</v>
      </c>
      <c r="E654" s="76"/>
      <c r="F654" s="101"/>
      <c r="H654" s="127"/>
    </row>
    <row r="655" spans="1:8" x14ac:dyDescent="0.2">
      <c r="E655" s="76"/>
      <c r="F655" s="101"/>
      <c r="H655" s="127"/>
    </row>
    <row r="656" spans="1:8" x14ac:dyDescent="0.2">
      <c r="A656" s="126" t="s">
        <v>1252</v>
      </c>
      <c r="C656" t="s">
        <v>1251</v>
      </c>
      <c r="E656" s="76"/>
      <c r="F656" s="101"/>
      <c r="H656" s="127"/>
    </row>
    <row r="657" spans="1:8" x14ac:dyDescent="0.2">
      <c r="A657" s="126"/>
      <c r="B657" s="100">
        <f ca="1">ExpBase!E1100</f>
        <v>21.361043774298263</v>
      </c>
      <c r="C657" t="s">
        <v>267</v>
      </c>
      <c r="E657" s="76"/>
      <c r="F657" s="101"/>
      <c r="H657" s="127"/>
    </row>
    <row r="658" spans="1:8" x14ac:dyDescent="0.2">
      <c r="A658" s="126"/>
      <c r="E658" s="76"/>
      <c r="F658" s="101"/>
      <c r="H658" s="127"/>
    </row>
    <row r="659" spans="1:8" x14ac:dyDescent="0.2">
      <c r="A659" s="126"/>
      <c r="E659" s="76"/>
      <c r="F659" s="101"/>
      <c r="H659" s="127"/>
    </row>
    <row r="660" spans="1:8" x14ac:dyDescent="0.2">
      <c r="A660" s="126"/>
      <c r="E660" s="76"/>
      <c r="F660" s="101"/>
      <c r="H660" s="127"/>
    </row>
    <row r="661" spans="1:8" x14ac:dyDescent="0.2">
      <c r="A661" s="117"/>
      <c r="B661" s="118"/>
      <c r="C661" s="118"/>
      <c r="D661" s="118"/>
      <c r="E661" s="178"/>
      <c r="F661" s="119"/>
      <c r="G661" s="118"/>
      <c r="H661" s="120"/>
    </row>
    <row r="662" spans="1:8" x14ac:dyDescent="0.2">
      <c r="E662" s="172"/>
      <c r="F662" s="101"/>
    </row>
    <row r="663" spans="1:8" x14ac:dyDescent="0.2">
      <c r="A663" s="188" t="s">
        <v>1569</v>
      </c>
      <c r="B663" s="110"/>
      <c r="C663" s="112"/>
      <c r="E663" s="172"/>
      <c r="F663" s="101"/>
    </row>
    <row r="664" spans="1:8" x14ac:dyDescent="0.2">
      <c r="A664" s="126" t="s">
        <v>2974</v>
      </c>
      <c r="B664">
        <f>Inputs!F825/100</f>
        <v>0.03</v>
      </c>
      <c r="C664" s="127" t="s">
        <v>1081</v>
      </c>
      <c r="E664" s="172"/>
      <c r="F664" s="101"/>
    </row>
    <row r="665" spans="1:8" x14ac:dyDescent="0.2">
      <c r="A665" s="117"/>
      <c r="B665" s="848">
        <f ca="1">B631*B664/Inputs!F826/1000</f>
        <v>3.3131810566816285E-4</v>
      </c>
      <c r="C665" s="120"/>
      <c r="E665" s="172"/>
      <c r="F665" s="101"/>
    </row>
    <row r="666" spans="1:8" x14ac:dyDescent="0.2">
      <c r="E666" s="172"/>
      <c r="F666" s="101"/>
    </row>
    <row r="667" spans="1:8" x14ac:dyDescent="0.2">
      <c r="A667" s="188" t="s">
        <v>2968</v>
      </c>
      <c r="B667" s="160">
        <f ca="1">ExpBase!E1145</f>
        <v>897.81868184434472</v>
      </c>
      <c r="C667" s="112" t="s">
        <v>267</v>
      </c>
      <c r="E667" s="172"/>
      <c r="F667" s="101"/>
    </row>
    <row r="668" spans="1:8" x14ac:dyDescent="0.2">
      <c r="A668" s="117"/>
      <c r="B668" s="168">
        <f ca="1">B667*Units!C46</f>
        <v>407.24364088074458</v>
      </c>
      <c r="C668" s="120" t="s">
        <v>2494</v>
      </c>
      <c r="E668" s="172"/>
      <c r="F668" s="101"/>
    </row>
    <row r="669" spans="1:8" x14ac:dyDescent="0.2">
      <c r="E669" s="172"/>
      <c r="F669" s="101"/>
    </row>
    <row r="670" spans="1:8" x14ac:dyDescent="0.2">
      <c r="A670" s="188" t="s">
        <v>565</v>
      </c>
      <c r="B670" s="110"/>
      <c r="C670" s="112"/>
      <c r="E670" s="172"/>
      <c r="F670" s="101"/>
    </row>
    <row r="671" spans="1:8" x14ac:dyDescent="0.2">
      <c r="A671" s="126" t="s">
        <v>1027</v>
      </c>
      <c r="B671" s="100">
        <f>((Units!C$15*Units!C$71*B650*1/1000)/(Inputs!F$9*Units!C$70))*2</f>
        <v>0</v>
      </c>
      <c r="C671" s="127" t="s">
        <v>545</v>
      </c>
      <c r="E671" s="172"/>
      <c r="F671" s="101"/>
    </row>
    <row r="672" spans="1:8" x14ac:dyDescent="0.2">
      <c r="A672" s="126" t="s">
        <v>2975</v>
      </c>
      <c r="B672" s="846">
        <f ca="1">((Units!C$15*Units!C$71*ExpBase!E1100*1/1000)/(Inputs!F$9*Units!C$70))*2</f>
        <v>1.6631098367132221E-4</v>
      </c>
      <c r="C672" s="127" t="s">
        <v>545</v>
      </c>
      <c r="E672" s="172"/>
      <c r="F672" s="101"/>
    </row>
    <row r="673" spans="1:8" x14ac:dyDescent="0.2">
      <c r="A673" s="117" t="s">
        <v>2934</v>
      </c>
      <c r="B673" s="168">
        <f ca="1">CAPEX!B370*Units!C122*Units!C145/Units!C128</f>
        <v>79880.009946148959</v>
      </c>
      <c r="C673" s="120" t="s">
        <v>2967</v>
      </c>
      <c r="E673" s="172"/>
      <c r="F673" s="101"/>
    </row>
    <row r="674" spans="1:8" x14ac:dyDescent="0.2">
      <c r="E674" s="172"/>
      <c r="F674" s="101"/>
    </row>
    <row r="676" spans="1:8" ht="16" thickBot="1" x14ac:dyDescent="0.25"/>
    <row r="677" spans="1:8" ht="16" thickBot="1" x14ac:dyDescent="0.25">
      <c r="A677" s="1617" t="s">
        <v>1006</v>
      </c>
      <c r="B677" s="1617"/>
      <c r="C677" s="1617"/>
      <c r="D677" s="1617"/>
      <c r="E677" s="1617"/>
      <c r="F677" s="1617"/>
      <c r="G677" s="1617"/>
      <c r="H677" s="1617"/>
    </row>
    <row r="678" spans="1:8" ht="16" thickBot="1" x14ac:dyDescent="0.25">
      <c r="A678" s="1612" t="s">
        <v>580</v>
      </c>
      <c r="B678" s="1619" t="s">
        <v>581</v>
      </c>
      <c r="C678" s="1619"/>
      <c r="D678" s="1619"/>
      <c r="E678" s="1619"/>
      <c r="F678" s="1619" t="s">
        <v>582</v>
      </c>
      <c r="G678" s="1619"/>
      <c r="H678" s="1619"/>
    </row>
    <row r="679" spans="1:8" x14ac:dyDescent="0.2">
      <c r="A679" s="1618"/>
      <c r="B679" s="62" t="s">
        <v>515</v>
      </c>
      <c r="C679" s="62" t="s">
        <v>372</v>
      </c>
      <c r="D679" s="62" t="s">
        <v>583</v>
      </c>
      <c r="E679" s="62" t="s">
        <v>517</v>
      </c>
      <c r="F679" s="62" t="s">
        <v>42</v>
      </c>
      <c r="G679" s="62" t="s">
        <v>515</v>
      </c>
      <c r="H679" s="62" t="s">
        <v>372</v>
      </c>
    </row>
    <row r="680" spans="1:8" x14ac:dyDescent="0.2">
      <c r="A680" s="188" t="s">
        <v>1004</v>
      </c>
      <c r="B680" s="160"/>
      <c r="C680" s="110"/>
      <c r="D680" s="110"/>
      <c r="E680" s="110"/>
      <c r="F680" s="110"/>
      <c r="G680" s="110"/>
      <c r="H680" s="112"/>
    </row>
    <row r="681" spans="1:8" x14ac:dyDescent="0.2">
      <c r="A681" s="126" t="s">
        <v>1015</v>
      </c>
      <c r="B681" s="100">
        <f ca="1">B644</f>
        <v>165659.05283408141</v>
      </c>
      <c r="C681" t="s">
        <v>267</v>
      </c>
      <c r="D681">
        <f ca="1">IF(B681&gt;Inputs!F$772,ROUNDUP(B681/Inputs!F$772,0),1)</f>
        <v>9</v>
      </c>
      <c r="H681" s="127"/>
    </row>
    <row r="682" spans="1:8" x14ac:dyDescent="0.2">
      <c r="A682" s="126"/>
      <c r="B682" s="201"/>
      <c r="D682" s="6"/>
      <c r="E682" s="1608" t="s">
        <v>980</v>
      </c>
      <c r="F682" s="141">
        <f>Inputs!F$872</f>
        <v>13</v>
      </c>
      <c r="G682">
        <v>1</v>
      </c>
      <c r="H682" s="127" t="s">
        <v>267</v>
      </c>
    </row>
    <row r="683" spans="1:8" x14ac:dyDescent="0.2">
      <c r="A683" s="126" t="s">
        <v>1039</v>
      </c>
      <c r="B683" s="201">
        <f ca="1">(B681*Units!C$67*ABS(Inputs!F$768-Inputs!F$758))-B651</f>
        <v>25553588.101773679</v>
      </c>
      <c r="C683" t="s">
        <v>1017</v>
      </c>
      <c r="D683" s="6"/>
      <c r="E683" s="1608"/>
      <c r="H683" s="127"/>
    </row>
    <row r="684" spans="1:8" x14ac:dyDescent="0.2">
      <c r="A684" s="126"/>
      <c r="B684" s="100">
        <f ca="1">B683/(Units!C$64*Units!C$85)</f>
        <v>24.220033080368584</v>
      </c>
      <c r="C684" t="s">
        <v>999</v>
      </c>
      <c r="D684">
        <f ca="1">IF(B684&gt;Inputs!F$773,ROUNDUP(B684/Inputs!F$773,0),1)</f>
        <v>3</v>
      </c>
      <c r="H684" s="127"/>
    </row>
    <row r="685" spans="1:8" x14ac:dyDescent="0.2">
      <c r="A685" s="126" t="s">
        <v>1040</v>
      </c>
      <c r="B685" s="100">
        <f ca="1">B681*Units!C67*ABS(Inputs!F768-Inputs!F769)</f>
        <v>38139683.733990557</v>
      </c>
      <c r="C685" t="s">
        <v>1017</v>
      </c>
      <c r="E685" s="1608" t="s">
        <v>538</v>
      </c>
      <c r="F685" s="141">
        <f>Inputs!F$873</f>
        <v>3500</v>
      </c>
      <c r="G685">
        <v>1</v>
      </c>
      <c r="H685" s="127" t="s">
        <v>999</v>
      </c>
    </row>
    <row r="686" spans="1:8" x14ac:dyDescent="0.2">
      <c r="A686" s="126"/>
      <c r="B686" s="100">
        <f ca="1">B685/(Units!C$64*Units!C$85)</f>
        <v>36.149303105027734</v>
      </c>
      <c r="C686" t="s">
        <v>999</v>
      </c>
      <c r="D686">
        <f ca="1">IF(B686&gt;Inputs!F$774,ROUNDUP(B686/Inputs!F$774,0),1)</f>
        <v>3</v>
      </c>
      <c r="E686" s="1608"/>
      <c r="H686" s="127"/>
    </row>
    <row r="687" spans="1:8" x14ac:dyDescent="0.2">
      <c r="A687" s="126"/>
      <c r="H687" s="127"/>
    </row>
    <row r="688" spans="1:8" x14ac:dyDescent="0.2">
      <c r="A688" s="126"/>
      <c r="E688" s="1608" t="s">
        <v>901</v>
      </c>
      <c r="F688" s="141">
        <f>Inputs!F$874</f>
        <v>4100</v>
      </c>
      <c r="G688">
        <v>1</v>
      </c>
      <c r="H688" s="127" t="s">
        <v>999</v>
      </c>
    </row>
    <row r="689" spans="1:8" x14ac:dyDescent="0.2">
      <c r="A689" s="126"/>
      <c r="E689" s="1608"/>
      <c r="H689" s="127"/>
    </row>
    <row r="690" spans="1:8" x14ac:dyDescent="0.2">
      <c r="A690" s="126"/>
      <c r="H690" s="127"/>
    </row>
    <row r="691" spans="1:8" x14ac:dyDescent="0.2">
      <c r="A691" s="126"/>
      <c r="E691" s="1608" t="s">
        <v>990</v>
      </c>
      <c r="F691" s="141">
        <f>Inputs!F$875</f>
        <v>0.5</v>
      </c>
      <c r="G691">
        <v>1</v>
      </c>
      <c r="H691" s="127" t="s">
        <v>267</v>
      </c>
    </row>
    <row r="692" spans="1:8" x14ac:dyDescent="0.2">
      <c r="A692" s="126"/>
      <c r="E692" s="1608"/>
      <c r="H692" s="127"/>
    </row>
    <row r="693" spans="1:8" x14ac:dyDescent="0.2">
      <c r="A693" s="126"/>
      <c r="H693" s="127"/>
    </row>
    <row r="694" spans="1:8" x14ac:dyDescent="0.2">
      <c r="A694" s="126"/>
      <c r="H694" s="127"/>
    </row>
    <row r="695" spans="1:8" x14ac:dyDescent="0.2">
      <c r="A695" s="126"/>
      <c r="H695" s="127"/>
    </row>
    <row r="696" spans="1:8" x14ac:dyDescent="0.2">
      <c r="A696" s="126"/>
      <c r="H696" s="127"/>
    </row>
    <row r="697" spans="1:8" x14ac:dyDescent="0.2">
      <c r="A697" s="126"/>
      <c r="H697" s="127"/>
    </row>
    <row r="698" spans="1:8" x14ac:dyDescent="0.2">
      <c r="A698" s="126"/>
      <c r="H698" s="127"/>
    </row>
    <row r="699" spans="1:8" x14ac:dyDescent="0.2">
      <c r="A699" s="117"/>
      <c r="B699" s="118"/>
      <c r="C699" s="118"/>
      <c r="D699" s="118"/>
      <c r="E699" s="118"/>
      <c r="F699" s="118"/>
      <c r="G699" s="118"/>
      <c r="H699" s="120"/>
    </row>
    <row r="705" spans="1:8" ht="16" thickBot="1" x14ac:dyDescent="0.25"/>
    <row r="706" spans="1:8" ht="16" thickBot="1" x14ac:dyDescent="0.25">
      <c r="A706" s="1642" t="s">
        <v>847</v>
      </c>
      <c r="B706" s="1643"/>
      <c r="C706" s="1643"/>
      <c r="D706" s="1643"/>
      <c r="E706" s="1643"/>
      <c r="F706" s="1643"/>
      <c r="G706" s="1643"/>
      <c r="H706" s="1644"/>
    </row>
    <row r="707" spans="1:8" ht="16" thickBot="1" x14ac:dyDescent="0.25">
      <c r="A707" s="1612" t="s">
        <v>580</v>
      </c>
      <c r="B707" s="1614" t="s">
        <v>581</v>
      </c>
      <c r="C707" s="1615"/>
      <c r="D707" s="1615"/>
      <c r="E707" s="1616"/>
      <c r="F707" s="1614" t="s">
        <v>582</v>
      </c>
      <c r="G707" s="1615"/>
      <c r="H707" s="1616"/>
    </row>
    <row r="708" spans="1:8" ht="16" thickBot="1" x14ac:dyDescent="0.25">
      <c r="A708" s="1613"/>
      <c r="B708" s="64" t="s">
        <v>515</v>
      </c>
      <c r="C708" s="64" t="s">
        <v>372</v>
      </c>
      <c r="D708" s="64" t="s">
        <v>583</v>
      </c>
      <c r="E708" s="64" t="s">
        <v>517</v>
      </c>
      <c r="F708" s="64" t="s">
        <v>42</v>
      </c>
      <c r="G708" s="64" t="s">
        <v>515</v>
      </c>
      <c r="H708" s="64" t="s">
        <v>372</v>
      </c>
    </row>
    <row r="709" spans="1:8" x14ac:dyDescent="0.2">
      <c r="A709" s="6" t="s">
        <v>859</v>
      </c>
    </row>
    <row r="710" spans="1:8" x14ac:dyDescent="0.2">
      <c r="A710" s="109" t="s">
        <v>381</v>
      </c>
      <c r="B710" s="160">
        <f ca="1">((B416/Inputs!F$466)*Inputs!F$581)+Inputs!F$586</f>
        <v>11758.369428474783</v>
      </c>
      <c r="C710" s="110" t="s">
        <v>1</v>
      </c>
      <c r="D710" s="110">
        <f ca="1">IF(B710&gt;Inputs!F$583,ROUNDUP(B710/Inputs!F$583,0),1)</f>
        <v>392</v>
      </c>
      <c r="E710" s="1607" t="s">
        <v>530</v>
      </c>
      <c r="F710" s="111">
        <f>Inputs!F$847</f>
        <v>188.34</v>
      </c>
      <c r="G710" s="110">
        <v>1</v>
      </c>
      <c r="H710" s="112" t="s">
        <v>13</v>
      </c>
    </row>
    <row r="711" spans="1:8" x14ac:dyDescent="0.2">
      <c r="A711" s="126"/>
      <c r="B711" s="100">
        <f ca="1">B710*Units!C$15</f>
        <v>11758369.428474784</v>
      </c>
      <c r="C711" t="s">
        <v>15</v>
      </c>
      <c r="D711">
        <f ca="1">ROUNDUP(D710*2,0)</f>
        <v>784</v>
      </c>
      <c r="E711" s="1608"/>
      <c r="F711" s="101">
        <f>F710</f>
        <v>188.34</v>
      </c>
      <c r="G711" s="104">
        <f>G710*Units!C$6</f>
        <v>0.76454999999999995</v>
      </c>
      <c r="H711" s="127" t="s">
        <v>1</v>
      </c>
    </row>
    <row r="712" spans="1:8" x14ac:dyDescent="0.2">
      <c r="A712" s="126" t="s">
        <v>529</v>
      </c>
      <c r="B712" s="100">
        <f ca="1">((4*B710)/(Inputs!F$584*Units!C$79))^(1/3)</f>
        <v>23.193093988271372</v>
      </c>
      <c r="C712" t="s">
        <v>10</v>
      </c>
      <c r="H712" s="127"/>
    </row>
    <row r="713" spans="1:8" x14ac:dyDescent="0.2">
      <c r="A713" s="126" t="s">
        <v>626</v>
      </c>
      <c r="B713" s="100">
        <f ca="1">B712/2</f>
        <v>11.596546994135686</v>
      </c>
      <c r="C713" t="s">
        <v>10</v>
      </c>
      <c r="E713" s="1608" t="s">
        <v>528</v>
      </c>
      <c r="F713" s="141">
        <f>Inputs!F$848</f>
        <v>8.35</v>
      </c>
      <c r="G713">
        <v>1</v>
      </c>
      <c r="H713" s="127" t="s">
        <v>608</v>
      </c>
    </row>
    <row r="714" spans="1:8" x14ac:dyDescent="0.2">
      <c r="A714" s="126" t="s">
        <v>609</v>
      </c>
      <c r="B714" s="100">
        <f ca="1">(B712*Inputs!F$584)-(B712/9)+(B712/6)</f>
        <v>29.12021800749628</v>
      </c>
      <c r="C714" t="s">
        <v>10</v>
      </c>
      <c r="E714" s="1608"/>
      <c r="F714" s="141">
        <f>F713</f>
        <v>8.35</v>
      </c>
      <c r="G714">
        <f>G713*Units!C$42^2</f>
        <v>9.2903040000000006E-2</v>
      </c>
      <c r="H714" s="127" t="s">
        <v>7</v>
      </c>
    </row>
    <row r="715" spans="1:8" x14ac:dyDescent="0.2">
      <c r="A715" s="126" t="s">
        <v>610</v>
      </c>
      <c r="B715">
        <f ca="1">B714/6</f>
        <v>4.8533696679160467</v>
      </c>
      <c r="C715" t="s">
        <v>10</v>
      </c>
      <c r="H715" s="127"/>
    </row>
    <row r="716" spans="1:8" x14ac:dyDescent="0.2">
      <c r="A716" s="126" t="s">
        <v>614</v>
      </c>
      <c r="B716">
        <f ca="1">B712/(B714+B715)</f>
        <v>0.68268015170670038</v>
      </c>
      <c r="H716" s="127"/>
    </row>
    <row r="717" spans="1:8" x14ac:dyDescent="0.2">
      <c r="A717" s="126" t="s">
        <v>628</v>
      </c>
      <c r="B717" s="100">
        <f ca="1">B712</f>
        <v>23.193093988271372</v>
      </c>
      <c r="C717" t="s">
        <v>10</v>
      </c>
      <c r="H717" s="127"/>
    </row>
    <row r="718" spans="1:8" x14ac:dyDescent="0.2">
      <c r="A718" s="126" t="s">
        <v>627</v>
      </c>
      <c r="B718">
        <f ca="1">B714+B715</f>
        <v>33.973587675412325</v>
      </c>
      <c r="C718" t="s">
        <v>10</v>
      </c>
      <c r="E718" s="103"/>
      <c r="F718" s="141"/>
      <c r="H718" s="127"/>
    </row>
    <row r="719" spans="1:8" x14ac:dyDescent="0.2">
      <c r="A719" s="126" t="s">
        <v>615</v>
      </c>
      <c r="B719" s="100">
        <f ca="1">2*Units!C$79*(B717/2)*B718+(2*Units!C$79*(B717/2)^2)</f>
        <v>3320.3875922168809</v>
      </c>
      <c r="C719" t="s">
        <v>7</v>
      </c>
      <c r="H719" s="127"/>
    </row>
    <row r="720" spans="1:8" x14ac:dyDescent="0.2">
      <c r="A720" s="117" t="s">
        <v>612</v>
      </c>
      <c r="B720" s="118">
        <v>0.5</v>
      </c>
      <c r="C720" s="118" t="s">
        <v>10</v>
      </c>
      <c r="D720" s="118"/>
      <c r="E720" s="118"/>
      <c r="F720" s="118"/>
      <c r="G720" s="118"/>
      <c r="H720" s="120"/>
    </row>
    <row r="721" spans="1:9" x14ac:dyDescent="0.2">
      <c r="A721" s="126"/>
      <c r="H721" s="127"/>
    </row>
    <row r="722" spans="1:9" x14ac:dyDescent="0.2">
      <c r="A722" s="109" t="s">
        <v>613</v>
      </c>
      <c r="B722" s="200">
        <f ca="1">B712</f>
        <v>23.193093988271372</v>
      </c>
      <c r="C722" s="110" t="s">
        <v>725</v>
      </c>
      <c r="D722" s="173">
        <f ca="1">D711</f>
        <v>784</v>
      </c>
      <c r="E722" s="1607" t="s">
        <v>613</v>
      </c>
      <c r="F722" s="174">
        <f>Inputs!F$850*G722</f>
        <v>32000.06</v>
      </c>
      <c r="G722" s="110">
        <v>12.4</v>
      </c>
      <c r="H722" s="112" t="s">
        <v>725</v>
      </c>
    </row>
    <row r="723" spans="1:9" x14ac:dyDescent="0.2">
      <c r="A723" s="126"/>
      <c r="E723" s="1608"/>
      <c r="F723" s="101" t="s">
        <v>723</v>
      </c>
      <c r="G723">
        <v>1000</v>
      </c>
      <c r="H723" s="127" t="s">
        <v>1</v>
      </c>
    </row>
    <row r="724" spans="1:9" x14ac:dyDescent="0.2">
      <c r="A724" s="175"/>
      <c r="B724" s="6"/>
      <c r="C724" s="6"/>
      <c r="D724" s="6"/>
      <c r="E724" s="1608"/>
      <c r="F724" s="101" t="s">
        <v>724</v>
      </c>
      <c r="G724">
        <v>1120</v>
      </c>
      <c r="H724" s="127" t="s">
        <v>1</v>
      </c>
    </row>
    <row r="725" spans="1:9" x14ac:dyDescent="0.2">
      <c r="A725" s="176"/>
      <c r="B725" s="177"/>
      <c r="C725" s="177"/>
      <c r="D725" s="177"/>
      <c r="E725" s="178"/>
      <c r="F725" s="119"/>
      <c r="G725" s="118"/>
      <c r="H725" s="120"/>
    </row>
    <row r="726" spans="1:9" x14ac:dyDescent="0.2">
      <c r="A726" s="175"/>
      <c r="B726" s="6"/>
      <c r="C726" s="6"/>
      <c r="D726" s="6"/>
      <c r="E726" s="172"/>
      <c r="F726" s="101"/>
      <c r="H726" s="127"/>
    </row>
    <row r="727" spans="1:9" x14ac:dyDescent="0.2">
      <c r="A727" s="109" t="s">
        <v>629</v>
      </c>
      <c r="B727" s="110">
        <f>Inputs!F582</f>
        <v>250</v>
      </c>
      <c r="C727" s="110" t="s">
        <v>281</v>
      </c>
      <c r="D727" s="173">
        <f ca="1">D722</f>
        <v>784</v>
      </c>
      <c r="E727" s="1607" t="s">
        <v>611</v>
      </c>
      <c r="F727" s="111">
        <f>Inputs!F$849</f>
        <v>600</v>
      </c>
      <c r="G727" s="110">
        <v>1</v>
      </c>
      <c r="H727" s="112" t="s">
        <v>11</v>
      </c>
    </row>
    <row r="728" spans="1:9" x14ac:dyDescent="0.2">
      <c r="A728" s="126"/>
      <c r="B728" s="201">
        <f ca="1">B727*0.27*((B710/Inputs!F$581*Units!C$55)/83)</f>
        <v>1452.5361044783549</v>
      </c>
      <c r="C728" t="s">
        <v>545</v>
      </c>
      <c r="D728" s="6"/>
      <c r="E728" s="1608"/>
      <c r="F728" s="101">
        <f>F727</f>
        <v>600</v>
      </c>
      <c r="H728" s="127"/>
    </row>
    <row r="729" spans="1:9" x14ac:dyDescent="0.2">
      <c r="A729" s="126"/>
      <c r="B729" s="201">
        <f ca="1">B728*1000/Units!C$65</f>
        <v>1947.8826665929391</v>
      </c>
      <c r="C729" t="s">
        <v>11</v>
      </c>
      <c r="D729" s="6"/>
      <c r="E729" s="180"/>
      <c r="F729" s="181"/>
      <c r="G729" s="6"/>
      <c r="H729" s="182"/>
    </row>
    <row r="730" spans="1:9" x14ac:dyDescent="0.2">
      <c r="A730" s="126"/>
      <c r="D730" s="6"/>
      <c r="E730" s="180"/>
      <c r="F730" s="181"/>
      <c r="G730" s="6"/>
      <c r="H730" s="182"/>
    </row>
    <row r="731" spans="1:9" x14ac:dyDescent="0.2">
      <c r="A731" s="117"/>
      <c r="B731" s="118"/>
      <c r="C731" s="118"/>
      <c r="D731" s="118"/>
      <c r="E731" s="183"/>
      <c r="F731" s="119"/>
      <c r="G731" s="118"/>
      <c r="H731" s="120"/>
    </row>
    <row r="732" spans="1:9" x14ac:dyDescent="0.2">
      <c r="A732" s="126"/>
      <c r="E732" s="103"/>
      <c r="F732" s="101"/>
    </row>
    <row r="734" spans="1:9" ht="16" thickBot="1" x14ac:dyDescent="0.25"/>
    <row r="735" spans="1:9" ht="16" thickBot="1" x14ac:dyDescent="0.25">
      <c r="A735" s="1641" t="s">
        <v>894</v>
      </c>
      <c r="B735" s="1641"/>
      <c r="C735" s="1641"/>
      <c r="D735" s="1641"/>
      <c r="E735" s="1641"/>
      <c r="F735" s="1641"/>
      <c r="G735" s="1641"/>
      <c r="H735" s="1641"/>
      <c r="I735" s="126"/>
    </row>
    <row r="736" spans="1:9" ht="16" thickBot="1" x14ac:dyDescent="0.25">
      <c r="A736" s="1612" t="s">
        <v>580</v>
      </c>
      <c r="B736" s="1619" t="s">
        <v>581</v>
      </c>
      <c r="C736" s="1619"/>
      <c r="D736" s="1619"/>
      <c r="E736" s="1619"/>
      <c r="F736" s="1619" t="s">
        <v>582</v>
      </c>
      <c r="G736" s="1619"/>
      <c r="H736" s="1619"/>
    </row>
    <row r="737" spans="1:8" ht="16" thickBot="1" x14ac:dyDescent="0.25">
      <c r="A737" s="1613"/>
      <c r="B737" s="64" t="s">
        <v>515</v>
      </c>
      <c r="C737" s="64" t="s">
        <v>372</v>
      </c>
      <c r="D737" s="64" t="s">
        <v>583</v>
      </c>
      <c r="E737" s="64" t="s">
        <v>517</v>
      </c>
      <c r="F737" s="64" t="s">
        <v>42</v>
      </c>
      <c r="G737" s="64" t="s">
        <v>515</v>
      </c>
      <c r="H737" s="64" t="s">
        <v>372</v>
      </c>
    </row>
    <row r="738" spans="1:8" x14ac:dyDescent="0.2">
      <c r="A738" s="6" t="s">
        <v>900</v>
      </c>
    </row>
    <row r="739" spans="1:8" x14ac:dyDescent="0.2">
      <c r="A739" s="109" t="s">
        <v>381</v>
      </c>
      <c r="B739" s="160">
        <f ca="1">((B710/Inputs!F$581)*Inputs!F$718)</f>
        <v>297.68023869556413</v>
      </c>
      <c r="C739" s="110" t="s">
        <v>1</v>
      </c>
      <c r="D739" s="110">
        <f ca="1">IF(B739&gt;Inputs!F$583,ROUNDUP(B739/Inputs!F$583,0),1)</f>
        <v>10</v>
      </c>
      <c r="E739" s="220"/>
      <c r="F739" s="111"/>
      <c r="G739" s="110"/>
      <c r="H739" s="112"/>
    </row>
    <row r="740" spans="1:8" x14ac:dyDescent="0.2">
      <c r="A740" s="126"/>
      <c r="B740" s="100">
        <f ca="1">B739*Units!C$15</f>
        <v>297680.23869556416</v>
      </c>
      <c r="C740" t="s">
        <v>15</v>
      </c>
      <c r="D740">
        <f ca="1">ROUNDUP(D739*2,0)</f>
        <v>20</v>
      </c>
      <c r="E740" s="76"/>
      <c r="F740" s="101"/>
      <c r="G740" s="104"/>
      <c r="H740" s="127"/>
    </row>
    <row r="741" spans="1:8" x14ac:dyDescent="0.2">
      <c r="A741" s="126" t="s">
        <v>529</v>
      </c>
      <c r="B741" s="100">
        <f ca="1">((4*B739)/(Inputs!F$721*Units!C$79))^(1/3)</f>
        <v>6.8101967027157553</v>
      </c>
      <c r="C741" t="s">
        <v>10</v>
      </c>
      <c r="E741" s="1608" t="s">
        <v>903</v>
      </c>
      <c r="F741" s="154">
        <f>Inputs!F$861</f>
        <v>30</v>
      </c>
      <c r="G741">
        <v>1</v>
      </c>
      <c r="H741" s="127" t="s">
        <v>2</v>
      </c>
    </row>
    <row r="742" spans="1:8" x14ac:dyDescent="0.2">
      <c r="A742" s="126" t="s">
        <v>626</v>
      </c>
      <c r="B742" s="100">
        <f ca="1">B741/2</f>
        <v>3.4050983513578776</v>
      </c>
      <c r="C742" t="s">
        <v>10</v>
      </c>
      <c r="E742" s="1608"/>
      <c r="F742" s="154">
        <f>F741*Units!C14</f>
        <v>30000</v>
      </c>
      <c r="G742">
        <v>1</v>
      </c>
      <c r="H742" s="127" t="s">
        <v>1</v>
      </c>
    </row>
    <row r="743" spans="1:8" x14ac:dyDescent="0.2">
      <c r="A743" s="126" t="s">
        <v>609</v>
      </c>
      <c r="B743" s="100">
        <f ca="1">(B741*Inputs!F$721)-(B741/9)+(B741/6)</f>
        <v>8.5505803045208921</v>
      </c>
      <c r="C743" t="s">
        <v>10</v>
      </c>
      <c r="E743" s="76"/>
      <c r="F743" s="141"/>
      <c r="H743" s="127"/>
    </row>
    <row r="744" spans="1:8" x14ac:dyDescent="0.2">
      <c r="A744" s="126" t="s">
        <v>610</v>
      </c>
      <c r="B744">
        <f ca="1">B743/6</f>
        <v>1.4250967174201488</v>
      </c>
      <c r="C744" t="s">
        <v>10</v>
      </c>
      <c r="H744" s="127"/>
    </row>
    <row r="745" spans="1:8" x14ac:dyDescent="0.2">
      <c r="A745" s="126" t="s">
        <v>614</v>
      </c>
      <c r="B745">
        <f ca="1">B741/(B743+B744)</f>
        <v>0.68268015170670049</v>
      </c>
      <c r="H745" s="127"/>
    </row>
    <row r="746" spans="1:8" x14ac:dyDescent="0.2">
      <c r="A746" s="126" t="s">
        <v>628</v>
      </c>
      <c r="B746" s="100">
        <f ca="1">B741</f>
        <v>6.8101967027157553</v>
      </c>
      <c r="C746" t="s">
        <v>10</v>
      </c>
      <c r="H746" s="127"/>
    </row>
    <row r="747" spans="1:8" x14ac:dyDescent="0.2">
      <c r="A747" s="126" t="s">
        <v>627</v>
      </c>
      <c r="B747">
        <f ca="1">B743+B744</f>
        <v>9.9756770219410402</v>
      </c>
      <c r="C747" t="s">
        <v>10</v>
      </c>
      <c r="E747" s="103"/>
      <c r="F747" s="141"/>
      <c r="H747" s="127"/>
    </row>
    <row r="748" spans="1:8" x14ac:dyDescent="0.2">
      <c r="A748" s="126" t="s">
        <v>615</v>
      </c>
      <c r="B748" s="100">
        <f ca="1">2*Units!C$79*(B746/2)*B747+(2*Units!C$79*(B746/2)^2)</f>
        <v>286.2798088408689</v>
      </c>
      <c r="C748" t="s">
        <v>7</v>
      </c>
      <c r="H748" s="127"/>
    </row>
    <row r="749" spans="1:8" x14ac:dyDescent="0.2">
      <c r="A749" s="126" t="s">
        <v>612</v>
      </c>
      <c r="B749">
        <v>0.5</v>
      </c>
      <c r="C749" t="s">
        <v>10</v>
      </c>
      <c r="H749" s="127"/>
    </row>
    <row r="750" spans="1:8" x14ac:dyDescent="0.2">
      <c r="H750" s="120"/>
    </row>
    <row r="751" spans="1:8" x14ac:dyDescent="0.2">
      <c r="A751" s="109" t="s">
        <v>1015</v>
      </c>
      <c r="B751" s="160">
        <f ca="1">B740/Inputs!F$718</f>
        <v>74420.059673891039</v>
      </c>
      <c r="C751" s="110" t="s">
        <v>267</v>
      </c>
      <c r="D751" s="110"/>
      <c r="E751" s="110"/>
      <c r="F751" s="110"/>
      <c r="G751" s="110"/>
      <c r="H751" s="112"/>
    </row>
    <row r="752" spans="1:8" x14ac:dyDescent="0.2">
      <c r="A752" s="126"/>
      <c r="B752" s="100">
        <f ca="1">B751*Units!C$13/(Units!C$3*Units!C$56)</f>
        <v>327.69731252263773</v>
      </c>
      <c r="C752" t="s">
        <v>1230</v>
      </c>
      <c r="D752" s="184"/>
      <c r="E752" s="76"/>
      <c r="F752" s="219"/>
      <c r="H752" s="127"/>
    </row>
    <row r="753" spans="1:8" x14ac:dyDescent="0.2">
      <c r="A753" s="117"/>
      <c r="B753" s="118"/>
      <c r="C753" s="118"/>
      <c r="D753" s="118"/>
      <c r="E753" s="248"/>
      <c r="F753" s="119"/>
      <c r="G753" s="118"/>
      <c r="H753" s="120"/>
    </row>
    <row r="754" spans="1:8" x14ac:dyDescent="0.2">
      <c r="A754" s="126" t="s">
        <v>1231</v>
      </c>
      <c r="B754" s="100">
        <f ca="1">B751*Units!C$67*ABS(Inputs!F$723-Inputs!F$672)</f>
        <v>38940296.224363483</v>
      </c>
      <c r="C754" t="s">
        <v>1017</v>
      </c>
      <c r="E754" s="76"/>
      <c r="F754" s="101"/>
      <c r="H754" s="127"/>
    </row>
    <row r="755" spans="1:8" x14ac:dyDescent="0.2">
      <c r="B755" s="100">
        <f ca="1">B754/(Units!C$85*Units!C$64)</f>
        <v>36.908134347206307</v>
      </c>
      <c r="C755" t="s">
        <v>999</v>
      </c>
      <c r="E755" s="76"/>
      <c r="F755" s="101"/>
      <c r="H755" s="127"/>
    </row>
    <row r="756" spans="1:8" x14ac:dyDescent="0.2">
      <c r="A756" s="126"/>
      <c r="E756" s="76"/>
      <c r="F756" s="101"/>
      <c r="H756" s="127"/>
    </row>
    <row r="757" spans="1:8" x14ac:dyDescent="0.2">
      <c r="A757" s="126"/>
      <c r="E757" s="76"/>
      <c r="F757" s="101"/>
      <c r="H757" s="127"/>
    </row>
    <row r="758" spans="1:8" x14ac:dyDescent="0.2">
      <c r="A758" s="126"/>
      <c r="E758" s="76"/>
      <c r="F758" s="101"/>
      <c r="H758" s="127"/>
    </row>
    <row r="759" spans="1:8" x14ac:dyDescent="0.2">
      <c r="A759" s="117"/>
      <c r="B759" s="118"/>
      <c r="C759" s="118"/>
      <c r="D759" s="118"/>
      <c r="E759" s="178"/>
      <c r="F759" s="119"/>
      <c r="G759" s="118"/>
      <c r="H759" s="120"/>
    </row>
    <row r="760" spans="1:8" x14ac:dyDescent="0.2">
      <c r="A760" s="175"/>
      <c r="B760" s="6"/>
      <c r="C760" s="6"/>
      <c r="D760" s="6"/>
      <c r="E760" s="172"/>
      <c r="F760" s="101"/>
      <c r="H760" s="127"/>
    </row>
    <row r="761" spans="1:8" x14ac:dyDescent="0.2">
      <c r="A761" s="175"/>
      <c r="B761" s="6"/>
      <c r="C761" s="6"/>
      <c r="D761" s="6"/>
      <c r="E761" s="172"/>
      <c r="F761" s="101"/>
      <c r="H761" s="127"/>
    </row>
    <row r="762" spans="1:8" ht="16" thickBot="1" x14ac:dyDescent="0.25">
      <c r="A762" s="175"/>
      <c r="B762" s="6"/>
      <c r="C762" s="6"/>
      <c r="D762" s="6"/>
      <c r="E762" s="172"/>
      <c r="F762" s="101"/>
      <c r="H762" s="127"/>
    </row>
    <row r="763" spans="1:8" ht="16" thickBot="1" x14ac:dyDescent="0.25">
      <c r="A763" s="1617" t="s">
        <v>1005</v>
      </c>
      <c r="B763" s="1617"/>
      <c r="C763" s="1617"/>
      <c r="D763" s="1617"/>
      <c r="E763" s="1617"/>
      <c r="F763" s="1617"/>
      <c r="G763" s="1617"/>
      <c r="H763" s="1617"/>
    </row>
    <row r="764" spans="1:8" ht="16" thickBot="1" x14ac:dyDescent="0.25">
      <c r="A764" s="1612" t="s">
        <v>580</v>
      </c>
      <c r="B764" s="1619" t="s">
        <v>581</v>
      </c>
      <c r="C764" s="1619"/>
      <c r="D764" s="1619"/>
      <c r="E764" s="1619"/>
      <c r="F764" s="1619" t="s">
        <v>582</v>
      </c>
      <c r="G764" s="1619"/>
      <c r="H764" s="1619"/>
    </row>
    <row r="765" spans="1:8" x14ac:dyDescent="0.2">
      <c r="A765" s="1618"/>
      <c r="B765" s="62" t="s">
        <v>515</v>
      </c>
      <c r="C765" s="62" t="s">
        <v>372</v>
      </c>
      <c r="D765" s="62" t="s">
        <v>583</v>
      </c>
      <c r="E765" s="62" t="s">
        <v>517</v>
      </c>
      <c r="F765" s="62" t="s">
        <v>42</v>
      </c>
      <c r="G765" s="62" t="s">
        <v>515</v>
      </c>
      <c r="H765" s="62" t="s">
        <v>372</v>
      </c>
    </row>
    <row r="766" spans="1:8" x14ac:dyDescent="0.2">
      <c r="A766" s="188" t="s">
        <v>1000</v>
      </c>
      <c r="B766" s="110"/>
      <c r="C766" s="110"/>
      <c r="D766" s="110"/>
      <c r="E766" s="110"/>
      <c r="F766" s="110"/>
      <c r="G766" s="110"/>
      <c r="H766" s="112"/>
    </row>
    <row r="767" spans="1:8" x14ac:dyDescent="0.2">
      <c r="A767" s="109" t="s">
        <v>1015</v>
      </c>
      <c r="B767" s="160">
        <f ca="1">B740/Inputs!F$734</f>
        <v>297680.23869556416</v>
      </c>
      <c r="C767" s="110" t="s">
        <v>267</v>
      </c>
      <c r="D767" s="110">
        <f ca="1">IF(B594&gt;Inputs!F$735,ROUNDUP(B594/Inputs!F$735,0),1)</f>
        <v>1</v>
      </c>
      <c r="E767" s="110"/>
      <c r="F767" s="110"/>
      <c r="G767" s="110"/>
      <c r="H767" s="112"/>
    </row>
    <row r="768" spans="1:8" x14ac:dyDescent="0.2">
      <c r="A768" s="126" t="s">
        <v>1016</v>
      </c>
      <c r="B768" s="201">
        <f ca="1">B767*Units!C$67*(ABS(Inputs!F$723-Inputs!F$731))</f>
        <v>37382684.375388943</v>
      </c>
      <c r="C768" t="s">
        <v>1017</v>
      </c>
      <c r="D768" s="6"/>
      <c r="E768" s="1608" t="s">
        <v>980</v>
      </c>
      <c r="F768" s="141">
        <f>Inputs!F$872</f>
        <v>13</v>
      </c>
      <c r="G768">
        <v>1</v>
      </c>
      <c r="H768" s="127" t="s">
        <v>267</v>
      </c>
    </row>
    <row r="769" spans="1:8" x14ac:dyDescent="0.2">
      <c r="A769" s="126"/>
      <c r="B769" s="201">
        <f ca="1">B768/(Units!C64*1000000)</f>
        <v>35.431808973318049</v>
      </c>
      <c r="C769" t="s">
        <v>999</v>
      </c>
      <c r="D769">
        <f ca="1">IF(B598&gt;Inputs!F$736,ROUNDUP(B598/Inputs!F$736,0),1)</f>
        <v>86234</v>
      </c>
      <c r="E769" s="1608"/>
      <c r="H769" s="127"/>
    </row>
    <row r="770" spans="1:8" x14ac:dyDescent="0.2">
      <c r="A770" s="126" t="s">
        <v>1018</v>
      </c>
      <c r="B770" s="100">
        <f ca="1">B767*Units!C$67*(ABS(Inputs!F$732-Inputs!F$731))</f>
        <v>105917605.73026867</v>
      </c>
      <c r="C770" t="s">
        <v>1017</v>
      </c>
      <c r="D770" s="6"/>
      <c r="H770" s="127"/>
    </row>
    <row r="771" spans="1:8" x14ac:dyDescent="0.2">
      <c r="A771" s="126"/>
      <c r="B771" s="100">
        <f ca="1">B770/(Units!C64*1000000)</f>
        <v>100.39012542440115</v>
      </c>
      <c r="C771" t="s">
        <v>999</v>
      </c>
      <c r="D771">
        <f ca="1">IF(B600&gt;Inputs!F$737,ROUNDUP(B600/Inputs!F$737,0),1)</f>
        <v>1</v>
      </c>
      <c r="E771" s="1608" t="s">
        <v>538</v>
      </c>
      <c r="F771" s="141">
        <f>Inputs!F$873</f>
        <v>3500</v>
      </c>
      <c r="G771">
        <v>1</v>
      </c>
      <c r="H771" s="127" t="s">
        <v>999</v>
      </c>
    </row>
    <row r="772" spans="1:8" x14ac:dyDescent="0.2">
      <c r="A772" s="126"/>
      <c r="E772" s="1608"/>
      <c r="H772" s="127"/>
    </row>
    <row r="773" spans="1:8" x14ac:dyDescent="0.2">
      <c r="A773" s="126"/>
      <c r="H773" s="127"/>
    </row>
    <row r="774" spans="1:8" x14ac:dyDescent="0.2">
      <c r="A774" s="126"/>
      <c r="E774" s="1608" t="s">
        <v>901</v>
      </c>
      <c r="F774" s="141">
        <f>Inputs!F$874</f>
        <v>4100</v>
      </c>
      <c r="G774">
        <v>1</v>
      </c>
      <c r="H774" s="127" t="s">
        <v>999</v>
      </c>
    </row>
    <row r="775" spans="1:8" x14ac:dyDescent="0.2">
      <c r="A775" s="126"/>
      <c r="E775" s="1608"/>
      <c r="H775" s="127"/>
    </row>
    <row r="776" spans="1:8" x14ac:dyDescent="0.2">
      <c r="A776" s="126"/>
      <c r="H776" s="127"/>
    </row>
    <row r="777" spans="1:8" x14ac:dyDescent="0.2">
      <c r="A777" s="126"/>
      <c r="E777" s="1608" t="s">
        <v>990</v>
      </c>
      <c r="F777" s="141">
        <f>Inputs!F$875</f>
        <v>0.5</v>
      </c>
      <c r="G777">
        <v>1</v>
      </c>
      <c r="H777" s="127" t="s">
        <v>267</v>
      </c>
    </row>
    <row r="778" spans="1:8" x14ac:dyDescent="0.2">
      <c r="A778" s="126"/>
      <c r="E778" s="1608"/>
      <c r="H778" s="127"/>
    </row>
    <row r="779" spans="1:8" x14ac:dyDescent="0.2">
      <c r="A779" s="117"/>
      <c r="B779" s="118"/>
      <c r="C779" s="118"/>
      <c r="D779" s="118"/>
      <c r="E779" s="118"/>
      <c r="F779" s="118"/>
      <c r="G779" s="118"/>
      <c r="H779" s="120"/>
    </row>
    <row r="781" spans="1:8" ht="16" thickBot="1" x14ac:dyDescent="0.25"/>
    <row r="782" spans="1:8" ht="16" thickBot="1" x14ac:dyDescent="0.25">
      <c r="A782" s="1641" t="s">
        <v>1001</v>
      </c>
      <c r="B782" s="1641"/>
      <c r="C782" s="1641"/>
      <c r="D782" s="1641"/>
      <c r="E782" s="1641"/>
      <c r="F782" s="1641"/>
      <c r="G782" s="1641"/>
      <c r="H782" s="1641"/>
    </row>
    <row r="783" spans="1:8" ht="16" thickBot="1" x14ac:dyDescent="0.25">
      <c r="A783" s="1612" t="s">
        <v>580</v>
      </c>
      <c r="B783" s="1619" t="s">
        <v>581</v>
      </c>
      <c r="C783" s="1619"/>
      <c r="D783" s="1619"/>
      <c r="E783" s="1619"/>
      <c r="F783" s="1619" t="s">
        <v>582</v>
      </c>
      <c r="G783" s="1619"/>
      <c r="H783" s="1619"/>
    </row>
    <row r="784" spans="1:8" ht="16" thickBot="1" x14ac:dyDescent="0.25">
      <c r="A784" s="1613"/>
      <c r="B784" s="64" t="s">
        <v>515</v>
      </c>
      <c r="C784" s="64" t="s">
        <v>372</v>
      </c>
      <c r="D784" s="64" t="s">
        <v>583</v>
      </c>
      <c r="E784" s="64" t="s">
        <v>517</v>
      </c>
      <c r="F784" s="64" t="s">
        <v>42</v>
      </c>
      <c r="G784" s="64" t="s">
        <v>515</v>
      </c>
      <c r="H784" s="64" t="s">
        <v>372</v>
      </c>
    </row>
    <row r="785" spans="1:8" x14ac:dyDescent="0.2">
      <c r="A785" s="175" t="s">
        <v>1002</v>
      </c>
      <c r="H785" s="127"/>
    </row>
    <row r="786" spans="1:8" x14ac:dyDescent="0.2">
      <c r="A786" s="126" t="s">
        <v>1240</v>
      </c>
      <c r="B786" s="100">
        <f ca="1">B767/Inputs!F742</f>
        <v>297680.23869556416</v>
      </c>
      <c r="C786" t="s">
        <v>15</v>
      </c>
      <c r="H786" s="127"/>
    </row>
    <row r="787" spans="1:8" x14ac:dyDescent="0.2">
      <c r="A787" s="126" t="s">
        <v>1241</v>
      </c>
      <c r="B787" s="100">
        <f ca="1">B786/Units!C26</f>
        <v>248.06686557963678</v>
      </c>
      <c r="C787" t="s">
        <v>1</v>
      </c>
      <c r="H787" s="127"/>
    </row>
    <row r="788" spans="1:8" x14ac:dyDescent="0.2">
      <c r="A788" s="126" t="s">
        <v>1244</v>
      </c>
      <c r="B788" s="100">
        <f ca="1">B767/(Units!C$15)</f>
        <v>297.68023869556413</v>
      </c>
      <c r="C788" t="s">
        <v>444</v>
      </c>
      <c r="H788" s="127"/>
    </row>
    <row r="789" spans="1:8" x14ac:dyDescent="0.2">
      <c r="A789" s="126" t="s">
        <v>1245</v>
      </c>
      <c r="B789" s="100">
        <f ca="1">B788/B787</f>
        <v>1.2</v>
      </c>
      <c r="C789" t="s">
        <v>1125</v>
      </c>
      <c r="H789" s="127"/>
    </row>
    <row r="790" spans="1:8" x14ac:dyDescent="0.2">
      <c r="A790" s="126" t="s">
        <v>1246</v>
      </c>
      <c r="B790" s="100">
        <f ca="1">1/B789</f>
        <v>0.83333333333333337</v>
      </c>
      <c r="C790" t="s">
        <v>23</v>
      </c>
      <c r="H790" s="127"/>
    </row>
    <row r="791" spans="1:8" x14ac:dyDescent="0.2">
      <c r="A791" s="117"/>
      <c r="B791" s="168"/>
      <c r="C791" s="118"/>
      <c r="D791" s="118"/>
      <c r="E791" s="118"/>
      <c r="F791" s="118"/>
      <c r="G791" s="118"/>
      <c r="H791" s="120"/>
    </row>
    <row r="792" spans="1:8" x14ac:dyDescent="0.2">
      <c r="A792" s="6"/>
    </row>
    <row r="793" spans="1:8" x14ac:dyDescent="0.2">
      <c r="A793" s="109" t="s">
        <v>1247</v>
      </c>
      <c r="B793" s="110">
        <f ca="1">B788*B790</f>
        <v>248.06686557963678</v>
      </c>
      <c r="C793" s="110" t="s">
        <v>1</v>
      </c>
      <c r="D793" s="110">
        <f ca="1">IF(B788&gt;Inputs!F$743,ROUNDUP(B788/Inputs!F$743,0),1)</f>
        <v>10</v>
      </c>
      <c r="E793" s="220"/>
      <c r="F793" s="111"/>
      <c r="G793" s="110"/>
      <c r="H793" s="112"/>
    </row>
    <row r="794" spans="1:8" x14ac:dyDescent="0.2">
      <c r="A794" s="126"/>
      <c r="B794" s="100">
        <f ca="1">B793*Units!C14</f>
        <v>248066.8655796368</v>
      </c>
      <c r="C794" t="s">
        <v>15</v>
      </c>
      <c r="D794">
        <f ca="1">ROUNDUP(D793*2,0)</f>
        <v>20</v>
      </c>
      <c r="E794" s="76"/>
      <c r="F794" s="101"/>
      <c r="G794" s="104"/>
      <c r="H794" s="127"/>
    </row>
    <row r="795" spans="1:8" x14ac:dyDescent="0.2">
      <c r="A795" s="126" t="s">
        <v>1015</v>
      </c>
      <c r="B795" s="100">
        <f ca="1">B794/B790</f>
        <v>297680.23869556416</v>
      </c>
      <c r="C795" t="s">
        <v>267</v>
      </c>
      <c r="E795" s="76"/>
      <c r="F795" s="101"/>
      <c r="G795" s="104"/>
      <c r="H795" s="127"/>
    </row>
    <row r="796" spans="1:8" x14ac:dyDescent="0.2">
      <c r="A796" s="126" t="s">
        <v>529</v>
      </c>
      <c r="B796" s="100">
        <f ca="1">((4*B788)/(Inputs!F$721*Units!C$79))^(1/3)</f>
        <v>6.8101967027157553</v>
      </c>
      <c r="C796" t="s">
        <v>10</v>
      </c>
      <c r="E796" s="76"/>
      <c r="F796" s="154"/>
      <c r="H796" s="127"/>
    </row>
    <row r="797" spans="1:8" x14ac:dyDescent="0.2">
      <c r="A797" s="126" t="s">
        <v>626</v>
      </c>
      <c r="B797" s="100">
        <f ca="1">B796/2</f>
        <v>3.4050983513578776</v>
      </c>
      <c r="C797" t="s">
        <v>10</v>
      </c>
      <c r="E797" s="76"/>
      <c r="F797" s="154"/>
      <c r="H797" s="127"/>
    </row>
    <row r="798" spans="1:8" x14ac:dyDescent="0.2">
      <c r="A798" s="126" t="s">
        <v>609</v>
      </c>
      <c r="B798" s="100">
        <f ca="1">(B796*Inputs!F$721)-(B796/9)+(B796/6)</f>
        <v>8.5505803045208921</v>
      </c>
      <c r="C798" t="s">
        <v>10</v>
      </c>
      <c r="E798" s="76"/>
      <c r="F798" s="141"/>
      <c r="H798" s="127"/>
    </row>
    <row r="799" spans="1:8" x14ac:dyDescent="0.2">
      <c r="A799" s="126" t="s">
        <v>610</v>
      </c>
      <c r="B799">
        <f ca="1">B798/6</f>
        <v>1.4250967174201488</v>
      </c>
      <c r="C799" t="s">
        <v>10</v>
      </c>
      <c r="H799" s="127"/>
    </row>
    <row r="800" spans="1:8" x14ac:dyDescent="0.2">
      <c r="A800" s="126" t="s">
        <v>614</v>
      </c>
      <c r="B800">
        <f ca="1">B796/(B798+B799)</f>
        <v>0.68268015170670049</v>
      </c>
      <c r="H800" s="127"/>
    </row>
    <row r="801" spans="1:8" x14ac:dyDescent="0.2">
      <c r="A801" s="126" t="s">
        <v>628</v>
      </c>
      <c r="B801" s="100">
        <f ca="1">B796</f>
        <v>6.8101967027157553</v>
      </c>
      <c r="C801" t="s">
        <v>10</v>
      </c>
      <c r="H801" s="127"/>
    </row>
    <row r="802" spans="1:8" x14ac:dyDescent="0.2">
      <c r="A802" s="126" t="s">
        <v>627</v>
      </c>
      <c r="B802">
        <f ca="1">B798+B799</f>
        <v>9.9756770219410402</v>
      </c>
      <c r="C802" t="s">
        <v>10</v>
      </c>
      <c r="E802" s="103"/>
      <c r="F802" s="141"/>
      <c r="H802" s="127"/>
    </row>
    <row r="803" spans="1:8" x14ac:dyDescent="0.2">
      <c r="A803" s="126" t="s">
        <v>615</v>
      </c>
      <c r="B803" s="100">
        <f ca="1">2*Units!C$79*(B801/2)*B802+(2*Units!C$79*(B801/2)^2)</f>
        <v>286.2798088408689</v>
      </c>
      <c r="C803" t="s">
        <v>7</v>
      </c>
      <c r="H803" s="127"/>
    </row>
    <row r="804" spans="1:8" x14ac:dyDescent="0.2">
      <c r="A804" s="117" t="s">
        <v>612</v>
      </c>
      <c r="B804" s="118">
        <v>0.5</v>
      </c>
      <c r="C804" s="118" t="s">
        <v>10</v>
      </c>
      <c r="D804" s="118"/>
      <c r="E804" s="118"/>
      <c r="F804" s="118"/>
      <c r="G804" s="118"/>
      <c r="H804" s="120"/>
    </row>
    <row r="806" spans="1:8" x14ac:dyDescent="0.2">
      <c r="A806" s="109" t="s">
        <v>1015</v>
      </c>
      <c r="B806" s="160">
        <f ca="1">B794/Inputs!F718</f>
        <v>62016.716394909199</v>
      </c>
      <c r="C806" s="110" t="s">
        <v>267</v>
      </c>
      <c r="D806" s="173"/>
      <c r="E806" s="220"/>
      <c r="F806" s="174"/>
      <c r="G806" s="110"/>
      <c r="H806" s="112"/>
    </row>
    <row r="807" spans="1:8" x14ac:dyDescent="0.2">
      <c r="A807" s="126"/>
      <c r="B807" s="100">
        <f ca="1">B806*Units!C$13/(Units!C$3*Units!C$56)</f>
        <v>273.08109376886478</v>
      </c>
      <c r="C807" t="s">
        <v>1230</v>
      </c>
      <c r="E807" s="76"/>
      <c r="F807" s="101"/>
      <c r="H807" s="127"/>
    </row>
    <row r="808" spans="1:8" x14ac:dyDescent="0.2">
      <c r="A808" s="126"/>
      <c r="E808" s="76"/>
      <c r="F808" s="101"/>
      <c r="H808" s="127"/>
    </row>
    <row r="809" spans="1:8" x14ac:dyDescent="0.2">
      <c r="A809" s="117"/>
      <c r="B809" s="118"/>
      <c r="C809" s="118"/>
      <c r="D809" s="118"/>
      <c r="E809" s="248"/>
      <c r="F809" s="119"/>
      <c r="G809" s="118"/>
      <c r="H809" s="120"/>
    </row>
    <row r="810" spans="1:8" x14ac:dyDescent="0.2">
      <c r="A810" s="126" t="s">
        <v>1231</v>
      </c>
      <c r="B810" s="100">
        <f ca="1">B806*Units!C67*ABS(Inputs!F$746-Inputs!F$732)</f>
        <v>29854227.105345339</v>
      </c>
      <c r="C810" t="s">
        <v>1017</v>
      </c>
      <c r="E810" s="76"/>
      <c r="F810" s="101"/>
      <c r="H810" s="127"/>
    </row>
    <row r="811" spans="1:8" x14ac:dyDescent="0.2">
      <c r="A811" s="126"/>
      <c r="B811" s="100">
        <f ca="1">B810/(Units!C$64*Units!C$85)</f>
        <v>28.296236332858168</v>
      </c>
      <c r="C811" t="s">
        <v>999</v>
      </c>
      <c r="E811" s="76"/>
      <c r="F811" s="101"/>
      <c r="H811" s="127"/>
    </row>
    <row r="812" spans="1:8" x14ac:dyDescent="0.2">
      <c r="A812" s="175"/>
      <c r="B812" s="6"/>
      <c r="C812" s="6"/>
      <c r="D812" s="6"/>
      <c r="E812" s="76"/>
      <c r="F812" s="101"/>
      <c r="H812" s="127"/>
    </row>
    <row r="813" spans="1:8" x14ac:dyDescent="0.2">
      <c r="A813" s="176"/>
      <c r="B813" s="177"/>
      <c r="C813" s="177"/>
      <c r="D813" s="177"/>
      <c r="E813" s="178"/>
      <c r="F813" s="119"/>
      <c r="G813" s="118"/>
      <c r="H813" s="120"/>
    </row>
    <row r="817" spans="1:8" x14ac:dyDescent="0.2">
      <c r="A817" s="109" t="s">
        <v>3008</v>
      </c>
      <c r="B817" s="110"/>
      <c r="C817" s="110"/>
      <c r="D817" s="110"/>
      <c r="E817" s="110"/>
      <c r="F817" s="110"/>
      <c r="G817" s="110"/>
      <c r="H817" s="112"/>
    </row>
    <row r="818" spans="1:8" x14ac:dyDescent="0.2">
      <c r="A818" s="126"/>
      <c r="H818" s="127"/>
    </row>
    <row r="819" spans="1:8" x14ac:dyDescent="0.2">
      <c r="A819" s="1119">
        <f ca="1">ExpBase!E1879*Units!C67*ABS(Inputs!D723-Inputs!H725)</f>
        <v>1151791.1086234483</v>
      </c>
      <c r="B819" t="s">
        <v>1017</v>
      </c>
      <c r="H819" s="127"/>
    </row>
    <row r="820" spans="1:8" x14ac:dyDescent="0.2">
      <c r="A820" s="126">
        <f ca="1">A819/(Units!C$64*Units!C$85)</f>
        <v>1.0916830404180315</v>
      </c>
      <c r="B820" t="s">
        <v>999</v>
      </c>
      <c r="H820" s="127"/>
    </row>
    <row r="821" spans="1:8" x14ac:dyDescent="0.2">
      <c r="A821" s="126">
        <f ca="1">A820*1000000</f>
        <v>1091683.0404180316</v>
      </c>
      <c r="B821" t="s">
        <v>2445</v>
      </c>
      <c r="H821" s="127"/>
    </row>
    <row r="822" spans="1:8" x14ac:dyDescent="0.2">
      <c r="A822" s="117"/>
      <c r="B822" s="118"/>
      <c r="C822" s="118"/>
      <c r="D822" s="118"/>
      <c r="E822" s="118"/>
      <c r="F822" s="118"/>
      <c r="G822" s="118"/>
      <c r="H822" s="120"/>
    </row>
    <row r="825" spans="1:8" x14ac:dyDescent="0.2">
      <c r="A825" s="6"/>
      <c r="B825" s="6"/>
      <c r="C825" s="6"/>
      <c r="D825" s="6"/>
      <c r="E825" s="6"/>
      <c r="F825" s="6"/>
      <c r="G825" s="6"/>
      <c r="H825" s="6"/>
    </row>
    <row r="826" spans="1:8" x14ac:dyDescent="0.2">
      <c r="A826" s="76"/>
      <c r="B826" s="76"/>
      <c r="C826" s="76"/>
      <c r="D826" s="76"/>
      <c r="E826" s="76"/>
      <c r="F826" s="76"/>
      <c r="G826" s="76"/>
      <c r="H826" s="76"/>
    </row>
    <row r="827" spans="1:8" x14ac:dyDescent="0.2">
      <c r="A827" s="76"/>
      <c r="B827" s="76"/>
      <c r="C827" s="76"/>
      <c r="D827" s="76"/>
      <c r="E827" s="76"/>
      <c r="F827" s="76"/>
      <c r="G827" s="76"/>
      <c r="H827" s="76"/>
    </row>
    <row r="829" spans="1:8" x14ac:dyDescent="0.2">
      <c r="A829" s="6"/>
      <c r="B829" s="100"/>
    </row>
    <row r="830" spans="1:8" x14ac:dyDescent="0.2">
      <c r="B830" s="100"/>
    </row>
    <row r="831" spans="1:8" x14ac:dyDescent="0.2">
      <c r="A831" s="6"/>
      <c r="B831" s="100"/>
    </row>
    <row r="833" spans="1:2" x14ac:dyDescent="0.2">
      <c r="A833" s="6"/>
      <c r="B833" s="1120"/>
    </row>
    <row r="835" spans="1:2" x14ac:dyDescent="0.2">
      <c r="B835" s="100"/>
    </row>
    <row r="837" spans="1:2" x14ac:dyDescent="0.2">
      <c r="A837" s="6"/>
    </row>
    <row r="839" spans="1:2" x14ac:dyDescent="0.2">
      <c r="B839" s="33"/>
    </row>
    <row r="840" spans="1:2" x14ac:dyDescent="0.2">
      <c r="B840" s="33"/>
    </row>
    <row r="842" spans="1:2" x14ac:dyDescent="0.2">
      <c r="A842" s="6"/>
      <c r="B842" s="100"/>
    </row>
    <row r="843" spans="1:2" x14ac:dyDescent="0.2">
      <c r="B843" s="100"/>
    </row>
    <row r="845" spans="1:2" x14ac:dyDescent="0.2">
      <c r="A845" s="6"/>
      <c r="B845" s="1120"/>
    </row>
    <row r="847" spans="1:2" x14ac:dyDescent="0.2">
      <c r="B847" s="100"/>
    </row>
    <row r="849" spans="1:2" x14ac:dyDescent="0.2">
      <c r="A849" s="6"/>
    </row>
    <row r="850" spans="1:2" x14ac:dyDescent="0.2">
      <c r="B850" s="100"/>
    </row>
    <row r="851" spans="1:2" x14ac:dyDescent="0.2">
      <c r="B851" s="100"/>
    </row>
    <row r="852" spans="1:2" x14ac:dyDescent="0.2">
      <c r="B852" s="100"/>
    </row>
  </sheetData>
  <mergeCells count="108">
    <mergeCell ref="A782:H782"/>
    <mergeCell ref="A783:A784"/>
    <mergeCell ref="B783:E783"/>
    <mergeCell ref="F783:H783"/>
    <mergeCell ref="A620:H620"/>
    <mergeCell ref="A69:H69"/>
    <mergeCell ref="A70:A71"/>
    <mergeCell ref="B70:E70"/>
    <mergeCell ref="F70:H70"/>
    <mergeCell ref="A167:H167"/>
    <mergeCell ref="A168:A169"/>
    <mergeCell ref="B168:E168"/>
    <mergeCell ref="F168:H168"/>
    <mergeCell ref="E691:E692"/>
    <mergeCell ref="A677:H677"/>
    <mergeCell ref="A678:A679"/>
    <mergeCell ref="B678:E678"/>
    <mergeCell ref="F678:H678"/>
    <mergeCell ref="E682:E683"/>
    <mergeCell ref="A621:A622"/>
    <mergeCell ref="B621:E621"/>
    <mergeCell ref="F621:H621"/>
    <mergeCell ref="E685:E686"/>
    <mergeCell ref="E688:E689"/>
    <mergeCell ref="A326:H326"/>
    <mergeCell ref="A735:H735"/>
    <mergeCell ref="A736:A737"/>
    <mergeCell ref="B736:E736"/>
    <mergeCell ref="F736:H736"/>
    <mergeCell ref="E713:E714"/>
    <mergeCell ref="E722:E724"/>
    <mergeCell ref="E727:E728"/>
    <mergeCell ref="F707:H707"/>
    <mergeCell ref="B707:E707"/>
    <mergeCell ref="A707:A708"/>
    <mergeCell ref="A706:H706"/>
    <mergeCell ref="E710:E711"/>
    <mergeCell ref="A590:H590"/>
    <mergeCell ref="A591:A592"/>
    <mergeCell ref="B591:E591"/>
    <mergeCell ref="F591:H591"/>
    <mergeCell ref="E439:E440"/>
    <mergeCell ref="E428:E430"/>
    <mergeCell ref="A412:H412"/>
    <mergeCell ref="A413:A414"/>
    <mergeCell ref="B413:E413"/>
    <mergeCell ref="F413:H413"/>
    <mergeCell ref="A368:A369"/>
    <mergeCell ref="S1:AH2"/>
    <mergeCell ref="A1:P2"/>
    <mergeCell ref="E291:E292"/>
    <mergeCell ref="E300:E302"/>
    <mergeCell ref="E305:E306"/>
    <mergeCell ref="E311:E312"/>
    <mergeCell ref="A7:A8"/>
    <mergeCell ref="B285:E285"/>
    <mergeCell ref="F285:H285"/>
    <mergeCell ref="E288:E289"/>
    <mergeCell ref="B7:E7"/>
    <mergeCell ref="A6:E6"/>
    <mergeCell ref="A59:H59"/>
    <mergeCell ref="A60:A61"/>
    <mergeCell ref="B60:E60"/>
    <mergeCell ref="F60:H60"/>
    <mergeCell ref="E416:E417"/>
    <mergeCell ref="F462:H462"/>
    <mergeCell ref="E373:E377"/>
    <mergeCell ref="A461:H461"/>
    <mergeCell ref="A462:A463"/>
    <mergeCell ref="B462:E462"/>
    <mergeCell ref="A284:H284"/>
    <mergeCell ref="A285:A286"/>
    <mergeCell ref="A227:H227"/>
    <mergeCell ref="A228:A229"/>
    <mergeCell ref="B228:E228"/>
    <mergeCell ref="F228:H228"/>
    <mergeCell ref="E419:E420"/>
    <mergeCell ref="A367:H367"/>
    <mergeCell ref="A327:A328"/>
    <mergeCell ref="B368:E368"/>
    <mergeCell ref="F368:H368"/>
    <mergeCell ref="E342:E344"/>
    <mergeCell ref="E347:E348"/>
    <mergeCell ref="E353:E354"/>
    <mergeCell ref="B327:E327"/>
    <mergeCell ref="F327:H327"/>
    <mergeCell ref="E330:E331"/>
    <mergeCell ref="E333:E334"/>
    <mergeCell ref="E774:E775"/>
    <mergeCell ref="E777:E778"/>
    <mergeCell ref="A763:H763"/>
    <mergeCell ref="A764:A765"/>
    <mergeCell ref="B764:E764"/>
    <mergeCell ref="F764:H764"/>
    <mergeCell ref="E768:E769"/>
    <mergeCell ref="E771:E772"/>
    <mergeCell ref="E741:E742"/>
    <mergeCell ref="E433:E434"/>
    <mergeCell ref="E569:E570"/>
    <mergeCell ref="E490:E491"/>
    <mergeCell ref="E497:E499"/>
    <mergeCell ref="E503:E506"/>
    <mergeCell ref="E557:E558"/>
    <mergeCell ref="E560:E561"/>
    <mergeCell ref="A553:H553"/>
    <mergeCell ref="A554:A555"/>
    <mergeCell ref="B554:E554"/>
    <mergeCell ref="F554:H554"/>
  </mergeCells>
  <phoneticPr fontId="5" type="noConversion"/>
  <pageMargins left="0.7" right="0.7" top="0.75" bottom="0.75" header="0.3" footer="0.3"/>
  <pageSetup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20AB4-A136-4966-90A8-9F4C0CD4B78A}">
  <sheetPr codeName="Sheet11"/>
  <dimension ref="A1:P140"/>
  <sheetViews>
    <sheetView workbookViewId="0">
      <selection activeCell="O51" sqref="O51"/>
    </sheetView>
  </sheetViews>
  <sheetFormatPr baseColWidth="10" defaultColWidth="8.83203125" defaultRowHeight="15" x14ac:dyDescent="0.2"/>
  <cols>
    <col min="1" max="1" width="18" customWidth="1"/>
    <col min="2" max="2" width="43.83203125" customWidth="1"/>
    <col min="3" max="3" width="12.1640625" customWidth="1"/>
    <col min="4" max="4" width="18" bestFit="1" customWidth="1"/>
    <col min="6" max="6" width="13.33203125" bestFit="1" customWidth="1"/>
    <col min="12" max="12" width="19.1640625" customWidth="1"/>
    <col min="13" max="13" width="15.83203125" customWidth="1"/>
    <col min="14" max="14" width="11.1640625" customWidth="1"/>
  </cols>
  <sheetData>
    <row r="1" spans="1:16" x14ac:dyDescent="0.2">
      <c r="A1" s="1663" t="s">
        <v>3296</v>
      </c>
      <c r="B1" s="1664"/>
      <c r="C1" s="1664"/>
      <c r="D1" s="1664"/>
      <c r="E1" s="1664"/>
      <c r="F1" s="1664"/>
      <c r="G1" s="1664"/>
      <c r="H1" s="1664"/>
      <c r="I1" s="1664"/>
      <c r="J1" s="1664"/>
      <c r="K1" s="1664"/>
      <c r="L1" s="1664"/>
      <c r="M1" s="1664"/>
      <c r="N1" s="1664"/>
      <c r="O1" s="1664"/>
      <c r="P1" s="1665"/>
    </row>
    <row r="2" spans="1:16" ht="16" thickBot="1" x14ac:dyDescent="0.25">
      <c r="A2" s="1666"/>
      <c r="B2" s="1667"/>
      <c r="C2" s="1667"/>
      <c r="D2" s="1667"/>
      <c r="E2" s="1667"/>
      <c r="F2" s="1667"/>
      <c r="G2" s="1667"/>
      <c r="H2" s="1667"/>
      <c r="I2" s="1667"/>
      <c r="J2" s="1667"/>
      <c r="K2" s="1667"/>
      <c r="L2" s="1667"/>
      <c r="M2" s="1667"/>
      <c r="N2" s="1667"/>
      <c r="O2" s="1667"/>
      <c r="P2" s="1668"/>
    </row>
    <row r="4" spans="1:16" x14ac:dyDescent="0.2">
      <c r="A4" s="29" t="s">
        <v>580</v>
      </c>
      <c r="B4" s="29" t="s">
        <v>50</v>
      </c>
      <c r="C4" s="29" t="s">
        <v>372</v>
      </c>
      <c r="D4" s="29" t="s">
        <v>42</v>
      </c>
    </row>
    <row r="5" spans="1:16" x14ac:dyDescent="0.2">
      <c r="A5" s="221" t="s">
        <v>1521</v>
      </c>
      <c r="B5" s="221"/>
      <c r="C5" s="221"/>
      <c r="D5" s="221"/>
    </row>
    <row r="6" spans="1:16" x14ac:dyDescent="0.2">
      <c r="A6" s="188" t="s">
        <v>585</v>
      </c>
      <c r="B6" s="110" t="s">
        <v>1513</v>
      </c>
      <c r="C6" s="110" t="s">
        <v>1512</v>
      </c>
      <c r="D6" s="112">
        <v>500</v>
      </c>
    </row>
    <row r="7" spans="1:16" x14ac:dyDescent="0.2">
      <c r="A7" s="126"/>
      <c r="C7" t="s">
        <v>1514</v>
      </c>
      <c r="D7" s="127">
        <f>D6*Units!C45</f>
        <v>453592.5</v>
      </c>
    </row>
    <row r="8" spans="1:16" x14ac:dyDescent="0.2">
      <c r="A8" s="126"/>
      <c r="C8" t="s">
        <v>267</v>
      </c>
      <c r="D8" s="1121">
        <f>D7/Units!C55</f>
        <v>18899.6875</v>
      </c>
    </row>
    <row r="9" spans="1:16" x14ac:dyDescent="0.2">
      <c r="A9" s="117"/>
      <c r="B9" s="118"/>
      <c r="C9" s="118" t="s">
        <v>444</v>
      </c>
      <c r="D9" s="120">
        <f>D8/Units!C18</f>
        <v>17.999702380952382</v>
      </c>
    </row>
    <row r="10" spans="1:16" x14ac:dyDescent="0.2">
      <c r="A10" s="126" t="s">
        <v>3300</v>
      </c>
      <c r="B10" t="s">
        <v>1524</v>
      </c>
      <c r="C10" t="s">
        <v>763</v>
      </c>
      <c r="D10" s="1121">
        <v>808437</v>
      </c>
    </row>
    <row r="11" spans="1:16" x14ac:dyDescent="0.2">
      <c r="A11" s="117" t="s">
        <v>3297</v>
      </c>
      <c r="B11" s="118" t="s">
        <v>1529</v>
      </c>
      <c r="C11" s="118" t="s">
        <v>1530</v>
      </c>
      <c r="D11" s="1123">
        <f>D9/D10</f>
        <v>2.2264817643121706E-5</v>
      </c>
    </row>
    <row r="12" spans="1:16" x14ac:dyDescent="0.2">
      <c r="A12" s="188" t="s">
        <v>1515</v>
      </c>
      <c r="B12" s="179" t="s">
        <v>1518</v>
      </c>
      <c r="C12" s="110"/>
      <c r="D12" s="112"/>
    </row>
    <row r="13" spans="1:16" x14ac:dyDescent="0.2">
      <c r="A13" s="175" t="s">
        <v>584</v>
      </c>
      <c r="B13" t="s">
        <v>1516</v>
      </c>
      <c r="C13" t="s">
        <v>763</v>
      </c>
      <c r="D13" s="1121">
        <v>250000</v>
      </c>
    </row>
    <row r="14" spans="1:16" x14ac:dyDescent="0.2">
      <c r="A14" s="126"/>
      <c r="B14" s="1124" t="s">
        <v>1517</v>
      </c>
      <c r="C14" t="s">
        <v>1514</v>
      </c>
      <c r="D14" s="268">
        <f>D13*Inputs!F4</f>
        <v>13450000</v>
      </c>
    </row>
    <row r="15" spans="1:16" x14ac:dyDescent="0.2">
      <c r="A15" s="126"/>
      <c r="C15" t="s">
        <v>267</v>
      </c>
      <c r="D15" s="268">
        <f>D14/Units!C55</f>
        <v>560416.66666666663</v>
      </c>
    </row>
    <row r="16" spans="1:16" x14ac:dyDescent="0.2">
      <c r="A16" s="126"/>
      <c r="C16" t="s">
        <v>444</v>
      </c>
      <c r="D16" s="268">
        <f>D15/Units!C18</f>
        <v>533.73015873015868</v>
      </c>
    </row>
    <row r="17" spans="1:6" x14ac:dyDescent="0.2">
      <c r="A17" s="126"/>
      <c r="B17" t="s">
        <v>577</v>
      </c>
      <c r="C17" t="s">
        <v>444</v>
      </c>
      <c r="D17" s="268">
        <f>D9+D16</f>
        <v>551.72986111111106</v>
      </c>
    </row>
    <row r="18" spans="1:6" x14ac:dyDescent="0.2">
      <c r="A18" s="117"/>
      <c r="B18" s="118" t="s">
        <v>1519</v>
      </c>
      <c r="C18" s="118" t="s">
        <v>332</v>
      </c>
      <c r="D18" s="120">
        <v>182</v>
      </c>
    </row>
    <row r="19" spans="1:6" x14ac:dyDescent="0.2">
      <c r="A19" s="30" t="s">
        <v>3298</v>
      </c>
      <c r="B19" s="31" t="s">
        <v>3299</v>
      </c>
      <c r="C19" s="31"/>
      <c r="D19" s="1125">
        <f>D8/D15</f>
        <v>3.3724349442379183E-2</v>
      </c>
    </row>
    <row r="21" spans="1:6" x14ac:dyDescent="0.2">
      <c r="A21" s="221" t="s">
        <v>1520</v>
      </c>
      <c r="B21" s="221"/>
      <c r="C21" s="221"/>
      <c r="D21" s="221"/>
    </row>
    <row r="22" spans="1:6" x14ac:dyDescent="0.2">
      <c r="A22" s="188" t="s">
        <v>585</v>
      </c>
      <c r="B22" s="110" t="s">
        <v>1513</v>
      </c>
      <c r="C22" s="110" t="s">
        <v>1522</v>
      </c>
      <c r="D22" s="287">
        <v>138955</v>
      </c>
    </row>
    <row r="23" spans="1:6" x14ac:dyDescent="0.2">
      <c r="A23" s="126"/>
      <c r="C23" t="s">
        <v>566</v>
      </c>
      <c r="D23" s="268">
        <f>D22*Units!C45</f>
        <v>126057891.675</v>
      </c>
    </row>
    <row r="24" spans="1:6" x14ac:dyDescent="0.2">
      <c r="A24" s="126"/>
      <c r="C24" t="s">
        <v>267</v>
      </c>
      <c r="D24" s="268">
        <f>D23/(Units!C52*Units!C55)</f>
        <v>14390.170282534245</v>
      </c>
    </row>
    <row r="25" spans="1:6" x14ac:dyDescent="0.2">
      <c r="A25" s="117"/>
      <c r="B25" s="118"/>
      <c r="C25" s="118" t="s">
        <v>444</v>
      </c>
      <c r="D25" s="269">
        <f>D24/Units!C18</f>
        <v>13.704924078604042</v>
      </c>
      <c r="F25" s="201"/>
    </row>
    <row r="26" spans="1:6" x14ac:dyDescent="0.2">
      <c r="A26" s="109" t="s">
        <v>3300</v>
      </c>
      <c r="B26" s="110" t="s">
        <v>1523</v>
      </c>
      <c r="C26" s="110" t="s">
        <v>763</v>
      </c>
      <c r="D26" s="287">
        <v>974447</v>
      </c>
    </row>
    <row r="27" spans="1:6" x14ac:dyDescent="0.2">
      <c r="A27" s="117" t="s">
        <v>3301</v>
      </c>
      <c r="B27" s="118" t="s">
        <v>1529</v>
      </c>
      <c r="C27" s="118" t="s">
        <v>1530</v>
      </c>
      <c r="D27" s="1123">
        <f>D25/D26</f>
        <v>1.4064309376091304E-5</v>
      </c>
    </row>
    <row r="28" spans="1:6" x14ac:dyDescent="0.2">
      <c r="D28" s="243"/>
    </row>
    <row r="30" spans="1:6" x14ac:dyDescent="0.2">
      <c r="A30" s="221" t="s">
        <v>1528</v>
      </c>
      <c r="B30" s="14"/>
      <c r="C30" s="14"/>
      <c r="D30" s="14"/>
    </row>
    <row r="31" spans="1:6" x14ac:dyDescent="0.2">
      <c r="A31" s="188" t="s">
        <v>585</v>
      </c>
      <c r="B31" s="110" t="s">
        <v>1513</v>
      </c>
      <c r="C31" s="110" t="s">
        <v>1525</v>
      </c>
      <c r="D31" s="112">
        <v>1800</v>
      </c>
    </row>
    <row r="32" spans="1:6" x14ac:dyDescent="0.2">
      <c r="A32" s="126"/>
      <c r="C32" t="s">
        <v>1526</v>
      </c>
      <c r="D32" s="127">
        <f>D31*Units!C45</f>
        <v>1632933</v>
      </c>
    </row>
    <row r="33" spans="1:6" x14ac:dyDescent="0.2">
      <c r="A33" s="126"/>
      <c r="C33" t="s">
        <v>267</v>
      </c>
      <c r="D33" s="127">
        <f>D32/(Units!C54*Units!C55)</f>
        <v>2267.9625000000001</v>
      </c>
    </row>
    <row r="34" spans="1:6" x14ac:dyDescent="0.2">
      <c r="A34" s="117"/>
      <c r="B34" s="118"/>
      <c r="C34" s="118" t="s">
        <v>444</v>
      </c>
      <c r="D34" s="120">
        <f>D33/Units!C18</f>
        <v>2.159964285714286</v>
      </c>
    </row>
    <row r="35" spans="1:6" x14ac:dyDescent="0.2">
      <c r="A35" s="109" t="s">
        <v>3300</v>
      </c>
      <c r="B35" s="110" t="s">
        <v>1527</v>
      </c>
      <c r="C35" s="110" t="s">
        <v>763</v>
      </c>
      <c r="D35" s="112">
        <v>118950</v>
      </c>
    </row>
    <row r="36" spans="1:6" x14ac:dyDescent="0.2">
      <c r="A36" s="117" t="s">
        <v>3297</v>
      </c>
      <c r="B36" s="118" t="s">
        <v>1529</v>
      </c>
      <c r="C36" s="118" t="s">
        <v>1530</v>
      </c>
      <c r="D36" s="120">
        <f>D34/D35</f>
        <v>1.8158590043835949E-5</v>
      </c>
    </row>
    <row r="38" spans="1:6" x14ac:dyDescent="0.2">
      <c r="A38" s="221" t="s">
        <v>1531</v>
      </c>
      <c r="B38" s="14"/>
      <c r="C38" s="14"/>
      <c r="D38" s="14"/>
    </row>
    <row r="39" spans="1:6" x14ac:dyDescent="0.2">
      <c r="A39" s="188" t="s">
        <v>585</v>
      </c>
      <c r="B39" s="110" t="s">
        <v>1532</v>
      </c>
      <c r="C39" s="110" t="s">
        <v>267</v>
      </c>
      <c r="D39" s="277">
        <f>Inputs!D13*Inputs!D14</f>
        <v>15000</v>
      </c>
    </row>
    <row r="40" spans="1:6" x14ac:dyDescent="0.2">
      <c r="A40" s="117"/>
      <c r="B40" s="118"/>
      <c r="C40" s="118" t="s">
        <v>444</v>
      </c>
      <c r="D40" s="269">
        <f>D39/Units!C18</f>
        <v>14.285714285714286</v>
      </c>
      <c r="F40" s="100"/>
    </row>
    <row r="41" spans="1:6" x14ac:dyDescent="0.2">
      <c r="A41" s="109" t="s">
        <v>3300</v>
      </c>
      <c r="B41" s="110" t="s">
        <v>1533</v>
      </c>
      <c r="C41" s="110" t="s">
        <v>763</v>
      </c>
      <c r="D41" s="112">
        <v>359000</v>
      </c>
    </row>
    <row r="42" spans="1:6" x14ac:dyDescent="0.2">
      <c r="A42" s="117" t="s">
        <v>3301</v>
      </c>
      <c r="B42" s="118" t="s">
        <v>1529</v>
      </c>
      <c r="C42" s="118" t="s">
        <v>1530</v>
      </c>
      <c r="D42" s="1126">
        <f>D40/D41</f>
        <v>3.979307600477517E-5</v>
      </c>
    </row>
    <row r="44" spans="1:6" x14ac:dyDescent="0.2">
      <c r="A44" s="276" t="s">
        <v>1534</v>
      </c>
      <c r="B44" s="275"/>
      <c r="C44" s="275"/>
      <c r="D44" s="275"/>
    </row>
    <row r="45" spans="1:6" x14ac:dyDescent="0.2">
      <c r="A45" s="109" t="s">
        <v>1535</v>
      </c>
      <c r="B45" s="110" t="s">
        <v>1536</v>
      </c>
      <c r="C45" s="110" t="s">
        <v>1530</v>
      </c>
      <c r="D45" s="1127">
        <f>AVERAGE(D11,D27,D36,D42)</f>
        <v>2.3570198266956035E-5</v>
      </c>
    </row>
    <row r="46" spans="1:6" x14ac:dyDescent="0.2">
      <c r="A46" s="117" t="s">
        <v>1548</v>
      </c>
      <c r="B46" s="118" t="s">
        <v>1549</v>
      </c>
      <c r="C46" s="118" t="s">
        <v>1530</v>
      </c>
      <c r="D46" s="1126">
        <f>_xlfn.STDEV.P(D11,D27,D36,D42)</f>
        <v>9.8047591484354708E-6</v>
      </c>
    </row>
    <row r="47" spans="1:6" x14ac:dyDescent="0.2">
      <c r="A47" s="109" t="s">
        <v>1537</v>
      </c>
      <c r="B47" s="110" t="s">
        <v>1538</v>
      </c>
      <c r="C47" s="110" t="s">
        <v>1465</v>
      </c>
      <c r="D47" s="287">
        <f>333300000</f>
        <v>333300000</v>
      </c>
    </row>
    <row r="48" spans="1:6" x14ac:dyDescent="0.2">
      <c r="A48" s="126" t="s">
        <v>1539</v>
      </c>
      <c r="B48" t="s">
        <v>1540</v>
      </c>
      <c r="C48" t="s">
        <v>444</v>
      </c>
      <c r="D48" s="1121">
        <f>D45*D47</f>
        <v>7855.9470823764459</v>
      </c>
    </row>
    <row r="49" spans="1:6" x14ac:dyDescent="0.2">
      <c r="A49" s="117"/>
      <c r="B49" s="118"/>
      <c r="C49" s="118" t="s">
        <v>267</v>
      </c>
      <c r="D49" s="269">
        <f>D48*1050</f>
        <v>8248744.4364952678</v>
      </c>
      <c r="F49" s="100"/>
    </row>
    <row r="50" spans="1:6" x14ac:dyDescent="0.2">
      <c r="A50" s="109" t="s">
        <v>1541</v>
      </c>
      <c r="B50" s="110" t="s">
        <v>1542</v>
      </c>
      <c r="C50" s="110" t="s">
        <v>1543</v>
      </c>
      <c r="D50" s="112">
        <f>28200000</f>
        <v>28200000</v>
      </c>
    </row>
    <row r="51" spans="1:6" x14ac:dyDescent="0.2">
      <c r="A51" s="126" t="s">
        <v>1544</v>
      </c>
      <c r="B51" t="s">
        <v>1545</v>
      </c>
      <c r="C51" t="s">
        <v>1514</v>
      </c>
      <c r="D51" s="127">
        <f>Inputs!F4*D50</f>
        <v>1517160000</v>
      </c>
    </row>
    <row r="52" spans="1:6" x14ac:dyDescent="0.2">
      <c r="A52" s="117"/>
      <c r="B52" s="118"/>
      <c r="C52" s="118" t="s">
        <v>444</v>
      </c>
      <c r="D52" s="278">
        <f>D51/(Units!C18*Units!C55)</f>
        <v>60204.761904761908</v>
      </c>
    </row>
    <row r="53" spans="1:6" x14ac:dyDescent="0.2">
      <c r="A53" s="109" t="s">
        <v>1546</v>
      </c>
      <c r="B53" s="110" t="s">
        <v>1547</v>
      </c>
      <c r="C53" s="110" t="s">
        <v>1081</v>
      </c>
      <c r="D53" s="1122">
        <f>D48/D52</f>
        <v>0.13048713812378815</v>
      </c>
    </row>
    <row r="54" spans="1:6" x14ac:dyDescent="0.2">
      <c r="A54" s="126"/>
      <c r="D54" s="127"/>
    </row>
    <row r="55" spans="1:6" x14ac:dyDescent="0.2">
      <c r="A55" s="126"/>
      <c r="B55" t="s">
        <v>1947</v>
      </c>
      <c r="C55" t="s">
        <v>1522</v>
      </c>
      <c r="D55" s="268">
        <f>D48*Units!C18/Units!C45*Units!C55*Units!C52</f>
        <v>79651891.580767468</v>
      </c>
    </row>
    <row r="56" spans="1:6" x14ac:dyDescent="0.2">
      <c r="A56" s="117"/>
      <c r="B56" s="118" t="s">
        <v>1948</v>
      </c>
      <c r="C56" s="118" t="s">
        <v>1522</v>
      </c>
      <c r="D56" s="269">
        <f>(D48+(D46*D47))*Units!C18/Units!C45*Units!C55*Units!C52</f>
        <v>112785580.31013168</v>
      </c>
    </row>
    <row r="57" spans="1:6" x14ac:dyDescent="0.2">
      <c r="A57" s="109" t="s">
        <v>586</v>
      </c>
      <c r="B57" s="110" t="s">
        <v>1954</v>
      </c>
      <c r="C57" s="110" t="s">
        <v>444</v>
      </c>
      <c r="D57" s="277">
        <f>D52+D48</f>
        <v>68060.70898713835</v>
      </c>
    </row>
    <row r="58" spans="1:6" x14ac:dyDescent="0.2">
      <c r="A58" s="126"/>
      <c r="C58" t="s">
        <v>267</v>
      </c>
      <c r="D58" s="268">
        <f>D57*Units!C18</f>
        <v>71463744.436495274</v>
      </c>
    </row>
    <row r="59" spans="1:6" x14ac:dyDescent="0.2">
      <c r="A59" s="117"/>
      <c r="B59" s="118"/>
      <c r="C59" s="118"/>
      <c r="D59" s="120"/>
    </row>
    <row r="60" spans="1:6" x14ac:dyDescent="0.2">
      <c r="A60" s="109" t="s">
        <v>1952</v>
      </c>
      <c r="B60" s="110" t="s">
        <v>1953</v>
      </c>
      <c r="C60" s="110" t="s">
        <v>1522</v>
      </c>
      <c r="D60" s="287">
        <f>1560000000</f>
        <v>1560000000</v>
      </c>
    </row>
    <row r="61" spans="1:6" x14ac:dyDescent="0.2">
      <c r="A61" s="126"/>
      <c r="C61" t="s">
        <v>267</v>
      </c>
      <c r="D61" s="268">
        <f>D60*Units!C45/(Units!C52*Units!C55)</f>
        <v>161553493.15068492</v>
      </c>
    </row>
    <row r="62" spans="1:6" x14ac:dyDescent="0.2">
      <c r="A62" s="117"/>
      <c r="B62" s="118"/>
      <c r="C62" s="118" t="s">
        <v>444</v>
      </c>
      <c r="D62" s="269">
        <f>D61/Units!C18</f>
        <v>153860.46966731898</v>
      </c>
    </row>
    <row r="63" spans="1:6" x14ac:dyDescent="0.2">
      <c r="A63" s="109" t="s">
        <v>1955</v>
      </c>
      <c r="B63" s="110" t="s">
        <v>1956</v>
      </c>
      <c r="C63" s="110" t="s">
        <v>444</v>
      </c>
      <c r="D63" s="277">
        <f>D62+D48</f>
        <v>161716.41674969543</v>
      </c>
    </row>
    <row r="64" spans="1:6" x14ac:dyDescent="0.2">
      <c r="A64" s="126"/>
      <c r="C64" t="s">
        <v>267</v>
      </c>
      <c r="D64" s="268">
        <f>D63*Units!C18</f>
        <v>169802237.5871802</v>
      </c>
      <c r="F64" s="100"/>
    </row>
    <row r="65" spans="1:6" x14ac:dyDescent="0.2">
      <c r="A65" s="117"/>
      <c r="B65" s="118" t="s">
        <v>1957</v>
      </c>
      <c r="C65" s="118" t="s">
        <v>1081</v>
      </c>
      <c r="D65" s="120">
        <f>D48/D63</f>
        <v>4.8578537913908121E-2</v>
      </c>
      <c r="F65" s="995"/>
    </row>
    <row r="69" spans="1:6" x14ac:dyDescent="0.2">
      <c r="A69" s="1128" t="s">
        <v>1521</v>
      </c>
      <c r="B69" s="27">
        <f>D9*Inputs!F3</f>
        <v>143997.61904761905</v>
      </c>
      <c r="C69" s="26" t="s">
        <v>1522</v>
      </c>
      <c r="D69" s="9" t="s">
        <v>585</v>
      </c>
    </row>
    <row r="70" spans="1:6" x14ac:dyDescent="0.2">
      <c r="A70" s="29" t="s">
        <v>3285</v>
      </c>
      <c r="B70" s="27">
        <f>D17*Inputs!F3</f>
        <v>4413838.8888888881</v>
      </c>
      <c r="C70" s="26" t="s">
        <v>1522</v>
      </c>
      <c r="D70" s="9" t="s">
        <v>584</v>
      </c>
    </row>
    <row r="71" spans="1:6" x14ac:dyDescent="0.2">
      <c r="A71" s="1129" t="s">
        <v>1520</v>
      </c>
      <c r="B71" s="98">
        <f>D22</f>
        <v>138955</v>
      </c>
      <c r="C71" s="26" t="s">
        <v>1522</v>
      </c>
      <c r="D71" s="9" t="s">
        <v>585</v>
      </c>
    </row>
    <row r="72" spans="1:6" x14ac:dyDescent="0.2">
      <c r="A72" s="1129" t="s">
        <v>1528</v>
      </c>
      <c r="B72" s="27">
        <f>D34*Inputs!F3</f>
        <v>17279.714285714286</v>
      </c>
      <c r="C72" s="26" t="s">
        <v>1522</v>
      </c>
      <c r="D72" s="9" t="s">
        <v>585</v>
      </c>
    </row>
    <row r="73" spans="1:6" x14ac:dyDescent="0.2">
      <c r="A73" s="1129" t="s">
        <v>1531</v>
      </c>
      <c r="B73" s="98">
        <f>D40*Inputs!F3</f>
        <v>114285.71428571429</v>
      </c>
      <c r="C73" s="26" t="s">
        <v>1522</v>
      </c>
      <c r="D73" s="9" t="s">
        <v>585</v>
      </c>
    </row>
    <row r="85" spans="2:4" x14ac:dyDescent="0.2">
      <c r="B85" s="39"/>
      <c r="C85" s="39"/>
      <c r="D85" s="39"/>
    </row>
    <row r="86" spans="2:4" x14ac:dyDescent="0.2">
      <c r="B86" s="39"/>
      <c r="C86" s="39"/>
      <c r="D86" s="39"/>
    </row>
    <row r="87" spans="2:4" x14ac:dyDescent="0.2">
      <c r="B87" s="39"/>
      <c r="C87" s="39"/>
      <c r="D87" s="39"/>
    </row>
    <row r="88" spans="2:4" x14ac:dyDescent="0.2">
      <c r="B88" s="39"/>
      <c r="C88" s="39"/>
      <c r="D88" s="39"/>
    </row>
    <row r="89" spans="2:4" x14ac:dyDescent="0.2">
      <c r="B89" s="39"/>
      <c r="C89" s="39"/>
      <c r="D89" s="39"/>
    </row>
    <row r="90" spans="2:4" x14ac:dyDescent="0.2">
      <c r="B90" s="39"/>
      <c r="C90" s="39"/>
      <c r="D90" s="39"/>
    </row>
    <row r="91" spans="2:4" x14ac:dyDescent="0.2">
      <c r="B91" s="39"/>
      <c r="C91" s="39"/>
      <c r="D91" s="39"/>
    </row>
    <row r="92" spans="2:4" x14ac:dyDescent="0.2">
      <c r="B92" s="39"/>
      <c r="C92" s="39"/>
      <c r="D92" s="39"/>
    </row>
    <row r="93" spans="2:4" x14ac:dyDescent="0.2">
      <c r="B93" s="39"/>
      <c r="C93" s="39"/>
      <c r="D93" s="39"/>
    </row>
    <row r="94" spans="2:4" x14ac:dyDescent="0.2">
      <c r="B94" s="39"/>
      <c r="C94" s="39"/>
      <c r="D94" s="39"/>
    </row>
    <row r="95" spans="2:4" x14ac:dyDescent="0.2">
      <c r="B95" s="39"/>
      <c r="C95" s="39"/>
      <c r="D95" s="39"/>
    </row>
    <row r="96" spans="2:4" x14ac:dyDescent="0.2">
      <c r="B96" s="39"/>
      <c r="C96" s="39"/>
      <c r="D96" s="39"/>
    </row>
    <row r="97" spans="2:4" x14ac:dyDescent="0.2">
      <c r="B97" s="39"/>
      <c r="C97" s="39"/>
      <c r="D97" s="39"/>
    </row>
    <row r="98" spans="2:4" x14ac:dyDescent="0.2">
      <c r="B98" s="39"/>
      <c r="C98" s="39"/>
      <c r="D98" s="39"/>
    </row>
    <row r="99" spans="2:4" x14ac:dyDescent="0.2">
      <c r="B99" s="39"/>
      <c r="C99" s="39"/>
      <c r="D99" s="39"/>
    </row>
    <row r="100" spans="2:4" x14ac:dyDescent="0.2">
      <c r="B100" s="39"/>
      <c r="C100" s="39"/>
      <c r="D100" s="39"/>
    </row>
    <row r="101" spans="2:4" x14ac:dyDescent="0.2">
      <c r="B101" s="39"/>
      <c r="C101" s="39"/>
      <c r="D101" s="39"/>
    </row>
    <row r="102" spans="2:4" x14ac:dyDescent="0.2">
      <c r="B102" s="39"/>
      <c r="C102" s="39"/>
      <c r="D102" s="39"/>
    </row>
    <row r="103" spans="2:4" x14ac:dyDescent="0.2">
      <c r="B103" s="39"/>
      <c r="C103" s="39"/>
      <c r="D103" s="39"/>
    </row>
    <row r="104" spans="2:4" x14ac:dyDescent="0.2">
      <c r="B104" s="39"/>
      <c r="C104" s="39"/>
      <c r="D104" s="39"/>
    </row>
    <row r="105" spans="2:4" x14ac:dyDescent="0.2">
      <c r="B105" s="39"/>
      <c r="C105" s="39"/>
      <c r="D105" s="39"/>
    </row>
    <row r="106" spans="2:4" x14ac:dyDescent="0.2">
      <c r="B106" s="39"/>
      <c r="C106" s="39"/>
      <c r="D106" s="39"/>
    </row>
    <row r="107" spans="2:4" x14ac:dyDescent="0.2">
      <c r="B107" s="39"/>
      <c r="C107" s="39"/>
      <c r="D107" s="39"/>
    </row>
    <row r="108" spans="2:4" x14ac:dyDescent="0.2">
      <c r="B108" s="39"/>
      <c r="C108" s="39"/>
      <c r="D108" s="39"/>
    </row>
    <row r="109" spans="2:4" x14ac:dyDescent="0.2">
      <c r="B109" s="39"/>
      <c r="C109" s="39"/>
      <c r="D109" s="39"/>
    </row>
    <row r="110" spans="2:4" x14ac:dyDescent="0.2">
      <c r="B110" s="39"/>
      <c r="C110" s="39"/>
      <c r="D110" s="39"/>
    </row>
    <row r="111" spans="2:4" x14ac:dyDescent="0.2">
      <c r="B111" s="39"/>
      <c r="C111" s="39"/>
      <c r="D111" s="39"/>
    </row>
    <row r="112" spans="2:4" x14ac:dyDescent="0.2">
      <c r="B112" s="39"/>
      <c r="C112" s="39"/>
      <c r="D112" s="39"/>
    </row>
    <row r="113" spans="2:4" x14ac:dyDescent="0.2">
      <c r="B113" s="39"/>
      <c r="C113" s="39"/>
      <c r="D113" s="39"/>
    </row>
    <row r="114" spans="2:4" x14ac:dyDescent="0.2">
      <c r="B114" s="39"/>
      <c r="C114" s="39"/>
      <c r="D114" s="39"/>
    </row>
    <row r="115" spans="2:4" x14ac:dyDescent="0.2">
      <c r="B115" s="39"/>
      <c r="C115" s="39"/>
      <c r="D115" s="39"/>
    </row>
    <row r="116" spans="2:4" x14ac:dyDescent="0.2">
      <c r="B116" s="39"/>
      <c r="C116" s="39"/>
      <c r="D116" s="39"/>
    </row>
    <row r="117" spans="2:4" x14ac:dyDescent="0.2">
      <c r="B117" s="39"/>
      <c r="C117" s="39"/>
      <c r="D117" s="39"/>
    </row>
    <row r="118" spans="2:4" x14ac:dyDescent="0.2">
      <c r="B118" s="39"/>
      <c r="C118" s="39"/>
      <c r="D118" s="39"/>
    </row>
    <row r="119" spans="2:4" x14ac:dyDescent="0.2">
      <c r="B119" s="39"/>
      <c r="C119" s="39"/>
      <c r="D119" s="39"/>
    </row>
    <row r="120" spans="2:4" x14ac:dyDescent="0.2">
      <c r="B120" s="39"/>
      <c r="C120" s="39"/>
      <c r="D120" s="39"/>
    </row>
    <row r="121" spans="2:4" x14ac:dyDescent="0.2">
      <c r="B121" s="39"/>
      <c r="C121" s="39"/>
      <c r="D121" s="39"/>
    </row>
    <row r="122" spans="2:4" x14ac:dyDescent="0.2">
      <c r="B122" s="39"/>
      <c r="C122" s="39"/>
      <c r="D122" s="39"/>
    </row>
    <row r="123" spans="2:4" x14ac:dyDescent="0.2">
      <c r="B123" s="39"/>
      <c r="C123" s="39"/>
      <c r="D123" s="39"/>
    </row>
    <row r="124" spans="2:4" x14ac:dyDescent="0.2">
      <c r="B124" s="39"/>
      <c r="C124" s="39"/>
      <c r="D124" s="39"/>
    </row>
    <row r="125" spans="2:4" x14ac:dyDescent="0.2">
      <c r="B125" s="39"/>
      <c r="C125" s="39"/>
      <c r="D125" s="39"/>
    </row>
    <row r="126" spans="2:4" x14ac:dyDescent="0.2">
      <c r="B126" s="39"/>
      <c r="C126" s="39"/>
      <c r="D126" s="39"/>
    </row>
    <row r="127" spans="2:4" x14ac:dyDescent="0.2">
      <c r="B127" s="39"/>
      <c r="C127" s="39"/>
      <c r="D127" s="39"/>
    </row>
    <row r="128" spans="2:4" x14ac:dyDescent="0.2">
      <c r="B128" s="39"/>
      <c r="C128" s="39"/>
      <c r="D128" s="39"/>
    </row>
    <row r="129" spans="2:4" x14ac:dyDescent="0.2">
      <c r="B129" s="39"/>
      <c r="C129" s="39"/>
      <c r="D129" s="39"/>
    </row>
    <row r="130" spans="2:4" x14ac:dyDescent="0.2">
      <c r="B130" s="39"/>
      <c r="C130" s="39"/>
      <c r="D130" s="39"/>
    </row>
    <row r="131" spans="2:4" x14ac:dyDescent="0.2">
      <c r="B131" s="39"/>
      <c r="C131" s="39"/>
      <c r="D131" s="39"/>
    </row>
    <row r="132" spans="2:4" x14ac:dyDescent="0.2">
      <c r="B132" s="39"/>
      <c r="C132" s="39"/>
      <c r="D132" s="39"/>
    </row>
    <row r="133" spans="2:4" x14ac:dyDescent="0.2">
      <c r="B133" s="39"/>
      <c r="C133" s="39"/>
      <c r="D133" s="39"/>
    </row>
    <row r="134" spans="2:4" x14ac:dyDescent="0.2">
      <c r="B134" s="39"/>
      <c r="C134" s="39"/>
      <c r="D134" s="39"/>
    </row>
    <row r="135" spans="2:4" x14ac:dyDescent="0.2">
      <c r="B135" s="39"/>
      <c r="C135" s="39"/>
      <c r="D135" s="39"/>
    </row>
    <row r="136" spans="2:4" x14ac:dyDescent="0.2">
      <c r="B136" s="39"/>
      <c r="C136" s="39"/>
      <c r="D136" s="39"/>
    </row>
    <row r="137" spans="2:4" x14ac:dyDescent="0.2">
      <c r="B137" s="39"/>
      <c r="C137" s="39"/>
      <c r="D137" s="39"/>
    </row>
    <row r="138" spans="2:4" x14ac:dyDescent="0.2">
      <c r="B138" s="39"/>
      <c r="C138" s="39"/>
      <c r="D138" s="39"/>
    </row>
    <row r="139" spans="2:4" x14ac:dyDescent="0.2">
      <c r="B139" s="39"/>
      <c r="C139" s="39"/>
      <c r="D139" s="39"/>
    </row>
    <row r="140" spans="2:4" x14ac:dyDescent="0.2">
      <c r="B140" s="39"/>
      <c r="C140" s="39"/>
      <c r="D140" s="39"/>
    </row>
  </sheetData>
  <mergeCells count="1">
    <mergeCell ref="A1:P2"/>
  </mergeCells>
  <pageMargins left="0.7" right="0.7" top="0.75" bottom="0.75" header="0.3" footer="0.3"/>
  <pageSetup orientation="portrait" horizontalDpi="0" verticalDpi="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D060C-16F7-4AF1-9BAC-25A7C6308144}">
  <sheetPr codeName="Sheet12"/>
  <dimension ref="A1:P638"/>
  <sheetViews>
    <sheetView zoomScale="80" zoomScaleNormal="80" workbookViewId="0">
      <selection sqref="A1:O2"/>
    </sheetView>
  </sheetViews>
  <sheetFormatPr baseColWidth="10" defaultColWidth="8.83203125" defaultRowHeight="15" x14ac:dyDescent="0.2"/>
  <cols>
    <col min="1" max="1" width="34.6640625" customWidth="1"/>
    <col min="2" max="2" width="18.83203125" style="901" customWidth="1"/>
    <col min="3" max="3" width="12.33203125" style="133" customWidth="1"/>
    <col min="4" max="4" width="13.33203125" style="901" customWidth="1"/>
    <col min="5" max="5" width="124.5" customWidth="1"/>
    <col min="6" max="6" width="17.33203125" style="915" customWidth="1"/>
    <col min="7" max="7" width="13.33203125" style="901" customWidth="1"/>
    <col min="8" max="8" width="10.83203125" style="133" customWidth="1"/>
    <col min="9" max="9" width="10.5" style="133" customWidth="1"/>
    <col min="10" max="10" width="12.5" customWidth="1"/>
    <col min="11" max="11" width="11" style="133" customWidth="1"/>
    <col min="12" max="12" width="11.83203125" style="133" customWidth="1"/>
    <col min="13" max="13" width="15.6640625" style="932" customWidth="1"/>
    <col min="14" max="14" width="10.5" style="946" customWidth="1"/>
    <col min="15" max="15" width="28.5" style="915" customWidth="1"/>
    <col min="16" max="16" width="10.83203125" bestFit="1" customWidth="1"/>
    <col min="17" max="17" width="39" customWidth="1"/>
    <col min="18" max="18" width="15.1640625" customWidth="1"/>
  </cols>
  <sheetData>
    <row r="1" spans="1:15" ht="15.75" customHeight="1" x14ac:dyDescent="0.2">
      <c r="A1" s="1760" t="s">
        <v>1854</v>
      </c>
      <c r="B1" s="1760"/>
      <c r="C1" s="1760"/>
      <c r="D1" s="1760"/>
      <c r="E1" s="1760"/>
      <c r="F1" s="1760"/>
      <c r="G1" s="1760"/>
      <c r="H1" s="1760"/>
      <c r="I1" s="1760"/>
      <c r="J1" s="1760"/>
      <c r="K1" s="1760"/>
      <c r="L1" s="1760"/>
      <c r="M1" s="1760"/>
      <c r="N1" s="1760"/>
      <c r="O1" s="1760"/>
    </row>
    <row r="2" spans="1:15" ht="15.75" customHeight="1" thickBot="1" x14ac:dyDescent="0.25">
      <c r="A2" s="1761"/>
      <c r="B2" s="1761"/>
      <c r="C2" s="1761"/>
      <c r="D2" s="1761"/>
      <c r="E2" s="1761"/>
      <c r="F2" s="1761"/>
      <c r="G2" s="1761"/>
      <c r="H2" s="1761"/>
      <c r="I2" s="1761"/>
      <c r="J2" s="1761"/>
      <c r="K2" s="1761"/>
      <c r="L2" s="1761"/>
      <c r="M2" s="1761"/>
      <c r="N2" s="1761"/>
      <c r="O2" s="1761"/>
    </row>
    <row r="3" spans="1:15" ht="15.75" customHeight="1" thickBot="1" x14ac:dyDescent="0.25">
      <c r="M3" s="942" t="s">
        <v>3302</v>
      </c>
      <c r="N3" s="945">
        <v>402.48599999999999</v>
      </c>
    </row>
    <row r="4" spans="1:15" ht="15.75" customHeight="1" thickBot="1" x14ac:dyDescent="0.25"/>
    <row r="5" spans="1:15" ht="15.75" customHeight="1" x14ac:dyDescent="0.2">
      <c r="A5" s="1813" t="s">
        <v>753</v>
      </c>
      <c r="B5" s="1314"/>
      <c r="C5" s="1314"/>
      <c r="D5" s="1314"/>
      <c r="E5" s="1314"/>
      <c r="F5" s="1314"/>
      <c r="G5" s="1314"/>
      <c r="H5" s="1314"/>
      <c r="I5" s="1314"/>
      <c r="J5" s="1314"/>
      <c r="K5" s="1314"/>
      <c r="L5" s="1314"/>
      <c r="M5" s="1314"/>
      <c r="N5" s="1314"/>
      <c r="O5" s="1315"/>
    </row>
    <row r="6" spans="1:15" ht="15.75" customHeight="1" thickBot="1" x14ac:dyDescent="0.25">
      <c r="A6" s="1816"/>
      <c r="B6" s="1316"/>
      <c r="C6" s="1316"/>
      <c r="D6" s="1316"/>
      <c r="E6" s="1316"/>
      <c r="F6" s="1316"/>
      <c r="G6" s="1316"/>
      <c r="H6" s="1316"/>
      <c r="I6" s="1316"/>
      <c r="J6" s="1316"/>
      <c r="K6" s="1316"/>
      <c r="L6" s="1316"/>
      <c r="M6" s="1316"/>
      <c r="N6" s="1316"/>
      <c r="O6" s="1317"/>
    </row>
    <row r="7" spans="1:15" ht="15.75" customHeight="1" thickBot="1" x14ac:dyDescent="0.25">
      <c r="A7" s="1680" t="s">
        <v>509</v>
      </c>
      <c r="B7" s="1681"/>
      <c r="C7" s="1681"/>
      <c r="D7" s="1681"/>
      <c r="E7" s="1681"/>
      <c r="F7" s="1681"/>
      <c r="G7" s="1681"/>
      <c r="H7" s="1681"/>
      <c r="I7" s="1681"/>
      <c r="J7" s="1681"/>
      <c r="K7" s="1681"/>
      <c r="L7" s="1681"/>
      <c r="M7" s="1681"/>
      <c r="N7" s="1681"/>
      <c r="O7" s="1682"/>
    </row>
    <row r="8" spans="1:15" ht="15.75" customHeight="1" thickBot="1" x14ac:dyDescent="0.25">
      <c r="A8" s="1683" t="s">
        <v>510</v>
      </c>
      <c r="B8" s="1684"/>
      <c r="C8" s="1684"/>
      <c r="D8" s="1684"/>
      <c r="E8" s="1685"/>
      <c r="F8" s="1683" t="s">
        <v>511</v>
      </c>
      <c r="G8" s="1684"/>
      <c r="H8" s="1684"/>
      <c r="I8" s="1684"/>
      <c r="J8" s="1685"/>
      <c r="K8" s="1683" t="s">
        <v>512</v>
      </c>
      <c r="L8" s="1684"/>
      <c r="M8" s="1684"/>
      <c r="N8" s="1685"/>
      <c r="O8" s="1686" t="s">
        <v>513</v>
      </c>
    </row>
    <row r="9" spans="1:15" ht="15.75" customHeight="1" x14ac:dyDescent="0.2">
      <c r="A9" s="1689" t="s">
        <v>514</v>
      </c>
      <c r="B9" s="1691" t="s">
        <v>515</v>
      </c>
      <c r="C9" s="1693" t="s">
        <v>372</v>
      </c>
      <c r="D9" s="1691" t="s">
        <v>516</v>
      </c>
      <c r="E9" s="1689" t="s">
        <v>517</v>
      </c>
      <c r="F9" s="1686" t="s">
        <v>518</v>
      </c>
      <c r="G9" s="1691" t="s">
        <v>515</v>
      </c>
      <c r="H9" s="1693" t="s">
        <v>372</v>
      </c>
      <c r="I9" s="1693" t="s">
        <v>519</v>
      </c>
      <c r="J9" s="1689" t="s">
        <v>520</v>
      </c>
      <c r="K9" s="1693" t="s">
        <v>521</v>
      </c>
      <c r="L9" s="1693" t="s">
        <v>522</v>
      </c>
      <c r="M9" s="1695" t="s">
        <v>523</v>
      </c>
      <c r="N9" s="947" t="s">
        <v>2786</v>
      </c>
      <c r="O9" s="1687"/>
    </row>
    <row r="10" spans="1:15" ht="15.75" customHeight="1" thickBot="1" x14ac:dyDescent="0.25">
      <c r="A10" s="1690"/>
      <c r="B10" s="1692"/>
      <c r="C10" s="1694"/>
      <c r="D10" s="1692"/>
      <c r="E10" s="1690"/>
      <c r="F10" s="1688"/>
      <c r="G10" s="1692"/>
      <c r="H10" s="1694"/>
      <c r="I10" s="1694"/>
      <c r="J10" s="1690"/>
      <c r="K10" s="1694"/>
      <c r="L10" s="1694"/>
      <c r="M10" s="1696"/>
      <c r="N10" s="948">
        <v>2024</v>
      </c>
      <c r="O10" s="1688"/>
    </row>
    <row r="11" spans="1:15" ht="15.75" customHeight="1" thickBot="1" x14ac:dyDescent="0.25">
      <c r="A11" s="882" t="s">
        <v>2482</v>
      </c>
      <c r="B11" s="899">
        <v>1</v>
      </c>
      <c r="C11" s="885" t="s">
        <v>2788</v>
      </c>
      <c r="D11" s="892">
        <v>2</v>
      </c>
      <c r="E11" s="884" t="s">
        <v>2787</v>
      </c>
      <c r="F11" s="888">
        <v>20000000</v>
      </c>
      <c r="G11" s="892">
        <v>1</v>
      </c>
      <c r="H11" s="885" t="s">
        <v>2788</v>
      </c>
      <c r="I11" s="885">
        <v>2024</v>
      </c>
      <c r="J11" s="883"/>
      <c r="K11" s="887">
        <v>1</v>
      </c>
      <c r="L11" s="887">
        <v>1</v>
      </c>
      <c r="M11" s="933">
        <f>B11/G11</f>
        <v>1</v>
      </c>
      <c r="N11" s="949">
        <f>N$3/N$3</f>
        <v>1</v>
      </c>
      <c r="O11" s="888">
        <f>D11*N11*F11*L11*M11^(K11)</f>
        <v>40000000</v>
      </c>
    </row>
    <row r="12" spans="1:15" ht="15.75" customHeight="1" thickBot="1" x14ac:dyDescent="0.25">
      <c r="A12" s="882" t="s">
        <v>2483</v>
      </c>
      <c r="B12" s="899">
        <v>40</v>
      </c>
      <c r="C12" s="885" t="s">
        <v>13</v>
      </c>
      <c r="D12" s="892">
        <f ca="1">CostCalc!B48</f>
        <v>41</v>
      </c>
      <c r="E12" s="886" t="s">
        <v>606</v>
      </c>
      <c r="F12" s="888">
        <f>Inputs!F$844*G12</f>
        <v>355000</v>
      </c>
      <c r="G12" s="892">
        <v>40</v>
      </c>
      <c r="H12" s="885" t="s">
        <v>13</v>
      </c>
      <c r="I12" s="885">
        <v>2024</v>
      </c>
      <c r="J12" s="886"/>
      <c r="K12" s="887">
        <v>1</v>
      </c>
      <c r="L12" s="887">
        <v>1</v>
      </c>
      <c r="M12" s="933">
        <f>B12/G12</f>
        <v>1</v>
      </c>
      <c r="N12" s="949">
        <f>N$3/N$3</f>
        <v>1</v>
      </c>
      <c r="O12" s="888">
        <f ca="1">D12*N12*F12*L12*M12^(K12)</f>
        <v>14555000</v>
      </c>
    </row>
    <row r="13" spans="1:15" ht="15.75" customHeight="1" thickBot="1" x14ac:dyDescent="0.25">
      <c r="A13" s="882" t="s">
        <v>2325</v>
      </c>
      <c r="B13" s="899">
        <v>40</v>
      </c>
      <c r="C13" s="885" t="s">
        <v>13</v>
      </c>
      <c r="D13" s="892">
        <f>CostCalc!B36</f>
        <v>35</v>
      </c>
      <c r="E13" s="886" t="s">
        <v>606</v>
      </c>
      <c r="F13" s="888">
        <f>Inputs!F$844*G13</f>
        <v>355000</v>
      </c>
      <c r="G13" s="892">
        <v>40</v>
      </c>
      <c r="H13" s="885" t="s">
        <v>13</v>
      </c>
      <c r="I13" s="885">
        <v>2024</v>
      </c>
      <c r="J13" s="886"/>
      <c r="K13" s="887">
        <v>1</v>
      </c>
      <c r="L13" s="887">
        <v>1</v>
      </c>
      <c r="M13" s="933">
        <f>B13/G13</f>
        <v>1</v>
      </c>
      <c r="N13" s="949">
        <f>N$3/N$3</f>
        <v>1</v>
      </c>
      <c r="O13" s="888">
        <f>D13*N13*F13*L13*M13^(K13)</f>
        <v>12425000</v>
      </c>
    </row>
    <row r="14" spans="1:15" ht="15.75" customHeight="1" thickBot="1" x14ac:dyDescent="0.25">
      <c r="A14" s="882" t="s">
        <v>2321</v>
      </c>
      <c r="B14" s="899">
        <f>CostCalc!B21</f>
        <v>40</v>
      </c>
      <c r="C14" s="885" t="s">
        <v>13</v>
      </c>
      <c r="D14" s="892">
        <f>CostCalc!B23</f>
        <v>43</v>
      </c>
      <c r="E14" s="886" t="s">
        <v>606</v>
      </c>
      <c r="F14" s="888">
        <f>Inputs!F$844*G14</f>
        <v>355000</v>
      </c>
      <c r="G14" s="892">
        <v>40</v>
      </c>
      <c r="H14" s="885" t="s">
        <v>13</v>
      </c>
      <c r="I14" s="885">
        <v>2024</v>
      </c>
      <c r="J14" s="886"/>
      <c r="K14" s="887">
        <v>1</v>
      </c>
      <c r="L14" s="887">
        <v>1</v>
      </c>
      <c r="M14" s="933">
        <f>B14/G14</f>
        <v>1</v>
      </c>
      <c r="N14" s="949">
        <f>N$3/N$3</f>
        <v>1</v>
      </c>
      <c r="O14" s="888">
        <f>D14*N14*F14*L14*M14^(K14)</f>
        <v>15265000</v>
      </c>
    </row>
    <row r="15" spans="1:15" ht="15.75" customHeight="1" thickBot="1" x14ac:dyDescent="0.25">
      <c r="A15" s="882" t="s">
        <v>2496</v>
      </c>
      <c r="B15" s="899">
        <f ca="1">CostCalc!B51</f>
        <v>37301.592969247416</v>
      </c>
      <c r="C15" s="885" t="s">
        <v>2494</v>
      </c>
      <c r="D15" s="892">
        <v>2</v>
      </c>
      <c r="E15" s="886"/>
      <c r="F15" s="888">
        <v>80000</v>
      </c>
      <c r="G15" s="893">
        <v>367.43700000000001</v>
      </c>
      <c r="H15" s="885" t="s">
        <v>2494</v>
      </c>
      <c r="I15" s="885">
        <v>1998</v>
      </c>
      <c r="J15" s="886"/>
      <c r="K15" s="887">
        <v>0.6</v>
      </c>
      <c r="L15" s="887">
        <v>2.4700000000000002</v>
      </c>
      <c r="M15" s="933">
        <f ca="1">B15/G15</f>
        <v>101.51833639303449</v>
      </c>
      <c r="N15" s="949">
        <f>N$3/142.2</f>
        <v>2.8304219409282703</v>
      </c>
      <c r="O15" s="888">
        <f ca="1">D15*N15*F15*L15*M15^(K15)</f>
        <v>17889360.397732001</v>
      </c>
    </row>
    <row r="16" spans="1:15" ht="15.75" customHeight="1" thickBot="1" x14ac:dyDescent="0.25">
      <c r="A16" s="64"/>
      <c r="B16" s="902"/>
      <c r="C16" s="66"/>
      <c r="D16" s="902"/>
      <c r="E16" s="64"/>
      <c r="F16" s="916"/>
      <c r="G16" s="902"/>
      <c r="H16" s="66"/>
      <c r="I16" s="66"/>
      <c r="J16" s="64"/>
      <c r="K16" s="66"/>
      <c r="L16" s="66"/>
      <c r="M16" s="934"/>
      <c r="N16" s="950"/>
      <c r="O16" s="927"/>
    </row>
    <row r="17" spans="1:15" ht="15.75" customHeight="1" thickBot="1" x14ac:dyDescent="0.25">
      <c r="A17" s="1697" t="s">
        <v>526</v>
      </c>
      <c r="B17" s="1698"/>
      <c r="C17" s="1698"/>
      <c r="D17" s="1698"/>
      <c r="E17" s="1698"/>
      <c r="F17" s="1698"/>
      <c r="G17" s="1698"/>
      <c r="H17" s="1698"/>
      <c r="I17" s="1698"/>
      <c r="J17" s="1698"/>
      <c r="K17" s="1698"/>
      <c r="L17" s="1698"/>
      <c r="M17" s="1698"/>
      <c r="N17" s="1699"/>
      <c r="O17" s="888">
        <f ca="1">SUM(O11:O15)</f>
        <v>100134360.397732</v>
      </c>
    </row>
    <row r="18" spans="1:15" ht="15.75" customHeight="1" x14ac:dyDescent="0.2"/>
    <row r="19" spans="1:15" ht="15.75" customHeight="1" thickBot="1" x14ac:dyDescent="0.25"/>
    <row r="20" spans="1:15" ht="15.75" customHeight="1" x14ac:dyDescent="0.2">
      <c r="A20" s="2065" t="s">
        <v>1412</v>
      </c>
      <c r="B20" s="1318"/>
      <c r="C20" s="1318"/>
      <c r="D20" s="1318"/>
      <c r="E20" s="1318"/>
      <c r="F20" s="1318"/>
      <c r="G20" s="1318"/>
      <c r="H20" s="1318"/>
      <c r="I20" s="1318"/>
      <c r="J20" s="1318"/>
      <c r="K20" s="1318"/>
      <c r="L20" s="1318"/>
      <c r="M20" s="1318"/>
      <c r="N20" s="1318"/>
      <c r="O20" s="1319"/>
    </row>
    <row r="21" spans="1:15" ht="15.75" customHeight="1" thickBot="1" x14ac:dyDescent="0.25">
      <c r="A21" s="2066"/>
      <c r="B21" s="1320"/>
      <c r="C21" s="1320"/>
      <c r="D21" s="1320"/>
      <c r="E21" s="1320"/>
      <c r="F21" s="1320"/>
      <c r="G21" s="1320"/>
      <c r="H21" s="1320"/>
      <c r="I21" s="1320"/>
      <c r="J21" s="1320"/>
      <c r="K21" s="1320"/>
      <c r="L21" s="1320"/>
      <c r="M21" s="1320"/>
      <c r="N21" s="1320"/>
      <c r="O21" s="1321"/>
    </row>
    <row r="22" spans="1:15" ht="15.75" customHeight="1" thickBot="1" x14ac:dyDescent="0.25">
      <c r="A22" s="1680" t="s">
        <v>509</v>
      </c>
      <c r="B22" s="1681"/>
      <c r="C22" s="1681"/>
      <c r="D22" s="1681"/>
      <c r="E22" s="1681"/>
      <c r="F22" s="1681"/>
      <c r="G22" s="1681"/>
      <c r="H22" s="1681"/>
      <c r="I22" s="1681"/>
      <c r="J22" s="1681"/>
      <c r="K22" s="1681"/>
      <c r="L22" s="1681"/>
      <c r="M22" s="1681"/>
      <c r="N22" s="1681"/>
      <c r="O22" s="1682"/>
    </row>
    <row r="23" spans="1:15" ht="15.75" customHeight="1" thickBot="1" x14ac:dyDescent="0.25">
      <c r="A23" s="1683" t="s">
        <v>510</v>
      </c>
      <c r="B23" s="1684"/>
      <c r="C23" s="1684"/>
      <c r="D23" s="1684"/>
      <c r="E23" s="1685"/>
      <c r="F23" s="1683" t="s">
        <v>511</v>
      </c>
      <c r="G23" s="1684"/>
      <c r="H23" s="1684"/>
      <c r="I23" s="1684"/>
      <c r="J23" s="1685"/>
      <c r="K23" s="1683" t="s">
        <v>512</v>
      </c>
      <c r="L23" s="1684"/>
      <c r="M23" s="1684"/>
      <c r="N23" s="1685"/>
      <c r="O23" s="1686" t="s">
        <v>513</v>
      </c>
    </row>
    <row r="24" spans="1:15" ht="15.75" customHeight="1" x14ac:dyDescent="0.2">
      <c r="A24" s="1689" t="s">
        <v>514</v>
      </c>
      <c r="B24" s="1691" t="s">
        <v>515</v>
      </c>
      <c r="C24" s="1693" t="s">
        <v>372</v>
      </c>
      <c r="D24" s="1691" t="s">
        <v>516</v>
      </c>
      <c r="E24" s="1689" t="s">
        <v>517</v>
      </c>
      <c r="F24" s="1686" t="s">
        <v>518</v>
      </c>
      <c r="G24" s="1691" t="s">
        <v>515</v>
      </c>
      <c r="H24" s="1693" t="s">
        <v>372</v>
      </c>
      <c r="I24" s="1693" t="s">
        <v>519</v>
      </c>
      <c r="J24" s="1689" t="s">
        <v>520</v>
      </c>
      <c r="K24" s="1693" t="s">
        <v>521</v>
      </c>
      <c r="L24" s="1693" t="s">
        <v>522</v>
      </c>
      <c r="M24" s="1695" t="s">
        <v>523</v>
      </c>
      <c r="N24" s="951" t="s">
        <v>527</v>
      </c>
      <c r="O24" s="1687"/>
    </row>
    <row r="25" spans="1:15" ht="15.75" customHeight="1" thickBot="1" x14ac:dyDescent="0.25">
      <c r="A25" s="1690"/>
      <c r="B25" s="1692"/>
      <c r="C25" s="1694"/>
      <c r="D25" s="1692"/>
      <c r="E25" s="1690"/>
      <c r="F25" s="1688"/>
      <c r="G25" s="1692"/>
      <c r="H25" s="1694"/>
      <c r="I25" s="1694"/>
      <c r="J25" s="1690"/>
      <c r="K25" s="1694"/>
      <c r="L25" s="1694"/>
      <c r="M25" s="1696"/>
      <c r="N25" s="952">
        <v>2024</v>
      </c>
      <c r="O25" s="1688"/>
    </row>
    <row r="26" spans="1:15" ht="15.75" customHeight="1" thickBot="1" x14ac:dyDescent="0.25">
      <c r="A26" s="46" t="s">
        <v>2330</v>
      </c>
      <c r="B26" s="897"/>
      <c r="C26" s="47" t="s">
        <v>267</v>
      </c>
      <c r="D26" s="897"/>
      <c r="E26" s="48" t="s">
        <v>1610</v>
      </c>
      <c r="F26" s="889">
        <v>11358</v>
      </c>
      <c r="G26" s="894">
        <v>43149</v>
      </c>
      <c r="H26" s="47" t="s">
        <v>267</v>
      </c>
      <c r="I26" s="47">
        <v>2018</v>
      </c>
      <c r="J26" s="41"/>
      <c r="K26" s="47">
        <v>0.8</v>
      </c>
      <c r="L26" s="47">
        <v>2.2999999999999998</v>
      </c>
      <c r="M26" s="936">
        <f t="shared" ref="M26:M50" si="0">B26/G26</f>
        <v>0</v>
      </c>
      <c r="N26" s="953">
        <f>N$3/329.7</f>
        <v>1.220764331210191</v>
      </c>
      <c r="O26" s="917"/>
    </row>
    <row r="27" spans="1:15" ht="15.75" customHeight="1" thickBot="1" x14ac:dyDescent="0.25">
      <c r="A27" s="35" t="s">
        <v>2331</v>
      </c>
      <c r="B27" s="897"/>
      <c r="C27" s="47" t="s">
        <v>1</v>
      </c>
      <c r="D27" s="897">
        <f>CostCalc!D$289</f>
        <v>4</v>
      </c>
      <c r="E27" s="36" t="s">
        <v>530</v>
      </c>
      <c r="F27" s="917">
        <f>Inputs!F$847</f>
        <v>188.34</v>
      </c>
      <c r="G27" s="897">
        <v>0.76</v>
      </c>
      <c r="H27" s="199" t="s">
        <v>1</v>
      </c>
      <c r="I27" s="47">
        <v>2022</v>
      </c>
      <c r="J27" s="36">
        <v>2</v>
      </c>
      <c r="K27" s="47">
        <v>0.7</v>
      </c>
      <c r="L27" s="47">
        <v>2.6</v>
      </c>
      <c r="M27" s="936">
        <f t="shared" si="0"/>
        <v>0</v>
      </c>
      <c r="N27" s="953">
        <f>N$3/432.15</f>
        <v>0.93135716765012155</v>
      </c>
      <c r="O27" s="917"/>
    </row>
    <row r="28" spans="1:15" ht="15.75" customHeight="1" thickBot="1" x14ac:dyDescent="0.25">
      <c r="A28" s="35" t="s">
        <v>2332</v>
      </c>
      <c r="B28" s="897"/>
      <c r="C28" s="47" t="s">
        <v>7</v>
      </c>
      <c r="D28" s="897">
        <f>D$179</f>
        <v>2</v>
      </c>
      <c r="E28" s="36" t="s">
        <v>857</v>
      </c>
      <c r="F28" s="917">
        <f>Inputs!F$848</f>
        <v>8.35</v>
      </c>
      <c r="G28" s="897">
        <v>0.09</v>
      </c>
      <c r="H28" s="47" t="s">
        <v>7</v>
      </c>
      <c r="I28" s="47">
        <v>2022</v>
      </c>
      <c r="J28" s="36">
        <v>3</v>
      </c>
      <c r="K28" s="47">
        <v>1</v>
      </c>
      <c r="L28" s="47">
        <v>2.6</v>
      </c>
      <c r="M28" s="936">
        <f t="shared" si="0"/>
        <v>0</v>
      </c>
      <c r="N28" s="953">
        <f>N$3/432.15</f>
        <v>0.93135716765012155</v>
      </c>
      <c r="O28" s="917"/>
    </row>
    <row r="29" spans="1:15" ht="15.75" customHeight="1" thickBot="1" x14ac:dyDescent="0.25">
      <c r="A29" s="35" t="s">
        <v>2333</v>
      </c>
      <c r="B29" s="897"/>
      <c r="C29" s="47" t="s">
        <v>1</v>
      </c>
      <c r="D29" s="897">
        <v>2</v>
      </c>
      <c r="E29" s="36" t="s">
        <v>727</v>
      </c>
      <c r="F29" s="889">
        <f>Inputs!F$850*CostCalc!G$300</f>
        <v>32000.06</v>
      </c>
      <c r="G29" s="897">
        <v>1000</v>
      </c>
      <c r="H29" s="47" t="s">
        <v>1</v>
      </c>
      <c r="I29" s="47">
        <v>2023</v>
      </c>
      <c r="J29" s="36"/>
      <c r="K29" s="47">
        <v>1</v>
      </c>
      <c r="L29" s="47">
        <v>2.6</v>
      </c>
      <c r="M29" s="936">
        <f t="shared" si="0"/>
        <v>0</v>
      </c>
      <c r="N29" s="953">
        <f>N$3/421.24</f>
        <v>0.9554790618174912</v>
      </c>
      <c r="O29" s="917"/>
    </row>
    <row r="30" spans="1:15" ht="15.75" customHeight="1" thickBot="1" x14ac:dyDescent="0.25">
      <c r="A30" s="35" t="s">
        <v>2334</v>
      </c>
      <c r="B30" s="897"/>
      <c r="C30" s="47" t="s">
        <v>11</v>
      </c>
      <c r="D30" s="897">
        <f>D$180</f>
        <v>2</v>
      </c>
      <c r="E30" s="36" t="s">
        <v>858</v>
      </c>
      <c r="F30" s="917">
        <f>Inputs!F$849*G30</f>
        <v>600</v>
      </c>
      <c r="G30" s="897">
        <v>1</v>
      </c>
      <c r="H30" s="47" t="s">
        <v>11</v>
      </c>
      <c r="I30" s="47">
        <v>1998</v>
      </c>
      <c r="J30" s="36">
        <v>4</v>
      </c>
      <c r="K30" s="47">
        <v>0.5</v>
      </c>
      <c r="L30" s="47">
        <v>1.5</v>
      </c>
      <c r="M30" s="936">
        <f t="shared" si="0"/>
        <v>0</v>
      </c>
      <c r="N30" s="953">
        <f>N$3/142.2</f>
        <v>2.8304219409282703</v>
      </c>
      <c r="O30" s="917"/>
    </row>
    <row r="31" spans="1:15" ht="15.75" customHeight="1" thickBot="1" x14ac:dyDescent="0.25">
      <c r="A31" s="46" t="s">
        <v>2335</v>
      </c>
      <c r="B31" s="897"/>
      <c r="C31" s="47" t="s">
        <v>267</v>
      </c>
      <c r="D31" s="897"/>
      <c r="E31" s="48" t="s">
        <v>1610</v>
      </c>
      <c r="F31" s="889">
        <v>11358</v>
      </c>
      <c r="G31" s="894">
        <v>43149</v>
      </c>
      <c r="H31" s="47" t="s">
        <v>267</v>
      </c>
      <c r="I31" s="47">
        <v>2018</v>
      </c>
      <c r="J31" s="41"/>
      <c r="K31" s="47">
        <v>0.8</v>
      </c>
      <c r="L31" s="47">
        <v>2.2999999999999998</v>
      </c>
      <c r="M31" s="936">
        <f t="shared" si="0"/>
        <v>0</v>
      </c>
      <c r="N31" s="953">
        <f>N$3/329.7</f>
        <v>1.220764331210191</v>
      </c>
      <c r="O31" s="917"/>
    </row>
    <row r="32" spans="1:15" ht="15.75" customHeight="1" thickBot="1" x14ac:dyDescent="0.25">
      <c r="A32" s="35" t="s">
        <v>2336</v>
      </c>
      <c r="B32" s="897"/>
      <c r="C32" s="47" t="s">
        <v>1</v>
      </c>
      <c r="D32" s="897">
        <f>CostCalc!D$289</f>
        <v>4</v>
      </c>
      <c r="E32" s="36" t="s">
        <v>530</v>
      </c>
      <c r="F32" s="917">
        <f>Inputs!F$847</f>
        <v>188.34</v>
      </c>
      <c r="G32" s="897">
        <v>0.76</v>
      </c>
      <c r="H32" s="199" t="s">
        <v>1</v>
      </c>
      <c r="I32" s="47">
        <v>2022</v>
      </c>
      <c r="J32" s="36">
        <v>2</v>
      </c>
      <c r="K32" s="47">
        <v>0.7</v>
      </c>
      <c r="L32" s="47">
        <v>2.6</v>
      </c>
      <c r="M32" s="936">
        <f t="shared" si="0"/>
        <v>0</v>
      </c>
      <c r="N32" s="953">
        <f>N$3/432.15</f>
        <v>0.93135716765012155</v>
      </c>
      <c r="O32" s="917"/>
    </row>
    <row r="33" spans="1:15" ht="15.75" customHeight="1" thickBot="1" x14ac:dyDescent="0.25">
      <c r="A33" s="35" t="s">
        <v>2337</v>
      </c>
      <c r="B33" s="897"/>
      <c r="C33" s="47" t="s">
        <v>7</v>
      </c>
      <c r="D33" s="897">
        <f>D$179</f>
        <v>2</v>
      </c>
      <c r="E33" s="36" t="s">
        <v>857</v>
      </c>
      <c r="F33" s="917">
        <f>Inputs!F$848</f>
        <v>8.35</v>
      </c>
      <c r="G33" s="897">
        <v>0.09</v>
      </c>
      <c r="H33" s="47" t="s">
        <v>7</v>
      </c>
      <c r="I33" s="47">
        <v>2022</v>
      </c>
      <c r="J33" s="36">
        <v>3</v>
      </c>
      <c r="K33" s="47">
        <v>1</v>
      </c>
      <c r="L33" s="47">
        <v>2.6</v>
      </c>
      <c r="M33" s="936">
        <f t="shared" si="0"/>
        <v>0</v>
      </c>
      <c r="N33" s="953">
        <f>N$3/432.15</f>
        <v>0.93135716765012155</v>
      </c>
      <c r="O33" s="917"/>
    </row>
    <row r="34" spans="1:15" ht="15.75" customHeight="1" thickBot="1" x14ac:dyDescent="0.25">
      <c r="A34" s="35" t="s">
        <v>2338</v>
      </c>
      <c r="B34" s="897"/>
      <c r="C34" s="47" t="s">
        <v>1</v>
      </c>
      <c r="D34" s="897">
        <v>2</v>
      </c>
      <c r="E34" s="36" t="s">
        <v>727</v>
      </c>
      <c r="F34" s="889">
        <f>Inputs!F$850*CostCalc!G$300</f>
        <v>32000.06</v>
      </c>
      <c r="G34" s="897">
        <v>1000</v>
      </c>
      <c r="H34" s="47" t="s">
        <v>1</v>
      </c>
      <c r="I34" s="47">
        <v>2023</v>
      </c>
      <c r="J34" s="36"/>
      <c r="K34" s="47">
        <v>1</v>
      </c>
      <c r="L34" s="47">
        <v>2.6</v>
      </c>
      <c r="M34" s="936">
        <f t="shared" si="0"/>
        <v>0</v>
      </c>
      <c r="N34" s="953">
        <f>N$3/421.24</f>
        <v>0.9554790618174912</v>
      </c>
      <c r="O34" s="917"/>
    </row>
    <row r="35" spans="1:15" ht="15.75" customHeight="1" thickBot="1" x14ac:dyDescent="0.25">
      <c r="A35" s="35" t="s">
        <v>2339</v>
      </c>
      <c r="B35" s="897"/>
      <c r="C35" s="47" t="s">
        <v>11</v>
      </c>
      <c r="D35" s="897">
        <f>D$180</f>
        <v>2</v>
      </c>
      <c r="E35" s="36" t="s">
        <v>858</v>
      </c>
      <c r="F35" s="917">
        <f>Inputs!F$849*G35</f>
        <v>600</v>
      </c>
      <c r="G35" s="897">
        <v>1</v>
      </c>
      <c r="H35" s="47" t="s">
        <v>11</v>
      </c>
      <c r="I35" s="47">
        <v>1998</v>
      </c>
      <c r="J35" s="36">
        <v>4</v>
      </c>
      <c r="K35" s="47">
        <v>0.5</v>
      </c>
      <c r="L35" s="47">
        <v>1.5</v>
      </c>
      <c r="M35" s="936">
        <f t="shared" si="0"/>
        <v>0</v>
      </c>
      <c r="N35" s="953">
        <f>N$3/142.2</f>
        <v>2.8304219409282703</v>
      </c>
      <c r="O35" s="917"/>
    </row>
    <row r="36" spans="1:15" ht="15.75" customHeight="1" thickBot="1" x14ac:dyDescent="0.25">
      <c r="A36" s="46" t="s">
        <v>2343</v>
      </c>
      <c r="B36" s="897"/>
      <c r="C36" s="47" t="s">
        <v>267</v>
      </c>
      <c r="D36" s="897"/>
      <c r="E36" s="48" t="s">
        <v>1610</v>
      </c>
      <c r="F36" s="889">
        <v>11358</v>
      </c>
      <c r="G36" s="894">
        <v>43149</v>
      </c>
      <c r="H36" s="47" t="s">
        <v>267</v>
      </c>
      <c r="I36" s="47">
        <v>2018</v>
      </c>
      <c r="J36" s="41"/>
      <c r="K36" s="47">
        <v>0.8</v>
      </c>
      <c r="L36" s="47">
        <v>2.2999999999999998</v>
      </c>
      <c r="M36" s="936">
        <f t="shared" si="0"/>
        <v>0</v>
      </c>
      <c r="N36" s="953">
        <f>N$3/329.7</f>
        <v>1.220764331210191</v>
      </c>
      <c r="O36" s="917"/>
    </row>
    <row r="37" spans="1:15" ht="15.75" customHeight="1" thickBot="1" x14ac:dyDescent="0.25">
      <c r="A37" s="35" t="s">
        <v>2340</v>
      </c>
      <c r="B37" s="897"/>
      <c r="C37" s="47" t="s">
        <v>1</v>
      </c>
      <c r="D37" s="897">
        <f>CostCalc!D$289</f>
        <v>4</v>
      </c>
      <c r="E37" s="36" t="s">
        <v>530</v>
      </c>
      <c r="F37" s="917">
        <f>Inputs!F$847</f>
        <v>188.34</v>
      </c>
      <c r="G37" s="897">
        <v>0.76</v>
      </c>
      <c r="H37" s="199" t="s">
        <v>1</v>
      </c>
      <c r="I37" s="47">
        <v>2022</v>
      </c>
      <c r="J37" s="36">
        <v>2</v>
      </c>
      <c r="K37" s="47">
        <v>0.7</v>
      </c>
      <c r="L37" s="47">
        <v>2.6</v>
      </c>
      <c r="M37" s="936">
        <f t="shared" si="0"/>
        <v>0</v>
      </c>
      <c r="N37" s="953">
        <f>N$3/432.15</f>
        <v>0.93135716765012155</v>
      </c>
      <c r="O37" s="917"/>
    </row>
    <row r="38" spans="1:15" ht="15.75" customHeight="1" thickBot="1" x14ac:dyDescent="0.25">
      <c r="A38" s="35" t="s">
        <v>2341</v>
      </c>
      <c r="B38" s="897"/>
      <c r="C38" s="47" t="s">
        <v>7</v>
      </c>
      <c r="D38" s="897">
        <f>D$179</f>
        <v>2</v>
      </c>
      <c r="E38" s="36" t="s">
        <v>857</v>
      </c>
      <c r="F38" s="917">
        <f>Inputs!F$848</f>
        <v>8.35</v>
      </c>
      <c r="G38" s="897">
        <v>0.09</v>
      </c>
      <c r="H38" s="47" t="s">
        <v>7</v>
      </c>
      <c r="I38" s="47">
        <v>2022</v>
      </c>
      <c r="J38" s="36">
        <v>3</v>
      </c>
      <c r="K38" s="47">
        <v>1</v>
      </c>
      <c r="L38" s="47">
        <v>2.6</v>
      </c>
      <c r="M38" s="936">
        <f t="shared" si="0"/>
        <v>0</v>
      </c>
      <c r="N38" s="953">
        <f>N$3/432.15</f>
        <v>0.93135716765012155</v>
      </c>
      <c r="O38" s="917"/>
    </row>
    <row r="39" spans="1:15" ht="15.75" customHeight="1" thickBot="1" x14ac:dyDescent="0.25">
      <c r="A39" s="35" t="s">
        <v>2342</v>
      </c>
      <c r="B39" s="897"/>
      <c r="C39" s="47" t="s">
        <v>1</v>
      </c>
      <c r="D39" s="897">
        <v>2</v>
      </c>
      <c r="E39" s="36" t="s">
        <v>727</v>
      </c>
      <c r="F39" s="889">
        <f>Inputs!F$850*CostCalc!G$300</f>
        <v>32000.06</v>
      </c>
      <c r="G39" s="897">
        <v>1000</v>
      </c>
      <c r="H39" s="47" t="s">
        <v>1</v>
      </c>
      <c r="I39" s="47">
        <v>2023</v>
      </c>
      <c r="J39" s="36"/>
      <c r="K39" s="47">
        <v>1</v>
      </c>
      <c r="L39" s="47">
        <v>2.6</v>
      </c>
      <c r="M39" s="936">
        <f t="shared" si="0"/>
        <v>0</v>
      </c>
      <c r="N39" s="953">
        <f>N$3/421.24</f>
        <v>0.9554790618174912</v>
      </c>
      <c r="O39" s="917"/>
    </row>
    <row r="40" spans="1:15" ht="15.75" customHeight="1" thickBot="1" x14ac:dyDescent="0.25">
      <c r="A40" s="35" t="s">
        <v>2349</v>
      </c>
      <c r="B40" s="897"/>
      <c r="C40" s="47" t="s">
        <v>11</v>
      </c>
      <c r="D40" s="897">
        <f>D$180</f>
        <v>2</v>
      </c>
      <c r="E40" s="36" t="s">
        <v>858</v>
      </c>
      <c r="F40" s="917">
        <f>Inputs!F$849*G40</f>
        <v>600</v>
      </c>
      <c r="G40" s="897">
        <v>1</v>
      </c>
      <c r="H40" s="47" t="s">
        <v>11</v>
      </c>
      <c r="I40" s="47">
        <v>1998</v>
      </c>
      <c r="J40" s="36">
        <v>4</v>
      </c>
      <c r="K40" s="47">
        <v>0.5</v>
      </c>
      <c r="L40" s="47">
        <v>1.5</v>
      </c>
      <c r="M40" s="936">
        <f t="shared" si="0"/>
        <v>0</v>
      </c>
      <c r="N40" s="953">
        <f>N$3/142.2</f>
        <v>2.8304219409282703</v>
      </c>
      <c r="O40" s="917"/>
    </row>
    <row r="41" spans="1:15" ht="15.75" customHeight="1" thickBot="1" x14ac:dyDescent="0.25">
      <c r="A41" s="46" t="s">
        <v>2345</v>
      </c>
      <c r="B41" s="897"/>
      <c r="C41" s="47" t="s">
        <v>267</v>
      </c>
      <c r="D41" s="897"/>
      <c r="E41" s="48" t="s">
        <v>1610</v>
      </c>
      <c r="F41" s="889">
        <v>11358</v>
      </c>
      <c r="G41" s="894">
        <v>43149</v>
      </c>
      <c r="H41" s="47" t="s">
        <v>267</v>
      </c>
      <c r="I41" s="47">
        <v>2018</v>
      </c>
      <c r="J41" s="41"/>
      <c r="K41" s="47">
        <v>0.8</v>
      </c>
      <c r="L41" s="47">
        <v>2.2999999999999998</v>
      </c>
      <c r="M41" s="936">
        <f t="shared" si="0"/>
        <v>0</v>
      </c>
      <c r="N41" s="953">
        <f>N$3/329.7</f>
        <v>1.220764331210191</v>
      </c>
      <c r="O41" s="917"/>
    </row>
    <row r="42" spans="1:15" ht="15.75" customHeight="1" thickBot="1" x14ac:dyDescent="0.25">
      <c r="A42" s="35" t="s">
        <v>2346</v>
      </c>
      <c r="B42" s="897"/>
      <c r="C42" s="47" t="s">
        <v>1</v>
      </c>
      <c r="D42" s="897">
        <f>CostCalc!D$289</f>
        <v>4</v>
      </c>
      <c r="E42" s="36" t="s">
        <v>530</v>
      </c>
      <c r="F42" s="917">
        <f>Inputs!F$847</f>
        <v>188.34</v>
      </c>
      <c r="G42" s="897">
        <v>0.76</v>
      </c>
      <c r="H42" s="199" t="s">
        <v>1</v>
      </c>
      <c r="I42" s="47">
        <v>2022</v>
      </c>
      <c r="J42" s="36">
        <v>2</v>
      </c>
      <c r="K42" s="47">
        <v>0.7</v>
      </c>
      <c r="L42" s="47">
        <v>2.6</v>
      </c>
      <c r="M42" s="936">
        <f t="shared" si="0"/>
        <v>0</v>
      </c>
      <c r="N42" s="953">
        <f>N$3/432.15</f>
        <v>0.93135716765012155</v>
      </c>
      <c r="O42" s="917"/>
    </row>
    <row r="43" spans="1:15" ht="15.75" customHeight="1" thickBot="1" x14ac:dyDescent="0.25">
      <c r="A43" s="35" t="s">
        <v>2347</v>
      </c>
      <c r="B43" s="897"/>
      <c r="C43" s="47" t="s">
        <v>7</v>
      </c>
      <c r="D43" s="897">
        <f>D$179</f>
        <v>2</v>
      </c>
      <c r="E43" s="36" t="s">
        <v>857</v>
      </c>
      <c r="F43" s="917">
        <f>Inputs!F$848</f>
        <v>8.35</v>
      </c>
      <c r="G43" s="897">
        <v>0.09</v>
      </c>
      <c r="H43" s="47" t="s">
        <v>7</v>
      </c>
      <c r="I43" s="47">
        <v>2022</v>
      </c>
      <c r="J43" s="36">
        <v>3</v>
      </c>
      <c r="K43" s="47">
        <v>1</v>
      </c>
      <c r="L43" s="47">
        <v>2.6</v>
      </c>
      <c r="M43" s="936">
        <f t="shared" si="0"/>
        <v>0</v>
      </c>
      <c r="N43" s="953">
        <f>N$3/432.15</f>
        <v>0.93135716765012155</v>
      </c>
      <c r="O43" s="917"/>
    </row>
    <row r="44" spans="1:15" ht="15.75" customHeight="1" thickBot="1" x14ac:dyDescent="0.25">
      <c r="A44" s="35" t="s">
        <v>2348</v>
      </c>
      <c r="B44" s="897"/>
      <c r="C44" s="47" t="s">
        <v>1</v>
      </c>
      <c r="D44" s="897">
        <v>2</v>
      </c>
      <c r="E44" s="36" t="s">
        <v>727</v>
      </c>
      <c r="F44" s="889">
        <f>Inputs!F$850*CostCalc!G$300</f>
        <v>32000.06</v>
      </c>
      <c r="G44" s="897">
        <v>1000</v>
      </c>
      <c r="H44" s="47" t="s">
        <v>1</v>
      </c>
      <c r="I44" s="47">
        <v>2023</v>
      </c>
      <c r="J44" s="36"/>
      <c r="K44" s="47">
        <v>1</v>
      </c>
      <c r="L44" s="47">
        <v>2.6</v>
      </c>
      <c r="M44" s="936">
        <f t="shared" si="0"/>
        <v>0</v>
      </c>
      <c r="N44" s="953">
        <f>N$3/421.24</f>
        <v>0.9554790618174912</v>
      </c>
      <c r="O44" s="917"/>
    </row>
    <row r="45" spans="1:15" ht="15.75" customHeight="1" thickBot="1" x14ac:dyDescent="0.25">
      <c r="A45" s="35" t="s">
        <v>2344</v>
      </c>
      <c r="B45" s="897"/>
      <c r="C45" s="47" t="s">
        <v>11</v>
      </c>
      <c r="D45" s="897">
        <f>D$180</f>
        <v>2</v>
      </c>
      <c r="E45" s="36" t="s">
        <v>858</v>
      </c>
      <c r="F45" s="917">
        <f>Inputs!F$849*G45</f>
        <v>600</v>
      </c>
      <c r="G45" s="897">
        <v>1</v>
      </c>
      <c r="H45" s="47" t="s">
        <v>11</v>
      </c>
      <c r="I45" s="47">
        <v>1998</v>
      </c>
      <c r="J45" s="36">
        <v>4</v>
      </c>
      <c r="K45" s="47">
        <v>0.5</v>
      </c>
      <c r="L45" s="47">
        <v>1.5</v>
      </c>
      <c r="M45" s="936">
        <f t="shared" si="0"/>
        <v>0</v>
      </c>
      <c r="N45" s="953">
        <f>N$3/142.2</f>
        <v>2.8304219409282703</v>
      </c>
      <c r="O45" s="917"/>
    </row>
    <row r="46" spans="1:15" ht="15.75" customHeight="1" thickBot="1" x14ac:dyDescent="0.25">
      <c r="A46" s="46" t="s">
        <v>2350</v>
      </c>
      <c r="B46" s="897"/>
      <c r="C46" s="47" t="s">
        <v>267</v>
      </c>
      <c r="D46" s="897"/>
      <c r="E46" s="48" t="s">
        <v>1610</v>
      </c>
      <c r="F46" s="889">
        <v>11358</v>
      </c>
      <c r="G46" s="894">
        <v>43149</v>
      </c>
      <c r="H46" s="47" t="s">
        <v>267</v>
      </c>
      <c r="I46" s="47">
        <v>2018</v>
      </c>
      <c r="J46" s="41"/>
      <c r="K46" s="47">
        <v>0.8</v>
      </c>
      <c r="L46" s="47">
        <v>2.2999999999999998</v>
      </c>
      <c r="M46" s="936">
        <f t="shared" si="0"/>
        <v>0</v>
      </c>
      <c r="N46" s="953">
        <f>N$3/329.7</f>
        <v>1.220764331210191</v>
      </c>
      <c r="O46" s="917"/>
    </row>
    <row r="47" spans="1:15" ht="15.75" customHeight="1" thickBot="1" x14ac:dyDescent="0.25">
      <c r="A47" s="35" t="s">
        <v>2351</v>
      </c>
      <c r="B47" s="897"/>
      <c r="C47" s="47" t="s">
        <v>1</v>
      </c>
      <c r="D47" s="897">
        <f>CostCalc!D$289</f>
        <v>4</v>
      </c>
      <c r="E47" s="36" t="s">
        <v>530</v>
      </c>
      <c r="F47" s="917">
        <f>Inputs!F$847</f>
        <v>188.34</v>
      </c>
      <c r="G47" s="897">
        <v>0.76</v>
      </c>
      <c r="H47" s="199" t="s">
        <v>1</v>
      </c>
      <c r="I47" s="47">
        <v>2022</v>
      </c>
      <c r="J47" s="36">
        <v>2</v>
      </c>
      <c r="K47" s="47">
        <v>0.7</v>
      </c>
      <c r="L47" s="47">
        <v>2.6</v>
      </c>
      <c r="M47" s="936">
        <f t="shared" si="0"/>
        <v>0</v>
      </c>
      <c r="N47" s="953">
        <f>N$3/432.15</f>
        <v>0.93135716765012155</v>
      </c>
      <c r="O47" s="917"/>
    </row>
    <row r="48" spans="1:15" ht="15.75" customHeight="1" thickBot="1" x14ac:dyDescent="0.25">
      <c r="A48" s="35" t="s">
        <v>2352</v>
      </c>
      <c r="B48" s="897"/>
      <c r="C48" s="47" t="s">
        <v>7</v>
      </c>
      <c r="D48" s="897">
        <f>D$179</f>
        <v>2</v>
      </c>
      <c r="E48" s="36" t="s">
        <v>857</v>
      </c>
      <c r="F48" s="917">
        <f>Inputs!F$848</f>
        <v>8.35</v>
      </c>
      <c r="G48" s="897">
        <v>0.09</v>
      </c>
      <c r="H48" s="47" t="s">
        <v>7</v>
      </c>
      <c r="I48" s="47">
        <v>2022</v>
      </c>
      <c r="J48" s="36">
        <v>3</v>
      </c>
      <c r="K48" s="47">
        <v>1</v>
      </c>
      <c r="L48" s="47">
        <v>2.6</v>
      </c>
      <c r="M48" s="936">
        <f t="shared" si="0"/>
        <v>0</v>
      </c>
      <c r="N48" s="953">
        <f>N$3/432.15</f>
        <v>0.93135716765012155</v>
      </c>
      <c r="O48" s="917"/>
    </row>
    <row r="49" spans="1:15" ht="15.75" customHeight="1" thickBot="1" x14ac:dyDescent="0.25">
      <c r="A49" s="35" t="s">
        <v>2353</v>
      </c>
      <c r="B49" s="897"/>
      <c r="C49" s="47" t="s">
        <v>1</v>
      </c>
      <c r="D49" s="897">
        <v>2</v>
      </c>
      <c r="E49" s="36" t="s">
        <v>727</v>
      </c>
      <c r="F49" s="889">
        <f>Inputs!F$850*CostCalc!G$300</f>
        <v>32000.06</v>
      </c>
      <c r="G49" s="897">
        <v>1000</v>
      </c>
      <c r="H49" s="47" t="s">
        <v>1</v>
      </c>
      <c r="I49" s="47">
        <v>2023</v>
      </c>
      <c r="J49" s="36"/>
      <c r="K49" s="47">
        <v>1</v>
      </c>
      <c r="L49" s="47">
        <v>2.6</v>
      </c>
      <c r="M49" s="936">
        <f t="shared" si="0"/>
        <v>0</v>
      </c>
      <c r="N49" s="953">
        <f>N$3/421.24</f>
        <v>0.9554790618174912</v>
      </c>
      <c r="O49" s="917"/>
    </row>
    <row r="50" spans="1:15" ht="15.75" customHeight="1" thickBot="1" x14ac:dyDescent="0.25">
      <c r="A50" s="35" t="s">
        <v>2354</v>
      </c>
      <c r="B50" s="897"/>
      <c r="C50" s="47" t="s">
        <v>11</v>
      </c>
      <c r="D50" s="897">
        <f>D$180</f>
        <v>2</v>
      </c>
      <c r="E50" s="36" t="s">
        <v>858</v>
      </c>
      <c r="F50" s="917">
        <f>Inputs!F$849*G50</f>
        <v>600</v>
      </c>
      <c r="G50" s="897">
        <v>1</v>
      </c>
      <c r="H50" s="47" t="s">
        <v>11</v>
      </c>
      <c r="I50" s="47">
        <v>1998</v>
      </c>
      <c r="J50" s="36">
        <v>4</v>
      </c>
      <c r="K50" s="47">
        <v>0.5</v>
      </c>
      <c r="L50" s="47">
        <v>1.5</v>
      </c>
      <c r="M50" s="936">
        <f t="shared" si="0"/>
        <v>0</v>
      </c>
      <c r="N50" s="953">
        <f>N$3/142.2</f>
        <v>2.8304219409282703</v>
      </c>
      <c r="O50" s="917"/>
    </row>
    <row r="51" spans="1:15" ht="15.75" customHeight="1" thickBot="1" x14ac:dyDescent="0.25">
      <c r="A51" s="35"/>
      <c r="B51" s="897"/>
      <c r="C51" s="47"/>
      <c r="D51" s="897"/>
      <c r="E51" s="36"/>
      <c r="F51" s="889"/>
      <c r="G51" s="897"/>
      <c r="H51" s="47"/>
      <c r="I51" s="47"/>
      <c r="J51" s="36"/>
      <c r="K51" s="47"/>
      <c r="L51" s="47"/>
      <c r="M51" s="936"/>
      <c r="N51" s="954"/>
      <c r="O51" s="917"/>
    </row>
    <row r="52" spans="1:15" ht="15.75" customHeight="1" thickBot="1" x14ac:dyDescent="0.25">
      <c r="A52" s="1677" t="s">
        <v>526</v>
      </c>
      <c r="B52" s="1678"/>
      <c r="C52" s="1678"/>
      <c r="D52" s="1678"/>
      <c r="E52" s="1678"/>
      <c r="F52" s="1678"/>
      <c r="G52" s="1678"/>
      <c r="H52" s="1678"/>
      <c r="I52" s="1678"/>
      <c r="J52" s="1678"/>
      <c r="K52" s="1678"/>
      <c r="L52" s="1678"/>
      <c r="M52" s="1678"/>
      <c r="N52" s="1679"/>
      <c r="O52" s="917"/>
    </row>
    <row r="53" spans="1:15" ht="15.75" customHeight="1" x14ac:dyDescent="0.2">
      <c r="A53" s="197"/>
      <c r="B53" s="895"/>
      <c r="C53" s="197"/>
      <c r="D53" s="895"/>
      <c r="E53" s="197"/>
      <c r="F53" s="890"/>
      <c r="G53" s="895"/>
      <c r="H53" s="197"/>
      <c r="I53" s="197"/>
      <c r="J53" s="197"/>
      <c r="K53" s="197"/>
      <c r="L53" s="197"/>
      <c r="M53" s="937"/>
      <c r="N53" s="955"/>
      <c r="O53" s="891"/>
    </row>
    <row r="54" spans="1:15" ht="15.75" customHeight="1" x14ac:dyDescent="0.2">
      <c r="A54" s="197"/>
      <c r="B54" s="895"/>
      <c r="C54" s="197"/>
      <c r="D54" s="895"/>
      <c r="E54" s="197"/>
      <c r="F54" s="890"/>
      <c r="G54" s="895"/>
      <c r="H54" s="197"/>
      <c r="I54" s="197"/>
      <c r="J54" s="197"/>
      <c r="K54" s="197"/>
      <c r="L54" s="197"/>
      <c r="M54" s="937"/>
      <c r="N54" s="955"/>
      <c r="O54" s="891"/>
    </row>
    <row r="55" spans="1:15" ht="15.75" customHeight="1" thickBot="1" x14ac:dyDescent="0.25">
      <c r="A55" s="197"/>
      <c r="B55" s="895"/>
      <c r="C55" s="197"/>
      <c r="D55" s="895"/>
      <c r="E55" s="197"/>
      <c r="F55" s="890"/>
      <c r="G55" s="895"/>
      <c r="H55" s="197"/>
      <c r="I55" s="197"/>
      <c r="J55" s="197"/>
      <c r="K55" s="197"/>
      <c r="L55" s="197"/>
      <c r="M55" s="937"/>
      <c r="N55" s="955"/>
      <c r="O55" s="891"/>
    </row>
    <row r="56" spans="1:15" ht="15.75" customHeight="1" x14ac:dyDescent="0.2">
      <c r="A56" s="1837" t="s">
        <v>2317</v>
      </c>
      <c r="B56" s="1322"/>
      <c r="C56" s="1322"/>
      <c r="D56" s="1322"/>
      <c r="E56" s="1322"/>
      <c r="F56" s="1322"/>
      <c r="G56" s="1322"/>
      <c r="H56" s="1322"/>
      <c r="I56" s="1322"/>
      <c r="J56" s="1322"/>
      <c r="K56" s="1322"/>
      <c r="L56" s="1322"/>
      <c r="M56" s="1322"/>
      <c r="N56" s="1322"/>
      <c r="O56" s="1323"/>
    </row>
    <row r="57" spans="1:15" ht="15.75" customHeight="1" thickBot="1" x14ac:dyDescent="0.25">
      <c r="A57" s="1840"/>
      <c r="B57" s="1324"/>
      <c r="C57" s="1324"/>
      <c r="D57" s="1324"/>
      <c r="E57" s="1324"/>
      <c r="F57" s="1324"/>
      <c r="G57" s="1324"/>
      <c r="H57" s="1324"/>
      <c r="I57" s="1324"/>
      <c r="J57" s="1324"/>
      <c r="K57" s="1324"/>
      <c r="L57" s="1324"/>
      <c r="M57" s="1324"/>
      <c r="N57" s="1324"/>
      <c r="O57" s="1325"/>
    </row>
    <row r="58" spans="1:15" ht="15.75" customHeight="1" thickBot="1" x14ac:dyDescent="0.25">
      <c r="A58" s="1680" t="s">
        <v>509</v>
      </c>
      <c r="B58" s="1681"/>
      <c r="C58" s="1681"/>
      <c r="D58" s="1681"/>
      <c r="E58" s="1681"/>
      <c r="F58" s="1681"/>
      <c r="G58" s="1681"/>
      <c r="H58" s="1681"/>
      <c r="I58" s="1681"/>
      <c r="J58" s="1681"/>
      <c r="K58" s="1681"/>
      <c r="L58" s="1681"/>
      <c r="M58" s="1681"/>
      <c r="N58" s="1681"/>
      <c r="O58" s="1682"/>
    </row>
    <row r="59" spans="1:15" ht="15.75" customHeight="1" thickBot="1" x14ac:dyDescent="0.25">
      <c r="A59" s="1683" t="s">
        <v>510</v>
      </c>
      <c r="B59" s="1684"/>
      <c r="C59" s="1684"/>
      <c r="D59" s="1684"/>
      <c r="E59" s="1685"/>
      <c r="F59" s="1683" t="s">
        <v>511</v>
      </c>
      <c r="G59" s="1684"/>
      <c r="H59" s="1684"/>
      <c r="I59" s="1684"/>
      <c r="J59" s="1685"/>
      <c r="K59" s="1683" t="s">
        <v>512</v>
      </c>
      <c r="L59" s="1684"/>
      <c r="M59" s="1684"/>
      <c r="N59" s="1685"/>
      <c r="O59" s="1686" t="s">
        <v>513</v>
      </c>
    </row>
    <row r="60" spans="1:15" ht="15.75" customHeight="1" x14ac:dyDescent="0.2">
      <c r="A60" s="1689" t="s">
        <v>514</v>
      </c>
      <c r="B60" s="1691" t="s">
        <v>515</v>
      </c>
      <c r="C60" s="1693" t="s">
        <v>372</v>
      </c>
      <c r="D60" s="1691" t="s">
        <v>516</v>
      </c>
      <c r="E60" s="1689" t="s">
        <v>517</v>
      </c>
      <c r="F60" s="1686" t="s">
        <v>518</v>
      </c>
      <c r="G60" s="1691" t="s">
        <v>515</v>
      </c>
      <c r="H60" s="1693" t="s">
        <v>372</v>
      </c>
      <c r="I60" s="1693" t="s">
        <v>519</v>
      </c>
      <c r="J60" s="1689" t="s">
        <v>520</v>
      </c>
      <c r="K60" s="1693" t="s">
        <v>521</v>
      </c>
      <c r="L60" s="1693" t="s">
        <v>522</v>
      </c>
      <c r="M60" s="1695" t="s">
        <v>523</v>
      </c>
      <c r="N60" s="951" t="s">
        <v>527</v>
      </c>
      <c r="O60" s="1687"/>
    </row>
    <row r="61" spans="1:15" ht="15.75" customHeight="1" thickBot="1" x14ac:dyDescent="0.25">
      <c r="A61" s="1690"/>
      <c r="B61" s="1692"/>
      <c r="C61" s="1694"/>
      <c r="D61" s="1692"/>
      <c r="E61" s="1690"/>
      <c r="F61" s="1688"/>
      <c r="G61" s="1692"/>
      <c r="H61" s="1694"/>
      <c r="I61" s="1694"/>
      <c r="J61" s="1690"/>
      <c r="K61" s="1694"/>
      <c r="L61" s="1694"/>
      <c r="M61" s="1696"/>
      <c r="N61" s="952">
        <v>2024</v>
      </c>
      <c r="O61" s="1688"/>
    </row>
    <row r="62" spans="1:15" ht="15.75" customHeight="1" thickBot="1" x14ac:dyDescent="0.25">
      <c r="A62" s="46" t="s">
        <v>1027</v>
      </c>
      <c r="B62" s="894">
        <f ca="1">CostCalc!B74</f>
        <v>33955.948381944356</v>
      </c>
      <c r="C62" s="47" t="s">
        <v>267</v>
      </c>
      <c r="D62" s="894">
        <v>2</v>
      </c>
      <c r="E62" s="48" t="s">
        <v>1610</v>
      </c>
      <c r="F62" s="889">
        <v>11358</v>
      </c>
      <c r="G62" s="894">
        <v>43149</v>
      </c>
      <c r="H62" s="47" t="s">
        <v>267</v>
      </c>
      <c r="I62" s="47">
        <v>2018</v>
      </c>
      <c r="J62" s="41"/>
      <c r="K62" s="47">
        <v>0.8</v>
      </c>
      <c r="L62" s="47">
        <v>2.2999999999999998</v>
      </c>
      <c r="M62" s="936">
        <f ca="1">B62/G62</f>
        <v>0.78694635755044973</v>
      </c>
      <c r="N62" s="953">
        <f>N$3/329.7</f>
        <v>1.220764331210191</v>
      </c>
      <c r="O62" s="917">
        <f ca="1">D62*N62*F62*L62*M62^(K62)</f>
        <v>52655.971643071593</v>
      </c>
    </row>
    <row r="63" spans="1:15" ht="15.75" customHeight="1" thickBot="1" x14ac:dyDescent="0.25">
      <c r="A63" s="35" t="s">
        <v>2889</v>
      </c>
      <c r="B63" s="894">
        <f ca="1">CostCalc!B74</f>
        <v>33955.948381944356</v>
      </c>
      <c r="C63" s="47" t="s">
        <v>267</v>
      </c>
      <c r="D63" s="894">
        <v>2</v>
      </c>
      <c r="E63" s="36"/>
      <c r="F63" s="917">
        <v>327680</v>
      </c>
      <c r="G63" s="894">
        <v>13403</v>
      </c>
      <c r="H63" s="47" t="s">
        <v>267</v>
      </c>
      <c r="I63" s="47">
        <v>2011</v>
      </c>
      <c r="J63" s="36"/>
      <c r="K63" s="47">
        <v>0.6</v>
      </c>
      <c r="L63" s="47">
        <v>2.2999999999999998</v>
      </c>
      <c r="M63" s="936">
        <f ca="1">B63/G63</f>
        <v>2.5334588063824781</v>
      </c>
      <c r="N63" s="953">
        <f>N$3/295.3</f>
        <v>1.3629732475448695</v>
      </c>
      <c r="O63" s="917">
        <f t="shared" ref="O63:O79" ca="1" si="1">D63*N63*F63*L63*M63^(K63)</f>
        <v>3588586.3965848275</v>
      </c>
    </row>
    <row r="64" spans="1:15" ht="15.75" customHeight="1" thickBot="1" x14ac:dyDescent="0.25">
      <c r="A64" s="35" t="s">
        <v>533</v>
      </c>
      <c r="B64" s="894">
        <f ca="1">CostCalc!B73</f>
        <v>33.955948381944353</v>
      </c>
      <c r="C64" s="47" t="s">
        <v>444</v>
      </c>
      <c r="D64" s="894">
        <v>2</v>
      </c>
      <c r="E64" s="36" t="s">
        <v>739</v>
      </c>
      <c r="F64" s="889">
        <f>CostCalc!F$378</f>
        <v>989.99999999999989</v>
      </c>
      <c r="G64" s="894">
        <f>CostCalc!G$376</f>
        <v>40.499999999999993</v>
      </c>
      <c r="H64" s="47" t="s">
        <v>444</v>
      </c>
      <c r="I64" s="47">
        <v>2012</v>
      </c>
      <c r="J64" s="36">
        <v>11</v>
      </c>
      <c r="K64" s="47">
        <v>0.8</v>
      </c>
      <c r="L64" s="47">
        <v>1.7</v>
      </c>
      <c r="M64" s="936">
        <f t="shared" ref="M64:M79" ca="1" si="2">B64/G64</f>
        <v>0.8384184785665274</v>
      </c>
      <c r="N64" s="953">
        <f>N$3/311.7</f>
        <v>1.2912608277189606</v>
      </c>
      <c r="O64" s="917">
        <f t="shared" ca="1" si="1"/>
        <v>3774.824465194702</v>
      </c>
    </row>
    <row r="65" spans="1:15" ht="15.75" customHeight="1" thickBot="1" x14ac:dyDescent="0.25">
      <c r="A65" s="46" t="s">
        <v>799</v>
      </c>
      <c r="B65" s="894">
        <f ca="1">CostCalc!B92</f>
        <v>33960</v>
      </c>
      <c r="C65" s="47" t="s">
        <v>7</v>
      </c>
      <c r="D65" s="894">
        <v>2</v>
      </c>
      <c r="E65" s="36" t="s">
        <v>805</v>
      </c>
      <c r="F65" s="889">
        <f>Inputs!F$854</f>
        <v>16</v>
      </c>
      <c r="G65" s="894">
        <v>1</v>
      </c>
      <c r="H65" s="47" t="s">
        <v>7</v>
      </c>
      <c r="I65" s="47">
        <v>2024</v>
      </c>
      <c r="J65" s="41"/>
      <c r="K65" s="47">
        <v>0.5</v>
      </c>
      <c r="L65" s="47">
        <v>2.2999999999999998</v>
      </c>
      <c r="M65" s="936">
        <f t="shared" ca="1" si="2"/>
        <v>33960</v>
      </c>
      <c r="N65" s="953">
        <f>N$3/389.544</f>
        <v>1.0332234612778017</v>
      </c>
      <c r="O65" s="917">
        <f t="shared" ca="1" si="1"/>
        <v>14013.799971072551</v>
      </c>
    </row>
    <row r="66" spans="1:15" ht="15.75" customHeight="1" thickBot="1" x14ac:dyDescent="0.25">
      <c r="A66" s="46" t="s">
        <v>800</v>
      </c>
      <c r="B66" s="894">
        <f ca="1">CostCalc!B93</f>
        <v>33960</v>
      </c>
      <c r="C66" s="47" t="s">
        <v>7</v>
      </c>
      <c r="D66" s="894">
        <v>2</v>
      </c>
      <c r="E66" s="36" t="s">
        <v>801</v>
      </c>
      <c r="F66" s="889">
        <f>Inputs!F$855</f>
        <v>17.5</v>
      </c>
      <c r="G66" s="894">
        <v>1</v>
      </c>
      <c r="H66" s="47" t="s">
        <v>7</v>
      </c>
      <c r="I66" s="47">
        <v>2024</v>
      </c>
      <c r="J66" s="41"/>
      <c r="K66" s="47">
        <v>0.5</v>
      </c>
      <c r="L66" s="47">
        <v>2.2999999999999998</v>
      </c>
      <c r="M66" s="936">
        <f t="shared" ca="1" si="2"/>
        <v>33960</v>
      </c>
      <c r="N66" s="953">
        <f>N$3/389.544</f>
        <v>1.0332234612778017</v>
      </c>
      <c r="O66" s="917">
        <f t="shared" ca="1" si="1"/>
        <v>15327.5937183606</v>
      </c>
    </row>
    <row r="67" spans="1:15" ht="15.75" customHeight="1" thickBot="1" x14ac:dyDescent="0.25">
      <c r="A67" s="35" t="s">
        <v>802</v>
      </c>
      <c r="B67" s="894">
        <f ca="1">CostCalc!B94</f>
        <v>67920</v>
      </c>
      <c r="C67" s="47" t="s">
        <v>7</v>
      </c>
      <c r="D67" s="894">
        <v>2</v>
      </c>
      <c r="E67" s="36" t="s">
        <v>804</v>
      </c>
      <c r="F67" s="889">
        <f>Inputs!F$856</f>
        <v>52.5</v>
      </c>
      <c r="G67" s="894">
        <v>1</v>
      </c>
      <c r="H67" s="47" t="s">
        <v>7</v>
      </c>
      <c r="I67" s="47">
        <v>2024</v>
      </c>
      <c r="J67" s="36"/>
      <c r="K67" s="47">
        <v>0.5</v>
      </c>
      <c r="L67" s="47">
        <v>2.2999999999999998</v>
      </c>
      <c r="M67" s="936">
        <f t="shared" ca="1" si="2"/>
        <v>67920</v>
      </c>
      <c r="N67" s="953">
        <f>N$3/389.544</f>
        <v>1.0332234612778017</v>
      </c>
      <c r="O67" s="917">
        <f t="shared" ca="1" si="1"/>
        <v>65029.472745150662</v>
      </c>
    </row>
    <row r="68" spans="1:15" ht="15.75" customHeight="1" thickBot="1" x14ac:dyDescent="0.25">
      <c r="A68" s="35" t="s">
        <v>812</v>
      </c>
      <c r="B68" s="894">
        <f ca="1">SUM(CostCalc!B104:B105)</f>
        <v>172.971113940376</v>
      </c>
      <c r="C68" s="47" t="s">
        <v>14</v>
      </c>
      <c r="D68" s="894">
        <v>2</v>
      </c>
      <c r="E68" s="36" t="s">
        <v>621</v>
      </c>
      <c r="F68" s="889">
        <f>Inputs!F$853</f>
        <v>3000</v>
      </c>
      <c r="G68" s="894">
        <v>1</v>
      </c>
      <c r="H68" s="47" t="s">
        <v>14</v>
      </c>
      <c r="I68" s="47">
        <v>2023</v>
      </c>
      <c r="J68" s="36"/>
      <c r="K68" s="47">
        <v>0.5</v>
      </c>
      <c r="L68" s="47">
        <v>2.2999999999999998</v>
      </c>
      <c r="M68" s="936">
        <f t="shared" ca="1" si="2"/>
        <v>172.971113940376</v>
      </c>
      <c r="N68" s="953">
        <f>N$3/421.24</f>
        <v>0.9554790618174912</v>
      </c>
      <c r="O68" s="917">
        <f t="shared" ca="1" si="1"/>
        <v>173415.15643031165</v>
      </c>
    </row>
    <row r="69" spans="1:15" ht="15.75" customHeight="1" thickBot="1" x14ac:dyDescent="0.25">
      <c r="A69" s="35" t="s">
        <v>834</v>
      </c>
      <c r="B69" s="894">
        <f ca="1">CostCalc!B130</f>
        <v>77.568822382832707</v>
      </c>
      <c r="C69" s="47" t="s">
        <v>1</v>
      </c>
      <c r="D69" s="894">
        <v>2</v>
      </c>
      <c r="E69" s="36" t="s">
        <v>530</v>
      </c>
      <c r="F69" s="889">
        <f>CostCalc!F$288</f>
        <v>188.34</v>
      </c>
      <c r="G69" s="894">
        <v>0.76</v>
      </c>
      <c r="H69" s="47" t="s">
        <v>1</v>
      </c>
      <c r="I69" s="47">
        <v>2022</v>
      </c>
      <c r="J69" s="36">
        <v>6</v>
      </c>
      <c r="K69" s="47">
        <v>0.7</v>
      </c>
      <c r="L69" s="47">
        <v>2.6</v>
      </c>
      <c r="M69" s="936">
        <f t="shared" ca="1" si="2"/>
        <v>102.06423997741146</v>
      </c>
      <c r="N69" s="953">
        <f>N$3/432.15</f>
        <v>0.93135716765012155</v>
      </c>
      <c r="O69" s="917">
        <f t="shared" ca="1" si="1"/>
        <v>23242.010608853096</v>
      </c>
    </row>
    <row r="70" spans="1:15" ht="15.75" customHeight="1" thickBot="1" x14ac:dyDescent="0.25">
      <c r="A70" s="35" t="s">
        <v>835</v>
      </c>
      <c r="B70" s="894">
        <f ca="1">CostCalc!B121</f>
        <v>32.894207211503712</v>
      </c>
      <c r="C70" s="47" t="s">
        <v>1</v>
      </c>
      <c r="D70" s="894">
        <v>2</v>
      </c>
      <c r="E70" s="36" t="s">
        <v>530</v>
      </c>
      <c r="F70" s="889">
        <f>CostCalc!F$504</f>
        <v>188.34</v>
      </c>
      <c r="G70" s="894">
        <v>0.76</v>
      </c>
      <c r="H70" s="47" t="s">
        <v>1</v>
      </c>
      <c r="I70" s="47">
        <v>2022</v>
      </c>
      <c r="J70" s="36">
        <v>2</v>
      </c>
      <c r="K70" s="47">
        <v>0.5</v>
      </c>
      <c r="L70" s="47">
        <v>2.6</v>
      </c>
      <c r="M70" s="936">
        <f t="shared" ca="1" si="2"/>
        <v>43.281851594083832</v>
      </c>
      <c r="N70" s="953">
        <f>N$3/432.15</f>
        <v>0.93135716765012155</v>
      </c>
      <c r="O70" s="917">
        <f t="shared" ca="1" si="1"/>
        <v>6000.8819963682799</v>
      </c>
    </row>
    <row r="71" spans="1:15" ht="15.75" customHeight="1" thickBot="1" x14ac:dyDescent="0.25">
      <c r="A71" s="35" t="s">
        <v>836</v>
      </c>
      <c r="B71" s="894">
        <f ca="1">CostCalc!B139</f>
        <v>32.894207211503712</v>
      </c>
      <c r="C71" s="47" t="s">
        <v>1</v>
      </c>
      <c r="D71" s="894">
        <v>2</v>
      </c>
      <c r="E71" s="36" t="s">
        <v>530</v>
      </c>
      <c r="F71" s="889">
        <f>CostCalc!F$504</f>
        <v>188.34</v>
      </c>
      <c r="G71" s="894">
        <v>0.76</v>
      </c>
      <c r="H71" s="47" t="s">
        <v>1</v>
      </c>
      <c r="I71" s="47">
        <v>2022</v>
      </c>
      <c r="J71" s="36">
        <v>2</v>
      </c>
      <c r="K71" s="47">
        <v>0.5</v>
      </c>
      <c r="L71" s="47">
        <v>2.6</v>
      </c>
      <c r="M71" s="936">
        <f t="shared" ca="1" si="2"/>
        <v>43.281851594083832</v>
      </c>
      <c r="N71" s="953">
        <f>N$3/432.15</f>
        <v>0.93135716765012155</v>
      </c>
      <c r="O71" s="917">
        <f t="shared" ca="1" si="1"/>
        <v>6000.8819963682799</v>
      </c>
    </row>
    <row r="72" spans="1:15" ht="15.75" customHeight="1" thickBot="1" x14ac:dyDescent="0.25">
      <c r="A72" s="35" t="s">
        <v>837</v>
      </c>
      <c r="B72" s="894">
        <f ca="1">CostCalc!B148</f>
        <v>32.894207211503712</v>
      </c>
      <c r="C72" s="47" t="s">
        <v>1</v>
      </c>
      <c r="D72" s="894">
        <v>2</v>
      </c>
      <c r="E72" s="36" t="s">
        <v>530</v>
      </c>
      <c r="F72" s="889">
        <f>CostCalc!F$504</f>
        <v>188.34</v>
      </c>
      <c r="G72" s="894">
        <v>0.76</v>
      </c>
      <c r="H72" s="47" t="s">
        <v>1</v>
      </c>
      <c r="I72" s="47">
        <v>2022</v>
      </c>
      <c r="J72" s="36">
        <v>2</v>
      </c>
      <c r="K72" s="47">
        <v>0.5</v>
      </c>
      <c r="L72" s="47">
        <v>2.6</v>
      </c>
      <c r="M72" s="936">
        <f t="shared" ca="1" si="2"/>
        <v>43.281851594083832</v>
      </c>
      <c r="N72" s="953">
        <f>N$3/432.15</f>
        <v>0.93135716765012155</v>
      </c>
      <c r="O72" s="917">
        <f t="shared" ca="1" si="1"/>
        <v>6000.8819963682799</v>
      </c>
    </row>
    <row r="73" spans="1:15" ht="15.75" customHeight="1" thickBot="1" x14ac:dyDescent="0.25">
      <c r="A73" s="35" t="s">
        <v>745</v>
      </c>
      <c r="B73" s="894">
        <f ca="1">CostCalc!B74</f>
        <v>33955.948381944356</v>
      </c>
      <c r="C73" s="47" t="s">
        <v>391</v>
      </c>
      <c r="D73" s="894">
        <v>8</v>
      </c>
      <c r="E73" s="36" t="s">
        <v>816</v>
      </c>
      <c r="F73" s="889">
        <f>Inputs!F$860*G73</f>
        <v>631.9</v>
      </c>
      <c r="G73" s="894">
        <v>71</v>
      </c>
      <c r="H73" s="47" t="s">
        <v>391</v>
      </c>
      <c r="I73" s="47">
        <v>2023</v>
      </c>
      <c r="J73" s="36">
        <v>14</v>
      </c>
      <c r="K73" s="47">
        <v>0.5</v>
      </c>
      <c r="L73" s="47">
        <v>2.2999999999999998</v>
      </c>
      <c r="M73" s="936">
        <f t="shared" ca="1" si="2"/>
        <v>478.25279411189234</v>
      </c>
      <c r="N73" s="953">
        <f>N$3/421.24</f>
        <v>0.9554790618174912</v>
      </c>
      <c r="O73" s="917">
        <f t="shared" ca="1" si="1"/>
        <v>242949.55662343631</v>
      </c>
    </row>
    <row r="74" spans="1:15" ht="15.75" customHeight="1" thickBot="1" x14ac:dyDescent="0.25">
      <c r="A74" s="35" t="s">
        <v>2326</v>
      </c>
      <c r="B74" s="894">
        <v>0</v>
      </c>
      <c r="C74" s="47" t="s">
        <v>2497</v>
      </c>
      <c r="D74" s="894">
        <v>2</v>
      </c>
      <c r="E74" s="36" t="s">
        <v>2498</v>
      </c>
      <c r="F74" s="889">
        <v>365400</v>
      </c>
      <c r="G74" s="894">
        <v>4000</v>
      </c>
      <c r="H74" s="47" t="s">
        <v>2497</v>
      </c>
      <c r="I74" s="47">
        <v>2011</v>
      </c>
      <c r="J74" s="36"/>
      <c r="K74" s="47">
        <v>0.8</v>
      </c>
      <c r="L74" s="47">
        <v>1.5</v>
      </c>
      <c r="M74" s="936">
        <f t="shared" si="2"/>
        <v>0</v>
      </c>
      <c r="N74" s="953">
        <f>N$3/295.3</f>
        <v>1.3629732475448695</v>
      </c>
      <c r="O74" s="917">
        <f t="shared" si="1"/>
        <v>0</v>
      </c>
    </row>
    <row r="75" spans="1:15" ht="15.75" customHeight="1" thickBot="1" x14ac:dyDescent="0.25">
      <c r="A75" s="35" t="s">
        <v>1088</v>
      </c>
      <c r="B75" s="894">
        <v>0</v>
      </c>
      <c r="C75" s="47" t="s">
        <v>999</v>
      </c>
      <c r="D75" s="894">
        <v>2</v>
      </c>
      <c r="E75" s="36" t="s">
        <v>1152</v>
      </c>
      <c r="F75" s="889">
        <f>Inputs!F$863*Reserve!G$10</f>
        <v>91999.99960000001</v>
      </c>
      <c r="G75" s="894">
        <v>9.4</v>
      </c>
      <c r="H75" s="47" t="s">
        <v>999</v>
      </c>
      <c r="I75" s="47">
        <v>2010</v>
      </c>
      <c r="J75" s="36"/>
      <c r="K75" s="47">
        <v>0.7</v>
      </c>
      <c r="L75" s="47">
        <v>2.2000000000000002</v>
      </c>
      <c r="M75" s="936">
        <f t="shared" si="2"/>
        <v>0</v>
      </c>
      <c r="N75" s="953">
        <f>N$3/267.6</f>
        <v>1.5040582959641253</v>
      </c>
      <c r="O75" s="917">
        <f t="shared" si="1"/>
        <v>0</v>
      </c>
    </row>
    <row r="76" spans="1:15" ht="15.75" customHeight="1" thickBot="1" x14ac:dyDescent="0.25">
      <c r="A76" s="35" t="s">
        <v>2380</v>
      </c>
      <c r="B76" s="894">
        <f ca="1">B70</f>
        <v>32.894207211503712</v>
      </c>
      <c r="C76" s="47" t="s">
        <v>1</v>
      </c>
      <c r="D76" s="894">
        <v>2</v>
      </c>
      <c r="E76" s="36" t="s">
        <v>2499</v>
      </c>
      <c r="F76" s="889">
        <v>5760</v>
      </c>
      <c r="G76" s="894">
        <v>72</v>
      </c>
      <c r="H76" s="47" t="s">
        <v>1</v>
      </c>
      <c r="I76" s="47">
        <v>1996</v>
      </c>
      <c r="J76" s="36"/>
      <c r="K76" s="47">
        <v>0.71</v>
      </c>
      <c r="L76" s="47">
        <v>1.4</v>
      </c>
      <c r="M76" s="936">
        <f t="shared" ca="1" si="2"/>
        <v>0.45686398904866266</v>
      </c>
      <c r="N76" s="953">
        <f>N$3/135.8</f>
        <v>2.9638144329896905</v>
      </c>
      <c r="O76" s="917">
        <f t="shared" ca="1" si="1"/>
        <v>27408.182778858714</v>
      </c>
    </row>
    <row r="77" spans="1:15" ht="15.75" customHeight="1" thickBot="1" x14ac:dyDescent="0.25">
      <c r="A77" s="35" t="s">
        <v>2381</v>
      </c>
      <c r="B77" s="894">
        <f ca="1">B71</f>
        <v>32.894207211503712</v>
      </c>
      <c r="C77" s="47" t="s">
        <v>1</v>
      </c>
      <c r="D77" s="894">
        <v>2</v>
      </c>
      <c r="E77" s="36" t="s">
        <v>2499</v>
      </c>
      <c r="F77" s="889">
        <v>5760</v>
      </c>
      <c r="G77" s="894">
        <v>72</v>
      </c>
      <c r="H77" s="47" t="s">
        <v>1</v>
      </c>
      <c r="I77" s="47">
        <v>1996</v>
      </c>
      <c r="J77" s="36"/>
      <c r="K77" s="47">
        <v>0.71</v>
      </c>
      <c r="L77" s="47">
        <v>1.4</v>
      </c>
      <c r="M77" s="936">
        <f t="shared" ca="1" si="2"/>
        <v>0.45686398904866266</v>
      </c>
      <c r="N77" s="953">
        <f>N$3/135.8</f>
        <v>2.9638144329896905</v>
      </c>
      <c r="O77" s="917">
        <f t="shared" ca="1" si="1"/>
        <v>27408.182778858714</v>
      </c>
    </row>
    <row r="78" spans="1:15" ht="15.75" customHeight="1" thickBot="1" x14ac:dyDescent="0.25">
      <c r="A78" s="35" t="s">
        <v>2382</v>
      </c>
      <c r="B78" s="894">
        <f ca="1">CostCalc!B153</f>
        <v>3080.4313450494842</v>
      </c>
      <c r="C78" s="47" t="s">
        <v>2494</v>
      </c>
      <c r="D78" s="894">
        <v>2</v>
      </c>
      <c r="E78" s="36" t="s">
        <v>2495</v>
      </c>
      <c r="F78" s="889">
        <v>16005</v>
      </c>
      <c r="G78" s="894">
        <v>262454</v>
      </c>
      <c r="H78" s="47" t="s">
        <v>2494</v>
      </c>
      <c r="I78" s="47">
        <v>2007</v>
      </c>
      <c r="J78" s="36"/>
      <c r="K78" s="47">
        <v>0.65</v>
      </c>
      <c r="L78" s="47">
        <v>3.01</v>
      </c>
      <c r="M78" s="936">
        <f t="shared" ca="1" si="2"/>
        <v>1.1737033327933596E-2</v>
      </c>
      <c r="N78" s="953">
        <f>N$3/213.2</f>
        <v>1.8878330206378988</v>
      </c>
      <c r="O78" s="917">
        <f t="shared" ca="1" si="1"/>
        <v>10116.462301534108</v>
      </c>
    </row>
    <row r="79" spans="1:15" ht="15.75" customHeight="1" thickBot="1" x14ac:dyDescent="0.25">
      <c r="A79" s="35" t="s">
        <v>2383</v>
      </c>
      <c r="B79" s="894">
        <f ca="1">CostCalc!B157</f>
        <v>149.51980793458546</v>
      </c>
      <c r="C79" s="47" t="s">
        <v>1091</v>
      </c>
      <c r="D79" s="894">
        <v>2</v>
      </c>
      <c r="E79" s="36" t="s">
        <v>2491</v>
      </c>
      <c r="F79" s="889">
        <v>194200</v>
      </c>
      <c r="G79" s="894">
        <v>1400</v>
      </c>
      <c r="H79" s="47" t="s">
        <v>1091</v>
      </c>
      <c r="I79" s="47">
        <v>2013</v>
      </c>
      <c r="J79" s="36"/>
      <c r="K79" s="47">
        <v>0.7</v>
      </c>
      <c r="L79" s="47">
        <v>2.23</v>
      </c>
      <c r="M79" s="936">
        <f t="shared" ca="1" si="2"/>
        <v>0.10679986281041819</v>
      </c>
      <c r="N79" s="953">
        <f>N$3/303.8</f>
        <v>1.3248387096774192</v>
      </c>
      <c r="O79" s="917">
        <f t="shared" ca="1" si="1"/>
        <v>239743.35559020899</v>
      </c>
    </row>
    <row r="80" spans="1:15" ht="15.75" customHeight="1" thickBot="1" x14ac:dyDescent="0.25">
      <c r="A80" s="35"/>
      <c r="B80" s="894"/>
      <c r="C80" s="47"/>
      <c r="D80" s="897"/>
      <c r="E80" s="36"/>
      <c r="F80" s="917"/>
      <c r="G80" s="897"/>
      <c r="H80" s="47"/>
      <c r="I80" s="47"/>
      <c r="J80" s="36"/>
      <c r="K80" s="47"/>
      <c r="L80" s="47"/>
      <c r="M80" s="936"/>
      <c r="N80" s="954"/>
      <c r="O80" s="917"/>
    </row>
    <row r="81" spans="1:15" ht="15.75" customHeight="1" thickBot="1" x14ac:dyDescent="0.25">
      <c r="A81" s="1677" t="s">
        <v>526</v>
      </c>
      <c r="B81" s="1678"/>
      <c r="C81" s="1678"/>
      <c r="D81" s="1678"/>
      <c r="E81" s="1678"/>
      <c r="F81" s="1678"/>
      <c r="G81" s="1678"/>
      <c r="H81" s="1678"/>
      <c r="I81" s="1678"/>
      <c r="J81" s="1678"/>
      <c r="K81" s="1678"/>
      <c r="L81" s="1678"/>
      <c r="M81" s="1678"/>
      <c r="N81" s="1679"/>
      <c r="O81" s="917">
        <f ca="1">SUM(O62:O79)</f>
        <v>4501673.6122288434</v>
      </c>
    </row>
    <row r="82" spans="1:15" ht="15.75" customHeight="1" x14ac:dyDescent="0.2">
      <c r="A82" s="197"/>
      <c r="B82" s="895"/>
      <c r="C82" s="197"/>
      <c r="D82" s="895"/>
      <c r="E82" s="197"/>
      <c r="F82" s="890"/>
      <c r="G82" s="895"/>
      <c r="H82" s="197"/>
      <c r="I82" s="197"/>
      <c r="J82" s="197"/>
      <c r="K82" s="197"/>
      <c r="L82" s="197"/>
      <c r="M82" s="937"/>
      <c r="N82" s="955"/>
      <c r="O82" s="891"/>
    </row>
    <row r="83" spans="1:15" ht="15.75" customHeight="1" x14ac:dyDescent="0.2">
      <c r="A83" s="197"/>
      <c r="B83" s="895"/>
      <c r="C83" s="197"/>
      <c r="D83" s="895"/>
      <c r="E83" s="197"/>
      <c r="F83" s="890"/>
      <c r="G83" s="895"/>
      <c r="H83" s="197"/>
      <c r="I83" s="197"/>
      <c r="J83" s="197"/>
      <c r="K83" s="197"/>
      <c r="L83" s="197"/>
      <c r="M83" s="937"/>
      <c r="N83" s="955"/>
      <c r="O83" s="891"/>
    </row>
    <row r="84" spans="1:15" ht="15.75" customHeight="1" thickBot="1" x14ac:dyDescent="0.25">
      <c r="A84" s="197"/>
      <c r="B84" s="895"/>
      <c r="C84" s="197"/>
      <c r="D84" s="895"/>
      <c r="E84" s="197"/>
      <c r="F84" s="890"/>
      <c r="G84" s="895"/>
      <c r="H84" s="197"/>
      <c r="I84" s="197"/>
      <c r="J84" s="197"/>
      <c r="K84" s="197"/>
      <c r="L84" s="197"/>
      <c r="M84" s="937"/>
      <c r="N84" s="955"/>
      <c r="O84" s="891"/>
    </row>
    <row r="85" spans="1:15" ht="15.75" customHeight="1" x14ac:dyDescent="0.2">
      <c r="A85" s="1843" t="s">
        <v>2318</v>
      </c>
      <c r="B85" s="1326"/>
      <c r="C85" s="1326"/>
      <c r="D85" s="1326"/>
      <c r="E85" s="1326"/>
      <c r="F85" s="1326"/>
      <c r="G85" s="1326"/>
      <c r="H85" s="1326"/>
      <c r="I85" s="1326"/>
      <c r="J85" s="1326"/>
      <c r="K85" s="1326"/>
      <c r="L85" s="1326"/>
      <c r="M85" s="1326"/>
      <c r="N85" s="1326"/>
      <c r="O85" s="1327"/>
    </row>
    <row r="86" spans="1:15" ht="15.75" customHeight="1" thickBot="1" x14ac:dyDescent="0.25">
      <c r="A86" s="1846"/>
      <c r="B86" s="1328"/>
      <c r="C86" s="1328"/>
      <c r="D86" s="1328"/>
      <c r="E86" s="1328"/>
      <c r="F86" s="1328"/>
      <c r="G86" s="1328"/>
      <c r="H86" s="1328"/>
      <c r="I86" s="1328"/>
      <c r="J86" s="1328"/>
      <c r="K86" s="1328"/>
      <c r="L86" s="1328"/>
      <c r="M86" s="1328"/>
      <c r="N86" s="1328"/>
      <c r="O86" s="1329"/>
    </row>
    <row r="87" spans="1:15" ht="15.75" customHeight="1" thickBot="1" x14ac:dyDescent="0.25">
      <c r="A87" s="1680" t="s">
        <v>509</v>
      </c>
      <c r="B87" s="1681"/>
      <c r="C87" s="1681"/>
      <c r="D87" s="1681"/>
      <c r="E87" s="1681"/>
      <c r="F87" s="1681"/>
      <c r="G87" s="1681"/>
      <c r="H87" s="1681"/>
      <c r="I87" s="1681"/>
      <c r="J87" s="1681"/>
      <c r="K87" s="1681"/>
      <c r="L87" s="1681"/>
      <c r="M87" s="1681"/>
      <c r="N87" s="1681"/>
      <c r="O87" s="1682"/>
    </row>
    <row r="88" spans="1:15" ht="15.75" customHeight="1" thickBot="1" x14ac:dyDescent="0.25">
      <c r="A88" s="1683" t="s">
        <v>510</v>
      </c>
      <c r="B88" s="1684"/>
      <c r="C88" s="1684"/>
      <c r="D88" s="1684"/>
      <c r="E88" s="1685"/>
      <c r="F88" s="1683" t="s">
        <v>511</v>
      </c>
      <c r="G88" s="1684"/>
      <c r="H88" s="1684"/>
      <c r="I88" s="1684"/>
      <c r="J88" s="1685"/>
      <c r="K88" s="1683" t="s">
        <v>512</v>
      </c>
      <c r="L88" s="1684"/>
      <c r="M88" s="1684"/>
      <c r="N88" s="1685"/>
      <c r="O88" s="1686" t="s">
        <v>513</v>
      </c>
    </row>
    <row r="89" spans="1:15" ht="15.75" customHeight="1" x14ac:dyDescent="0.2">
      <c r="A89" s="1689" t="s">
        <v>514</v>
      </c>
      <c r="B89" s="1691" t="s">
        <v>515</v>
      </c>
      <c r="C89" s="1693" t="s">
        <v>372</v>
      </c>
      <c r="D89" s="1691" t="s">
        <v>516</v>
      </c>
      <c r="E89" s="1689" t="s">
        <v>517</v>
      </c>
      <c r="F89" s="1686" t="s">
        <v>518</v>
      </c>
      <c r="G89" s="1691" t="s">
        <v>515</v>
      </c>
      <c r="H89" s="1693" t="s">
        <v>372</v>
      </c>
      <c r="I89" s="1693" t="s">
        <v>519</v>
      </c>
      <c r="J89" s="1689" t="s">
        <v>520</v>
      </c>
      <c r="K89" s="1693" t="s">
        <v>521</v>
      </c>
      <c r="L89" s="1693" t="s">
        <v>522</v>
      </c>
      <c r="M89" s="1695" t="s">
        <v>523</v>
      </c>
      <c r="N89" s="951" t="s">
        <v>527</v>
      </c>
      <c r="O89" s="1687"/>
    </row>
    <row r="90" spans="1:15" ht="15.75" customHeight="1" thickBot="1" x14ac:dyDescent="0.25">
      <c r="A90" s="1690"/>
      <c r="B90" s="1692"/>
      <c r="C90" s="1694"/>
      <c r="D90" s="1692"/>
      <c r="E90" s="1690"/>
      <c r="F90" s="1688"/>
      <c r="G90" s="1692"/>
      <c r="H90" s="1694"/>
      <c r="I90" s="1694"/>
      <c r="J90" s="1690"/>
      <c r="K90" s="1694"/>
      <c r="L90" s="1694"/>
      <c r="M90" s="1696"/>
      <c r="N90" s="952">
        <v>2024</v>
      </c>
      <c r="O90" s="1688"/>
    </row>
    <row r="91" spans="1:15" ht="15.75" customHeight="1" thickBot="1" x14ac:dyDescent="0.25">
      <c r="A91" s="46" t="s">
        <v>2840</v>
      </c>
      <c r="B91" s="894">
        <f ca="1">ExpBase!C143</f>
        <v>12071.38484500999</v>
      </c>
      <c r="C91" s="47" t="s">
        <v>267</v>
      </c>
      <c r="D91" s="894">
        <v>2</v>
      </c>
      <c r="E91" s="48" t="s">
        <v>1610</v>
      </c>
      <c r="F91" s="889">
        <v>11358</v>
      </c>
      <c r="G91" s="894">
        <v>43149</v>
      </c>
      <c r="H91" s="47" t="s">
        <v>267</v>
      </c>
      <c r="I91" s="47">
        <v>2018</v>
      </c>
      <c r="J91" s="41"/>
      <c r="K91" s="47">
        <v>0.8</v>
      </c>
      <c r="L91" s="47">
        <v>2.2999999999999998</v>
      </c>
      <c r="M91" s="936">
        <f ca="1">B91/G91</f>
        <v>0.2797604775315764</v>
      </c>
      <c r="N91" s="953">
        <f>N$3/329.7</f>
        <v>1.220764331210191</v>
      </c>
      <c r="O91" s="917">
        <f ca="1">D91*N91*F91*L91*M91^(K91)</f>
        <v>23020.810819827049</v>
      </c>
    </row>
    <row r="92" spans="1:15" ht="15.75" customHeight="1" thickBot="1" x14ac:dyDescent="0.25">
      <c r="A92" s="46" t="s">
        <v>2842</v>
      </c>
      <c r="B92" s="894">
        <f ca="1">ExpBase!C152</f>
        <v>3621.4154535029975</v>
      </c>
      <c r="C92" s="47" t="s">
        <v>267</v>
      </c>
      <c r="D92" s="894">
        <v>2</v>
      </c>
      <c r="E92" s="48" t="s">
        <v>1610</v>
      </c>
      <c r="F92" s="889">
        <v>11358</v>
      </c>
      <c r="G92" s="894">
        <v>43149</v>
      </c>
      <c r="H92" s="47" t="s">
        <v>267</v>
      </c>
      <c r="I92" s="47">
        <v>2018</v>
      </c>
      <c r="J92" s="41"/>
      <c r="K92" s="47">
        <v>0.8</v>
      </c>
      <c r="L92" s="47">
        <v>2.2999999999999998</v>
      </c>
      <c r="M92" s="936">
        <f ca="1">B92/G92</f>
        <v>8.3928143259472926E-2</v>
      </c>
      <c r="N92" s="953">
        <f>N$3/329.7</f>
        <v>1.220764331210191</v>
      </c>
      <c r="O92" s="917">
        <f ca="1">D92*N92*F92*L92*M92^(K92)</f>
        <v>8786.5345219425817</v>
      </c>
    </row>
    <row r="93" spans="1:15" ht="15.75" customHeight="1" thickBot="1" x14ac:dyDescent="0.25">
      <c r="A93" s="35" t="s">
        <v>2852</v>
      </c>
      <c r="B93" s="894">
        <f ca="1">CostCalc!B179*CostCalc!B180</f>
        <v>375.13563039062592</v>
      </c>
      <c r="C93" s="47" t="s">
        <v>1</v>
      </c>
      <c r="D93" s="894">
        <v>2</v>
      </c>
      <c r="E93" s="36" t="s">
        <v>530</v>
      </c>
      <c r="F93" s="917">
        <f>Inputs!F$847</f>
        <v>188.34</v>
      </c>
      <c r="G93" s="897">
        <v>0.76</v>
      </c>
      <c r="H93" s="199" t="s">
        <v>1</v>
      </c>
      <c r="I93" s="47">
        <v>2022</v>
      </c>
      <c r="J93" s="36">
        <v>2</v>
      </c>
      <c r="K93" s="47">
        <v>0.7</v>
      </c>
      <c r="L93" s="47">
        <v>2.6</v>
      </c>
      <c r="M93" s="936">
        <f t="shared" ref="M93:M109" ca="1" si="3">B93/G93</f>
        <v>493.5995136718762</v>
      </c>
      <c r="N93" s="953">
        <f>N$3/432.15</f>
        <v>0.93135716765012155</v>
      </c>
      <c r="O93" s="917">
        <f t="shared" ref="O93:O109" ca="1" si="4">N93*F93*L93*M93^(K93)</f>
        <v>35026.317611926228</v>
      </c>
    </row>
    <row r="94" spans="1:15" ht="15.75" customHeight="1" thickBot="1" x14ac:dyDescent="0.25">
      <c r="A94" s="35" t="s">
        <v>2853</v>
      </c>
      <c r="B94" s="894">
        <f ca="1">CostCalc!B181/CostCalc!B180</f>
        <v>750.27126078125184</v>
      </c>
      <c r="C94" s="47" t="s">
        <v>7</v>
      </c>
      <c r="D94" s="894">
        <v>2</v>
      </c>
      <c r="E94" s="36" t="s">
        <v>857</v>
      </c>
      <c r="F94" s="917">
        <f>Inputs!F$848</f>
        <v>8.35</v>
      </c>
      <c r="G94" s="897">
        <v>0.09</v>
      </c>
      <c r="H94" s="47" t="s">
        <v>7</v>
      </c>
      <c r="I94" s="47">
        <v>2022</v>
      </c>
      <c r="J94" s="36">
        <v>3</v>
      </c>
      <c r="K94" s="47">
        <v>1</v>
      </c>
      <c r="L94" s="47">
        <v>2.6</v>
      </c>
      <c r="M94" s="936">
        <f t="shared" ca="1" si="3"/>
        <v>8336.3473420139089</v>
      </c>
      <c r="N94" s="953">
        <f>N$3/432.15</f>
        <v>0.93135716765012155</v>
      </c>
      <c r="O94" s="917">
        <f t="shared" ca="1" si="4"/>
        <v>168558.97679191359</v>
      </c>
    </row>
    <row r="95" spans="1:15" ht="15.75" customHeight="1" thickBot="1" x14ac:dyDescent="0.25">
      <c r="A95" s="35" t="s">
        <v>2854</v>
      </c>
      <c r="B95" s="894">
        <f ca="1">CostCalc!B185</f>
        <v>156.47462500337818</v>
      </c>
      <c r="C95" s="47" t="s">
        <v>11</v>
      </c>
      <c r="D95" s="894">
        <v>2</v>
      </c>
      <c r="E95" s="36" t="s">
        <v>858</v>
      </c>
      <c r="F95" s="917">
        <f>Inputs!F$849*G95</f>
        <v>600</v>
      </c>
      <c r="G95" s="897">
        <v>1</v>
      </c>
      <c r="H95" s="47" t="s">
        <v>11</v>
      </c>
      <c r="I95" s="47">
        <v>1998</v>
      </c>
      <c r="J95" s="36">
        <v>4</v>
      </c>
      <c r="K95" s="47">
        <v>0.5</v>
      </c>
      <c r="L95" s="47">
        <v>1.5</v>
      </c>
      <c r="M95" s="936">
        <f ca="1">B95/G95</f>
        <v>156.47462500337818</v>
      </c>
      <c r="N95" s="953">
        <f>N$3/142.2</f>
        <v>2.8304219409282703</v>
      </c>
      <c r="O95" s="917">
        <f t="shared" ca="1" si="4"/>
        <v>31865.126822698283</v>
      </c>
    </row>
    <row r="96" spans="1:15" ht="15.75" customHeight="1" thickBot="1" x14ac:dyDescent="0.25">
      <c r="A96" s="46" t="s">
        <v>2841</v>
      </c>
      <c r="B96" s="894">
        <f ca="1">CostCalc!B172</f>
        <v>15692.800298512988</v>
      </c>
      <c r="C96" s="47" t="s">
        <v>267</v>
      </c>
      <c r="D96" s="894">
        <v>2</v>
      </c>
      <c r="E96" s="48" t="s">
        <v>1610</v>
      </c>
      <c r="F96" s="889">
        <v>11358</v>
      </c>
      <c r="G96" s="894">
        <v>43149</v>
      </c>
      <c r="H96" s="47" t="s">
        <v>267</v>
      </c>
      <c r="I96" s="47">
        <v>2018</v>
      </c>
      <c r="J96" s="41"/>
      <c r="K96" s="47">
        <v>0.8</v>
      </c>
      <c r="L96" s="47">
        <v>2.2999999999999998</v>
      </c>
      <c r="M96" s="936">
        <f ca="1">B96/G96</f>
        <v>0.36368862079104936</v>
      </c>
      <c r="N96" s="953">
        <f>N$3/329.7</f>
        <v>1.220764331210191</v>
      </c>
      <c r="O96" s="917">
        <f t="shared" ca="1" si="4"/>
        <v>14198.592728867774</v>
      </c>
    </row>
    <row r="97" spans="1:15" ht="15.75" customHeight="1" thickBot="1" x14ac:dyDescent="0.25">
      <c r="A97" s="35" t="s">
        <v>2855</v>
      </c>
      <c r="B97" s="894">
        <f ca="1">CostCalc!B181</f>
        <v>375.13563039062592</v>
      </c>
      <c r="C97" s="47" t="s">
        <v>1</v>
      </c>
      <c r="D97" s="894">
        <v>2</v>
      </c>
      <c r="E97" s="36" t="s">
        <v>530</v>
      </c>
      <c r="F97" s="917">
        <f>Inputs!F$847</f>
        <v>188.34</v>
      </c>
      <c r="G97" s="897">
        <v>0.76</v>
      </c>
      <c r="H97" s="199" t="s">
        <v>1</v>
      </c>
      <c r="I97" s="47">
        <v>2022</v>
      </c>
      <c r="J97" s="36">
        <v>2</v>
      </c>
      <c r="K97" s="47">
        <v>0.7</v>
      </c>
      <c r="L97" s="47">
        <v>2.6</v>
      </c>
      <c r="M97" s="936">
        <f ca="1">B97/G97</f>
        <v>493.5995136718762</v>
      </c>
      <c r="N97" s="953">
        <f>N$3/432.15</f>
        <v>0.93135716765012155</v>
      </c>
      <c r="O97" s="917">
        <f t="shared" ca="1" si="4"/>
        <v>35026.317611926228</v>
      </c>
    </row>
    <row r="98" spans="1:15" ht="15.75" customHeight="1" thickBot="1" x14ac:dyDescent="0.25">
      <c r="A98" s="35" t="s">
        <v>2856</v>
      </c>
      <c r="B98" s="894">
        <f ca="1">CostCalc!B181/CostCalc!B180</f>
        <v>750.27126078125184</v>
      </c>
      <c r="C98" s="47" t="s">
        <v>7</v>
      </c>
      <c r="D98" s="894">
        <v>2</v>
      </c>
      <c r="E98" s="36" t="s">
        <v>857</v>
      </c>
      <c r="F98" s="917">
        <f>Inputs!F$848</f>
        <v>8.35</v>
      </c>
      <c r="G98" s="897">
        <v>0.09</v>
      </c>
      <c r="H98" s="47" t="s">
        <v>7</v>
      </c>
      <c r="I98" s="47">
        <v>2022</v>
      </c>
      <c r="J98" s="36">
        <v>3</v>
      </c>
      <c r="K98" s="47">
        <v>0.9</v>
      </c>
      <c r="L98" s="47">
        <v>2.6</v>
      </c>
      <c r="M98" s="936">
        <f ca="1">B98/G98</f>
        <v>8336.3473420139089</v>
      </c>
      <c r="N98" s="953">
        <f>N$3/432.15</f>
        <v>0.93135716765012155</v>
      </c>
      <c r="O98" s="917">
        <f t="shared" ca="1" si="4"/>
        <v>68336.747736949226</v>
      </c>
    </row>
    <row r="99" spans="1:15" ht="15.75" customHeight="1" thickBot="1" x14ac:dyDescent="0.25">
      <c r="A99" s="35" t="s">
        <v>2857</v>
      </c>
      <c r="B99" s="894">
        <f ca="1">CostCalc!B185</f>
        <v>156.47462500337818</v>
      </c>
      <c r="C99" s="47" t="s">
        <v>11</v>
      </c>
      <c r="D99" s="894">
        <v>2</v>
      </c>
      <c r="E99" s="36" t="s">
        <v>858</v>
      </c>
      <c r="F99" s="917">
        <f>Inputs!F$849*G99</f>
        <v>600</v>
      </c>
      <c r="G99" s="897">
        <v>1</v>
      </c>
      <c r="H99" s="47" t="s">
        <v>11</v>
      </c>
      <c r="I99" s="47">
        <v>1998</v>
      </c>
      <c r="J99" s="36">
        <v>4</v>
      </c>
      <c r="K99" s="47">
        <v>0.5</v>
      </c>
      <c r="L99" s="47">
        <v>1.5</v>
      </c>
      <c r="M99" s="936">
        <f ca="1">B99/G99</f>
        <v>156.47462500337818</v>
      </c>
      <c r="N99" s="953">
        <f>N$3/142.2</f>
        <v>2.8304219409282703</v>
      </c>
      <c r="O99" s="917">
        <f t="shared" ca="1" si="4"/>
        <v>31865.126822698283</v>
      </c>
    </row>
    <row r="100" spans="1:15" ht="15.75" customHeight="1" thickBot="1" x14ac:dyDescent="0.25">
      <c r="A100" s="46" t="s">
        <v>1027</v>
      </c>
      <c r="B100" s="894">
        <f ca="1">CostCalc!B172</f>
        <v>15692.800298512988</v>
      </c>
      <c r="C100" s="47" t="s">
        <v>267</v>
      </c>
      <c r="D100" s="894">
        <v>2</v>
      </c>
      <c r="E100" s="48" t="s">
        <v>1610</v>
      </c>
      <c r="F100" s="889">
        <v>11358</v>
      </c>
      <c r="G100" s="894">
        <v>43149</v>
      </c>
      <c r="H100" s="47" t="s">
        <v>267</v>
      </c>
      <c r="I100" s="47">
        <v>2018</v>
      </c>
      <c r="J100" s="41"/>
      <c r="K100" s="47">
        <v>0.8</v>
      </c>
      <c r="L100" s="47">
        <v>2.2999999999999998</v>
      </c>
      <c r="M100" s="936">
        <f t="shared" ca="1" si="3"/>
        <v>0.36368862079104936</v>
      </c>
      <c r="N100" s="953">
        <f>N$3/329.7</f>
        <v>1.220764331210191</v>
      </c>
      <c r="O100" s="917">
        <f t="shared" ca="1" si="4"/>
        <v>14198.592728867774</v>
      </c>
    </row>
    <row r="101" spans="1:15" ht="15.75" customHeight="1" thickBot="1" x14ac:dyDescent="0.25">
      <c r="A101" s="35" t="s">
        <v>2514</v>
      </c>
      <c r="B101" s="894">
        <f ca="1">CostCalc!B172</f>
        <v>15692.800298512988</v>
      </c>
      <c r="C101" s="47" t="s">
        <v>267</v>
      </c>
      <c r="D101" s="894">
        <v>2</v>
      </c>
      <c r="E101" s="36"/>
      <c r="F101" s="917">
        <v>588000</v>
      </c>
      <c r="G101" s="894">
        <v>156789</v>
      </c>
      <c r="H101" s="47" t="s">
        <v>267</v>
      </c>
      <c r="I101" s="47">
        <v>2011</v>
      </c>
      <c r="J101" s="36"/>
      <c r="K101" s="47">
        <v>0.5</v>
      </c>
      <c r="L101" s="47">
        <v>2.2999999999999998</v>
      </c>
      <c r="M101" s="936">
        <f t="shared" ca="1" si="3"/>
        <v>0.10008865608246106</v>
      </c>
      <c r="N101" s="953">
        <f>N$3/295.3</f>
        <v>1.3629732475448695</v>
      </c>
      <c r="O101" s="917">
        <f t="shared" ca="1" si="4"/>
        <v>583156.23398006905</v>
      </c>
    </row>
    <row r="102" spans="1:15" ht="15.75" customHeight="1" thickBot="1" x14ac:dyDescent="0.25">
      <c r="A102" s="35" t="s">
        <v>533</v>
      </c>
      <c r="B102" s="894">
        <f ca="1">CostCalc!B172</f>
        <v>15692.800298512988</v>
      </c>
      <c r="C102" s="47" t="s">
        <v>444</v>
      </c>
      <c r="D102" s="894">
        <v>2</v>
      </c>
      <c r="E102" s="36" t="s">
        <v>739</v>
      </c>
      <c r="F102" s="917">
        <f>CostCalc!F$378</f>
        <v>989.99999999999989</v>
      </c>
      <c r="G102" s="897">
        <f>CostCalc!G$376</f>
        <v>40.499999999999993</v>
      </c>
      <c r="H102" s="47" t="s">
        <v>444</v>
      </c>
      <c r="I102" s="47">
        <v>2012</v>
      </c>
      <c r="J102" s="36">
        <v>11</v>
      </c>
      <c r="K102" s="47">
        <v>0.8</v>
      </c>
      <c r="L102" s="47">
        <v>1.7</v>
      </c>
      <c r="M102" s="936">
        <f ca="1">B102/G102</f>
        <v>387.47655058056768</v>
      </c>
      <c r="N102" s="953">
        <f>N$3/311.7</f>
        <v>1.2912608277189606</v>
      </c>
      <c r="O102" s="917">
        <f t="shared" ca="1" si="4"/>
        <v>255678.63093127412</v>
      </c>
    </row>
    <row r="103" spans="1:15" ht="15.75" customHeight="1" thickBot="1" x14ac:dyDescent="0.25">
      <c r="A103" s="46" t="s">
        <v>1027</v>
      </c>
      <c r="B103" s="894">
        <f ca="1">ExpBase!C169</f>
        <v>15692.900965264145</v>
      </c>
      <c r="C103" s="47" t="s">
        <v>267</v>
      </c>
      <c r="D103" s="894">
        <v>2</v>
      </c>
      <c r="E103" s="48" t="s">
        <v>1610</v>
      </c>
      <c r="F103" s="889">
        <v>11358</v>
      </c>
      <c r="G103" s="894">
        <v>43149</v>
      </c>
      <c r="H103" s="47" t="s">
        <v>267</v>
      </c>
      <c r="I103" s="47">
        <v>2018</v>
      </c>
      <c r="J103" s="41"/>
      <c r="K103" s="47">
        <v>0.8</v>
      </c>
      <c r="L103" s="47">
        <v>2.2999999999999998</v>
      </c>
      <c r="M103" s="936">
        <f t="shared" ca="1" si="3"/>
        <v>0.3636909537941585</v>
      </c>
      <c r="N103" s="953">
        <f>N$3/329.7</f>
        <v>1.220764331210191</v>
      </c>
      <c r="O103" s="917">
        <f t="shared" ca="1" si="4"/>
        <v>14198.665594143926</v>
      </c>
    </row>
    <row r="104" spans="1:15" ht="15.75" customHeight="1" thickBot="1" x14ac:dyDescent="0.25">
      <c r="A104" s="35" t="s">
        <v>2327</v>
      </c>
      <c r="B104" s="894">
        <f ca="1">CostCalc!B194</f>
        <v>12.32113316921679</v>
      </c>
      <c r="C104" s="47" t="s">
        <v>1</v>
      </c>
      <c r="D104" s="894">
        <v>2</v>
      </c>
      <c r="E104" s="36" t="s">
        <v>530</v>
      </c>
      <c r="F104" s="917">
        <f>Inputs!F$847</f>
        <v>188.34</v>
      </c>
      <c r="G104" s="897">
        <f>G72</f>
        <v>0.76</v>
      </c>
      <c r="H104" s="47" t="s">
        <v>1</v>
      </c>
      <c r="I104" s="47">
        <v>2022</v>
      </c>
      <c r="J104" s="36">
        <v>6</v>
      </c>
      <c r="K104" s="47">
        <v>0.7</v>
      </c>
      <c r="L104" s="47">
        <v>1.8</v>
      </c>
      <c r="M104" s="936">
        <f t="shared" ca="1" si="3"/>
        <v>16.212017327916829</v>
      </c>
      <c r="N104" s="953">
        <f>N$3/432.15</f>
        <v>0.93135716765012155</v>
      </c>
      <c r="O104" s="917">
        <f t="shared" ca="1" si="4"/>
        <v>2219.3064424607728</v>
      </c>
    </row>
    <row r="105" spans="1:15" ht="15.75" customHeight="1" thickBot="1" x14ac:dyDescent="0.25">
      <c r="A105" s="35" t="s">
        <v>2328</v>
      </c>
      <c r="B105" s="894">
        <f ca="1">CostCalc!B194/CostCalc!B193</f>
        <v>24.642266338433579</v>
      </c>
      <c r="C105" s="47" t="s">
        <v>7</v>
      </c>
      <c r="D105" s="894">
        <v>2</v>
      </c>
      <c r="E105" s="36" t="s">
        <v>857</v>
      </c>
      <c r="F105" s="917">
        <f>CostCalc!F$420</f>
        <v>8.35</v>
      </c>
      <c r="G105" s="897">
        <f>ROUNDUP(CostCalc!G$420,2)</f>
        <v>9.9999999999999992E-2</v>
      </c>
      <c r="H105" s="47" t="s">
        <v>7</v>
      </c>
      <c r="I105" s="47">
        <v>2022</v>
      </c>
      <c r="J105" s="36">
        <v>3</v>
      </c>
      <c r="K105" s="47">
        <v>0.7</v>
      </c>
      <c r="L105" s="47">
        <v>1.8</v>
      </c>
      <c r="M105" s="936">
        <f t="shared" ca="1" si="3"/>
        <v>246.42266338433581</v>
      </c>
      <c r="N105" s="953">
        <f>N$3/432.15</f>
        <v>0.93135716765012155</v>
      </c>
      <c r="O105" s="917">
        <f t="shared" ca="1" si="4"/>
        <v>661.07646306880076</v>
      </c>
    </row>
    <row r="106" spans="1:15" ht="15.75" customHeight="1" thickBot="1" x14ac:dyDescent="0.25">
      <c r="A106" s="35" t="s">
        <v>2329</v>
      </c>
      <c r="B106" s="894">
        <f ca="1">CostCalc!B198</f>
        <v>156.47562876254403</v>
      </c>
      <c r="C106" s="47" t="s">
        <v>11</v>
      </c>
      <c r="D106" s="894">
        <v>2</v>
      </c>
      <c r="E106" s="36" t="s">
        <v>858</v>
      </c>
      <c r="F106" s="917">
        <f>Inputs!F$849</f>
        <v>600</v>
      </c>
      <c r="G106" s="897">
        <v>1</v>
      </c>
      <c r="H106" s="47" t="s">
        <v>11</v>
      </c>
      <c r="I106" s="47">
        <v>1998</v>
      </c>
      <c r="J106" s="36">
        <v>4</v>
      </c>
      <c r="K106" s="47">
        <v>0.5</v>
      </c>
      <c r="L106" s="47">
        <v>1.5</v>
      </c>
      <c r="M106" s="936">
        <f t="shared" ca="1" si="3"/>
        <v>156.47562876254403</v>
      </c>
      <c r="N106" s="953">
        <f>N$3/142.2</f>
        <v>2.8304219409282703</v>
      </c>
      <c r="O106" s="917">
        <f t="shared" ca="1" si="4"/>
        <v>31865.229027326746</v>
      </c>
    </row>
    <row r="107" spans="1:15" ht="15.75" customHeight="1" thickBot="1" x14ac:dyDescent="0.25">
      <c r="A107" s="46" t="s">
        <v>2493</v>
      </c>
      <c r="B107" s="894">
        <f ca="1">CostCalc!B202</f>
        <v>34596.92980957601</v>
      </c>
      <c r="C107" s="47" t="s">
        <v>2494</v>
      </c>
      <c r="D107" s="894">
        <v>3</v>
      </c>
      <c r="E107" s="48" t="s">
        <v>2492</v>
      </c>
      <c r="F107" s="889">
        <v>350000</v>
      </c>
      <c r="G107" s="894">
        <v>197000</v>
      </c>
      <c r="H107" s="47" t="s">
        <v>2494</v>
      </c>
      <c r="I107" s="47">
        <v>2012</v>
      </c>
      <c r="J107" s="41"/>
      <c r="K107" s="47">
        <v>0.7</v>
      </c>
      <c r="L107" s="47">
        <v>1.1499999999999999</v>
      </c>
      <c r="M107" s="936">
        <f t="shared" ca="1" si="3"/>
        <v>0.17561893304353304</v>
      </c>
      <c r="N107" s="953">
        <f>N$3/311.7</f>
        <v>1.2912608277189606</v>
      </c>
      <c r="O107" s="917">
        <f t="shared" ca="1" si="4"/>
        <v>153808.30812384267</v>
      </c>
    </row>
    <row r="108" spans="1:15" ht="15.75" customHeight="1" thickBot="1" x14ac:dyDescent="0.25">
      <c r="A108" s="35" t="s">
        <v>2384</v>
      </c>
      <c r="B108" s="894">
        <f ca="1">CostCalc!B204</f>
        <v>5.9782479867672933</v>
      </c>
      <c r="C108" s="47" t="s">
        <v>1</v>
      </c>
      <c r="D108" s="894">
        <v>2</v>
      </c>
      <c r="E108" s="36" t="s">
        <v>2499</v>
      </c>
      <c r="F108" s="889">
        <v>5760</v>
      </c>
      <c r="G108" s="897">
        <v>72</v>
      </c>
      <c r="H108" s="47" t="s">
        <v>1</v>
      </c>
      <c r="I108" s="47">
        <v>1996</v>
      </c>
      <c r="J108" s="36"/>
      <c r="K108" s="47">
        <v>0.71</v>
      </c>
      <c r="L108" s="47">
        <v>1.4</v>
      </c>
      <c r="M108" s="936">
        <f t="shared" ca="1" si="3"/>
        <v>8.3031222038434632E-2</v>
      </c>
      <c r="N108" s="953">
        <f>N$3/135.8</f>
        <v>2.9638144329896905</v>
      </c>
      <c r="O108" s="917">
        <f t="shared" ca="1" si="4"/>
        <v>4083.7856890326061</v>
      </c>
    </row>
    <row r="109" spans="1:15" ht="15.75" customHeight="1" thickBot="1" x14ac:dyDescent="0.25">
      <c r="A109" s="35" t="s">
        <v>2385</v>
      </c>
      <c r="B109" s="894">
        <f ca="1">CostCalc!B206</f>
        <v>593.97630153524779</v>
      </c>
      <c r="C109" s="47" t="s">
        <v>1091</v>
      </c>
      <c r="D109" s="894">
        <v>2</v>
      </c>
      <c r="E109" s="36" t="s">
        <v>2491</v>
      </c>
      <c r="F109" s="917">
        <v>194200</v>
      </c>
      <c r="G109" s="897">
        <v>1400</v>
      </c>
      <c r="H109" s="47" t="s">
        <v>1091</v>
      </c>
      <c r="I109" s="47">
        <v>2013</v>
      </c>
      <c r="J109" s="36"/>
      <c r="K109" s="47">
        <v>0.7</v>
      </c>
      <c r="L109" s="47">
        <v>1.2</v>
      </c>
      <c r="M109" s="936">
        <f t="shared" ca="1" si="3"/>
        <v>0.42426878681089125</v>
      </c>
      <c r="N109" s="953">
        <f>N$3/303.8</f>
        <v>1.3248387096774192</v>
      </c>
      <c r="O109" s="917">
        <f t="shared" ca="1" si="4"/>
        <v>169411.24658644092</v>
      </c>
    </row>
    <row r="110" spans="1:15" ht="15.75" customHeight="1" thickBot="1" x14ac:dyDescent="0.25">
      <c r="A110" s="35"/>
      <c r="B110" s="897"/>
      <c r="C110" s="47"/>
      <c r="D110" s="897"/>
      <c r="E110" s="36"/>
      <c r="F110" s="917"/>
      <c r="G110" s="897"/>
      <c r="H110" s="47"/>
      <c r="I110" s="47"/>
      <c r="J110" s="36"/>
      <c r="K110" s="47"/>
      <c r="L110" s="47"/>
      <c r="M110" s="936"/>
      <c r="N110" s="954"/>
      <c r="O110" s="917"/>
    </row>
    <row r="111" spans="1:15" ht="15.75" customHeight="1" thickBot="1" x14ac:dyDescent="0.25">
      <c r="A111" s="1677" t="s">
        <v>526</v>
      </c>
      <c r="B111" s="1678"/>
      <c r="C111" s="1678"/>
      <c r="D111" s="1678"/>
      <c r="E111" s="1678"/>
      <c r="F111" s="1678"/>
      <c r="G111" s="1678"/>
      <c r="H111" s="1678"/>
      <c r="I111" s="1678"/>
      <c r="J111" s="1678"/>
      <c r="K111" s="1678"/>
      <c r="L111" s="1678"/>
      <c r="M111" s="1678"/>
      <c r="N111" s="1679"/>
      <c r="O111" s="917">
        <f ca="1">SUM(O91:O109)</f>
        <v>1645965.6270352765</v>
      </c>
    </row>
    <row r="112" spans="1:15" ht="15.75" customHeight="1" x14ac:dyDescent="0.2"/>
    <row r="113" spans="1:15" ht="15.75" customHeight="1" x14ac:dyDescent="0.2">
      <c r="A113" s="197"/>
      <c r="B113" s="895"/>
      <c r="C113" s="197"/>
      <c r="D113" s="895"/>
      <c r="E113" s="197"/>
      <c r="F113" s="890"/>
      <c r="G113" s="895"/>
      <c r="H113" s="197"/>
      <c r="I113" s="197"/>
      <c r="J113" s="197"/>
      <c r="K113" s="197"/>
      <c r="L113" s="197"/>
      <c r="M113" s="937"/>
      <c r="N113" s="955"/>
      <c r="O113" s="891"/>
    </row>
    <row r="114" spans="1:15" ht="15.75" customHeight="1" thickBot="1" x14ac:dyDescent="0.25">
      <c r="A114" s="197"/>
      <c r="B114" s="895"/>
      <c r="C114" s="197"/>
      <c r="D114" s="895"/>
      <c r="E114" s="197"/>
      <c r="F114" s="890"/>
      <c r="G114" s="895"/>
      <c r="H114" s="197"/>
      <c r="I114" s="197"/>
      <c r="J114" s="197"/>
      <c r="K114" s="197"/>
      <c r="L114" s="197"/>
      <c r="M114" s="937"/>
      <c r="N114" s="955"/>
      <c r="O114" s="891"/>
    </row>
    <row r="115" spans="1:15" ht="15.75" customHeight="1" x14ac:dyDescent="0.2">
      <c r="A115" s="1955" t="s">
        <v>1415</v>
      </c>
      <c r="B115" s="1330"/>
      <c r="C115" s="1330"/>
      <c r="D115" s="1330"/>
      <c r="E115" s="1330"/>
      <c r="F115" s="1330"/>
      <c r="G115" s="1330"/>
      <c r="H115" s="1330"/>
      <c r="I115" s="1330"/>
      <c r="J115" s="1330"/>
      <c r="K115" s="1330"/>
      <c r="L115" s="1330"/>
      <c r="M115" s="1330"/>
      <c r="N115" s="1330"/>
      <c r="O115" s="1331"/>
    </row>
    <row r="116" spans="1:15" ht="15.75" customHeight="1" thickBot="1" x14ac:dyDescent="0.25">
      <c r="A116" s="1958"/>
      <c r="B116" s="1332"/>
      <c r="C116" s="1332"/>
      <c r="D116" s="1332"/>
      <c r="E116" s="1332"/>
      <c r="F116" s="1332"/>
      <c r="G116" s="1332"/>
      <c r="H116" s="1332"/>
      <c r="I116" s="1332"/>
      <c r="J116" s="1332"/>
      <c r="K116" s="1332"/>
      <c r="L116" s="1332"/>
      <c r="M116" s="1332"/>
      <c r="N116" s="1332"/>
      <c r="O116" s="1333"/>
    </row>
    <row r="117" spans="1:15" ht="15.75" customHeight="1" thickBot="1" x14ac:dyDescent="0.25">
      <c r="A117" s="1680" t="s">
        <v>509</v>
      </c>
      <c r="B117" s="1681"/>
      <c r="C117" s="1681"/>
      <c r="D117" s="1681"/>
      <c r="E117" s="1681"/>
      <c r="F117" s="1681"/>
      <c r="G117" s="1681"/>
      <c r="H117" s="1681"/>
      <c r="I117" s="1681"/>
      <c r="J117" s="1681"/>
      <c r="K117" s="1681"/>
      <c r="L117" s="1681"/>
      <c r="M117" s="1681"/>
      <c r="N117" s="1681"/>
      <c r="O117" s="1682"/>
    </row>
    <row r="118" spans="1:15" ht="15.75" customHeight="1" thickBot="1" x14ac:dyDescent="0.25">
      <c r="A118" s="1683" t="s">
        <v>510</v>
      </c>
      <c r="B118" s="1684"/>
      <c r="C118" s="1684"/>
      <c r="D118" s="1684"/>
      <c r="E118" s="1685"/>
      <c r="F118" s="1683" t="s">
        <v>511</v>
      </c>
      <c r="G118" s="1684"/>
      <c r="H118" s="1684"/>
      <c r="I118" s="1684"/>
      <c r="J118" s="1685"/>
      <c r="K118" s="1683" t="s">
        <v>512</v>
      </c>
      <c r="L118" s="1684"/>
      <c r="M118" s="1684"/>
      <c r="N118" s="1685"/>
      <c r="O118" s="1686" t="s">
        <v>513</v>
      </c>
    </row>
    <row r="119" spans="1:15" ht="15.75" customHeight="1" x14ac:dyDescent="0.2">
      <c r="A119" s="1689" t="s">
        <v>514</v>
      </c>
      <c r="B119" s="1691" t="s">
        <v>515</v>
      </c>
      <c r="C119" s="1693" t="s">
        <v>372</v>
      </c>
      <c r="D119" s="1691" t="s">
        <v>516</v>
      </c>
      <c r="E119" s="1689" t="s">
        <v>517</v>
      </c>
      <c r="F119" s="1686" t="s">
        <v>518</v>
      </c>
      <c r="G119" s="1691" t="s">
        <v>515</v>
      </c>
      <c r="H119" s="1693" t="s">
        <v>372</v>
      </c>
      <c r="I119" s="1693" t="s">
        <v>519</v>
      </c>
      <c r="J119" s="1689" t="s">
        <v>520</v>
      </c>
      <c r="K119" s="1693" t="s">
        <v>521</v>
      </c>
      <c r="L119" s="1693" t="s">
        <v>522</v>
      </c>
      <c r="M119" s="1695" t="s">
        <v>523</v>
      </c>
      <c r="N119" s="951" t="s">
        <v>527</v>
      </c>
      <c r="O119" s="1687"/>
    </row>
    <row r="120" spans="1:15" ht="15.75" customHeight="1" thickBot="1" x14ac:dyDescent="0.25">
      <c r="A120" s="1690"/>
      <c r="B120" s="1692"/>
      <c r="C120" s="1694"/>
      <c r="D120" s="1692"/>
      <c r="E120" s="1690"/>
      <c r="F120" s="1688"/>
      <c r="G120" s="1692"/>
      <c r="H120" s="1694"/>
      <c r="I120" s="1694"/>
      <c r="J120" s="1690"/>
      <c r="K120" s="1694"/>
      <c r="L120" s="1694"/>
      <c r="M120" s="1696"/>
      <c r="N120" s="952">
        <v>2024</v>
      </c>
      <c r="O120" s="1688"/>
    </row>
    <row r="121" spans="1:15" ht="15.75" customHeight="1" thickBot="1" x14ac:dyDescent="0.25">
      <c r="A121" s="51" t="s">
        <v>2511</v>
      </c>
      <c r="B121" s="894">
        <f>ROUNDUP(CostCalc!B233,0)</f>
        <v>11153</v>
      </c>
      <c r="C121" s="47" t="s">
        <v>1543</v>
      </c>
      <c r="D121" s="894">
        <v>2</v>
      </c>
      <c r="E121" s="48" t="s">
        <v>2512</v>
      </c>
      <c r="F121" s="889">
        <v>33000</v>
      </c>
      <c r="G121" s="894">
        <v>75</v>
      </c>
      <c r="H121" s="47" t="s">
        <v>1543</v>
      </c>
      <c r="I121" s="47">
        <v>2003</v>
      </c>
      <c r="J121" s="41"/>
      <c r="K121" s="47">
        <v>0.9</v>
      </c>
      <c r="L121" s="47">
        <v>1.5</v>
      </c>
      <c r="M121" s="936">
        <f t="shared" ref="M121:M127" si="5">B121/G121</f>
        <v>148.70666666666668</v>
      </c>
      <c r="N121" s="953">
        <f>N$3/154.9</f>
        <v>2.5983602324080048</v>
      </c>
      <c r="O121" s="917">
        <f t="shared" ref="O121:O132" si="6">D121*N121*F121*L121*M121^(K121)</f>
        <v>23197006.827362787</v>
      </c>
    </row>
    <row r="122" spans="1:15" ht="15.75" customHeight="1" thickBot="1" x14ac:dyDescent="0.25">
      <c r="A122" s="35" t="s">
        <v>2505</v>
      </c>
      <c r="B122" s="894">
        <f>CostCalc!B247</f>
        <v>4.8842414225986497</v>
      </c>
      <c r="C122" s="47" t="s">
        <v>1</v>
      </c>
      <c r="D122" s="894">
        <v>2</v>
      </c>
      <c r="E122" s="36" t="s">
        <v>530</v>
      </c>
      <c r="F122" s="917">
        <f>Inputs!F$847</f>
        <v>188.34</v>
      </c>
      <c r="G122" s="897">
        <v>0.76</v>
      </c>
      <c r="H122" s="47" t="s">
        <v>1</v>
      </c>
      <c r="I122" s="47">
        <v>2022</v>
      </c>
      <c r="J122" s="36">
        <v>6</v>
      </c>
      <c r="K122" s="47">
        <v>0.7</v>
      </c>
      <c r="L122" s="47">
        <v>1.8</v>
      </c>
      <c r="M122" s="936">
        <f t="shared" si="5"/>
        <v>6.4266334507876968</v>
      </c>
      <c r="N122" s="953">
        <f>N$3/432.15</f>
        <v>0.93135716765012155</v>
      </c>
      <c r="O122" s="917">
        <f t="shared" si="6"/>
        <v>2322.4683230366713</v>
      </c>
    </row>
    <row r="123" spans="1:15" ht="15.75" customHeight="1" thickBot="1" x14ac:dyDescent="0.25">
      <c r="A123" s="35" t="s">
        <v>2506</v>
      </c>
      <c r="B123" s="894">
        <f>CostCalc!B247/CostCalc!B246</f>
        <v>9.7684828451972994</v>
      </c>
      <c r="C123" s="47" t="s">
        <v>7</v>
      </c>
      <c r="D123" s="894">
        <v>2</v>
      </c>
      <c r="E123" s="64" t="s">
        <v>857</v>
      </c>
      <c r="F123" s="917">
        <f>CostCalc!F$714</f>
        <v>8.35</v>
      </c>
      <c r="G123" s="897">
        <f>ROUNDUP(CostCalc!G$714,2)</f>
        <v>9.9999999999999992E-2</v>
      </c>
      <c r="H123" s="47" t="s">
        <v>7</v>
      </c>
      <c r="I123" s="47">
        <v>2022</v>
      </c>
      <c r="J123" s="36">
        <v>3</v>
      </c>
      <c r="K123" s="47">
        <v>0.7</v>
      </c>
      <c r="L123" s="47">
        <v>1.5</v>
      </c>
      <c r="M123" s="936">
        <f t="shared" si="5"/>
        <v>97.684828451973004</v>
      </c>
      <c r="N123" s="953">
        <f>N$3/432.15</f>
        <v>0.93135716765012155</v>
      </c>
      <c r="O123" s="917">
        <f t="shared" si="6"/>
        <v>576.50486176214054</v>
      </c>
    </row>
    <row r="124" spans="1:15" ht="15.75" customHeight="1" thickBot="1" x14ac:dyDescent="0.25">
      <c r="A124" s="35" t="s">
        <v>2507</v>
      </c>
      <c r="B124" s="894">
        <f>CostCalc!B251</f>
        <v>224.34995638793797</v>
      </c>
      <c r="C124" s="47" t="s">
        <v>11</v>
      </c>
      <c r="D124" s="894">
        <v>2</v>
      </c>
      <c r="E124" s="36" t="s">
        <v>2504</v>
      </c>
      <c r="F124" s="917">
        <v>52500</v>
      </c>
      <c r="G124" s="897">
        <v>30</v>
      </c>
      <c r="H124" s="47" t="s">
        <v>11</v>
      </c>
      <c r="I124" s="47">
        <v>2009</v>
      </c>
      <c r="J124" s="36"/>
      <c r="K124" s="47">
        <v>1</v>
      </c>
      <c r="L124" s="47">
        <v>1.5</v>
      </c>
      <c r="M124" s="936">
        <f t="shared" si="5"/>
        <v>7.4783318795979321</v>
      </c>
      <c r="N124" s="953">
        <f>N$3/273.5</f>
        <v>1.4716124314442414</v>
      </c>
      <c r="O124" s="917">
        <f t="shared" si="6"/>
        <v>1733319.9702759301</v>
      </c>
    </row>
    <row r="125" spans="1:15" ht="15.75" customHeight="1" thickBot="1" x14ac:dyDescent="0.25">
      <c r="A125" s="35" t="s">
        <v>2508</v>
      </c>
      <c r="B125" s="894">
        <f>CostCalc!B265</f>
        <v>1.9169116171749951</v>
      </c>
      <c r="C125" s="47" t="s">
        <v>1</v>
      </c>
      <c r="D125" s="894">
        <v>2</v>
      </c>
      <c r="E125" s="36" t="s">
        <v>530</v>
      </c>
      <c r="F125" s="917">
        <f>Inputs!F$847</f>
        <v>188.34</v>
      </c>
      <c r="G125" s="897">
        <v>0.76</v>
      </c>
      <c r="H125" s="47" t="s">
        <v>1</v>
      </c>
      <c r="I125" s="47">
        <v>2022</v>
      </c>
      <c r="J125" s="36">
        <v>6</v>
      </c>
      <c r="K125" s="47">
        <v>0.7</v>
      </c>
      <c r="L125" s="47">
        <v>1.8</v>
      </c>
      <c r="M125" s="936">
        <f t="shared" si="5"/>
        <v>2.5222521278618357</v>
      </c>
      <c r="N125" s="953">
        <f>N$3/432.15</f>
        <v>0.93135716765012155</v>
      </c>
      <c r="O125" s="917">
        <f t="shared" si="6"/>
        <v>1206.7387980444146</v>
      </c>
    </row>
    <row r="126" spans="1:15" ht="15.75" customHeight="1" thickBot="1" x14ac:dyDescent="0.25">
      <c r="A126" s="35" t="s">
        <v>2509</v>
      </c>
      <c r="B126" s="894">
        <f>CostCalc!B265/CostCalc!B264</f>
        <v>3.8338232343499903</v>
      </c>
      <c r="C126" s="47" t="s">
        <v>7</v>
      </c>
      <c r="D126" s="894">
        <v>2</v>
      </c>
      <c r="E126" s="64" t="s">
        <v>857</v>
      </c>
      <c r="F126" s="917">
        <f>CostCalc!F$714</f>
        <v>8.35</v>
      </c>
      <c r="G126" s="897">
        <f>ROUNDUP(CostCalc!G$714,2)</f>
        <v>9.9999999999999992E-2</v>
      </c>
      <c r="H126" s="47" t="s">
        <v>7</v>
      </c>
      <c r="I126" s="47">
        <v>2022</v>
      </c>
      <c r="J126" s="36">
        <v>3</v>
      </c>
      <c r="K126" s="47">
        <v>0.7</v>
      </c>
      <c r="L126" s="47">
        <v>1.5</v>
      </c>
      <c r="M126" s="936">
        <f t="shared" si="5"/>
        <v>38.338232343499904</v>
      </c>
      <c r="N126" s="953">
        <f>N$3/432.15</f>
        <v>0.93135716765012155</v>
      </c>
      <c r="O126" s="917">
        <f t="shared" si="6"/>
        <v>299.54801839448908</v>
      </c>
    </row>
    <row r="127" spans="1:15" ht="15.75" customHeight="1" thickBot="1" x14ac:dyDescent="0.25">
      <c r="A127" s="35" t="s">
        <v>2510</v>
      </c>
      <c r="B127" s="894">
        <f>CostCalc!B269</f>
        <v>24.927772931993111</v>
      </c>
      <c r="C127" s="47" t="s">
        <v>11</v>
      </c>
      <c r="D127" s="894">
        <v>2</v>
      </c>
      <c r="E127" s="36" t="s">
        <v>2504</v>
      </c>
      <c r="F127" s="917">
        <v>52500</v>
      </c>
      <c r="G127" s="897">
        <v>30</v>
      </c>
      <c r="H127" s="47" t="s">
        <v>11</v>
      </c>
      <c r="I127" s="47">
        <v>2009</v>
      </c>
      <c r="J127" s="36"/>
      <c r="K127" s="47">
        <v>1</v>
      </c>
      <c r="L127" s="47">
        <v>1.5</v>
      </c>
      <c r="M127" s="936">
        <f t="shared" si="5"/>
        <v>0.83092576439977039</v>
      </c>
      <c r="N127" s="953">
        <f>N$3/273.5</f>
        <v>1.4716124314442414</v>
      </c>
      <c r="O127" s="917">
        <f t="shared" si="6"/>
        <v>192591.10780843673</v>
      </c>
    </row>
    <row r="128" spans="1:15" ht="15.75" customHeight="1" thickBot="1" x14ac:dyDescent="0.25">
      <c r="A128" s="46" t="s">
        <v>2486</v>
      </c>
      <c r="B128" s="894">
        <f>CostCalc!B237</f>
        <v>1419.375</v>
      </c>
      <c r="C128" s="47" t="s">
        <v>1091</v>
      </c>
      <c r="D128" s="894">
        <v>2</v>
      </c>
      <c r="E128" s="48" t="s">
        <v>2489</v>
      </c>
      <c r="F128" s="889">
        <v>4900</v>
      </c>
      <c r="G128" s="894">
        <v>7</v>
      </c>
      <c r="H128" s="47" t="s">
        <v>1091</v>
      </c>
      <c r="I128" s="47">
        <v>2013</v>
      </c>
      <c r="J128" s="41"/>
      <c r="K128" s="47">
        <v>0.8</v>
      </c>
      <c r="L128" s="47">
        <v>4.3099999999999996</v>
      </c>
      <c r="M128" s="936">
        <f>B128/G128</f>
        <v>202.76785714285714</v>
      </c>
      <c r="N128" s="953">
        <f>N$3/303.8</f>
        <v>1.3248387096774192</v>
      </c>
      <c r="O128" s="917">
        <f t="shared" si="6"/>
        <v>3921621.2219733256</v>
      </c>
    </row>
    <row r="129" spans="1:15" ht="15.75" customHeight="1" thickBot="1" x14ac:dyDescent="0.25">
      <c r="A129" s="46" t="s">
        <v>2487</v>
      </c>
      <c r="B129" s="894">
        <f>CostCalc!B255</f>
        <v>157.70833333333334</v>
      </c>
      <c r="C129" s="47" t="s">
        <v>1091</v>
      </c>
      <c r="D129" s="894">
        <v>2</v>
      </c>
      <c r="E129" s="48" t="s">
        <v>2489</v>
      </c>
      <c r="F129" s="889">
        <v>4900</v>
      </c>
      <c r="G129" s="894">
        <v>7</v>
      </c>
      <c r="H129" s="47" t="s">
        <v>1091</v>
      </c>
      <c r="I129" s="47">
        <v>2013</v>
      </c>
      <c r="J129" s="41"/>
      <c r="K129" s="47">
        <v>0.8</v>
      </c>
      <c r="L129" s="47">
        <v>4.3099999999999996</v>
      </c>
      <c r="M129" s="936">
        <f>B129/G129</f>
        <v>22.529761904761905</v>
      </c>
      <c r="N129" s="953">
        <f>N$3/303.8</f>
        <v>1.3248387096774192</v>
      </c>
      <c r="O129" s="917">
        <f t="shared" si="6"/>
        <v>676194.50398798333</v>
      </c>
    </row>
    <row r="130" spans="1:15" ht="15.75" customHeight="1" thickBot="1" x14ac:dyDescent="0.25">
      <c r="A130" s="46" t="s">
        <v>2488</v>
      </c>
      <c r="B130" s="894">
        <f>CostCalc!B272</f>
        <v>394.27083333333331</v>
      </c>
      <c r="C130" s="47" t="s">
        <v>1091</v>
      </c>
      <c r="D130" s="894">
        <v>2</v>
      </c>
      <c r="E130" s="48" t="s">
        <v>2490</v>
      </c>
      <c r="F130" s="889">
        <v>5200</v>
      </c>
      <c r="G130" s="894">
        <v>140</v>
      </c>
      <c r="H130" s="47" t="s">
        <v>1091</v>
      </c>
      <c r="I130" s="47">
        <v>2013</v>
      </c>
      <c r="J130" s="41"/>
      <c r="K130" s="47">
        <v>0.8</v>
      </c>
      <c r="L130" s="47">
        <v>4.3099999999999996</v>
      </c>
      <c r="M130" s="936">
        <f>B130/G130</f>
        <v>2.8162202380952381</v>
      </c>
      <c r="N130" s="953">
        <f>N$3/303.8</f>
        <v>1.3248387096774192</v>
      </c>
      <c r="O130" s="917">
        <f t="shared" si="6"/>
        <v>135958.67096339058</v>
      </c>
    </row>
    <row r="131" spans="1:15" ht="15.75" customHeight="1" thickBot="1" x14ac:dyDescent="0.25">
      <c r="A131" s="35" t="s">
        <v>1564</v>
      </c>
      <c r="B131" s="894">
        <f>CostCalc!B236</f>
        <v>22500</v>
      </c>
      <c r="C131" s="47" t="s">
        <v>267</v>
      </c>
      <c r="D131" s="894">
        <v>2</v>
      </c>
      <c r="E131" s="36" t="s">
        <v>605</v>
      </c>
      <c r="F131" s="917">
        <f>Inputs!F$845*G131</f>
        <v>1170</v>
      </c>
      <c r="G131" s="897">
        <f>CostCalc!G$237</f>
        <v>11700</v>
      </c>
      <c r="H131" s="47" t="s">
        <v>267</v>
      </c>
      <c r="I131" s="47">
        <v>2024</v>
      </c>
      <c r="J131" s="36">
        <v>1</v>
      </c>
      <c r="K131" s="47">
        <v>0.8</v>
      </c>
      <c r="L131" s="47">
        <v>2.2999999999999998</v>
      </c>
      <c r="M131" s="936">
        <f>B131/G131</f>
        <v>1.9230769230769231</v>
      </c>
      <c r="N131" s="953">
        <f>N$3/389.544</f>
        <v>1.0332234612778017</v>
      </c>
      <c r="O131" s="917">
        <f t="shared" si="6"/>
        <v>9382.8608914528777</v>
      </c>
    </row>
    <row r="132" spans="1:15" ht="15.75" customHeight="1" thickBot="1" x14ac:dyDescent="0.25">
      <c r="A132" s="35" t="s">
        <v>1565</v>
      </c>
      <c r="B132" s="894">
        <f>ExpBase!G243</f>
        <v>3125</v>
      </c>
      <c r="C132" s="47" t="s">
        <v>267</v>
      </c>
      <c r="D132" s="894">
        <v>2</v>
      </c>
      <c r="E132" s="36" t="s">
        <v>605</v>
      </c>
      <c r="F132" s="917">
        <f>Inputs!F$845*G132</f>
        <v>1170</v>
      </c>
      <c r="G132" s="897">
        <f>CostCalc!G$237</f>
        <v>11700</v>
      </c>
      <c r="H132" s="47" t="s">
        <v>267</v>
      </c>
      <c r="I132" s="47">
        <v>2024</v>
      </c>
      <c r="J132" s="36">
        <v>1</v>
      </c>
      <c r="K132" s="47">
        <v>0.8</v>
      </c>
      <c r="L132" s="47">
        <v>2.2999999999999998</v>
      </c>
      <c r="M132" s="936">
        <f>B132/G132</f>
        <v>0.26709401709401709</v>
      </c>
      <c r="N132" s="953">
        <f>N$3/389.544</f>
        <v>1.0332234612778017</v>
      </c>
      <c r="O132" s="917">
        <f t="shared" si="6"/>
        <v>1934.0570495004508</v>
      </c>
    </row>
    <row r="133" spans="1:15" ht="15.75" customHeight="1" thickBot="1" x14ac:dyDescent="0.25">
      <c r="B133" s="903"/>
      <c r="C133" s="53"/>
      <c r="D133" s="903"/>
      <c r="E133" s="51"/>
      <c r="F133" s="918"/>
      <c r="G133" s="903"/>
      <c r="H133" s="53"/>
      <c r="I133" s="53"/>
      <c r="J133" s="51"/>
      <c r="K133" s="53"/>
      <c r="L133" s="53"/>
      <c r="M133" s="940"/>
      <c r="N133" s="956"/>
      <c r="O133" s="928"/>
    </row>
    <row r="134" spans="1:15" ht="15.75" customHeight="1" thickBot="1" x14ac:dyDescent="0.25">
      <c r="A134" s="1677" t="s">
        <v>526</v>
      </c>
      <c r="B134" s="1678"/>
      <c r="C134" s="1678"/>
      <c r="D134" s="1678"/>
      <c r="E134" s="1678"/>
      <c r="F134" s="1678"/>
      <c r="G134" s="1678"/>
      <c r="H134" s="1678"/>
      <c r="I134" s="1678"/>
      <c r="J134" s="1678"/>
      <c r="K134" s="1678"/>
      <c r="L134" s="1678"/>
      <c r="M134" s="1678"/>
      <c r="N134" s="1679"/>
      <c r="O134" s="917">
        <f>SUM(O121:O132)</f>
        <v>29872414.48031405</v>
      </c>
    </row>
    <row r="135" spans="1:15" ht="15.75" customHeight="1" x14ac:dyDescent="0.2">
      <c r="A135" s="197"/>
      <c r="B135" s="895"/>
      <c r="C135" s="197"/>
      <c r="D135" s="895"/>
      <c r="E135" s="197"/>
      <c r="F135" s="890"/>
      <c r="G135" s="895"/>
      <c r="H135" s="197"/>
      <c r="I135" s="197"/>
      <c r="J135" s="197"/>
      <c r="K135" s="197"/>
      <c r="L135" s="197"/>
      <c r="M135" s="937"/>
      <c r="N135" s="955"/>
      <c r="O135" s="891"/>
    </row>
    <row r="136" spans="1:15" ht="15.75" customHeight="1" thickBot="1" x14ac:dyDescent="0.25">
      <c r="A136" s="38"/>
      <c r="B136" s="896"/>
      <c r="C136" s="38"/>
      <c r="D136" s="896"/>
      <c r="E136" s="38"/>
      <c r="F136" s="891"/>
      <c r="G136" s="896"/>
      <c r="H136" s="38"/>
      <c r="I136" s="38"/>
      <c r="J136" s="38"/>
      <c r="K136" s="38"/>
      <c r="L136" s="38"/>
      <c r="M136" s="938"/>
      <c r="N136" s="957"/>
      <c r="O136" s="891"/>
    </row>
    <row r="137" spans="1:15" ht="15.75" customHeight="1" x14ac:dyDescent="0.2">
      <c r="A137" s="1868" t="s">
        <v>1872</v>
      </c>
      <c r="B137" s="1869"/>
      <c r="C137" s="1334"/>
      <c r="D137" s="1334"/>
      <c r="E137" s="1334"/>
      <c r="F137" s="1334"/>
      <c r="G137" s="1334"/>
      <c r="H137" s="1334"/>
      <c r="I137" s="1334"/>
      <c r="J137" s="1334"/>
      <c r="K137" s="1334"/>
      <c r="L137" s="1334"/>
      <c r="M137" s="1334"/>
      <c r="N137" s="1334"/>
      <c r="O137" s="1335"/>
    </row>
    <row r="138" spans="1:15" ht="15.75" customHeight="1" thickBot="1" x14ac:dyDescent="0.25">
      <c r="A138" s="1898"/>
      <c r="B138" s="1899"/>
      <c r="C138" s="1336"/>
      <c r="D138" s="1336"/>
      <c r="E138" s="1336"/>
      <c r="F138" s="1336"/>
      <c r="G138" s="1336"/>
      <c r="H138" s="1336"/>
      <c r="I138" s="1336"/>
      <c r="J138" s="1336"/>
      <c r="K138" s="1336"/>
      <c r="L138" s="1336"/>
      <c r="M138" s="1336"/>
      <c r="N138" s="1336"/>
      <c r="O138" s="1337"/>
    </row>
    <row r="139" spans="1:15" ht="15.75" customHeight="1" thickBot="1" x14ac:dyDescent="0.25">
      <c r="A139" s="1680" t="s">
        <v>509</v>
      </c>
      <c r="B139" s="1681"/>
      <c r="C139" s="1681"/>
      <c r="D139" s="1681"/>
      <c r="E139" s="1681"/>
      <c r="F139" s="1681"/>
      <c r="G139" s="1681"/>
      <c r="H139" s="1681"/>
      <c r="I139" s="1681"/>
      <c r="J139" s="1681"/>
      <c r="K139" s="1681"/>
      <c r="L139" s="1681"/>
      <c r="M139" s="1681"/>
      <c r="N139" s="1681"/>
      <c r="O139" s="1682"/>
    </row>
    <row r="140" spans="1:15" ht="15.75" customHeight="1" thickBot="1" x14ac:dyDescent="0.25">
      <c r="A140" s="1683" t="s">
        <v>510</v>
      </c>
      <c r="B140" s="1684"/>
      <c r="C140" s="1684"/>
      <c r="D140" s="1684"/>
      <c r="E140" s="1685"/>
      <c r="F140" s="1683" t="s">
        <v>511</v>
      </c>
      <c r="G140" s="1684"/>
      <c r="H140" s="1684"/>
      <c r="I140" s="1684"/>
      <c r="J140" s="1685"/>
      <c r="K140" s="1683" t="s">
        <v>512</v>
      </c>
      <c r="L140" s="1684"/>
      <c r="M140" s="1684"/>
      <c r="N140" s="1685"/>
      <c r="O140" s="1686" t="s">
        <v>513</v>
      </c>
    </row>
    <row r="141" spans="1:15" ht="15.75" customHeight="1" x14ac:dyDescent="0.2">
      <c r="A141" s="1689" t="s">
        <v>514</v>
      </c>
      <c r="B141" s="1691" t="s">
        <v>515</v>
      </c>
      <c r="C141" s="1693" t="s">
        <v>372</v>
      </c>
      <c r="D141" s="1700" t="s">
        <v>516</v>
      </c>
      <c r="E141" s="1689" t="s">
        <v>517</v>
      </c>
      <c r="F141" s="1686" t="s">
        <v>518</v>
      </c>
      <c r="G141" s="1691" t="s">
        <v>515</v>
      </c>
      <c r="H141" s="1693" t="s">
        <v>372</v>
      </c>
      <c r="I141" s="1693" t="s">
        <v>519</v>
      </c>
      <c r="J141" s="1689" t="s">
        <v>520</v>
      </c>
      <c r="K141" s="1693" t="s">
        <v>521</v>
      </c>
      <c r="L141" s="1693" t="s">
        <v>522</v>
      </c>
      <c r="M141" s="1695" t="s">
        <v>523</v>
      </c>
      <c r="N141" s="951" t="s">
        <v>527</v>
      </c>
      <c r="O141" s="1687"/>
    </row>
    <row r="142" spans="1:15" ht="15.75" customHeight="1" thickBot="1" x14ac:dyDescent="0.25">
      <c r="A142" s="1690"/>
      <c r="B142" s="1692"/>
      <c r="C142" s="1694"/>
      <c r="D142" s="1701"/>
      <c r="E142" s="1690"/>
      <c r="F142" s="1688"/>
      <c r="G142" s="1692"/>
      <c r="H142" s="1694"/>
      <c r="I142" s="1694"/>
      <c r="J142" s="1690"/>
      <c r="K142" s="1694"/>
      <c r="L142" s="1694"/>
      <c r="M142" s="1696"/>
      <c r="N142" s="952">
        <v>2024</v>
      </c>
      <c r="O142" s="1688"/>
    </row>
    <row r="143" spans="1:15" ht="15.75" customHeight="1" thickBot="1" x14ac:dyDescent="0.25">
      <c r="A143" s="46" t="s">
        <v>1027</v>
      </c>
      <c r="B143" s="894">
        <f>ExpBase!G243</f>
        <v>3125</v>
      </c>
      <c r="C143" s="47" t="s">
        <v>267</v>
      </c>
      <c r="D143" s="894">
        <v>2</v>
      </c>
      <c r="E143" s="48" t="s">
        <v>1610</v>
      </c>
      <c r="F143" s="889">
        <v>11358</v>
      </c>
      <c r="G143" s="894">
        <v>43149</v>
      </c>
      <c r="H143" s="47" t="s">
        <v>267</v>
      </c>
      <c r="I143" s="47">
        <v>2018</v>
      </c>
      <c r="J143" s="41"/>
      <c r="K143" s="47">
        <v>0.8</v>
      </c>
      <c r="L143" s="47">
        <v>2.2999999999999998</v>
      </c>
      <c r="M143" s="936">
        <f t="shared" ref="M143:M148" si="7">B143/G143</f>
        <v>7.2423462884423737E-2</v>
      </c>
      <c r="N143" s="953">
        <f>N$3/329.7</f>
        <v>1.220764331210191</v>
      </c>
      <c r="O143" s="917">
        <f t="shared" ref="O143:O148" si="8">D143*N143*F143*L143*M143^(K143)</f>
        <v>7808.9916174792288</v>
      </c>
    </row>
    <row r="144" spans="1:15" ht="15.75" customHeight="1" thickBot="1" x14ac:dyDescent="0.25">
      <c r="A144" s="35" t="s">
        <v>838</v>
      </c>
      <c r="B144" s="894">
        <f>CostCalc!B297*CostCalc!B298*CostCalc!D288</f>
        <v>275.43237114027306</v>
      </c>
      <c r="C144" s="47" t="s">
        <v>1</v>
      </c>
      <c r="D144" s="894">
        <v>2</v>
      </c>
      <c r="E144" s="36" t="s">
        <v>530</v>
      </c>
      <c r="F144" s="917">
        <f>Inputs!F$847</f>
        <v>188.34</v>
      </c>
      <c r="G144" s="897">
        <v>0.76</v>
      </c>
      <c r="H144" s="199" t="s">
        <v>1</v>
      </c>
      <c r="I144" s="47">
        <v>2022</v>
      </c>
      <c r="J144" s="36">
        <v>2</v>
      </c>
      <c r="K144" s="47">
        <v>0.7</v>
      </c>
      <c r="L144" s="47">
        <v>2.6</v>
      </c>
      <c r="M144" s="936">
        <f t="shared" si="7"/>
        <v>362.41101465825403</v>
      </c>
      <c r="N144" s="953">
        <f>N$3/432.15</f>
        <v>0.93135716765012155</v>
      </c>
      <c r="O144" s="917">
        <f t="shared" si="8"/>
        <v>56429.102504992064</v>
      </c>
    </row>
    <row r="145" spans="1:15" ht="15.75" customHeight="1" thickBot="1" x14ac:dyDescent="0.25">
      <c r="A145" s="35" t="s">
        <v>839</v>
      </c>
      <c r="B145" s="894">
        <f>CostCalc!B297*CostCalc!D288</f>
        <v>550.86474228054612</v>
      </c>
      <c r="C145" s="47" t="s">
        <v>7</v>
      </c>
      <c r="D145" s="894">
        <v>2</v>
      </c>
      <c r="E145" s="36" t="s">
        <v>857</v>
      </c>
      <c r="F145" s="917">
        <f>Inputs!F$848</f>
        <v>8.35</v>
      </c>
      <c r="G145" s="897">
        <v>0.09</v>
      </c>
      <c r="H145" s="47" t="s">
        <v>7</v>
      </c>
      <c r="I145" s="47">
        <v>2022</v>
      </c>
      <c r="J145" s="36">
        <v>3</v>
      </c>
      <c r="K145" s="47">
        <v>1</v>
      </c>
      <c r="L145" s="47">
        <v>2.6</v>
      </c>
      <c r="M145" s="936">
        <f t="shared" si="7"/>
        <v>6120.7193586727353</v>
      </c>
      <c r="N145" s="953">
        <f>N$3/432.15</f>
        <v>0.93135716765012155</v>
      </c>
      <c r="O145" s="917">
        <f t="shared" si="8"/>
        <v>247519.00322787979</v>
      </c>
    </row>
    <row r="146" spans="1:15" ht="15.75" customHeight="1" thickBot="1" x14ac:dyDescent="0.25">
      <c r="A146" s="35" t="s">
        <v>840</v>
      </c>
      <c r="B146" s="894">
        <f>CostCalc!B300</f>
        <v>11.182240097902751</v>
      </c>
      <c r="C146" s="47" t="s">
        <v>1</v>
      </c>
      <c r="D146" s="894">
        <v>2</v>
      </c>
      <c r="E146" s="36" t="s">
        <v>727</v>
      </c>
      <c r="F146" s="889">
        <f>Inputs!F$850*CostCalc!G$300</f>
        <v>32000.06</v>
      </c>
      <c r="G146" s="897">
        <v>1000</v>
      </c>
      <c r="H146" s="47" t="s">
        <v>1</v>
      </c>
      <c r="I146" s="47">
        <v>2023</v>
      </c>
      <c r="J146" s="36"/>
      <c r="K146" s="47">
        <v>1</v>
      </c>
      <c r="L146" s="47">
        <v>2.6</v>
      </c>
      <c r="M146" s="936">
        <f t="shared" si="7"/>
        <v>1.1182240097902751E-2</v>
      </c>
      <c r="N146" s="953">
        <f>N$3/421.24</f>
        <v>0.9554790618174912</v>
      </c>
      <c r="O146" s="917">
        <f t="shared" si="8"/>
        <v>1777.8868741512442</v>
      </c>
    </row>
    <row r="147" spans="1:15" ht="15.75" customHeight="1" thickBot="1" x14ac:dyDescent="0.25">
      <c r="A147" s="46" t="s">
        <v>1574</v>
      </c>
      <c r="B147" s="894">
        <v>1</v>
      </c>
      <c r="C147" s="47" t="s">
        <v>267</v>
      </c>
      <c r="D147" s="894">
        <v>2</v>
      </c>
      <c r="E147" s="36" t="s">
        <v>1096</v>
      </c>
      <c r="F147" s="889">
        <f>Inputs!F$869*Reserve!G$26</f>
        <v>1355913</v>
      </c>
      <c r="G147" s="897">
        <v>390</v>
      </c>
      <c r="H147" s="47" t="s">
        <v>267</v>
      </c>
      <c r="I147" s="47">
        <v>2011</v>
      </c>
      <c r="J147" s="41"/>
      <c r="K147" s="47">
        <v>0.6</v>
      </c>
      <c r="L147" s="47">
        <v>1.0900000000000001</v>
      </c>
      <c r="M147" s="936">
        <f t="shared" si="7"/>
        <v>2.5641025641025641E-3</v>
      </c>
      <c r="N147" s="953">
        <f>N$3/295.3</f>
        <v>1.3629732475448695</v>
      </c>
      <c r="O147" s="917">
        <f t="shared" si="8"/>
        <v>112340.63789839575</v>
      </c>
    </row>
    <row r="148" spans="1:15" ht="15.75" customHeight="1" thickBot="1" x14ac:dyDescent="0.25">
      <c r="A148" s="46" t="s">
        <v>1575</v>
      </c>
      <c r="B148" s="894">
        <v>1</v>
      </c>
      <c r="C148" s="47" t="s">
        <v>267</v>
      </c>
      <c r="D148" s="894">
        <v>2</v>
      </c>
      <c r="E148" s="36" t="s">
        <v>1097</v>
      </c>
      <c r="F148" s="889">
        <f>Inputs!F$870*Reserve!G$27</f>
        <v>260597.05</v>
      </c>
      <c r="G148" s="897">
        <v>14665</v>
      </c>
      <c r="H148" s="47" t="s">
        <v>267</v>
      </c>
      <c r="I148" s="47">
        <v>2011</v>
      </c>
      <c r="J148" s="41"/>
      <c r="K148" s="47">
        <v>0.6</v>
      </c>
      <c r="L148" s="47">
        <v>1.1299999999999999</v>
      </c>
      <c r="M148" s="936">
        <f t="shared" si="7"/>
        <v>6.8189566996249573E-5</v>
      </c>
      <c r="N148" s="953">
        <f>N$3/295.3</f>
        <v>1.3629732475448695</v>
      </c>
      <c r="O148" s="917">
        <f t="shared" si="8"/>
        <v>2539.7795703260531</v>
      </c>
    </row>
    <row r="149" spans="1:15" ht="15.75" customHeight="1" thickBot="1" x14ac:dyDescent="0.25">
      <c r="A149" s="35"/>
      <c r="B149" s="897"/>
      <c r="C149" s="47"/>
      <c r="D149" s="897"/>
      <c r="E149" s="36"/>
      <c r="F149" s="889"/>
      <c r="G149" s="897"/>
      <c r="H149" s="47"/>
      <c r="I149" s="47"/>
      <c r="J149" s="36"/>
      <c r="K149" s="47"/>
      <c r="L149" s="47"/>
      <c r="M149" s="936"/>
      <c r="N149" s="954"/>
      <c r="O149" s="917"/>
    </row>
    <row r="150" spans="1:15" ht="15.75" customHeight="1" thickBot="1" x14ac:dyDescent="0.25">
      <c r="A150" s="1677" t="s">
        <v>526</v>
      </c>
      <c r="B150" s="1678"/>
      <c r="C150" s="1678"/>
      <c r="D150" s="1678"/>
      <c r="E150" s="1678"/>
      <c r="F150" s="1678"/>
      <c r="G150" s="1678"/>
      <c r="H150" s="1678"/>
      <c r="I150" s="1678"/>
      <c r="J150" s="1678"/>
      <c r="K150" s="1678"/>
      <c r="L150" s="1678"/>
      <c r="M150" s="1678"/>
      <c r="N150" s="1679"/>
      <c r="O150" s="917">
        <f>SUM(O143:O148)</f>
        <v>428415.40169322415</v>
      </c>
    </row>
    <row r="151" spans="1:15" ht="15.75" customHeight="1" x14ac:dyDescent="0.2">
      <c r="A151" s="197"/>
      <c r="B151" s="895"/>
      <c r="C151" s="197"/>
      <c r="D151" s="895"/>
      <c r="E151" s="197"/>
      <c r="F151" s="890"/>
      <c r="G151" s="895"/>
      <c r="H151" s="197"/>
      <c r="I151" s="197"/>
      <c r="J151" s="197"/>
      <c r="K151" s="197"/>
      <c r="L151" s="197"/>
      <c r="M151" s="937"/>
      <c r="N151" s="955"/>
      <c r="O151" s="891"/>
    </row>
    <row r="152" spans="1:15" ht="15.75" customHeight="1" thickBot="1" x14ac:dyDescent="0.25">
      <c r="A152" s="197"/>
      <c r="B152" s="895"/>
      <c r="C152" s="197"/>
      <c r="D152" s="895"/>
      <c r="E152" s="197"/>
      <c r="F152" s="890"/>
      <c r="G152" s="895"/>
      <c r="H152" s="197"/>
      <c r="I152" s="197"/>
      <c r="J152" s="197"/>
      <c r="K152" s="197"/>
      <c r="L152" s="197"/>
      <c r="M152" s="937"/>
      <c r="N152" s="955"/>
      <c r="O152" s="891"/>
    </row>
    <row r="153" spans="1:15" ht="15.75" customHeight="1" x14ac:dyDescent="0.2">
      <c r="A153" s="1825" t="s">
        <v>1413</v>
      </c>
      <c r="B153" s="1826"/>
      <c r="C153" s="1826"/>
      <c r="D153" s="1826"/>
      <c r="E153" s="1338"/>
      <c r="F153" s="1338"/>
      <c r="G153" s="1338"/>
      <c r="H153" s="1338"/>
      <c r="I153" s="1338"/>
      <c r="J153" s="1338"/>
      <c r="K153" s="1338"/>
      <c r="L153" s="1338"/>
      <c r="M153" s="1338"/>
      <c r="N153" s="1338"/>
      <c r="O153" s="1339"/>
    </row>
    <row r="154" spans="1:15" ht="15.75" customHeight="1" thickBot="1" x14ac:dyDescent="0.25">
      <c r="A154" s="1828"/>
      <c r="B154" s="1829"/>
      <c r="C154" s="1829"/>
      <c r="D154" s="1829"/>
      <c r="E154" s="1340"/>
      <c r="F154" s="1340"/>
      <c r="G154" s="1340"/>
      <c r="H154" s="1340"/>
      <c r="I154" s="1340"/>
      <c r="J154" s="1340"/>
      <c r="K154" s="1340"/>
      <c r="L154" s="1340"/>
      <c r="M154" s="1340"/>
      <c r="N154" s="1340"/>
      <c r="O154" s="1341"/>
    </row>
    <row r="155" spans="1:15" ht="15.75" customHeight="1" thickBot="1" x14ac:dyDescent="0.25">
      <c r="A155" s="1680" t="s">
        <v>509</v>
      </c>
      <c r="B155" s="1681"/>
      <c r="C155" s="1681"/>
      <c r="D155" s="1681"/>
      <c r="E155" s="1681"/>
      <c r="F155" s="1681"/>
      <c r="G155" s="1681"/>
      <c r="H155" s="1681"/>
      <c r="I155" s="1681"/>
      <c r="J155" s="1681"/>
      <c r="K155" s="1681"/>
      <c r="L155" s="1681"/>
      <c r="M155" s="1681"/>
      <c r="N155" s="1681"/>
      <c r="O155" s="1682"/>
    </row>
    <row r="156" spans="1:15" ht="15.75" customHeight="1" thickBot="1" x14ac:dyDescent="0.25">
      <c r="A156" s="1683" t="s">
        <v>510</v>
      </c>
      <c r="B156" s="1684"/>
      <c r="C156" s="1684"/>
      <c r="D156" s="1684"/>
      <c r="E156" s="1685"/>
      <c r="F156" s="1683" t="s">
        <v>511</v>
      </c>
      <c r="G156" s="1684"/>
      <c r="H156" s="1684"/>
      <c r="I156" s="1684"/>
      <c r="J156" s="1685"/>
      <c r="K156" s="1683" t="s">
        <v>512</v>
      </c>
      <c r="L156" s="1684"/>
      <c r="M156" s="1684"/>
      <c r="N156" s="1685"/>
      <c r="O156" s="1686" t="s">
        <v>513</v>
      </c>
    </row>
    <row r="157" spans="1:15" ht="15.75" customHeight="1" x14ac:dyDescent="0.2">
      <c r="A157" s="1689" t="s">
        <v>514</v>
      </c>
      <c r="B157" s="1691" t="s">
        <v>515</v>
      </c>
      <c r="C157" s="1693" t="s">
        <v>372</v>
      </c>
      <c r="D157" s="1691" t="s">
        <v>516</v>
      </c>
      <c r="E157" s="1689" t="s">
        <v>517</v>
      </c>
      <c r="F157" s="1686" t="s">
        <v>518</v>
      </c>
      <c r="G157" s="1691" t="s">
        <v>515</v>
      </c>
      <c r="H157" s="1693" t="s">
        <v>372</v>
      </c>
      <c r="I157" s="1693" t="s">
        <v>519</v>
      </c>
      <c r="J157" s="1689" t="s">
        <v>520</v>
      </c>
      <c r="K157" s="1693" t="s">
        <v>521</v>
      </c>
      <c r="L157" s="1693" t="s">
        <v>522</v>
      </c>
      <c r="M157" s="1695" t="s">
        <v>523</v>
      </c>
      <c r="N157" s="951" t="s">
        <v>527</v>
      </c>
      <c r="O157" s="1687"/>
    </row>
    <row r="158" spans="1:15" ht="15.75" customHeight="1" thickBot="1" x14ac:dyDescent="0.25">
      <c r="A158" s="1690"/>
      <c r="B158" s="1692"/>
      <c r="C158" s="1694"/>
      <c r="D158" s="1692"/>
      <c r="E158" s="1690"/>
      <c r="F158" s="1688"/>
      <c r="G158" s="1692"/>
      <c r="H158" s="1694"/>
      <c r="I158" s="1694"/>
      <c r="J158" s="1690"/>
      <c r="K158" s="1694"/>
      <c r="L158" s="1694"/>
      <c r="M158" s="1696"/>
      <c r="N158" s="952">
        <v>2024</v>
      </c>
      <c r="O158" s="1688"/>
    </row>
    <row r="159" spans="1:15" ht="15.75" customHeight="1" thickBot="1" x14ac:dyDescent="0.25">
      <c r="A159" s="46" t="s">
        <v>1027</v>
      </c>
      <c r="B159" s="894">
        <f>ExpBase!G243</f>
        <v>3125</v>
      </c>
      <c r="C159" s="47" t="s">
        <v>267</v>
      </c>
      <c r="D159" s="894">
        <v>2</v>
      </c>
      <c r="E159" s="48" t="s">
        <v>1610</v>
      </c>
      <c r="F159" s="889">
        <v>11358</v>
      </c>
      <c r="G159" s="894">
        <v>43149</v>
      </c>
      <c r="H159" s="47" t="s">
        <v>267</v>
      </c>
      <c r="I159" s="47">
        <v>2018</v>
      </c>
      <c r="J159" s="41"/>
      <c r="K159" s="47">
        <v>0.8</v>
      </c>
      <c r="L159" s="47">
        <v>2.2999999999999998</v>
      </c>
      <c r="M159" s="936">
        <f>B159/G159</f>
        <v>7.2423462884423737E-2</v>
      </c>
      <c r="N159" s="953">
        <f>N$3/329.7</f>
        <v>1.220764331210191</v>
      </c>
      <c r="O159" s="917">
        <f t="shared" ref="O159:O166" si="9">D159*N159*F159*L159*M159^(K159)</f>
        <v>7808.9916174792288</v>
      </c>
    </row>
    <row r="160" spans="1:15" ht="15.75" customHeight="1" thickBot="1" x14ac:dyDescent="0.25">
      <c r="A160" s="46" t="s">
        <v>1574</v>
      </c>
      <c r="B160" s="894">
        <v>1</v>
      </c>
      <c r="C160" s="47" t="s">
        <v>267</v>
      </c>
      <c r="D160" s="894">
        <v>2</v>
      </c>
      <c r="E160" s="36" t="s">
        <v>1096</v>
      </c>
      <c r="F160" s="889">
        <f>Inputs!F$869*Reserve!G$26</f>
        <v>1355913</v>
      </c>
      <c r="G160" s="897">
        <v>390</v>
      </c>
      <c r="H160" s="47" t="s">
        <v>267</v>
      </c>
      <c r="I160" s="47">
        <v>2011</v>
      </c>
      <c r="J160" s="41"/>
      <c r="K160" s="47">
        <v>0.6</v>
      </c>
      <c r="L160" s="47">
        <v>1.0900000000000001</v>
      </c>
      <c r="M160" s="936">
        <f t="shared" ref="M160:M166" si="10">B160/G160</f>
        <v>2.5641025641025641E-3</v>
      </c>
      <c r="N160" s="953">
        <f>N$3/295.3</f>
        <v>1.3629732475448695</v>
      </c>
      <c r="O160" s="917">
        <f t="shared" si="9"/>
        <v>112340.63789839575</v>
      </c>
    </row>
    <row r="161" spans="1:16" ht="15.75" customHeight="1" thickBot="1" x14ac:dyDescent="0.25">
      <c r="A161" s="46" t="s">
        <v>1575</v>
      </c>
      <c r="B161" s="894">
        <v>1</v>
      </c>
      <c r="C161" s="47" t="s">
        <v>267</v>
      </c>
      <c r="D161" s="894">
        <v>2</v>
      </c>
      <c r="E161" s="36" t="s">
        <v>1097</v>
      </c>
      <c r="F161" s="889">
        <f>Inputs!F$870*Reserve!G$27</f>
        <v>260597.05</v>
      </c>
      <c r="G161" s="897">
        <v>14665</v>
      </c>
      <c r="H161" s="47" t="s">
        <v>267</v>
      </c>
      <c r="I161" s="47">
        <v>2011</v>
      </c>
      <c r="J161" s="41"/>
      <c r="K161" s="47">
        <v>0.6</v>
      </c>
      <c r="L161" s="47">
        <v>1.1299999999999999</v>
      </c>
      <c r="M161" s="936">
        <f t="shared" si="10"/>
        <v>6.8189566996249573E-5</v>
      </c>
      <c r="N161" s="953">
        <f>N$3/295.3</f>
        <v>1.3629732475448695</v>
      </c>
      <c r="O161" s="917">
        <f t="shared" si="9"/>
        <v>2539.7795703260531</v>
      </c>
    </row>
    <row r="162" spans="1:16" ht="15.75" customHeight="1" thickBot="1" x14ac:dyDescent="0.25">
      <c r="A162" s="35" t="s">
        <v>838</v>
      </c>
      <c r="B162" s="894">
        <f>CostCalc!B297*CostCalc!B298*CostCalc!D288</f>
        <v>275.43237114027306</v>
      </c>
      <c r="C162" s="47" t="s">
        <v>1</v>
      </c>
      <c r="D162" s="894">
        <v>2</v>
      </c>
      <c r="E162" s="36" t="s">
        <v>530</v>
      </c>
      <c r="F162" s="917">
        <f>Inputs!F$847</f>
        <v>188.34</v>
      </c>
      <c r="G162" s="897">
        <v>0.76</v>
      </c>
      <c r="H162" s="199" t="s">
        <v>1</v>
      </c>
      <c r="I162" s="47">
        <v>2022</v>
      </c>
      <c r="J162" s="36">
        <v>2</v>
      </c>
      <c r="K162" s="47">
        <v>0.7</v>
      </c>
      <c r="L162" s="47">
        <v>2.6</v>
      </c>
      <c r="M162" s="936">
        <f t="shared" si="10"/>
        <v>362.41101465825403</v>
      </c>
      <c r="N162" s="953">
        <f>N$3/432.15</f>
        <v>0.93135716765012155</v>
      </c>
      <c r="O162" s="917">
        <f t="shared" si="9"/>
        <v>56429.102504992064</v>
      </c>
    </row>
    <row r="163" spans="1:16" ht="15.75" customHeight="1" thickBot="1" x14ac:dyDescent="0.25">
      <c r="A163" s="35" t="s">
        <v>839</v>
      </c>
      <c r="B163" s="894">
        <f>CostCalc!B297*CostCalc!D288</f>
        <v>550.86474228054612</v>
      </c>
      <c r="C163" s="47" t="s">
        <v>7</v>
      </c>
      <c r="D163" s="894">
        <v>2</v>
      </c>
      <c r="E163" s="36" t="s">
        <v>857</v>
      </c>
      <c r="F163" s="917">
        <f>Inputs!F$848</f>
        <v>8.35</v>
      </c>
      <c r="G163" s="897">
        <v>0.09</v>
      </c>
      <c r="H163" s="47" t="s">
        <v>7</v>
      </c>
      <c r="I163" s="47">
        <v>2022</v>
      </c>
      <c r="J163" s="36">
        <v>3</v>
      </c>
      <c r="K163" s="47">
        <v>1</v>
      </c>
      <c r="L163" s="47">
        <v>2.6</v>
      </c>
      <c r="M163" s="936">
        <f t="shared" si="10"/>
        <v>6120.7193586727353</v>
      </c>
      <c r="N163" s="953">
        <f>N$3/432.15</f>
        <v>0.93135716765012155</v>
      </c>
      <c r="O163" s="917">
        <f t="shared" si="9"/>
        <v>247519.00322787979</v>
      </c>
    </row>
    <row r="164" spans="1:16" ht="15.75" customHeight="1" thickBot="1" x14ac:dyDescent="0.25">
      <c r="A164" s="35" t="s">
        <v>840</v>
      </c>
      <c r="B164" s="894">
        <v>1</v>
      </c>
      <c r="C164" s="47" t="s">
        <v>1</v>
      </c>
      <c r="D164" s="894">
        <v>2</v>
      </c>
      <c r="E164" s="36" t="s">
        <v>727</v>
      </c>
      <c r="F164" s="889">
        <f>Inputs!F$850*CostCalc!G$300</f>
        <v>32000.06</v>
      </c>
      <c r="G164" s="897">
        <v>1000</v>
      </c>
      <c r="H164" s="47" t="s">
        <v>1</v>
      </c>
      <c r="I164" s="47">
        <v>2023</v>
      </c>
      <c r="J164" s="36"/>
      <c r="K164" s="47">
        <v>1</v>
      </c>
      <c r="L164" s="47">
        <v>2.6</v>
      </c>
      <c r="M164" s="936">
        <f t="shared" si="10"/>
        <v>1E-3</v>
      </c>
      <c r="N164" s="953">
        <f>N$3/421.24</f>
        <v>0.9554790618174912</v>
      </c>
      <c r="O164" s="917">
        <f t="shared" si="9"/>
        <v>158.99201399589785</v>
      </c>
    </row>
    <row r="165" spans="1:16" ht="15.75" customHeight="1" thickBot="1" x14ac:dyDescent="0.25">
      <c r="A165" s="35" t="s">
        <v>833</v>
      </c>
      <c r="B165" s="894">
        <f>CostCalc!B307</f>
        <v>63.316543247262487</v>
      </c>
      <c r="C165" s="47" t="s">
        <v>11</v>
      </c>
      <c r="D165" s="894">
        <v>2</v>
      </c>
      <c r="E165" s="36" t="s">
        <v>858</v>
      </c>
      <c r="F165" s="917">
        <v>52500</v>
      </c>
      <c r="G165" s="897">
        <v>30</v>
      </c>
      <c r="H165" s="47" t="s">
        <v>11</v>
      </c>
      <c r="I165" s="47">
        <v>2009</v>
      </c>
      <c r="J165" s="36"/>
      <c r="K165" s="47">
        <v>1</v>
      </c>
      <c r="L165" s="47">
        <v>1.5</v>
      </c>
      <c r="M165" s="936">
        <f t="shared" si="10"/>
        <v>2.1105514415754163</v>
      </c>
      <c r="N165" s="953">
        <f>N$3/273.5</f>
        <v>1.4716124314442414</v>
      </c>
      <c r="O165" s="917">
        <f t="shared" si="9"/>
        <v>489181.41383342916</v>
      </c>
    </row>
    <row r="166" spans="1:16" ht="15.75" customHeight="1" thickBot="1" x14ac:dyDescent="0.25">
      <c r="A166" s="35" t="s">
        <v>812</v>
      </c>
      <c r="B166" s="894">
        <f>SUM(CostCalc!B313:B314)*CostCalc!D312</f>
        <v>82.363561700794733</v>
      </c>
      <c r="C166" s="47" t="s">
        <v>14</v>
      </c>
      <c r="D166" s="894">
        <v>2</v>
      </c>
      <c r="E166" s="36" t="s">
        <v>621</v>
      </c>
      <c r="F166" s="917">
        <f>Inputs!F$853*G166</f>
        <v>3000</v>
      </c>
      <c r="G166" s="897">
        <v>1</v>
      </c>
      <c r="H166" s="47" t="s">
        <v>14</v>
      </c>
      <c r="I166" s="47">
        <v>2023</v>
      </c>
      <c r="J166" s="36"/>
      <c r="K166" s="47">
        <v>1</v>
      </c>
      <c r="L166" s="47">
        <v>2.7</v>
      </c>
      <c r="M166" s="936">
        <f t="shared" si="10"/>
        <v>82.363561700794733</v>
      </c>
      <c r="N166" s="953">
        <f>N$3/421.24</f>
        <v>0.9554790618174912</v>
      </c>
      <c r="O166" s="917">
        <f t="shared" si="9"/>
        <v>1274885.8703215229</v>
      </c>
    </row>
    <row r="167" spans="1:16" ht="15.75" customHeight="1" thickBot="1" x14ac:dyDescent="0.25">
      <c r="A167" s="1677" t="s">
        <v>526</v>
      </c>
      <c r="B167" s="1678"/>
      <c r="C167" s="1678"/>
      <c r="D167" s="1678"/>
      <c r="E167" s="1678"/>
      <c r="F167" s="1678"/>
      <c r="G167" s="1678"/>
      <c r="H167" s="1678"/>
      <c r="I167" s="1678"/>
      <c r="J167" s="1678"/>
      <c r="K167" s="1678"/>
      <c r="L167" s="1678"/>
      <c r="M167" s="1678"/>
      <c r="N167" s="1679"/>
      <c r="O167" s="917">
        <f>SUM(O159:O166)</f>
        <v>2190863.7909880206</v>
      </c>
    </row>
    <row r="168" spans="1:16" ht="15.75" customHeight="1" x14ac:dyDescent="0.2"/>
    <row r="169" spans="1:16" ht="15.75" customHeight="1" thickBot="1" x14ac:dyDescent="0.25"/>
    <row r="170" spans="1:16" ht="15.75" customHeight="1" x14ac:dyDescent="0.2">
      <c r="A170" s="1825" t="s">
        <v>1414</v>
      </c>
      <c r="B170" s="1826"/>
      <c r="C170" s="1826"/>
      <c r="D170" s="1826"/>
      <c r="E170" s="1338"/>
      <c r="F170" s="1338"/>
      <c r="G170" s="1338"/>
      <c r="H170" s="1338"/>
      <c r="I170" s="1338"/>
      <c r="J170" s="1338"/>
      <c r="K170" s="1338"/>
      <c r="L170" s="1338"/>
      <c r="M170" s="1338"/>
      <c r="N170" s="1338"/>
      <c r="O170" s="1339"/>
    </row>
    <row r="171" spans="1:16" ht="15.75" customHeight="1" thickBot="1" x14ac:dyDescent="0.25">
      <c r="A171" s="1828"/>
      <c r="B171" s="1829"/>
      <c r="C171" s="1829"/>
      <c r="D171" s="1829"/>
      <c r="E171" s="1340"/>
      <c r="F171" s="1340"/>
      <c r="G171" s="1340"/>
      <c r="H171" s="1340"/>
      <c r="I171" s="1340"/>
      <c r="J171" s="1340"/>
      <c r="K171" s="1340"/>
      <c r="L171" s="1340"/>
      <c r="M171" s="1340"/>
      <c r="N171" s="1340"/>
      <c r="O171" s="1341"/>
    </row>
    <row r="172" spans="1:16" ht="15.75" customHeight="1" thickBot="1" x14ac:dyDescent="0.25">
      <c r="A172" s="1680" t="s">
        <v>509</v>
      </c>
      <c r="B172" s="1681"/>
      <c r="C172" s="1681"/>
      <c r="D172" s="1681"/>
      <c r="E172" s="1681"/>
      <c r="F172" s="1681"/>
      <c r="G172" s="1681"/>
      <c r="H172" s="1681"/>
      <c r="I172" s="1681"/>
      <c r="J172" s="1681"/>
      <c r="K172" s="1681"/>
      <c r="L172" s="1681"/>
      <c r="M172" s="1681"/>
      <c r="N172" s="1681"/>
      <c r="O172" s="1682"/>
    </row>
    <row r="173" spans="1:16" ht="15.75" customHeight="1" thickBot="1" x14ac:dyDescent="0.25">
      <c r="A173" s="1683" t="s">
        <v>510</v>
      </c>
      <c r="B173" s="1684"/>
      <c r="C173" s="1684"/>
      <c r="D173" s="1684"/>
      <c r="E173" s="1685"/>
      <c r="F173" s="1683" t="s">
        <v>511</v>
      </c>
      <c r="G173" s="1684"/>
      <c r="H173" s="1684"/>
      <c r="I173" s="1684"/>
      <c r="J173" s="1685"/>
      <c r="K173" s="1683" t="s">
        <v>512</v>
      </c>
      <c r="L173" s="1684"/>
      <c r="M173" s="1684"/>
      <c r="N173" s="1685"/>
      <c r="O173" s="1686" t="s">
        <v>513</v>
      </c>
    </row>
    <row r="174" spans="1:16" ht="15.75" customHeight="1" x14ac:dyDescent="0.2">
      <c r="A174" s="1689" t="s">
        <v>514</v>
      </c>
      <c r="B174" s="1691" t="s">
        <v>515</v>
      </c>
      <c r="C174" s="1693" t="s">
        <v>372</v>
      </c>
      <c r="D174" s="1691" t="s">
        <v>516</v>
      </c>
      <c r="E174" s="1689" t="s">
        <v>517</v>
      </c>
      <c r="F174" s="1686" t="s">
        <v>518</v>
      </c>
      <c r="G174" s="1691" t="s">
        <v>515</v>
      </c>
      <c r="H174" s="1693" t="s">
        <v>372</v>
      </c>
      <c r="I174" s="1693" t="s">
        <v>519</v>
      </c>
      <c r="J174" s="1689" t="s">
        <v>520</v>
      </c>
      <c r="K174" s="1693" t="s">
        <v>521</v>
      </c>
      <c r="L174" s="1693" t="s">
        <v>522</v>
      </c>
      <c r="M174" s="1695" t="s">
        <v>523</v>
      </c>
      <c r="N174" s="951" t="s">
        <v>527</v>
      </c>
      <c r="O174" s="1687"/>
    </row>
    <row r="175" spans="1:16" ht="15.75" customHeight="1" thickBot="1" x14ac:dyDescent="0.25">
      <c r="A175" s="1690"/>
      <c r="B175" s="1692"/>
      <c r="C175" s="1694"/>
      <c r="D175" s="1692"/>
      <c r="E175" s="1690"/>
      <c r="F175" s="1688"/>
      <c r="G175" s="1692"/>
      <c r="H175" s="1694"/>
      <c r="I175" s="1694"/>
      <c r="J175" s="1690"/>
      <c r="K175" s="1694"/>
      <c r="L175" s="1694"/>
      <c r="M175" s="1696"/>
      <c r="N175" s="952">
        <v>2023</v>
      </c>
      <c r="O175" s="1688"/>
    </row>
    <row r="176" spans="1:16" ht="15.75" customHeight="1" thickBot="1" x14ac:dyDescent="0.25">
      <c r="A176" s="46" t="s">
        <v>1027</v>
      </c>
      <c r="B176" s="894">
        <f>ExpBase!G242</f>
        <v>28125</v>
      </c>
      <c r="C176" s="47" t="s">
        <v>267</v>
      </c>
      <c r="D176" s="894">
        <v>2</v>
      </c>
      <c r="E176" s="48" t="s">
        <v>1610</v>
      </c>
      <c r="F176" s="889">
        <v>11358</v>
      </c>
      <c r="G176" s="894">
        <v>43149</v>
      </c>
      <c r="H176" s="47" t="s">
        <v>267</v>
      </c>
      <c r="I176" s="47">
        <v>2018</v>
      </c>
      <c r="J176" s="41"/>
      <c r="K176" s="47">
        <v>0.8</v>
      </c>
      <c r="L176" s="47">
        <v>2.2999999999999998</v>
      </c>
      <c r="M176" s="936">
        <f>B176/G176</f>
        <v>0.6518111659598137</v>
      </c>
      <c r="N176" s="953">
        <f>N$3/329.7</f>
        <v>1.220764331210191</v>
      </c>
      <c r="O176" s="917">
        <f t="shared" ref="O176:O183" si="11">D176*N176*F176*L176*M176^(K176)</f>
        <v>45288.607151800468</v>
      </c>
      <c r="P176" s="1016"/>
    </row>
    <row r="177" spans="1:15" ht="15.75" customHeight="1" thickBot="1" x14ac:dyDescent="0.25">
      <c r="A177" s="46" t="s">
        <v>1574</v>
      </c>
      <c r="B177" s="894">
        <v>1</v>
      </c>
      <c r="C177" s="47" t="s">
        <v>267</v>
      </c>
      <c r="D177" s="894">
        <v>2</v>
      </c>
      <c r="E177" s="36" t="s">
        <v>1096</v>
      </c>
      <c r="F177" s="917">
        <f>Inputs!F$869*Reserve!G$26</f>
        <v>1355913</v>
      </c>
      <c r="G177" s="897">
        <v>390</v>
      </c>
      <c r="H177" s="47" t="s">
        <v>267</v>
      </c>
      <c r="I177" s="47">
        <v>2011</v>
      </c>
      <c r="J177" s="41"/>
      <c r="K177" s="47">
        <v>0.6</v>
      </c>
      <c r="L177" s="47">
        <v>1.0900000000000001</v>
      </c>
      <c r="M177" s="936">
        <f t="shared" ref="M177:M183" si="12">B177/G177</f>
        <v>2.5641025641025641E-3</v>
      </c>
      <c r="N177" s="953">
        <f>N$3/295.3</f>
        <v>1.3629732475448695</v>
      </c>
      <c r="O177" s="917">
        <f t="shared" si="11"/>
        <v>112340.63789839575</v>
      </c>
    </row>
    <row r="178" spans="1:15" ht="15.75" customHeight="1" thickBot="1" x14ac:dyDescent="0.25">
      <c r="A178" s="46" t="s">
        <v>1575</v>
      </c>
      <c r="B178" s="894">
        <v>1</v>
      </c>
      <c r="C178" s="47" t="s">
        <v>267</v>
      </c>
      <c r="D178" s="894">
        <v>2</v>
      </c>
      <c r="E178" s="36" t="s">
        <v>1097</v>
      </c>
      <c r="F178" s="917">
        <f>Inputs!F$870*Reserve!G$27</f>
        <v>260597.05</v>
      </c>
      <c r="G178" s="897">
        <v>14665</v>
      </c>
      <c r="H178" s="47" t="s">
        <v>267</v>
      </c>
      <c r="I178" s="47">
        <v>2011</v>
      </c>
      <c r="J178" s="41"/>
      <c r="K178" s="47">
        <v>0.6</v>
      </c>
      <c r="L178" s="47">
        <v>1.1299999999999999</v>
      </c>
      <c r="M178" s="936">
        <f t="shared" si="12"/>
        <v>6.8189566996249573E-5</v>
      </c>
      <c r="N178" s="953">
        <f>N$3/295.3</f>
        <v>1.3629732475448695</v>
      </c>
      <c r="O178" s="917">
        <f t="shared" si="11"/>
        <v>2539.7795703260531</v>
      </c>
    </row>
    <row r="179" spans="1:15" ht="15.75" customHeight="1" thickBot="1" x14ac:dyDescent="0.25">
      <c r="A179" s="35" t="s">
        <v>838</v>
      </c>
      <c r="B179" s="894">
        <f>CostCalc!B339*CostCalc!B338*CostCalc!D330</f>
        <v>49366.093507087338</v>
      </c>
      <c r="C179" s="47" t="s">
        <v>1</v>
      </c>
      <c r="D179" s="894">
        <v>2</v>
      </c>
      <c r="E179" s="36" t="s">
        <v>530</v>
      </c>
      <c r="F179" s="917">
        <f>CostCalc!F289</f>
        <v>188.34</v>
      </c>
      <c r="G179" s="954">
        <v>0.76</v>
      </c>
      <c r="H179" s="199" t="s">
        <v>1</v>
      </c>
      <c r="I179" s="47">
        <v>2022</v>
      </c>
      <c r="J179" s="36">
        <v>2</v>
      </c>
      <c r="K179" s="47">
        <v>0.7</v>
      </c>
      <c r="L179" s="47">
        <v>2.6</v>
      </c>
      <c r="M179" s="936">
        <f t="shared" si="12"/>
        <v>64955.386193535967</v>
      </c>
      <c r="N179" s="953">
        <f>N$3/432.15</f>
        <v>0.93135716765012155</v>
      </c>
      <c r="O179" s="917">
        <f t="shared" si="11"/>
        <v>2132518.4113270217</v>
      </c>
    </row>
    <row r="180" spans="1:15" ht="15.75" customHeight="1" thickBot="1" x14ac:dyDescent="0.25">
      <c r="A180" s="35" t="s">
        <v>839</v>
      </c>
      <c r="B180" s="894">
        <f>CostCalc!B339*CostCalc!D330</f>
        <v>4935.8577156580277</v>
      </c>
      <c r="C180" s="47" t="s">
        <v>7</v>
      </c>
      <c r="D180" s="894">
        <v>2</v>
      </c>
      <c r="E180" s="36" t="s">
        <v>857</v>
      </c>
      <c r="F180" s="917">
        <f>CostCalc!F292</f>
        <v>8.35</v>
      </c>
      <c r="G180" s="954">
        <v>0.09</v>
      </c>
      <c r="H180" s="47" t="s">
        <v>7</v>
      </c>
      <c r="I180" s="47">
        <v>2022</v>
      </c>
      <c r="J180" s="36">
        <v>3</v>
      </c>
      <c r="K180" s="47">
        <v>1</v>
      </c>
      <c r="L180" s="47">
        <v>2.6</v>
      </c>
      <c r="M180" s="936">
        <f t="shared" si="12"/>
        <v>54842.86350731142</v>
      </c>
      <c r="N180" s="953">
        <f>N$3/432.15</f>
        <v>0.93135716765012155</v>
      </c>
      <c r="O180" s="917">
        <f t="shared" si="11"/>
        <v>2217819.526434883</v>
      </c>
    </row>
    <row r="181" spans="1:15" ht="15.75" customHeight="1" thickBot="1" x14ac:dyDescent="0.25">
      <c r="A181" s="35" t="s">
        <v>840</v>
      </c>
      <c r="B181" s="894">
        <f>CostCalc!B342</f>
        <v>100.64016088112476</v>
      </c>
      <c r="C181" s="47" t="s">
        <v>1</v>
      </c>
      <c r="D181" s="894">
        <v>2</v>
      </c>
      <c r="E181" s="36" t="s">
        <v>727</v>
      </c>
      <c r="F181" s="889">
        <f>Inputs!F850*CostCalc!G300</f>
        <v>32000.06</v>
      </c>
      <c r="G181" s="897">
        <v>1000</v>
      </c>
      <c r="H181" s="47" t="s">
        <v>1</v>
      </c>
      <c r="I181" s="47">
        <v>2023</v>
      </c>
      <c r="J181" s="36"/>
      <c r="K181" s="47">
        <v>1</v>
      </c>
      <c r="L181" s="47">
        <v>2.6</v>
      </c>
      <c r="M181" s="936">
        <f t="shared" si="12"/>
        <v>0.10064016088112476</v>
      </c>
      <c r="N181" s="953">
        <f>N$3/421.24</f>
        <v>0.9554790618174912</v>
      </c>
      <c r="O181" s="917">
        <f t="shared" si="11"/>
        <v>16000.981867361199</v>
      </c>
    </row>
    <row r="182" spans="1:15" ht="15.75" customHeight="1" thickBot="1" x14ac:dyDescent="0.25">
      <c r="A182" s="35" t="s">
        <v>833</v>
      </c>
      <c r="B182" s="894">
        <f>CostCalc!B349</f>
        <v>569.84888922536243</v>
      </c>
      <c r="C182" s="47" t="s">
        <v>11</v>
      </c>
      <c r="D182" s="894">
        <v>2</v>
      </c>
      <c r="E182" s="36" t="s">
        <v>2504</v>
      </c>
      <c r="F182" s="917">
        <v>52500</v>
      </c>
      <c r="G182" s="897">
        <v>30</v>
      </c>
      <c r="H182" s="47" t="s">
        <v>11</v>
      </c>
      <c r="I182" s="47">
        <v>2009</v>
      </c>
      <c r="J182" s="36"/>
      <c r="K182" s="47">
        <v>1</v>
      </c>
      <c r="L182" s="47">
        <v>1.5</v>
      </c>
      <c r="M182" s="936">
        <f t="shared" si="12"/>
        <v>18.994962974178748</v>
      </c>
      <c r="N182" s="953">
        <f>N$3/273.5</f>
        <v>1.4716124314442414</v>
      </c>
      <c r="O182" s="917">
        <f t="shared" si="11"/>
        <v>4402632.7245008629</v>
      </c>
    </row>
    <row r="183" spans="1:15" ht="15.75" customHeight="1" thickBot="1" x14ac:dyDescent="0.25">
      <c r="A183" s="35" t="s">
        <v>812</v>
      </c>
      <c r="B183" s="894">
        <f>SUM(CostCalc!B355:B356)*CostCalc!D354</f>
        <v>720.68116488195392</v>
      </c>
      <c r="C183" s="47" t="s">
        <v>14</v>
      </c>
      <c r="D183" s="894">
        <v>2</v>
      </c>
      <c r="E183" s="36" t="s">
        <v>621</v>
      </c>
      <c r="F183" s="917">
        <f>Inputs!F$853*G183</f>
        <v>3000</v>
      </c>
      <c r="G183" s="897">
        <v>1</v>
      </c>
      <c r="H183" s="47" t="s">
        <v>14</v>
      </c>
      <c r="I183" s="47">
        <v>2023</v>
      </c>
      <c r="J183" s="36"/>
      <c r="K183" s="47">
        <v>1</v>
      </c>
      <c r="L183" s="47">
        <v>2.7</v>
      </c>
      <c r="M183" s="936">
        <f t="shared" si="12"/>
        <v>720.68116488195392</v>
      </c>
      <c r="N183" s="953">
        <f>N$3/421.24</f>
        <v>0.9554790618174912</v>
      </c>
      <c r="O183" s="917">
        <f t="shared" si="11"/>
        <v>11155251.365313325</v>
      </c>
    </row>
    <row r="184" spans="1:15" ht="15.75" customHeight="1" thickBot="1" x14ac:dyDescent="0.25">
      <c r="A184" s="1677" t="s">
        <v>526</v>
      </c>
      <c r="B184" s="1678"/>
      <c r="C184" s="1678"/>
      <c r="D184" s="1678"/>
      <c r="E184" s="1678"/>
      <c r="F184" s="1678"/>
      <c r="G184" s="1678"/>
      <c r="H184" s="1678"/>
      <c r="I184" s="1678"/>
      <c r="J184" s="1678"/>
      <c r="K184" s="1678"/>
      <c r="L184" s="1678"/>
      <c r="M184" s="1678"/>
      <c r="N184" s="1679"/>
      <c r="O184" s="917">
        <f>SUM(O176:O183)</f>
        <v>20084392.034063976</v>
      </c>
    </row>
    <row r="185" spans="1:15" ht="15.75" customHeight="1" x14ac:dyDescent="0.2">
      <c r="A185" s="197"/>
      <c r="B185" s="895"/>
      <c r="C185" s="197"/>
      <c r="D185" s="895"/>
      <c r="E185" s="197"/>
      <c r="F185" s="890"/>
      <c r="G185" s="895"/>
      <c r="H185" s="197"/>
      <c r="I185" s="197"/>
      <c r="J185" s="197"/>
      <c r="K185" s="197"/>
      <c r="L185" s="197"/>
      <c r="M185" s="937"/>
      <c r="N185" s="955"/>
      <c r="O185" s="891"/>
    </row>
    <row r="186" spans="1:15" ht="15.75" customHeight="1" thickBot="1" x14ac:dyDescent="0.25">
      <c r="A186" s="197"/>
      <c r="B186" s="895"/>
      <c r="C186" s="197"/>
      <c r="D186" s="895"/>
      <c r="E186" s="197"/>
      <c r="F186" s="890"/>
      <c r="G186" s="895"/>
      <c r="H186" s="197"/>
      <c r="I186" s="197"/>
      <c r="J186" s="197"/>
      <c r="K186" s="197"/>
      <c r="L186" s="197"/>
      <c r="M186" s="937"/>
      <c r="N186" s="955"/>
      <c r="O186" s="891"/>
    </row>
    <row r="187" spans="1:15" ht="15.75" customHeight="1" x14ac:dyDescent="0.2">
      <c r="A187" s="1955" t="s">
        <v>532</v>
      </c>
      <c r="B187" s="1956"/>
      <c r="C187" s="1956"/>
      <c r="D187" s="1956"/>
      <c r="E187" s="1330"/>
      <c r="F187" s="1330"/>
      <c r="G187" s="1330"/>
      <c r="H187" s="1330"/>
      <c r="I187" s="1330"/>
      <c r="J187" s="1330"/>
      <c r="K187" s="1330"/>
      <c r="L187" s="1330"/>
      <c r="M187" s="1330"/>
      <c r="N187" s="1330"/>
      <c r="O187" s="1331"/>
    </row>
    <row r="188" spans="1:15" ht="15.75" customHeight="1" thickBot="1" x14ac:dyDescent="0.25">
      <c r="A188" s="1958"/>
      <c r="B188" s="1959"/>
      <c r="C188" s="1959"/>
      <c r="D188" s="1959"/>
      <c r="E188" s="1332"/>
      <c r="F188" s="1332"/>
      <c r="G188" s="1332"/>
      <c r="H188" s="1332"/>
      <c r="I188" s="1332"/>
      <c r="J188" s="1332"/>
      <c r="K188" s="1332"/>
      <c r="L188" s="1332"/>
      <c r="M188" s="1332"/>
      <c r="N188" s="1332"/>
      <c r="O188" s="1333"/>
    </row>
    <row r="189" spans="1:15" ht="15.75" customHeight="1" thickBot="1" x14ac:dyDescent="0.25">
      <c r="A189" s="1680" t="s">
        <v>509</v>
      </c>
      <c r="B189" s="1681"/>
      <c r="C189" s="1681"/>
      <c r="D189" s="1681"/>
      <c r="E189" s="1681"/>
      <c r="F189" s="1681"/>
      <c r="G189" s="1681"/>
      <c r="H189" s="1681"/>
      <c r="I189" s="1681"/>
      <c r="J189" s="1681"/>
      <c r="K189" s="1681"/>
      <c r="L189" s="1681"/>
      <c r="M189" s="1681"/>
      <c r="N189" s="1681"/>
      <c r="O189" s="1682"/>
    </row>
    <row r="190" spans="1:15" ht="15.75" customHeight="1" thickBot="1" x14ac:dyDescent="0.25">
      <c r="A190" s="1683" t="s">
        <v>510</v>
      </c>
      <c r="B190" s="1684"/>
      <c r="C190" s="1684"/>
      <c r="D190" s="1684"/>
      <c r="E190" s="1685"/>
      <c r="F190" s="1683" t="s">
        <v>511</v>
      </c>
      <c r="G190" s="1684"/>
      <c r="H190" s="1684"/>
      <c r="I190" s="1684"/>
      <c r="J190" s="1685"/>
      <c r="K190" s="1683" t="s">
        <v>512</v>
      </c>
      <c r="L190" s="1684"/>
      <c r="M190" s="1684"/>
      <c r="N190" s="1685"/>
      <c r="O190" s="1686" t="s">
        <v>513</v>
      </c>
    </row>
    <row r="191" spans="1:15" ht="15.75" customHeight="1" x14ac:dyDescent="0.2">
      <c r="A191" s="1689" t="s">
        <v>514</v>
      </c>
      <c r="B191" s="1691" t="s">
        <v>515</v>
      </c>
      <c r="C191" s="1693" t="s">
        <v>372</v>
      </c>
      <c r="D191" s="1691" t="s">
        <v>516</v>
      </c>
      <c r="E191" s="1689" t="s">
        <v>517</v>
      </c>
      <c r="F191" s="1686" t="s">
        <v>518</v>
      </c>
      <c r="G191" s="1691" t="s">
        <v>515</v>
      </c>
      <c r="H191" s="1693" t="s">
        <v>372</v>
      </c>
      <c r="I191" s="1693" t="s">
        <v>519</v>
      </c>
      <c r="J191" s="1689" t="s">
        <v>520</v>
      </c>
      <c r="K191" s="1693" t="s">
        <v>521</v>
      </c>
      <c r="L191" s="1693" t="s">
        <v>522</v>
      </c>
      <c r="M191" s="1695" t="s">
        <v>523</v>
      </c>
      <c r="N191" s="951" t="s">
        <v>527</v>
      </c>
      <c r="O191" s="1687"/>
    </row>
    <row r="192" spans="1:15" ht="15.75" customHeight="1" thickBot="1" x14ac:dyDescent="0.25">
      <c r="A192" s="1690"/>
      <c r="B192" s="1692"/>
      <c r="C192" s="1694"/>
      <c r="D192" s="1692"/>
      <c r="E192" s="1690"/>
      <c r="F192" s="1688"/>
      <c r="G192" s="1692"/>
      <c r="H192" s="1694"/>
      <c r="I192" s="1694"/>
      <c r="J192" s="1690"/>
      <c r="K192" s="1694"/>
      <c r="L192" s="1694"/>
      <c r="M192" s="1696"/>
      <c r="N192" s="952">
        <v>2024</v>
      </c>
      <c r="O192" s="1688"/>
    </row>
    <row r="193" spans="1:15" ht="15.75" customHeight="1" thickBot="1" x14ac:dyDescent="0.25">
      <c r="A193" s="46" t="s">
        <v>1027</v>
      </c>
      <c r="B193" s="894">
        <f>ExpBase!G242</f>
        <v>28125</v>
      </c>
      <c r="C193" s="47" t="s">
        <v>267</v>
      </c>
      <c r="D193" s="894">
        <v>2</v>
      </c>
      <c r="E193" s="48" t="s">
        <v>1610</v>
      </c>
      <c r="F193" s="889">
        <v>11358</v>
      </c>
      <c r="G193" s="894">
        <v>43149</v>
      </c>
      <c r="H193" s="47" t="s">
        <v>267</v>
      </c>
      <c r="I193" s="47">
        <v>2018</v>
      </c>
      <c r="J193" s="41"/>
      <c r="K193" s="47">
        <v>0.8</v>
      </c>
      <c r="L193" s="47">
        <v>2.2999999999999998</v>
      </c>
      <c r="M193" s="936">
        <f>B193/G193</f>
        <v>0.6518111659598137</v>
      </c>
      <c r="N193" s="953">
        <f>N$3/329.7</f>
        <v>1.220764331210191</v>
      </c>
      <c r="O193" s="917">
        <f>D193*N193*F193*L193*M193^(K193)</f>
        <v>45288.607151800468</v>
      </c>
    </row>
    <row r="194" spans="1:15" ht="15.75" customHeight="1" thickBot="1" x14ac:dyDescent="0.25">
      <c r="A194" s="293" t="s">
        <v>2514</v>
      </c>
      <c r="B194" s="900">
        <f>ExpBase!G242</f>
        <v>28125</v>
      </c>
      <c r="C194" s="910" t="s">
        <v>267</v>
      </c>
      <c r="D194" s="900">
        <v>2</v>
      </c>
      <c r="E194" s="295"/>
      <c r="F194" s="919">
        <v>8800000</v>
      </c>
      <c r="G194" s="900">
        <v>98039</v>
      </c>
      <c r="H194" s="910" t="s">
        <v>267</v>
      </c>
      <c r="I194" s="910">
        <v>2000</v>
      </c>
      <c r="J194" s="295"/>
      <c r="K194" s="910">
        <v>0.6</v>
      </c>
      <c r="L194" s="910">
        <v>2.2999999999999998</v>
      </c>
      <c r="M194" s="943">
        <f>B194/G194</f>
        <v>0.28687563112638848</v>
      </c>
      <c r="N194" s="958">
        <f>CAPEX!N$3/307.8</f>
        <v>1.3076218323586744</v>
      </c>
      <c r="O194" s="917">
        <f>D194*N194*F194*L194*M194^(K194)</f>
        <v>25022970.382616952</v>
      </c>
    </row>
    <row r="195" spans="1:15" ht="15.75" customHeight="1" thickBot="1" x14ac:dyDescent="0.25">
      <c r="A195" s="35" t="s">
        <v>2515</v>
      </c>
      <c r="B195" s="894">
        <f ca="1">ExpBase!C388</f>
        <v>5152.5</v>
      </c>
      <c r="C195" s="47" t="s">
        <v>267</v>
      </c>
      <c r="D195" s="894">
        <v>2</v>
      </c>
      <c r="E195" s="36" t="s">
        <v>2516</v>
      </c>
      <c r="F195" s="917">
        <v>555008</v>
      </c>
      <c r="G195" s="894">
        <v>11526</v>
      </c>
      <c r="H195" s="47" t="s">
        <v>267</v>
      </c>
      <c r="I195" s="47">
        <v>2011</v>
      </c>
      <c r="J195" s="36"/>
      <c r="K195" s="47">
        <v>0.6</v>
      </c>
      <c r="L195" s="47">
        <v>2.6</v>
      </c>
      <c r="M195" s="936">
        <f ca="1">B195/G195</f>
        <v>0.44703279541905255</v>
      </c>
      <c r="N195" s="953">
        <f>N$3/295.3</f>
        <v>1.3629732475448695</v>
      </c>
      <c r="O195" s="917">
        <f ca="1">D195*N195*F195*L195*M195^(K195)</f>
        <v>2426574.0534330667</v>
      </c>
    </row>
    <row r="196" spans="1:15" ht="15.75" customHeight="1" thickBot="1" x14ac:dyDescent="0.25">
      <c r="A196" s="35" t="s">
        <v>533</v>
      </c>
      <c r="B196" s="894">
        <f ca="1">ExpBase!C389</f>
        <v>33.79809637415071</v>
      </c>
      <c r="C196" s="47" t="s">
        <v>444</v>
      </c>
      <c r="D196" s="894">
        <v>2</v>
      </c>
      <c r="E196" s="36" t="s">
        <v>739</v>
      </c>
      <c r="F196" s="917">
        <f>CostCalc!F$378</f>
        <v>989.99999999999989</v>
      </c>
      <c r="G196" s="897">
        <f>CostCalc!G$376</f>
        <v>40.499999999999993</v>
      </c>
      <c r="H196" s="47" t="s">
        <v>444</v>
      </c>
      <c r="I196" s="47">
        <v>2012</v>
      </c>
      <c r="J196" s="36">
        <v>11</v>
      </c>
      <c r="K196" s="47">
        <v>0.8</v>
      </c>
      <c r="L196" s="47">
        <v>1.7</v>
      </c>
      <c r="M196" s="936">
        <f ca="1">B196/G196</f>
        <v>0.83452089812717811</v>
      </c>
      <c r="N196" s="953">
        <f>N$3/311.7</f>
        <v>1.2912608277189606</v>
      </c>
      <c r="O196" s="917">
        <f ca="1">D196*N196*F196*L196*M196^(K196)</f>
        <v>3760.7794176182269</v>
      </c>
    </row>
    <row r="197" spans="1:15" ht="15.75" customHeight="1" thickBot="1" x14ac:dyDescent="0.25">
      <c r="A197" s="1677" t="s">
        <v>526</v>
      </c>
      <c r="B197" s="1678"/>
      <c r="C197" s="1678"/>
      <c r="D197" s="1678"/>
      <c r="E197" s="1678"/>
      <c r="F197" s="1678"/>
      <c r="G197" s="1678"/>
      <c r="H197" s="1678"/>
      <c r="I197" s="1678"/>
      <c r="J197" s="1678"/>
      <c r="K197" s="1678"/>
      <c r="L197" s="1678"/>
      <c r="M197" s="1678"/>
      <c r="N197" s="1679"/>
      <c r="O197" s="917">
        <f ca="1">SUM(O193:O196)</f>
        <v>27498593.822619438</v>
      </c>
    </row>
    <row r="198" spans="1:15" ht="15.75" customHeight="1" x14ac:dyDescent="0.2">
      <c r="A198" s="197"/>
      <c r="B198" s="895"/>
      <c r="C198" s="197"/>
      <c r="D198" s="895"/>
      <c r="E198" s="197"/>
      <c r="F198" s="890"/>
      <c r="G198" s="895"/>
      <c r="H198" s="197"/>
      <c r="I198" s="197"/>
      <c r="J198" s="197"/>
      <c r="K198" s="197"/>
      <c r="L198" s="197"/>
      <c r="M198" s="937"/>
      <c r="N198" s="955"/>
      <c r="O198" s="891"/>
    </row>
    <row r="199" spans="1:15" ht="15.75" customHeight="1" thickBot="1" x14ac:dyDescent="0.25">
      <c r="A199" s="197"/>
      <c r="B199" s="895"/>
      <c r="C199" s="197"/>
      <c r="D199" s="895"/>
      <c r="E199" s="197"/>
      <c r="F199" s="890"/>
      <c r="G199" s="895"/>
      <c r="H199" s="197"/>
      <c r="I199" s="197"/>
      <c r="J199" s="197"/>
      <c r="K199" s="197"/>
      <c r="L199" s="197"/>
      <c r="M199" s="937"/>
      <c r="N199" s="955"/>
      <c r="O199" s="891"/>
    </row>
    <row r="200" spans="1:15" ht="15.75" customHeight="1" x14ac:dyDescent="0.2">
      <c r="A200" s="1819" t="s">
        <v>1561</v>
      </c>
      <c r="B200" s="1820"/>
      <c r="C200" s="1820"/>
      <c r="D200" s="1820"/>
      <c r="E200" s="1342"/>
      <c r="F200" s="1342"/>
      <c r="G200" s="1342"/>
      <c r="H200" s="1342"/>
      <c r="I200" s="1342"/>
      <c r="J200" s="1342"/>
      <c r="K200" s="1342"/>
      <c r="L200" s="1342"/>
      <c r="M200" s="1342"/>
      <c r="N200" s="1342"/>
      <c r="O200" s="1343"/>
    </row>
    <row r="201" spans="1:15" ht="15.75" customHeight="1" thickBot="1" x14ac:dyDescent="0.25">
      <c r="A201" s="1822"/>
      <c r="B201" s="1823"/>
      <c r="C201" s="1823"/>
      <c r="D201" s="1823"/>
      <c r="E201" s="1344"/>
      <c r="F201" s="1344"/>
      <c r="G201" s="1344"/>
      <c r="H201" s="1344"/>
      <c r="I201" s="1344"/>
      <c r="J201" s="1344"/>
      <c r="K201" s="1344"/>
      <c r="L201" s="1344"/>
      <c r="M201" s="1344"/>
      <c r="N201" s="1344"/>
      <c r="O201" s="1345"/>
    </row>
    <row r="202" spans="1:15" ht="15.75" customHeight="1" thickBot="1" x14ac:dyDescent="0.25">
      <c r="A202" s="1680" t="s">
        <v>509</v>
      </c>
      <c r="B202" s="1681"/>
      <c r="C202" s="1681"/>
      <c r="D202" s="1681"/>
      <c r="E202" s="1681"/>
      <c r="F202" s="1681"/>
      <c r="G202" s="1681"/>
      <c r="H202" s="1681"/>
      <c r="I202" s="1681"/>
      <c r="J202" s="1681"/>
      <c r="K202" s="1681"/>
      <c r="L202" s="1681"/>
      <c r="M202" s="1681"/>
      <c r="N202" s="1681"/>
      <c r="O202" s="1682"/>
    </row>
    <row r="203" spans="1:15" ht="15.75" customHeight="1" thickBot="1" x14ac:dyDescent="0.25">
      <c r="A203" s="1683" t="s">
        <v>510</v>
      </c>
      <c r="B203" s="1684"/>
      <c r="C203" s="1684"/>
      <c r="D203" s="1684"/>
      <c r="E203" s="1685"/>
      <c r="F203" s="1683" t="s">
        <v>511</v>
      </c>
      <c r="G203" s="1684"/>
      <c r="H203" s="1684"/>
      <c r="I203" s="1684"/>
      <c r="J203" s="1685"/>
      <c r="K203" s="1683" t="s">
        <v>512</v>
      </c>
      <c r="L203" s="1684"/>
      <c r="M203" s="1684"/>
      <c r="N203" s="1685"/>
      <c r="O203" s="1686" t="s">
        <v>513</v>
      </c>
    </row>
    <row r="204" spans="1:15" ht="15.75" customHeight="1" x14ac:dyDescent="0.2">
      <c r="A204" s="1689" t="s">
        <v>514</v>
      </c>
      <c r="B204" s="1691" t="s">
        <v>515</v>
      </c>
      <c r="C204" s="1693" t="s">
        <v>372</v>
      </c>
      <c r="D204" s="1691" t="s">
        <v>516</v>
      </c>
      <c r="E204" s="1689" t="s">
        <v>517</v>
      </c>
      <c r="F204" s="1686" t="s">
        <v>518</v>
      </c>
      <c r="G204" s="1691" t="s">
        <v>515</v>
      </c>
      <c r="H204" s="1693" t="s">
        <v>372</v>
      </c>
      <c r="I204" s="1693" t="s">
        <v>519</v>
      </c>
      <c r="J204" s="1689" t="s">
        <v>520</v>
      </c>
      <c r="K204" s="1693" t="s">
        <v>521</v>
      </c>
      <c r="L204" s="1693" t="s">
        <v>522</v>
      </c>
      <c r="M204" s="1695" t="s">
        <v>523</v>
      </c>
      <c r="N204" s="951" t="s">
        <v>527</v>
      </c>
      <c r="O204" s="1687"/>
    </row>
    <row r="205" spans="1:15" ht="15.75" customHeight="1" thickBot="1" x14ac:dyDescent="0.25">
      <c r="A205" s="1690"/>
      <c r="B205" s="1692"/>
      <c r="C205" s="1694"/>
      <c r="D205" s="1692"/>
      <c r="E205" s="1690"/>
      <c r="F205" s="1688"/>
      <c r="G205" s="1692"/>
      <c r="H205" s="1694"/>
      <c r="I205" s="1694"/>
      <c r="J205" s="1690"/>
      <c r="K205" s="1694"/>
      <c r="L205" s="1694"/>
      <c r="M205" s="1696"/>
      <c r="N205" s="952">
        <v>2024</v>
      </c>
      <c r="O205" s="1688"/>
    </row>
    <row r="206" spans="1:15" ht="15.75" customHeight="1" thickBot="1" x14ac:dyDescent="0.25">
      <c r="A206" s="46" t="s">
        <v>1027</v>
      </c>
      <c r="B206" s="894">
        <f ca="1">ExpBase!E389</f>
        <v>33798.096374150708</v>
      </c>
      <c r="C206" s="47" t="s">
        <v>267</v>
      </c>
      <c r="D206" s="894">
        <v>2</v>
      </c>
      <c r="E206" s="48" t="s">
        <v>1610</v>
      </c>
      <c r="F206" s="889">
        <v>11358</v>
      </c>
      <c r="G206" s="894">
        <v>43149</v>
      </c>
      <c r="H206" s="47" t="s">
        <v>267</v>
      </c>
      <c r="I206" s="47">
        <v>2018</v>
      </c>
      <c r="J206" s="41"/>
      <c r="K206" s="47">
        <v>0.8</v>
      </c>
      <c r="L206" s="47">
        <v>2.2999999999999998</v>
      </c>
      <c r="M206" s="936">
        <f ca="1">B206/G206</f>
        <v>0.78328805706159377</v>
      </c>
      <c r="N206" s="953">
        <f>N$3/329.7</f>
        <v>1.220764331210191</v>
      </c>
      <c r="O206" s="917">
        <f t="shared" ref="O206:O221" ca="1" si="13">D206*N206*F206*L206*M206^(K206)</f>
        <v>52460.053757688722</v>
      </c>
    </row>
    <row r="207" spans="1:15" ht="15.75" customHeight="1" thickBot="1" x14ac:dyDescent="0.25">
      <c r="A207" s="46" t="s">
        <v>1573</v>
      </c>
      <c r="B207" s="894">
        <f ca="1">ExpBase!C539</f>
        <v>1060713003.374823</v>
      </c>
      <c r="C207" s="47" t="s">
        <v>267</v>
      </c>
      <c r="D207" s="894">
        <v>2</v>
      </c>
      <c r="E207" s="36" t="s">
        <v>1097</v>
      </c>
      <c r="F207" s="889">
        <f>Inputs!F$870*Reserve!G$27</f>
        <v>260597.05</v>
      </c>
      <c r="G207" s="894">
        <v>33168</v>
      </c>
      <c r="H207" s="47" t="s">
        <v>267</v>
      </c>
      <c r="I207" s="47">
        <v>2011</v>
      </c>
      <c r="J207" s="36"/>
      <c r="K207" s="47">
        <v>0.3</v>
      </c>
      <c r="L207" s="47">
        <v>1.1299999999999999</v>
      </c>
      <c r="M207" s="936">
        <f t="shared" ref="M207:M221" ca="1" si="14">B207/G207</f>
        <v>31980.010955584388</v>
      </c>
      <c r="N207" s="953">
        <f>N$3/295.3</f>
        <v>1.3629732475448695</v>
      </c>
      <c r="O207" s="917">
        <f t="shared" ca="1" si="13"/>
        <v>18031375.115202356</v>
      </c>
    </row>
    <row r="208" spans="1:15" ht="15.75" customHeight="1" thickBot="1" x14ac:dyDescent="0.25">
      <c r="A208" s="46" t="s">
        <v>2501</v>
      </c>
      <c r="B208" s="894">
        <f ca="1">CostCalc!B385</f>
        <v>9740.6127085559383</v>
      </c>
      <c r="C208" s="47" t="s">
        <v>2494</v>
      </c>
      <c r="D208" s="894">
        <v>2</v>
      </c>
      <c r="E208" s="36"/>
      <c r="F208" s="889">
        <v>4906</v>
      </c>
      <c r="G208" s="894">
        <v>262454</v>
      </c>
      <c r="H208" s="47" t="s">
        <v>2494</v>
      </c>
      <c r="I208" s="47">
        <v>2007</v>
      </c>
      <c r="J208" s="36"/>
      <c r="K208" s="47">
        <v>0.8</v>
      </c>
      <c r="L208" s="47">
        <v>4.3</v>
      </c>
      <c r="M208" s="936">
        <f t="shared" ca="1" si="14"/>
        <v>3.7113599749121519E-2</v>
      </c>
      <c r="N208" s="953">
        <f t="shared" ref="N208:N218" si="15">N$3/213.2</f>
        <v>1.8878330206378988</v>
      </c>
      <c r="O208" s="917">
        <f t="shared" ca="1" si="13"/>
        <v>5712.3661522272505</v>
      </c>
    </row>
    <row r="209" spans="1:15" ht="15.75" customHeight="1" thickBot="1" x14ac:dyDescent="0.25">
      <c r="A209" s="46" t="s">
        <v>2520</v>
      </c>
      <c r="B209" s="894">
        <f ca="1">CostCalc!B389</f>
        <v>428.41088208553134</v>
      </c>
      <c r="C209" s="47" t="s">
        <v>1091</v>
      </c>
      <c r="D209" s="894">
        <v>2</v>
      </c>
      <c r="E209" s="36"/>
      <c r="F209" s="889">
        <v>812000</v>
      </c>
      <c r="G209" s="894">
        <v>1385</v>
      </c>
      <c r="H209" s="47" t="s">
        <v>1091</v>
      </c>
      <c r="I209" s="47">
        <v>2007</v>
      </c>
      <c r="J209" s="36"/>
      <c r="K209" s="47">
        <v>0.8</v>
      </c>
      <c r="L209" s="47">
        <v>1.5</v>
      </c>
      <c r="M209" s="936">
        <f t="shared" ca="1" si="14"/>
        <v>0.30932193652384932</v>
      </c>
      <c r="N209" s="953">
        <f t="shared" si="15"/>
        <v>1.8878330206378988</v>
      </c>
      <c r="O209" s="917">
        <f t="shared" ca="1" si="13"/>
        <v>1798744.3322196491</v>
      </c>
    </row>
    <row r="210" spans="1:15" ht="15.75" customHeight="1" thickBot="1" x14ac:dyDescent="0.25">
      <c r="A210" s="46" t="s">
        <v>2521</v>
      </c>
      <c r="B210" s="894">
        <f ca="1">CostCalc!B389</f>
        <v>428.41088208553134</v>
      </c>
      <c r="C210" s="47" t="s">
        <v>1091</v>
      </c>
      <c r="D210" s="894">
        <v>2</v>
      </c>
      <c r="E210" s="36"/>
      <c r="F210" s="889">
        <v>2250000</v>
      </c>
      <c r="G210" s="894">
        <v>1385</v>
      </c>
      <c r="H210" s="47" t="s">
        <v>2522</v>
      </c>
      <c r="I210" s="47">
        <v>2007</v>
      </c>
      <c r="J210" s="36"/>
      <c r="K210" s="47">
        <v>0.8</v>
      </c>
      <c r="L210" s="47">
        <v>1.5</v>
      </c>
      <c r="M210" s="936">
        <f t="shared" ca="1" si="14"/>
        <v>0.30932193652384932</v>
      </c>
      <c r="N210" s="953">
        <f t="shared" si="15"/>
        <v>1.8878330206378988</v>
      </c>
      <c r="O210" s="917">
        <f t="shared" ca="1" si="13"/>
        <v>4984205.3540569097</v>
      </c>
    </row>
    <row r="211" spans="1:15" ht="15.75" customHeight="1" thickBot="1" x14ac:dyDescent="0.25">
      <c r="A211" s="46" t="s">
        <v>2523</v>
      </c>
      <c r="B211" s="894">
        <f ca="1">CostCalc!B389*0.1</f>
        <v>42.841088208553138</v>
      </c>
      <c r="C211" s="47" t="s">
        <v>1091</v>
      </c>
      <c r="D211" s="894">
        <v>2</v>
      </c>
      <c r="E211" s="36"/>
      <c r="F211" s="889">
        <v>38000</v>
      </c>
      <c r="G211" s="894">
        <v>1385</v>
      </c>
      <c r="H211" s="47" t="s">
        <v>1091</v>
      </c>
      <c r="I211" s="47">
        <v>2007</v>
      </c>
      <c r="J211" s="36"/>
      <c r="K211" s="47">
        <v>0.8</v>
      </c>
      <c r="L211" s="47">
        <v>1.5</v>
      </c>
      <c r="M211" s="936">
        <f t="shared" ca="1" si="14"/>
        <v>3.0932193652384938E-2</v>
      </c>
      <c r="N211" s="953">
        <f t="shared" si="15"/>
        <v>1.8878330206378988</v>
      </c>
      <c r="O211" s="917">
        <f t="shared" ca="1" si="13"/>
        <v>13341.264851021117</v>
      </c>
    </row>
    <row r="212" spans="1:15" ht="15.75" customHeight="1" thickBot="1" x14ac:dyDescent="0.25">
      <c r="A212" s="46" t="s">
        <v>2524</v>
      </c>
      <c r="B212" s="894">
        <f ca="1">CostCalc!B389</f>
        <v>428.41088208553134</v>
      </c>
      <c r="C212" s="47" t="s">
        <v>1091</v>
      </c>
      <c r="D212" s="894">
        <v>2</v>
      </c>
      <c r="E212" s="36"/>
      <c r="F212" s="889">
        <v>752000</v>
      </c>
      <c r="G212" s="894">
        <v>1385</v>
      </c>
      <c r="H212" s="47" t="s">
        <v>1091</v>
      </c>
      <c r="I212" s="47">
        <v>2007</v>
      </c>
      <c r="J212" s="36"/>
      <c r="K212" s="47">
        <v>0.8</v>
      </c>
      <c r="L212" s="47">
        <v>1.5</v>
      </c>
      <c r="M212" s="936">
        <f t="shared" ca="1" si="14"/>
        <v>0.30932193652384932</v>
      </c>
      <c r="N212" s="953">
        <f t="shared" si="15"/>
        <v>1.8878330206378988</v>
      </c>
      <c r="O212" s="917">
        <f t="shared" ca="1" si="13"/>
        <v>1665832.1894447983</v>
      </c>
    </row>
    <row r="213" spans="1:15" ht="15.75" customHeight="1" thickBot="1" x14ac:dyDescent="0.25">
      <c r="A213" s="46" t="s">
        <v>2525</v>
      </c>
      <c r="B213" s="894">
        <f ca="1">CostCalc!B389</f>
        <v>428.41088208553134</v>
      </c>
      <c r="C213" s="47" t="s">
        <v>1091</v>
      </c>
      <c r="D213" s="894">
        <v>2</v>
      </c>
      <c r="E213" s="36"/>
      <c r="F213" s="889">
        <v>519000</v>
      </c>
      <c r="G213" s="894">
        <v>1385</v>
      </c>
      <c r="H213" s="47" t="s">
        <v>1091</v>
      </c>
      <c r="I213" s="47">
        <v>2007</v>
      </c>
      <c r="J213" s="36"/>
      <c r="K213" s="47">
        <v>0.8</v>
      </c>
      <c r="L213" s="47">
        <v>1.5</v>
      </c>
      <c r="M213" s="936">
        <f t="shared" ca="1" si="14"/>
        <v>0.30932193652384932</v>
      </c>
      <c r="N213" s="953">
        <f t="shared" si="15"/>
        <v>1.8878330206378988</v>
      </c>
      <c r="O213" s="917">
        <f t="shared" ca="1" si="13"/>
        <v>1149690.0350024605</v>
      </c>
    </row>
    <row r="214" spans="1:15" ht="15.75" customHeight="1" thickBot="1" x14ac:dyDescent="0.25">
      <c r="A214" s="35" t="s">
        <v>2526</v>
      </c>
      <c r="B214" s="894">
        <f ca="1">CostCalc!B395</f>
        <v>3486.7719529825504</v>
      </c>
      <c r="C214" s="47" t="s">
        <v>1091</v>
      </c>
      <c r="D214" s="894">
        <v>2</v>
      </c>
      <c r="E214" s="36"/>
      <c r="F214" s="917">
        <v>206000</v>
      </c>
      <c r="G214" s="894">
        <v>1385</v>
      </c>
      <c r="H214" s="47" t="s">
        <v>1091</v>
      </c>
      <c r="I214" s="47">
        <v>2007</v>
      </c>
      <c r="J214" s="36"/>
      <c r="K214" s="47">
        <v>0.8</v>
      </c>
      <c r="L214" s="47">
        <v>1.5</v>
      </c>
      <c r="M214" s="936">
        <f t="shared" ca="1" si="14"/>
        <v>2.5175248757996753</v>
      </c>
      <c r="N214" s="953">
        <f t="shared" si="15"/>
        <v>1.8878330206378988</v>
      </c>
      <c r="O214" s="917">
        <f t="shared" ca="1" si="13"/>
        <v>2441917.9636363443</v>
      </c>
    </row>
    <row r="215" spans="1:15" ht="15.75" customHeight="1" thickBot="1" x14ac:dyDescent="0.25">
      <c r="A215" s="35" t="s">
        <v>2527</v>
      </c>
      <c r="B215" s="894">
        <f ca="1">CostCalc!B395*0.1</f>
        <v>348.67719529825507</v>
      </c>
      <c r="C215" s="47" t="s">
        <v>1091</v>
      </c>
      <c r="D215" s="894">
        <v>2</v>
      </c>
      <c r="E215" s="36"/>
      <c r="F215" s="917">
        <v>525000</v>
      </c>
      <c r="G215" s="894">
        <v>1385</v>
      </c>
      <c r="H215" s="47" t="s">
        <v>1091</v>
      </c>
      <c r="I215" s="47">
        <v>2007</v>
      </c>
      <c r="J215" s="36"/>
      <c r="K215" s="47">
        <v>0.8</v>
      </c>
      <c r="L215" s="47">
        <v>1.5</v>
      </c>
      <c r="M215" s="936">
        <f t="shared" ca="1" si="14"/>
        <v>0.25175248757996754</v>
      </c>
      <c r="N215" s="953">
        <f t="shared" si="15"/>
        <v>1.8878330206378988</v>
      </c>
      <c r="O215" s="917">
        <f t="shared" ca="1" si="13"/>
        <v>986332.06674066349</v>
      </c>
    </row>
    <row r="216" spans="1:15" ht="15.75" customHeight="1" thickBot="1" x14ac:dyDescent="0.25">
      <c r="A216" s="35" t="s">
        <v>2528</v>
      </c>
      <c r="B216" s="894">
        <f ca="1">CostCalc!B384*Units!C3/Units!C56</f>
        <v>1354.6753733798769</v>
      </c>
      <c r="C216" s="47" t="s">
        <v>1091</v>
      </c>
      <c r="D216" s="894">
        <v>2</v>
      </c>
      <c r="E216" s="36"/>
      <c r="F216" s="917">
        <v>979000</v>
      </c>
      <c r="G216" s="894">
        <v>1385</v>
      </c>
      <c r="H216" s="47" t="s">
        <v>1091</v>
      </c>
      <c r="I216" s="47">
        <v>2007</v>
      </c>
      <c r="J216" s="36"/>
      <c r="K216" s="47">
        <v>0.8</v>
      </c>
      <c r="L216" s="47">
        <v>1.5</v>
      </c>
      <c r="M216" s="936">
        <f t="shared" ca="1" si="14"/>
        <v>0.97810496272915293</v>
      </c>
      <c r="N216" s="953">
        <f t="shared" si="15"/>
        <v>1.8878330206378988</v>
      </c>
      <c r="O216" s="917">
        <f t="shared" ca="1" si="13"/>
        <v>5447232.2785764607</v>
      </c>
    </row>
    <row r="217" spans="1:15" ht="15.75" customHeight="1" thickBot="1" x14ac:dyDescent="0.25">
      <c r="A217" s="35" t="s">
        <v>2529</v>
      </c>
      <c r="B217" s="894">
        <f ca="1">CostCalc!B395</f>
        <v>3486.7719529825504</v>
      </c>
      <c r="C217" s="47" t="s">
        <v>1091</v>
      </c>
      <c r="D217" s="894">
        <v>2</v>
      </c>
      <c r="E217" s="36"/>
      <c r="F217" s="917">
        <v>152000</v>
      </c>
      <c r="G217" s="894">
        <v>1385</v>
      </c>
      <c r="H217" s="47" t="s">
        <v>1091</v>
      </c>
      <c r="I217" s="47">
        <v>2007</v>
      </c>
      <c r="J217" s="36"/>
      <c r="K217" s="47">
        <v>0.8</v>
      </c>
      <c r="L217" s="47">
        <v>1.5</v>
      </c>
      <c r="M217" s="936">
        <f t="shared" ca="1" si="14"/>
        <v>2.5175248757996753</v>
      </c>
      <c r="N217" s="953">
        <f t="shared" si="15"/>
        <v>1.8878330206378988</v>
      </c>
      <c r="O217" s="917">
        <f t="shared" ca="1" si="13"/>
        <v>1801803.5459840987</v>
      </c>
    </row>
    <row r="218" spans="1:15" ht="15.75" customHeight="1" thickBot="1" x14ac:dyDescent="0.25">
      <c r="A218" s="35" t="s">
        <v>2530</v>
      </c>
      <c r="B218" s="894">
        <f ca="1">CostCalc!B395</f>
        <v>3486.7719529825504</v>
      </c>
      <c r="C218" s="47" t="s">
        <v>1091</v>
      </c>
      <c r="D218" s="894">
        <v>2</v>
      </c>
      <c r="E218" s="36"/>
      <c r="F218" s="917">
        <v>400000</v>
      </c>
      <c r="G218" s="894">
        <v>1385</v>
      </c>
      <c r="H218" s="47" t="s">
        <v>1091</v>
      </c>
      <c r="I218" s="47">
        <v>2007</v>
      </c>
      <c r="J218" s="36"/>
      <c r="K218" s="47">
        <v>0.8</v>
      </c>
      <c r="L218" s="47">
        <v>1.5</v>
      </c>
      <c r="M218" s="936">
        <f t="shared" ca="1" si="14"/>
        <v>2.5175248757996753</v>
      </c>
      <c r="N218" s="953">
        <f t="shared" si="15"/>
        <v>1.8878330206378988</v>
      </c>
      <c r="O218" s="917">
        <f t="shared" ca="1" si="13"/>
        <v>4741588.278905523</v>
      </c>
    </row>
    <row r="219" spans="1:15" ht="15.75" customHeight="1" thickBot="1" x14ac:dyDescent="0.25">
      <c r="A219" s="35" t="s">
        <v>2502</v>
      </c>
      <c r="B219" s="894">
        <f ca="1">ExpBase!C552/1000</f>
        <v>6.7911896763888713</v>
      </c>
      <c r="C219" s="47" t="s">
        <v>444</v>
      </c>
      <c r="D219" s="894">
        <v>2</v>
      </c>
      <c r="E219" s="36" t="s">
        <v>2500</v>
      </c>
      <c r="F219" s="889">
        <v>4800</v>
      </c>
      <c r="G219" s="894">
        <v>0.6</v>
      </c>
      <c r="H219" s="47" t="s">
        <v>444</v>
      </c>
      <c r="I219" s="47">
        <v>1997</v>
      </c>
      <c r="J219" s="36"/>
      <c r="K219" s="47">
        <v>0.79</v>
      </c>
      <c r="L219" s="47">
        <v>2.8</v>
      </c>
      <c r="M219" s="936">
        <f t="shared" ca="1" si="14"/>
        <v>11.318649460648119</v>
      </c>
      <c r="N219" s="953">
        <f>N$3/146.2</f>
        <v>2.752982216142271</v>
      </c>
      <c r="O219" s="917">
        <f t="shared" ca="1" si="13"/>
        <v>503188.15835703519</v>
      </c>
    </row>
    <row r="220" spans="1:15" ht="15.75" customHeight="1" thickBot="1" x14ac:dyDescent="0.25">
      <c r="A220" s="35" t="s">
        <v>2503</v>
      </c>
      <c r="B220" s="894">
        <f ca="1">CostCalc!B390</f>
        <v>3080.4313450494842</v>
      </c>
      <c r="C220" s="47" t="s">
        <v>2494</v>
      </c>
      <c r="D220" s="894">
        <v>2</v>
      </c>
      <c r="E220" s="36"/>
      <c r="F220" s="917">
        <v>3842</v>
      </c>
      <c r="G220" s="894">
        <v>262454</v>
      </c>
      <c r="H220" s="47" t="s">
        <v>2494</v>
      </c>
      <c r="I220" s="47">
        <v>2007</v>
      </c>
      <c r="J220" s="36"/>
      <c r="K220" s="47">
        <v>0.3</v>
      </c>
      <c r="L220" s="47">
        <v>5.21</v>
      </c>
      <c r="M220" s="936">
        <f t="shared" ca="1" si="14"/>
        <v>1.1737033327933596E-2</v>
      </c>
      <c r="N220" s="953">
        <f>N$3/213.2</f>
        <v>1.8878330206378988</v>
      </c>
      <c r="O220" s="917">
        <f t="shared" ca="1" si="13"/>
        <v>19918.478400719705</v>
      </c>
    </row>
    <row r="221" spans="1:15" ht="15.75" customHeight="1" thickBot="1" x14ac:dyDescent="0.25">
      <c r="A221" s="35" t="s">
        <v>2326</v>
      </c>
      <c r="B221" s="894">
        <f ca="1">CostCalc!B391</f>
        <v>616911.67020316515</v>
      </c>
      <c r="C221" s="47" t="s">
        <v>2497</v>
      </c>
      <c r="D221" s="894">
        <v>2</v>
      </c>
      <c r="E221" s="36" t="s">
        <v>2498</v>
      </c>
      <c r="F221" s="917">
        <v>365400</v>
      </c>
      <c r="G221" s="894">
        <v>4000</v>
      </c>
      <c r="H221" s="47" t="s">
        <v>2497</v>
      </c>
      <c r="I221" s="47">
        <v>2011</v>
      </c>
      <c r="J221" s="36"/>
      <c r="K221" s="47">
        <v>0.6</v>
      </c>
      <c r="L221" s="47">
        <v>1.5</v>
      </c>
      <c r="M221" s="936">
        <f t="shared" ca="1" si="14"/>
        <v>154.22791755079129</v>
      </c>
      <c r="N221" s="953">
        <f>N$3/295.3</f>
        <v>1.3629732475448695</v>
      </c>
      <c r="O221" s="917">
        <f t="shared" ca="1" si="13"/>
        <v>30709654.192600388</v>
      </c>
    </row>
    <row r="222" spans="1:15" ht="15.75" customHeight="1" thickBot="1" x14ac:dyDescent="0.25">
      <c r="A222" s="35"/>
      <c r="B222" s="897"/>
      <c r="C222" s="47"/>
      <c r="D222" s="897"/>
      <c r="E222" s="36"/>
      <c r="F222" s="917"/>
      <c r="G222" s="894"/>
      <c r="H222" s="47"/>
      <c r="I222" s="47"/>
      <c r="J222" s="36"/>
      <c r="K222" s="47"/>
      <c r="L222" s="47"/>
      <c r="M222" s="936"/>
      <c r="N222" s="954"/>
      <c r="O222" s="917"/>
    </row>
    <row r="223" spans="1:15" ht="15.75" customHeight="1" thickBot="1" x14ac:dyDescent="0.25">
      <c r="A223" s="1677" t="s">
        <v>526</v>
      </c>
      <c r="B223" s="1678"/>
      <c r="C223" s="1678"/>
      <c r="D223" s="1678"/>
      <c r="E223" s="1678"/>
      <c r="F223" s="1678"/>
      <c r="G223" s="1678"/>
      <c r="H223" s="1678"/>
      <c r="I223" s="1678"/>
      <c r="J223" s="1678"/>
      <c r="K223" s="1678"/>
      <c r="L223" s="1678"/>
      <c r="M223" s="1678"/>
      <c r="N223" s="1679"/>
      <c r="O223" s="917">
        <f ca="1">SUM(O206:O221)</f>
        <v>74352995.673888341</v>
      </c>
    </row>
    <row r="224" spans="1:15" ht="15.75" customHeight="1" x14ac:dyDescent="0.2">
      <c r="A224" s="197"/>
      <c r="B224" s="895"/>
      <c r="C224" s="197"/>
      <c r="D224" s="895"/>
      <c r="E224" s="197"/>
      <c r="F224" s="890"/>
      <c r="G224" s="895"/>
      <c r="H224" s="197"/>
      <c r="I224" s="197"/>
      <c r="J224" s="197"/>
      <c r="K224" s="197"/>
      <c r="L224" s="197"/>
      <c r="M224" s="937"/>
      <c r="N224" s="955"/>
      <c r="O224" s="891"/>
    </row>
    <row r="225" spans="1:15" ht="15.75" customHeight="1" thickBot="1" x14ac:dyDescent="0.25">
      <c r="A225" s="197"/>
      <c r="B225" s="895"/>
      <c r="C225" s="197"/>
      <c r="D225" s="895"/>
      <c r="E225" s="197"/>
      <c r="F225" s="890"/>
      <c r="G225" s="895"/>
      <c r="H225" s="197"/>
      <c r="I225" s="197"/>
      <c r="J225" s="197"/>
      <c r="K225" s="197"/>
      <c r="L225" s="197"/>
      <c r="M225" s="937"/>
      <c r="N225" s="955"/>
      <c r="O225" s="891"/>
    </row>
    <row r="226" spans="1:15" ht="15.75" customHeight="1" x14ac:dyDescent="0.2">
      <c r="A226" s="1831" t="s">
        <v>1411</v>
      </c>
      <c r="B226" s="1832"/>
      <c r="C226" s="1832"/>
      <c r="D226" s="1832"/>
      <c r="E226" s="1346"/>
      <c r="F226" s="1346"/>
      <c r="G226" s="1346"/>
      <c r="H226" s="1346"/>
      <c r="I226" s="1346"/>
      <c r="J226" s="1346"/>
      <c r="K226" s="1346"/>
      <c r="L226" s="1346"/>
      <c r="M226" s="1346"/>
      <c r="N226" s="1346"/>
      <c r="O226" s="1347"/>
    </row>
    <row r="227" spans="1:15" ht="15.75" customHeight="1" thickBot="1" x14ac:dyDescent="0.25">
      <c r="A227" s="1834"/>
      <c r="B227" s="1835"/>
      <c r="C227" s="1835"/>
      <c r="D227" s="1835"/>
      <c r="E227" s="1348"/>
      <c r="F227" s="1348"/>
      <c r="G227" s="1348"/>
      <c r="H227" s="1348"/>
      <c r="I227" s="1348"/>
      <c r="J227" s="1348"/>
      <c r="K227" s="1348"/>
      <c r="L227" s="1348"/>
      <c r="M227" s="1348"/>
      <c r="N227" s="1348"/>
      <c r="O227" s="1349"/>
    </row>
    <row r="228" spans="1:15" ht="15.75" customHeight="1" thickBot="1" x14ac:dyDescent="0.25">
      <c r="A228" s="1680" t="s">
        <v>509</v>
      </c>
      <c r="B228" s="1681"/>
      <c r="C228" s="1681"/>
      <c r="D228" s="1681"/>
      <c r="E228" s="1681"/>
      <c r="F228" s="1681"/>
      <c r="G228" s="1681"/>
      <c r="H228" s="1681"/>
      <c r="I228" s="1681"/>
      <c r="J228" s="1681"/>
      <c r="K228" s="1681"/>
      <c r="L228" s="1681"/>
      <c r="M228" s="1681"/>
      <c r="N228" s="1681"/>
      <c r="O228" s="1682"/>
    </row>
    <row r="229" spans="1:15" ht="15.75" customHeight="1" thickBot="1" x14ac:dyDescent="0.25">
      <c r="A229" s="1683" t="s">
        <v>510</v>
      </c>
      <c r="B229" s="1684"/>
      <c r="C229" s="1684"/>
      <c r="D229" s="1684"/>
      <c r="E229" s="1685"/>
      <c r="F229" s="1683" t="s">
        <v>511</v>
      </c>
      <c r="G229" s="1684"/>
      <c r="H229" s="1684"/>
      <c r="I229" s="1684"/>
      <c r="J229" s="1685"/>
      <c r="K229" s="1683" t="s">
        <v>512</v>
      </c>
      <c r="L229" s="1684"/>
      <c r="M229" s="1684"/>
      <c r="N229" s="1685"/>
      <c r="O229" s="1686" t="s">
        <v>513</v>
      </c>
    </row>
    <row r="230" spans="1:15" ht="15.75" customHeight="1" x14ac:dyDescent="0.2">
      <c r="A230" s="1689" t="s">
        <v>514</v>
      </c>
      <c r="B230" s="1691" t="s">
        <v>515</v>
      </c>
      <c r="C230" s="1693" t="s">
        <v>372</v>
      </c>
      <c r="D230" s="1691" t="s">
        <v>516</v>
      </c>
      <c r="E230" s="1689" t="s">
        <v>517</v>
      </c>
      <c r="F230" s="1686" t="s">
        <v>518</v>
      </c>
      <c r="G230" s="1691" t="s">
        <v>515</v>
      </c>
      <c r="H230" s="1693" t="s">
        <v>372</v>
      </c>
      <c r="I230" s="1693" t="s">
        <v>519</v>
      </c>
      <c r="J230" s="1689" t="s">
        <v>520</v>
      </c>
      <c r="K230" s="1693" t="s">
        <v>521</v>
      </c>
      <c r="L230" s="1693" t="s">
        <v>522</v>
      </c>
      <c r="M230" s="1695" t="s">
        <v>523</v>
      </c>
      <c r="N230" s="951" t="s">
        <v>527</v>
      </c>
      <c r="O230" s="1687"/>
    </row>
    <row r="231" spans="1:15" ht="15.75" customHeight="1" thickBot="1" x14ac:dyDescent="0.25">
      <c r="A231" s="1690"/>
      <c r="B231" s="1692"/>
      <c r="C231" s="1694"/>
      <c r="D231" s="1692"/>
      <c r="E231" s="1690"/>
      <c r="F231" s="1688"/>
      <c r="G231" s="1692"/>
      <c r="H231" s="1694"/>
      <c r="I231" s="1694"/>
      <c r="J231" s="1690"/>
      <c r="K231" s="1694"/>
      <c r="L231" s="1694"/>
      <c r="M231" s="1696"/>
      <c r="N231" s="952">
        <v>2024</v>
      </c>
      <c r="O231" s="1688"/>
    </row>
    <row r="232" spans="1:15" ht="15.75" customHeight="1" thickBot="1" x14ac:dyDescent="0.25">
      <c r="A232" s="46" t="s">
        <v>2517</v>
      </c>
      <c r="B232" s="894">
        <f ca="1">ExpBase!C678</f>
        <v>62437.810569106456</v>
      </c>
      <c r="C232" s="47" t="s">
        <v>267</v>
      </c>
      <c r="D232" s="894">
        <v>2</v>
      </c>
      <c r="E232" s="48" t="s">
        <v>1610</v>
      </c>
      <c r="F232" s="889">
        <v>11358</v>
      </c>
      <c r="G232" s="894">
        <v>43149</v>
      </c>
      <c r="H232" s="47" t="s">
        <v>267</v>
      </c>
      <c r="I232" s="47">
        <v>2018</v>
      </c>
      <c r="J232" s="41"/>
      <c r="K232" s="47">
        <v>0.8</v>
      </c>
      <c r="L232" s="47">
        <v>2.2999999999999998</v>
      </c>
      <c r="M232" s="936">
        <f ca="1">B232/G232</f>
        <v>1.4470279860276358</v>
      </c>
      <c r="N232" s="953">
        <f>N$3/329.7</f>
        <v>1.220764331210191</v>
      </c>
      <c r="O232" s="917">
        <f t="shared" ref="O232:O241" ca="1" si="16">D232*N232*F232*L232*M232^(K232)</f>
        <v>85718.205767279025</v>
      </c>
    </row>
    <row r="233" spans="1:15" ht="15.75" customHeight="1" thickBot="1" x14ac:dyDescent="0.25">
      <c r="A233" s="46" t="s">
        <v>2518</v>
      </c>
      <c r="B233" s="894">
        <f ca="1">ExpBase!C182</f>
        <v>6277.1603861056583</v>
      </c>
      <c r="C233" s="47" t="s">
        <v>267</v>
      </c>
      <c r="D233" s="894">
        <v>2</v>
      </c>
      <c r="E233" s="48" t="s">
        <v>1610</v>
      </c>
      <c r="F233" s="889">
        <v>11358</v>
      </c>
      <c r="G233" s="894">
        <v>43149</v>
      </c>
      <c r="H233" s="47" t="s">
        <v>267</v>
      </c>
      <c r="I233" s="47">
        <v>2018</v>
      </c>
      <c r="J233" s="41"/>
      <c r="K233" s="47">
        <v>0.8</v>
      </c>
      <c r="L233" s="47">
        <v>2.2999999999999998</v>
      </c>
      <c r="M233" s="936">
        <f t="shared" ref="M233:M241" ca="1" si="17">B233/G233</f>
        <v>0.1454763815176634</v>
      </c>
      <c r="N233" s="953">
        <f>N$3/329.7</f>
        <v>1.220764331210191</v>
      </c>
      <c r="O233" s="917">
        <f t="shared" ca="1" si="16"/>
        <v>13643.491340046196</v>
      </c>
    </row>
    <row r="234" spans="1:15" ht="15.75" customHeight="1" thickBot="1" x14ac:dyDescent="0.25">
      <c r="A234" s="46" t="s">
        <v>2519</v>
      </c>
      <c r="B234" s="894">
        <v>1</v>
      </c>
      <c r="C234" s="47" t="s">
        <v>267</v>
      </c>
      <c r="D234" s="894">
        <v>2</v>
      </c>
      <c r="E234" s="48" t="s">
        <v>1610</v>
      </c>
      <c r="F234" s="889">
        <v>11358</v>
      </c>
      <c r="G234" s="894">
        <v>43149</v>
      </c>
      <c r="H234" s="47" t="s">
        <v>267</v>
      </c>
      <c r="I234" s="47">
        <v>2018</v>
      </c>
      <c r="J234" s="41"/>
      <c r="K234" s="47">
        <v>0.8</v>
      </c>
      <c r="L234" s="47">
        <v>2.2999999999999998</v>
      </c>
      <c r="M234" s="936">
        <f t="shared" si="17"/>
        <v>2.3175508123015598E-5</v>
      </c>
      <c r="N234" s="953">
        <f>N$3/329.7</f>
        <v>1.220764331210191</v>
      </c>
      <c r="O234" s="917">
        <f t="shared" si="16"/>
        <v>12.494386587966757</v>
      </c>
    </row>
    <row r="235" spans="1:15" ht="15.75" customHeight="1" thickBot="1" x14ac:dyDescent="0.25">
      <c r="A235" s="46" t="s">
        <v>1574</v>
      </c>
      <c r="B235" s="894">
        <v>1</v>
      </c>
      <c r="C235" s="47" t="s">
        <v>267</v>
      </c>
      <c r="D235" s="894">
        <v>2</v>
      </c>
      <c r="E235" s="36" t="s">
        <v>1096</v>
      </c>
      <c r="F235" s="889">
        <f>Inputs!F$869*Reserve!G$26</f>
        <v>1355913</v>
      </c>
      <c r="G235" s="897">
        <v>390</v>
      </c>
      <c r="H235" s="47" t="s">
        <v>267</v>
      </c>
      <c r="I235" s="47">
        <v>2011</v>
      </c>
      <c r="J235" s="36"/>
      <c r="K235" s="47">
        <v>0.6</v>
      </c>
      <c r="L235" s="47">
        <v>1.0900000000000001</v>
      </c>
      <c r="M235" s="936">
        <f t="shared" si="17"/>
        <v>2.5641025641025641E-3</v>
      </c>
      <c r="N235" s="953">
        <f>N$3/295.3</f>
        <v>1.3629732475448695</v>
      </c>
      <c r="O235" s="917">
        <f t="shared" si="16"/>
        <v>112340.63789839575</v>
      </c>
    </row>
    <row r="236" spans="1:15" ht="15.75" customHeight="1" thickBot="1" x14ac:dyDescent="0.25">
      <c r="A236" s="46" t="s">
        <v>1575</v>
      </c>
      <c r="B236" s="894">
        <v>1</v>
      </c>
      <c r="C236" s="47" t="s">
        <v>267</v>
      </c>
      <c r="D236" s="894">
        <v>2</v>
      </c>
      <c r="E236" s="36" t="s">
        <v>1097</v>
      </c>
      <c r="F236" s="889">
        <f>Inputs!F$870*Reserve!G$27</f>
        <v>260597.05</v>
      </c>
      <c r="G236" s="897">
        <v>14665</v>
      </c>
      <c r="H236" s="47" t="s">
        <v>267</v>
      </c>
      <c r="I236" s="47">
        <v>2011</v>
      </c>
      <c r="J236" s="36"/>
      <c r="K236" s="47">
        <v>0.6</v>
      </c>
      <c r="L236" s="47">
        <v>1.1299999999999999</v>
      </c>
      <c r="M236" s="936">
        <f t="shared" si="17"/>
        <v>6.8189566996249573E-5</v>
      </c>
      <c r="N236" s="953">
        <f>N$3/295.3</f>
        <v>1.3629732475448695</v>
      </c>
      <c r="O236" s="917">
        <f t="shared" si="16"/>
        <v>2539.7795703260531</v>
      </c>
    </row>
    <row r="237" spans="1:15" ht="15.75" customHeight="1" thickBot="1" x14ac:dyDescent="0.25">
      <c r="A237" s="35" t="s">
        <v>856</v>
      </c>
      <c r="B237" s="894">
        <f ca="1">CostCalc!B425*CostCalc!B426</f>
        <v>3480.4485326768654</v>
      </c>
      <c r="C237" s="47" t="s">
        <v>1</v>
      </c>
      <c r="D237" s="894">
        <v>2</v>
      </c>
      <c r="E237" s="36" t="s">
        <v>530</v>
      </c>
      <c r="F237" s="917">
        <f>Inputs!F$847</f>
        <v>188.34</v>
      </c>
      <c r="G237" s="897">
        <f>CostCalc!G417</f>
        <v>0.76454999999999995</v>
      </c>
      <c r="H237" s="47" t="s">
        <v>1</v>
      </c>
      <c r="I237" s="47">
        <v>2022</v>
      </c>
      <c r="J237" s="36">
        <v>6</v>
      </c>
      <c r="K237" s="47">
        <v>0.7</v>
      </c>
      <c r="L237" s="47">
        <v>1.8</v>
      </c>
      <c r="M237" s="936">
        <f t="shared" ca="1" si="17"/>
        <v>4552.2837390319346</v>
      </c>
      <c r="N237" s="953">
        <f>N$3/432.15</f>
        <v>0.93135716765012155</v>
      </c>
      <c r="O237" s="917">
        <f t="shared" ca="1" si="16"/>
        <v>229679.29921966657</v>
      </c>
    </row>
    <row r="238" spans="1:15" ht="15.75" customHeight="1" thickBot="1" x14ac:dyDescent="0.25">
      <c r="A238" s="35" t="s">
        <v>528</v>
      </c>
      <c r="B238" s="894">
        <f ca="1">CostCalc!B425</f>
        <v>6960.8970653537308</v>
      </c>
      <c r="C238" s="47" t="s">
        <v>7</v>
      </c>
      <c r="D238" s="894">
        <v>2</v>
      </c>
      <c r="E238" s="36" t="s">
        <v>857</v>
      </c>
      <c r="F238" s="917">
        <f>CostCalc!F$420</f>
        <v>8.35</v>
      </c>
      <c r="G238" s="897">
        <f>ROUNDUP(CostCalc!G$420,2)</f>
        <v>9.9999999999999992E-2</v>
      </c>
      <c r="H238" s="47" t="s">
        <v>7</v>
      </c>
      <c r="I238" s="47">
        <v>2022</v>
      </c>
      <c r="J238" s="36">
        <v>3</v>
      </c>
      <c r="K238" s="47">
        <v>0.7</v>
      </c>
      <c r="L238" s="47">
        <v>1.8</v>
      </c>
      <c r="M238" s="936">
        <f t="shared" ca="1" si="17"/>
        <v>69608.970653537312</v>
      </c>
      <c r="N238" s="953">
        <f>N$3/432.15</f>
        <v>0.93135716765012155</v>
      </c>
      <c r="O238" s="917">
        <f t="shared" ca="1" si="16"/>
        <v>68702.238163116053</v>
      </c>
    </row>
    <row r="239" spans="1:15" ht="15.75" customHeight="1" thickBot="1" x14ac:dyDescent="0.25">
      <c r="A239" s="35" t="s">
        <v>841</v>
      </c>
      <c r="B239" s="894">
        <f ca="1">CostCalc!B435</f>
        <v>778.49042963518616</v>
      </c>
      <c r="C239" s="47" t="s">
        <v>11</v>
      </c>
      <c r="D239" s="894">
        <v>2</v>
      </c>
      <c r="E239" s="36" t="s">
        <v>2504</v>
      </c>
      <c r="F239" s="917">
        <v>52500</v>
      </c>
      <c r="G239" s="897">
        <v>30</v>
      </c>
      <c r="H239" s="47" t="s">
        <v>11</v>
      </c>
      <c r="I239" s="47">
        <v>2009</v>
      </c>
      <c r="J239" s="36"/>
      <c r="K239" s="47">
        <v>1</v>
      </c>
      <c r="L239" s="47">
        <v>1.5</v>
      </c>
      <c r="M239" s="936">
        <f t="shared" ca="1" si="17"/>
        <v>25.949680987839539</v>
      </c>
      <c r="N239" s="953">
        <f>N$3/273.5</f>
        <v>1.4716124314442414</v>
      </c>
      <c r="O239" s="917">
        <f t="shared" ca="1" si="16"/>
        <v>6014590.0185604189</v>
      </c>
    </row>
    <row r="240" spans="1:15" ht="15.75" customHeight="1" thickBot="1" x14ac:dyDescent="0.25">
      <c r="A240" s="35" t="s">
        <v>842</v>
      </c>
      <c r="B240" s="894">
        <f ca="1">SUM(CostCalc!B441:B442)</f>
        <v>2449.7153172301614</v>
      </c>
      <c r="C240" s="47" t="s">
        <v>14</v>
      </c>
      <c r="D240" s="894">
        <v>2</v>
      </c>
      <c r="E240" s="36" t="s">
        <v>621</v>
      </c>
      <c r="F240" s="917">
        <f>CostCalc!F$439</f>
        <v>3000</v>
      </c>
      <c r="G240" s="897">
        <v>1</v>
      </c>
      <c r="H240" s="47" t="s">
        <v>14</v>
      </c>
      <c r="I240" s="47">
        <v>2024</v>
      </c>
      <c r="J240" s="36"/>
      <c r="K240" s="47">
        <v>1</v>
      </c>
      <c r="L240" s="47">
        <v>2.7</v>
      </c>
      <c r="M240" s="936">
        <f t="shared" ca="1" si="17"/>
        <v>2449.7153172301614</v>
      </c>
      <c r="N240" s="953">
        <f>N$3/389.544</f>
        <v>1.0332234612778017</v>
      </c>
      <c r="O240" s="917">
        <f t="shared" ca="1" si="16"/>
        <v>41003874.095263489</v>
      </c>
    </row>
    <row r="241" spans="1:15" ht="15.75" customHeight="1" thickBot="1" x14ac:dyDescent="0.25">
      <c r="A241" s="35" t="s">
        <v>613</v>
      </c>
      <c r="B241" s="894">
        <f ca="1">CostCalc!B428</f>
        <v>33.581253456725456</v>
      </c>
      <c r="C241" s="47" t="s">
        <v>1</v>
      </c>
      <c r="D241" s="894">
        <v>2</v>
      </c>
      <c r="E241" s="36" t="s">
        <v>727</v>
      </c>
      <c r="F241" s="917">
        <f>Inputs!F$850</f>
        <v>2580.65</v>
      </c>
      <c r="G241" s="897">
        <v>1000</v>
      </c>
      <c r="H241" s="47" t="s">
        <v>1</v>
      </c>
      <c r="I241" s="47">
        <v>2023</v>
      </c>
      <c r="J241" s="36"/>
      <c r="K241" s="47">
        <v>1</v>
      </c>
      <c r="L241" s="47">
        <v>1.5</v>
      </c>
      <c r="M241" s="936">
        <f t="shared" ca="1" si="17"/>
        <v>3.3581253456725454E-2</v>
      </c>
      <c r="N241" s="953">
        <f>N$3/421.24</f>
        <v>0.9554790618174912</v>
      </c>
      <c r="O241" s="917">
        <f t="shared" ca="1" si="16"/>
        <v>248.40963645742028</v>
      </c>
    </row>
    <row r="242" spans="1:15" ht="15.75" customHeight="1" thickBot="1" x14ac:dyDescent="0.25">
      <c r="A242" s="1677" t="s">
        <v>526</v>
      </c>
      <c r="B242" s="1678"/>
      <c r="C242" s="1678"/>
      <c r="D242" s="1678"/>
      <c r="E242" s="1678"/>
      <c r="F242" s="1678"/>
      <c r="G242" s="1678"/>
      <c r="H242" s="1678"/>
      <c r="I242" s="1678"/>
      <c r="J242" s="1678"/>
      <c r="K242" s="1678"/>
      <c r="L242" s="1678"/>
      <c r="M242" s="1678"/>
      <c r="N242" s="1679"/>
      <c r="O242" s="917">
        <f ca="1">SUM(O232:O241)</f>
        <v>47531348.669805788</v>
      </c>
    </row>
    <row r="243" spans="1:15" ht="15.75" customHeight="1" x14ac:dyDescent="0.2">
      <c r="A243" s="197"/>
      <c r="B243" s="895"/>
      <c r="C243" s="197"/>
      <c r="D243" s="895"/>
      <c r="E243" s="197"/>
      <c r="F243" s="890"/>
      <c r="G243" s="895"/>
      <c r="H243" s="197"/>
      <c r="I243" s="197"/>
      <c r="J243" s="197"/>
      <c r="K243" s="197"/>
      <c r="L243" s="197"/>
      <c r="M243" s="937"/>
      <c r="N243" s="955"/>
      <c r="O243" s="891"/>
    </row>
    <row r="244" spans="1:15" ht="15.75" customHeight="1" thickBot="1" x14ac:dyDescent="0.25">
      <c r="A244" s="197"/>
      <c r="B244" s="895"/>
      <c r="C244" s="197"/>
      <c r="D244" s="895"/>
      <c r="E244" s="197"/>
      <c r="F244" s="890"/>
      <c r="G244" s="895"/>
      <c r="H244" s="197"/>
      <c r="I244" s="197"/>
      <c r="J244" s="197"/>
      <c r="K244" s="197"/>
      <c r="L244" s="197"/>
      <c r="M244" s="937"/>
      <c r="N244" s="955"/>
      <c r="O244" s="891"/>
    </row>
    <row r="245" spans="1:15" ht="15.75" customHeight="1" x14ac:dyDescent="0.2">
      <c r="A245" s="1955" t="s">
        <v>532</v>
      </c>
      <c r="B245" s="1956"/>
      <c r="C245" s="1956"/>
      <c r="D245" s="1956"/>
      <c r="E245" s="1330"/>
      <c r="F245" s="1330"/>
      <c r="G245" s="1330"/>
      <c r="H245" s="1330"/>
      <c r="I245" s="1330"/>
      <c r="J245" s="1330"/>
      <c r="K245" s="1330"/>
      <c r="L245" s="1330"/>
      <c r="M245" s="1330"/>
      <c r="N245" s="1330"/>
      <c r="O245" s="1331"/>
    </row>
    <row r="246" spans="1:15" ht="15.75" customHeight="1" thickBot="1" x14ac:dyDescent="0.25">
      <c r="A246" s="1958"/>
      <c r="B246" s="1959"/>
      <c r="C246" s="1959"/>
      <c r="D246" s="1959"/>
      <c r="E246" s="1332"/>
      <c r="F246" s="1332"/>
      <c r="G246" s="1332"/>
      <c r="H246" s="1332"/>
      <c r="I246" s="1332"/>
      <c r="J246" s="1332"/>
      <c r="K246" s="1332"/>
      <c r="L246" s="1332"/>
      <c r="M246" s="1332"/>
      <c r="N246" s="1332"/>
      <c r="O246" s="1333"/>
    </row>
    <row r="247" spans="1:15" ht="15.75" customHeight="1" thickBot="1" x14ac:dyDescent="0.25">
      <c r="A247" s="1680" t="s">
        <v>509</v>
      </c>
      <c r="B247" s="1681"/>
      <c r="C247" s="1681"/>
      <c r="D247" s="1681"/>
      <c r="E247" s="1681"/>
      <c r="F247" s="1681"/>
      <c r="G247" s="1681"/>
      <c r="H247" s="1681"/>
      <c r="I247" s="1681"/>
      <c r="J247" s="1681"/>
      <c r="K247" s="1681"/>
      <c r="L247" s="1681"/>
      <c r="M247" s="1681"/>
      <c r="N247" s="1681"/>
      <c r="O247" s="1682"/>
    </row>
    <row r="248" spans="1:15" ht="15.75" customHeight="1" thickBot="1" x14ac:dyDescent="0.25">
      <c r="A248" s="1683" t="s">
        <v>510</v>
      </c>
      <c r="B248" s="1684"/>
      <c r="C248" s="1684"/>
      <c r="D248" s="1684"/>
      <c r="E248" s="1685"/>
      <c r="F248" s="1683" t="s">
        <v>511</v>
      </c>
      <c r="G248" s="1684"/>
      <c r="H248" s="1684"/>
      <c r="I248" s="1684"/>
      <c r="J248" s="1685"/>
      <c r="K248" s="1683" t="s">
        <v>512</v>
      </c>
      <c r="L248" s="1684"/>
      <c r="M248" s="1684"/>
      <c r="N248" s="1685"/>
      <c r="O248" s="1686" t="s">
        <v>513</v>
      </c>
    </row>
    <row r="249" spans="1:15" ht="15.75" customHeight="1" x14ac:dyDescent="0.2">
      <c r="A249" s="1689" t="s">
        <v>514</v>
      </c>
      <c r="B249" s="1691" t="s">
        <v>515</v>
      </c>
      <c r="C249" s="1693" t="s">
        <v>372</v>
      </c>
      <c r="D249" s="1691" t="s">
        <v>516</v>
      </c>
      <c r="E249" s="1689" t="s">
        <v>517</v>
      </c>
      <c r="F249" s="1686" t="s">
        <v>518</v>
      </c>
      <c r="G249" s="1691" t="s">
        <v>515</v>
      </c>
      <c r="H249" s="1693" t="s">
        <v>372</v>
      </c>
      <c r="I249" s="1693" t="s">
        <v>519</v>
      </c>
      <c r="J249" s="1689" t="s">
        <v>520</v>
      </c>
      <c r="K249" s="1693" t="s">
        <v>521</v>
      </c>
      <c r="L249" s="1693" t="s">
        <v>522</v>
      </c>
      <c r="M249" s="1695" t="s">
        <v>523</v>
      </c>
      <c r="N249" s="951" t="s">
        <v>527</v>
      </c>
      <c r="O249" s="1687"/>
    </row>
    <row r="250" spans="1:15" ht="15.75" customHeight="1" thickBot="1" x14ac:dyDescent="0.25">
      <c r="A250" s="1690"/>
      <c r="B250" s="1692"/>
      <c r="C250" s="1694"/>
      <c r="D250" s="1692"/>
      <c r="E250" s="1690"/>
      <c r="F250" s="1688"/>
      <c r="G250" s="1692"/>
      <c r="H250" s="1694"/>
      <c r="I250" s="1694"/>
      <c r="J250" s="1690"/>
      <c r="K250" s="1694"/>
      <c r="L250" s="1694"/>
      <c r="M250" s="1696"/>
      <c r="N250" s="952">
        <v>2024</v>
      </c>
      <c r="O250" s="1688"/>
    </row>
    <row r="251" spans="1:15" ht="15.75" customHeight="1" thickBot="1" x14ac:dyDescent="0.25">
      <c r="A251" s="46" t="s">
        <v>1027</v>
      </c>
      <c r="B251" s="894">
        <f ca="1">ExpBase!C678</f>
        <v>62437.810569106456</v>
      </c>
      <c r="C251" s="47" t="s">
        <v>267</v>
      </c>
      <c r="D251" s="894">
        <v>2</v>
      </c>
      <c r="E251" s="48" t="s">
        <v>1610</v>
      </c>
      <c r="F251" s="889">
        <v>11358</v>
      </c>
      <c r="G251" s="894">
        <v>43149</v>
      </c>
      <c r="H251" s="47" t="s">
        <v>267</v>
      </c>
      <c r="I251" s="47">
        <v>2018</v>
      </c>
      <c r="J251" s="41"/>
      <c r="K251" s="47">
        <v>0.8</v>
      </c>
      <c r="L251" s="47">
        <v>2.2999999999999998</v>
      </c>
      <c r="M251" s="936">
        <f ca="1">B251/G251</f>
        <v>1.4470279860276358</v>
      </c>
      <c r="N251" s="953">
        <f>N$3/329.7</f>
        <v>1.220764331210191</v>
      </c>
      <c r="O251" s="917">
        <f ca="1">D251*N251*F251*L251*M251^(K251)</f>
        <v>85718.205767279025</v>
      </c>
    </row>
    <row r="252" spans="1:15" ht="15.75" customHeight="1" thickBot="1" x14ac:dyDescent="0.25">
      <c r="A252" s="293" t="s">
        <v>2514</v>
      </c>
      <c r="B252" s="900">
        <f ca="1">ExpBase!C678</f>
        <v>62437.810569106456</v>
      </c>
      <c r="C252" s="910" t="s">
        <v>267</v>
      </c>
      <c r="D252" s="900">
        <v>2</v>
      </c>
      <c r="E252" s="295"/>
      <c r="F252" s="919">
        <v>8800000</v>
      </c>
      <c r="G252" s="900">
        <v>98039</v>
      </c>
      <c r="H252" s="910" t="s">
        <v>267</v>
      </c>
      <c r="I252" s="910">
        <v>2000</v>
      </c>
      <c r="J252" s="295"/>
      <c r="K252" s="910">
        <v>0.6</v>
      </c>
      <c r="L252" s="910">
        <v>2.2999999999999998</v>
      </c>
      <c r="M252" s="943">
        <f ca="1">B252/G252</f>
        <v>0.6368670689124375</v>
      </c>
      <c r="N252" s="958">
        <f>CAPEX!N$3/307.8</f>
        <v>1.3076218323586744</v>
      </c>
      <c r="O252" s="917">
        <f ca="1">D252*N252*F252*L252*M252^(K252)</f>
        <v>40378663.743194744</v>
      </c>
    </row>
    <row r="253" spans="1:15" ht="15.75" customHeight="1" thickBot="1" x14ac:dyDescent="0.25">
      <c r="A253" s="35" t="s">
        <v>2515</v>
      </c>
      <c r="B253" s="894">
        <f ca="1">ExpBase!C729</f>
        <v>20239.840674081548</v>
      </c>
      <c r="C253" s="47" t="s">
        <v>267</v>
      </c>
      <c r="D253" s="894">
        <v>2</v>
      </c>
      <c r="E253" s="36" t="s">
        <v>2516</v>
      </c>
      <c r="F253" s="917">
        <v>555008</v>
      </c>
      <c r="G253" s="894">
        <v>11526</v>
      </c>
      <c r="H253" s="47" t="s">
        <v>267</v>
      </c>
      <c r="I253" s="47">
        <v>2011</v>
      </c>
      <c r="J253" s="36"/>
      <c r="K253" s="47">
        <v>0.6</v>
      </c>
      <c r="L253" s="47">
        <v>2.6</v>
      </c>
      <c r="M253" s="936">
        <f ca="1">B253/G253</f>
        <v>1.75601602239125</v>
      </c>
      <c r="N253" s="953">
        <f>N$3/295.3</f>
        <v>1.3629732475448695</v>
      </c>
      <c r="O253" s="917">
        <f ca="1">D253*N253*F253*L253*M253^(K253)</f>
        <v>5514510.9436309226</v>
      </c>
    </row>
    <row r="254" spans="1:15" ht="15.75" customHeight="1" thickBot="1" x14ac:dyDescent="0.25">
      <c r="A254" s="35" t="s">
        <v>533</v>
      </c>
      <c r="B254" s="894">
        <f ca="1">ExpBase!E678</f>
        <v>59.464581494387097</v>
      </c>
      <c r="C254" s="47" t="s">
        <v>444</v>
      </c>
      <c r="D254" s="894">
        <v>2</v>
      </c>
      <c r="E254" s="36" t="s">
        <v>739</v>
      </c>
      <c r="F254" s="917">
        <f>CostCalc!F$378</f>
        <v>989.99999999999989</v>
      </c>
      <c r="G254" s="897">
        <f>CostCalc!G$376</f>
        <v>40.499999999999993</v>
      </c>
      <c r="H254" s="47" t="s">
        <v>444</v>
      </c>
      <c r="I254" s="47">
        <v>2012</v>
      </c>
      <c r="J254" s="36">
        <v>11</v>
      </c>
      <c r="K254" s="47">
        <v>0.8</v>
      </c>
      <c r="L254" s="47">
        <v>1.7</v>
      </c>
      <c r="M254" s="936">
        <f ca="1">B254/G254</f>
        <v>1.4682612714663483</v>
      </c>
      <c r="N254" s="953">
        <f>N$3/311.7</f>
        <v>1.2912608277189606</v>
      </c>
      <c r="O254" s="917">
        <f ca="1">D254*N254*F254*L254*M254^(K254)</f>
        <v>5909.7724987971669</v>
      </c>
    </row>
    <row r="255" spans="1:15" ht="15.75" customHeight="1" thickBot="1" x14ac:dyDescent="0.25">
      <c r="A255" s="1677" t="s">
        <v>526</v>
      </c>
      <c r="B255" s="1678"/>
      <c r="C255" s="1678"/>
      <c r="D255" s="1678"/>
      <c r="E255" s="1678"/>
      <c r="F255" s="1678"/>
      <c r="G255" s="1678"/>
      <c r="H255" s="1678"/>
      <c r="I255" s="1678"/>
      <c r="J255" s="1678"/>
      <c r="K255" s="1678"/>
      <c r="L255" s="1678"/>
      <c r="M255" s="1678"/>
      <c r="N255" s="1679"/>
      <c r="O255" s="917">
        <f ca="1">SUM(O251:O254)</f>
        <v>45984802.665091746</v>
      </c>
    </row>
    <row r="256" spans="1:15" ht="15.75" customHeight="1" x14ac:dyDescent="0.2">
      <c r="A256" s="39"/>
      <c r="B256" s="896"/>
      <c r="C256" s="38"/>
      <c r="D256" s="896"/>
      <c r="E256" s="39"/>
      <c r="F256" s="891"/>
      <c r="G256" s="896"/>
      <c r="H256" s="38"/>
      <c r="I256" s="38"/>
      <c r="J256" s="39"/>
      <c r="K256" s="38"/>
      <c r="L256" s="38"/>
      <c r="M256" s="938"/>
      <c r="N256" s="957"/>
      <c r="O256" s="891"/>
    </row>
    <row r="257" spans="1:15" ht="15.75" customHeight="1" x14ac:dyDescent="0.2">
      <c r="A257" s="39"/>
      <c r="B257" s="896"/>
      <c r="C257" s="38"/>
      <c r="D257" s="896"/>
      <c r="E257" s="39"/>
      <c r="F257" s="891"/>
      <c r="G257" s="896"/>
      <c r="H257" s="38"/>
      <c r="I257" s="38"/>
      <c r="J257" s="39"/>
      <c r="K257" s="38"/>
      <c r="L257" s="38"/>
      <c r="M257" s="938"/>
      <c r="N257" s="957"/>
      <c r="O257" s="891"/>
    </row>
    <row r="258" spans="1:15" ht="15.75" customHeight="1" x14ac:dyDescent="0.2">
      <c r="A258" s="197"/>
      <c r="B258" s="895"/>
      <c r="C258" s="197"/>
      <c r="D258" s="895"/>
      <c r="E258" s="197"/>
      <c r="F258" s="890"/>
      <c r="G258" s="895"/>
      <c r="H258" s="197"/>
      <c r="I258" s="197"/>
      <c r="J258" s="197"/>
      <c r="K258" s="197"/>
      <c r="L258" s="197"/>
      <c r="M258" s="937"/>
      <c r="N258" s="955"/>
      <c r="O258" s="891"/>
    </row>
    <row r="259" spans="1:15" ht="15.75" customHeight="1" x14ac:dyDescent="0.2">
      <c r="A259" s="197"/>
      <c r="B259" s="895"/>
      <c r="C259" s="197"/>
      <c r="D259" s="895"/>
      <c r="E259" s="197"/>
      <c r="F259" s="890"/>
      <c r="G259" s="895"/>
      <c r="H259" s="197"/>
      <c r="I259" s="197"/>
      <c r="J259" s="197"/>
      <c r="K259" s="197"/>
      <c r="L259" s="197"/>
      <c r="M259" s="937"/>
      <c r="N259" s="955"/>
      <c r="O259" s="891"/>
    </row>
    <row r="260" spans="1:15" ht="15.75" customHeight="1" x14ac:dyDescent="0.2">
      <c r="A260" s="1725" t="s">
        <v>1418</v>
      </c>
      <c r="B260" s="1725"/>
      <c r="C260" s="1725"/>
      <c r="D260" s="1725"/>
      <c r="E260" s="1354"/>
      <c r="F260" s="1354"/>
      <c r="G260" s="1354"/>
      <c r="H260" s="1354"/>
      <c r="I260" s="1354"/>
      <c r="J260" s="1354"/>
      <c r="K260" s="1354"/>
      <c r="L260" s="1354"/>
      <c r="M260" s="1354"/>
      <c r="N260" s="1354"/>
      <c r="O260" s="1354"/>
    </row>
    <row r="261" spans="1:15" ht="15.75" customHeight="1" x14ac:dyDescent="0.2">
      <c r="A261" s="1725"/>
      <c r="B261" s="1725"/>
      <c r="C261" s="1725"/>
      <c r="D261" s="1725"/>
      <c r="E261" s="1354"/>
      <c r="F261" s="1354"/>
      <c r="G261" s="1354"/>
      <c r="H261" s="1354"/>
      <c r="I261" s="1354"/>
      <c r="J261" s="1354"/>
      <c r="K261" s="1354"/>
      <c r="L261" s="1354"/>
      <c r="M261" s="1354"/>
      <c r="N261" s="1354"/>
      <c r="O261" s="1354"/>
    </row>
    <row r="262" spans="1:15" ht="15.75" customHeight="1" x14ac:dyDescent="0.2">
      <c r="A262" s="256"/>
      <c r="B262" s="904"/>
      <c r="C262" s="911"/>
      <c r="D262" s="904"/>
      <c r="E262" s="256"/>
      <c r="F262" s="920"/>
      <c r="G262" s="904"/>
      <c r="H262" s="911"/>
      <c r="I262" s="911"/>
      <c r="J262" s="256"/>
      <c r="K262" s="911"/>
      <c r="L262" s="911"/>
      <c r="M262" s="939"/>
      <c r="N262" s="959"/>
      <c r="O262" s="920"/>
    </row>
    <row r="263" spans="1:15" ht="15.75" customHeight="1" thickBot="1" x14ac:dyDescent="0.25"/>
    <row r="264" spans="1:15" ht="15.75" customHeight="1" x14ac:dyDescent="0.2">
      <c r="A264" s="1942" t="s">
        <v>534</v>
      </c>
      <c r="B264" s="1943"/>
      <c r="C264" s="1350"/>
      <c r="D264" s="1350"/>
      <c r="E264" s="1350"/>
      <c r="F264" s="1350"/>
      <c r="G264" s="1350"/>
      <c r="H264" s="1350"/>
      <c r="I264" s="1350"/>
      <c r="J264" s="1350"/>
      <c r="K264" s="1350"/>
      <c r="L264" s="1350"/>
      <c r="M264" s="1350"/>
      <c r="N264" s="1350"/>
      <c r="O264" s="1351"/>
    </row>
    <row r="265" spans="1:15" ht="15.75" customHeight="1" thickBot="1" x14ac:dyDescent="0.25">
      <c r="A265" s="1945"/>
      <c r="B265" s="1946"/>
      <c r="C265" s="1352"/>
      <c r="D265" s="1352"/>
      <c r="E265" s="1352"/>
      <c r="F265" s="1352"/>
      <c r="G265" s="1352"/>
      <c r="H265" s="1352"/>
      <c r="I265" s="1352"/>
      <c r="J265" s="1352"/>
      <c r="K265" s="1352"/>
      <c r="L265" s="1352"/>
      <c r="M265" s="1352"/>
      <c r="N265" s="1352"/>
      <c r="O265" s="1353"/>
    </row>
    <row r="266" spans="1:15" ht="15.75" customHeight="1" thickBot="1" x14ac:dyDescent="0.25">
      <c r="A266" s="1680" t="s">
        <v>509</v>
      </c>
      <c r="B266" s="1681"/>
      <c r="C266" s="1681"/>
      <c r="D266" s="1681"/>
      <c r="E266" s="1681"/>
      <c r="F266" s="1681"/>
      <c r="G266" s="1681"/>
      <c r="H266" s="1681"/>
      <c r="I266" s="1681"/>
      <c r="J266" s="1681"/>
      <c r="K266" s="1681"/>
      <c r="L266" s="1681"/>
      <c r="M266" s="1681"/>
      <c r="N266" s="1681"/>
      <c r="O266" s="1682"/>
    </row>
    <row r="267" spans="1:15" ht="15.75" customHeight="1" thickBot="1" x14ac:dyDescent="0.25">
      <c r="A267" s="1683" t="s">
        <v>510</v>
      </c>
      <c r="B267" s="1684"/>
      <c r="C267" s="1684"/>
      <c r="D267" s="1684"/>
      <c r="E267" s="1685"/>
      <c r="F267" s="1683" t="s">
        <v>511</v>
      </c>
      <c r="G267" s="1684"/>
      <c r="H267" s="1684"/>
      <c r="I267" s="1684"/>
      <c r="J267" s="1685"/>
      <c r="K267" s="1683" t="s">
        <v>512</v>
      </c>
      <c r="L267" s="1684"/>
      <c r="M267" s="1684"/>
      <c r="N267" s="1685"/>
      <c r="O267" s="1686" t="s">
        <v>513</v>
      </c>
    </row>
    <row r="268" spans="1:15" ht="15.75" customHeight="1" x14ac:dyDescent="0.2">
      <c r="A268" s="1689" t="s">
        <v>514</v>
      </c>
      <c r="B268" s="1691" t="s">
        <v>515</v>
      </c>
      <c r="C268" s="1693" t="s">
        <v>372</v>
      </c>
      <c r="D268" s="1691" t="s">
        <v>516</v>
      </c>
      <c r="E268" s="1689" t="s">
        <v>517</v>
      </c>
      <c r="F268" s="1686" t="s">
        <v>518</v>
      </c>
      <c r="G268" s="1691" t="s">
        <v>515</v>
      </c>
      <c r="H268" s="1693" t="s">
        <v>372</v>
      </c>
      <c r="I268" s="1693" t="s">
        <v>519</v>
      </c>
      <c r="J268" s="1689" t="s">
        <v>520</v>
      </c>
      <c r="K268" s="1693" t="s">
        <v>521</v>
      </c>
      <c r="L268" s="1693" t="s">
        <v>522</v>
      </c>
      <c r="M268" s="1695" t="s">
        <v>523</v>
      </c>
      <c r="N268" s="951" t="s">
        <v>527</v>
      </c>
      <c r="O268" s="1687"/>
    </row>
    <row r="269" spans="1:15" ht="15.75" customHeight="1" thickBot="1" x14ac:dyDescent="0.25">
      <c r="A269" s="1690"/>
      <c r="B269" s="1692"/>
      <c r="C269" s="1694"/>
      <c r="D269" s="1692"/>
      <c r="E269" s="1690"/>
      <c r="F269" s="1688"/>
      <c r="G269" s="1692"/>
      <c r="H269" s="1694"/>
      <c r="I269" s="1694"/>
      <c r="J269" s="1690"/>
      <c r="K269" s="1694"/>
      <c r="L269" s="1694"/>
      <c r="M269" s="1696"/>
      <c r="N269" s="952">
        <v>2024</v>
      </c>
      <c r="O269" s="1688"/>
    </row>
    <row r="270" spans="1:15" ht="15.75" customHeight="1" thickBot="1" x14ac:dyDescent="0.25">
      <c r="A270" s="46" t="s">
        <v>799</v>
      </c>
      <c r="B270" s="897">
        <f ca="1">CostCalc!B481</f>
        <v>48100</v>
      </c>
      <c r="C270" s="47" t="s">
        <v>7</v>
      </c>
      <c r="D270" s="894">
        <v>2</v>
      </c>
      <c r="E270" s="36" t="s">
        <v>805</v>
      </c>
      <c r="F270" s="917">
        <f>Inputs!F$854</f>
        <v>16</v>
      </c>
      <c r="G270" s="897">
        <v>1</v>
      </c>
      <c r="H270" s="47" t="s">
        <v>7</v>
      </c>
      <c r="I270" s="47">
        <v>2024</v>
      </c>
      <c r="J270" s="41"/>
      <c r="K270" s="47">
        <v>1</v>
      </c>
      <c r="L270" s="47">
        <v>2.2999999999999998</v>
      </c>
      <c r="M270" s="935">
        <f ca="1">B270/G270</f>
        <v>48100</v>
      </c>
      <c r="N270" s="953">
        <f>N$3/389.544</f>
        <v>1.0332234612778017</v>
      </c>
      <c r="O270" s="917">
        <f t="shared" ref="O270:O278" ca="1" si="18">D270*N270*F270*L270*M270^(K270)</f>
        <v>3657776.3686772222</v>
      </c>
    </row>
    <row r="271" spans="1:15" ht="15.75" customHeight="1" thickBot="1" x14ac:dyDescent="0.25">
      <c r="A271" s="46" t="s">
        <v>800</v>
      </c>
      <c r="B271" s="897">
        <f ca="1">CostCalc!B480</f>
        <v>48100</v>
      </c>
      <c r="C271" s="47" t="s">
        <v>7</v>
      </c>
      <c r="D271" s="894">
        <v>2</v>
      </c>
      <c r="E271" s="36" t="s">
        <v>801</v>
      </c>
      <c r="F271" s="889">
        <f>Inputs!F$855</f>
        <v>17.5</v>
      </c>
      <c r="G271" s="897">
        <v>1</v>
      </c>
      <c r="H271" s="47" t="s">
        <v>7</v>
      </c>
      <c r="I271" s="47">
        <v>2024</v>
      </c>
      <c r="J271" s="41"/>
      <c r="K271" s="47">
        <v>1</v>
      </c>
      <c r="L271" s="47">
        <v>2.2999999999999998</v>
      </c>
      <c r="M271" s="935">
        <f t="shared" ref="M271:M278" ca="1" si="19">B271/G271</f>
        <v>48100</v>
      </c>
      <c r="N271" s="953">
        <f>N$3/389.544</f>
        <v>1.0332234612778017</v>
      </c>
      <c r="O271" s="917">
        <f t="shared" ca="1" si="18"/>
        <v>4000692.9032407119</v>
      </c>
    </row>
    <row r="272" spans="1:15" ht="15.75" customHeight="1" thickBot="1" x14ac:dyDescent="0.25">
      <c r="A272" s="35" t="s">
        <v>802</v>
      </c>
      <c r="B272" s="897">
        <f ca="1">CostCalc!B482</f>
        <v>48100</v>
      </c>
      <c r="C272" s="47" t="s">
        <v>7</v>
      </c>
      <c r="D272" s="894">
        <v>2</v>
      </c>
      <c r="E272" s="36" t="s">
        <v>804</v>
      </c>
      <c r="F272" s="917">
        <f>Inputs!F$856</f>
        <v>52.5</v>
      </c>
      <c r="G272" s="897">
        <v>1</v>
      </c>
      <c r="H272" s="47" t="s">
        <v>7</v>
      </c>
      <c r="I272" s="47">
        <v>2024</v>
      </c>
      <c r="J272" s="36"/>
      <c r="K272" s="47">
        <v>1</v>
      </c>
      <c r="L272" s="47">
        <v>2.2999999999999998</v>
      </c>
      <c r="M272" s="935">
        <f t="shared" ca="1" si="19"/>
        <v>48100</v>
      </c>
      <c r="N272" s="953">
        <f>N$3/389.544</f>
        <v>1.0332234612778017</v>
      </c>
      <c r="O272" s="917">
        <f t="shared" ca="1" si="18"/>
        <v>12002078.709722135</v>
      </c>
    </row>
    <row r="273" spans="1:15" ht="15.75" customHeight="1" thickBot="1" x14ac:dyDescent="0.25">
      <c r="A273" s="35" t="s">
        <v>812</v>
      </c>
      <c r="B273" s="897">
        <f ca="1">SUM(CostCalc!B492:B493)*CostCalc!D490</f>
        <v>489.40650473718154</v>
      </c>
      <c r="C273" s="47" t="s">
        <v>14</v>
      </c>
      <c r="D273" s="894">
        <v>2</v>
      </c>
      <c r="E273" s="36" t="s">
        <v>621</v>
      </c>
      <c r="F273" s="917">
        <f>Inputs!F$853</f>
        <v>3000</v>
      </c>
      <c r="G273" s="897">
        <v>1</v>
      </c>
      <c r="H273" s="47" t="s">
        <v>14</v>
      </c>
      <c r="I273" s="47">
        <v>2023</v>
      </c>
      <c r="J273" s="36"/>
      <c r="K273" s="47">
        <v>1</v>
      </c>
      <c r="L273" s="47">
        <v>2.2999999999999998</v>
      </c>
      <c r="M273" s="935">
        <f t="shared" ca="1" si="19"/>
        <v>489.40650473718154</v>
      </c>
      <c r="N273" s="953">
        <f>N$3/421.24</f>
        <v>0.9554790618174912</v>
      </c>
      <c r="O273" s="917">
        <f t="shared" ca="1" si="18"/>
        <v>6453123.8183125043</v>
      </c>
    </row>
    <row r="274" spans="1:15" ht="15.75" customHeight="1" thickBot="1" x14ac:dyDescent="0.25">
      <c r="A274" s="35" t="s">
        <v>834</v>
      </c>
      <c r="B274" s="897">
        <f ca="1">CostCalc!B518</f>
        <v>97.829505666341461</v>
      </c>
      <c r="C274" s="47" t="s">
        <v>1</v>
      </c>
      <c r="D274" s="894">
        <v>2</v>
      </c>
      <c r="E274" s="36" t="s">
        <v>530</v>
      </c>
      <c r="F274" s="917">
        <f>CostCalc!F$288</f>
        <v>188.34</v>
      </c>
      <c r="G274" s="897">
        <v>0.76</v>
      </c>
      <c r="H274" s="47" t="s">
        <v>1</v>
      </c>
      <c r="I274" s="47">
        <v>2022</v>
      </c>
      <c r="J274" s="36">
        <v>6</v>
      </c>
      <c r="K274" s="47">
        <v>0.7</v>
      </c>
      <c r="L274" s="47">
        <v>2.6</v>
      </c>
      <c r="M274" s="935">
        <f t="shared" ca="1" si="19"/>
        <v>128.72303377150192</v>
      </c>
      <c r="N274" s="953">
        <f>N$3/432.15</f>
        <v>0.93135716765012155</v>
      </c>
      <c r="O274" s="917">
        <f t="shared" ca="1" si="18"/>
        <v>27341.450935610712</v>
      </c>
    </row>
    <row r="275" spans="1:15" ht="15.75" customHeight="1" thickBot="1" x14ac:dyDescent="0.25">
      <c r="A275" s="35" t="s">
        <v>835</v>
      </c>
      <c r="B275" s="897">
        <f ca="1">CostCalc!B509</f>
        <v>41.486049832049744</v>
      </c>
      <c r="C275" s="47" t="s">
        <v>1</v>
      </c>
      <c r="D275" s="894">
        <v>2</v>
      </c>
      <c r="E275" s="36" t="s">
        <v>530</v>
      </c>
      <c r="F275" s="917">
        <f>CostCalc!F$504</f>
        <v>188.34</v>
      </c>
      <c r="G275" s="897">
        <v>0.76</v>
      </c>
      <c r="H275" s="47" t="s">
        <v>1</v>
      </c>
      <c r="I275" s="47">
        <v>2022</v>
      </c>
      <c r="J275" s="36">
        <v>2</v>
      </c>
      <c r="K275" s="47"/>
      <c r="L275" s="47">
        <v>2.6</v>
      </c>
      <c r="M275" s="935">
        <f t="shared" ca="1" si="19"/>
        <v>54.586907673749664</v>
      </c>
      <c r="N275" s="953">
        <f>N$3/432.15</f>
        <v>0.93135716765012155</v>
      </c>
      <c r="O275" s="917">
        <f t="shared" ca="1" si="18"/>
        <v>912.14140656716438</v>
      </c>
    </row>
    <row r="276" spans="1:15" ht="15.75" customHeight="1" thickBot="1" x14ac:dyDescent="0.25">
      <c r="A276" s="35" t="s">
        <v>836</v>
      </c>
      <c r="B276" s="897">
        <f ca="1">CostCalc!B527</f>
        <v>41.486049832049744</v>
      </c>
      <c r="C276" s="47" t="s">
        <v>1</v>
      </c>
      <c r="D276" s="894">
        <v>2</v>
      </c>
      <c r="E276" s="36" t="s">
        <v>530</v>
      </c>
      <c r="F276" s="917">
        <f>CostCalc!F$504</f>
        <v>188.34</v>
      </c>
      <c r="G276" s="897">
        <v>0.76</v>
      </c>
      <c r="H276" s="47" t="s">
        <v>1</v>
      </c>
      <c r="I276" s="47">
        <v>2022</v>
      </c>
      <c r="J276" s="36">
        <v>2</v>
      </c>
      <c r="K276" s="47"/>
      <c r="L276" s="47">
        <v>2.6</v>
      </c>
      <c r="M276" s="935">
        <f t="shared" ca="1" si="19"/>
        <v>54.586907673749664</v>
      </c>
      <c r="N276" s="953">
        <f>N$3/432.15</f>
        <v>0.93135716765012155</v>
      </c>
      <c r="O276" s="917">
        <f t="shared" ca="1" si="18"/>
        <v>912.14140656716438</v>
      </c>
    </row>
    <row r="277" spans="1:15" ht="15.75" customHeight="1" thickBot="1" x14ac:dyDescent="0.25">
      <c r="A277" s="35" t="s">
        <v>837</v>
      </c>
      <c r="B277" s="897">
        <f ca="1">CostCalc!B536</f>
        <v>41.486049832049744</v>
      </c>
      <c r="C277" s="47" t="s">
        <v>1</v>
      </c>
      <c r="D277" s="894">
        <v>2</v>
      </c>
      <c r="E277" s="36" t="s">
        <v>530</v>
      </c>
      <c r="F277" s="917">
        <f>CostCalc!F$504</f>
        <v>188.34</v>
      </c>
      <c r="G277" s="897">
        <v>0.76</v>
      </c>
      <c r="H277" s="47" t="s">
        <v>1</v>
      </c>
      <c r="I277" s="47">
        <v>2022</v>
      </c>
      <c r="J277" s="36">
        <v>2</v>
      </c>
      <c r="K277" s="47"/>
      <c r="L277" s="47">
        <v>2.6</v>
      </c>
      <c r="M277" s="935">
        <f t="shared" ca="1" si="19"/>
        <v>54.586907673749664</v>
      </c>
      <c r="N277" s="953">
        <f>N$3/432.15</f>
        <v>0.93135716765012155</v>
      </c>
      <c r="O277" s="917">
        <f t="shared" ca="1" si="18"/>
        <v>912.14140656716438</v>
      </c>
    </row>
    <row r="278" spans="1:15" ht="15.75" customHeight="1" thickBot="1" x14ac:dyDescent="0.25">
      <c r="A278" s="35" t="s">
        <v>745</v>
      </c>
      <c r="B278" s="897">
        <f ca="1">(ExpBase!C730*1000*2)</f>
        <v>96187.768972952224</v>
      </c>
      <c r="C278" s="47" t="s">
        <v>391</v>
      </c>
      <c r="D278" s="894">
        <v>2</v>
      </c>
      <c r="E278" s="36" t="s">
        <v>816</v>
      </c>
      <c r="F278" s="917">
        <f>Inputs!F$860*G278</f>
        <v>631.9</v>
      </c>
      <c r="G278" s="897">
        <v>71</v>
      </c>
      <c r="H278" s="47" t="s">
        <v>391</v>
      </c>
      <c r="I278" s="47">
        <v>2023</v>
      </c>
      <c r="J278" s="36">
        <v>14</v>
      </c>
      <c r="K278" s="47">
        <v>0.8</v>
      </c>
      <c r="L278" s="47">
        <v>2.2999999999999998</v>
      </c>
      <c r="M278" s="935">
        <f t="shared" ca="1" si="19"/>
        <v>1354.7573094782003</v>
      </c>
      <c r="N278" s="953">
        <f>N$3/421.24</f>
        <v>0.9554790618174912</v>
      </c>
      <c r="O278" s="917">
        <f t="shared" ca="1" si="18"/>
        <v>889439.80976708652</v>
      </c>
    </row>
    <row r="279" spans="1:15" ht="15.75" customHeight="1" thickBot="1" x14ac:dyDescent="0.25">
      <c r="A279" s="35"/>
      <c r="B279" s="897"/>
      <c r="C279" s="47"/>
      <c r="D279" s="897"/>
      <c r="E279" s="36"/>
      <c r="F279" s="917"/>
      <c r="G279" s="897"/>
      <c r="H279" s="47"/>
      <c r="I279" s="47"/>
      <c r="J279" s="36"/>
      <c r="K279" s="47"/>
      <c r="L279" s="47"/>
      <c r="M279" s="936"/>
      <c r="N279" s="953"/>
      <c r="O279" s="917"/>
    </row>
    <row r="280" spans="1:15" ht="15.75" customHeight="1" thickBot="1" x14ac:dyDescent="0.25">
      <c r="A280" s="1677" t="s">
        <v>526</v>
      </c>
      <c r="B280" s="1678"/>
      <c r="C280" s="1678"/>
      <c r="D280" s="1678"/>
      <c r="E280" s="1678"/>
      <c r="F280" s="1678"/>
      <c r="G280" s="1678"/>
      <c r="H280" s="1678"/>
      <c r="I280" s="1678"/>
      <c r="J280" s="1678"/>
      <c r="K280" s="1678"/>
      <c r="L280" s="1678"/>
      <c r="M280" s="1678"/>
      <c r="N280" s="1679"/>
      <c r="O280" s="917">
        <f ca="1">SUM(O270:O279)</f>
        <v>27033189.484874967</v>
      </c>
    </row>
    <row r="281" spans="1:15" ht="15.75" customHeight="1" thickBot="1" x14ac:dyDescent="0.25">
      <c r="A281" s="197"/>
      <c r="B281" s="895"/>
      <c r="C281" s="197"/>
      <c r="D281" s="895"/>
      <c r="E281" s="197"/>
      <c r="F281" s="890"/>
      <c r="G281" s="895"/>
      <c r="H281" s="197"/>
      <c r="I281" s="197"/>
      <c r="J281" s="197"/>
      <c r="K281" s="197"/>
      <c r="L281" s="197"/>
      <c r="M281" s="937"/>
      <c r="N281" s="955"/>
      <c r="O281" s="891"/>
    </row>
    <row r="282" spans="1:15" ht="15.75" customHeight="1" x14ac:dyDescent="0.2">
      <c r="A282" s="1934" t="s">
        <v>910</v>
      </c>
      <c r="B282" s="1935"/>
      <c r="C282" s="1355"/>
      <c r="D282" s="1355"/>
      <c r="E282" s="1355"/>
      <c r="F282" s="1355"/>
      <c r="G282" s="1355"/>
      <c r="H282" s="1355"/>
      <c r="I282" s="1355"/>
      <c r="J282" s="1355"/>
      <c r="K282" s="1355"/>
      <c r="L282" s="1355"/>
      <c r="M282" s="1355"/>
      <c r="N282" s="1355"/>
      <c r="O282" s="1356"/>
    </row>
    <row r="283" spans="1:15" ht="15.75" customHeight="1" thickBot="1" x14ac:dyDescent="0.25">
      <c r="A283" s="1937"/>
      <c r="B283" s="1938"/>
      <c r="C283" s="1357"/>
      <c r="D283" s="1357"/>
      <c r="E283" s="1357"/>
      <c r="F283" s="1357"/>
      <c r="G283" s="1357"/>
      <c r="H283" s="1357"/>
      <c r="I283" s="1357"/>
      <c r="J283" s="1357"/>
      <c r="K283" s="1357"/>
      <c r="L283" s="1357"/>
      <c r="M283" s="1357"/>
      <c r="N283" s="1357"/>
      <c r="O283" s="1358"/>
    </row>
    <row r="284" spans="1:15" ht="15.75" customHeight="1" thickBot="1" x14ac:dyDescent="0.25">
      <c r="A284" s="1680" t="s">
        <v>509</v>
      </c>
      <c r="B284" s="1681"/>
      <c r="C284" s="1681"/>
      <c r="D284" s="1681"/>
      <c r="E284" s="1681"/>
      <c r="F284" s="1681"/>
      <c r="G284" s="1681"/>
      <c r="H284" s="1681"/>
      <c r="I284" s="1681"/>
      <c r="J284" s="1681"/>
      <c r="K284" s="1681"/>
      <c r="L284" s="1681"/>
      <c r="M284" s="1681"/>
      <c r="N284" s="1681"/>
      <c r="O284" s="1682"/>
    </row>
    <row r="285" spans="1:15" ht="15.75" customHeight="1" thickBot="1" x14ac:dyDescent="0.25">
      <c r="A285" s="1683" t="s">
        <v>510</v>
      </c>
      <c r="B285" s="1684"/>
      <c r="C285" s="1684"/>
      <c r="D285" s="1684"/>
      <c r="E285" s="1685"/>
      <c r="F285" s="1683" t="s">
        <v>511</v>
      </c>
      <c r="G285" s="1684"/>
      <c r="H285" s="1684"/>
      <c r="I285" s="1684"/>
      <c r="J285" s="1685"/>
      <c r="K285" s="1683" t="s">
        <v>512</v>
      </c>
      <c r="L285" s="1684"/>
      <c r="M285" s="1684"/>
      <c r="N285" s="1685"/>
      <c r="O285" s="1686" t="s">
        <v>513</v>
      </c>
    </row>
    <row r="286" spans="1:15" ht="15.75" customHeight="1" x14ac:dyDescent="0.2">
      <c r="A286" s="1689" t="s">
        <v>514</v>
      </c>
      <c r="B286" s="1691" t="s">
        <v>515</v>
      </c>
      <c r="C286" s="1693" t="s">
        <v>372</v>
      </c>
      <c r="D286" s="1691" t="s">
        <v>516</v>
      </c>
      <c r="E286" s="1689" t="s">
        <v>517</v>
      </c>
      <c r="F286" s="1686" t="s">
        <v>518</v>
      </c>
      <c r="G286" s="1691" t="s">
        <v>515</v>
      </c>
      <c r="H286" s="1693" t="s">
        <v>372</v>
      </c>
      <c r="I286" s="1693" t="s">
        <v>519</v>
      </c>
      <c r="J286" s="1689" t="s">
        <v>520</v>
      </c>
      <c r="K286" s="1693" t="s">
        <v>521</v>
      </c>
      <c r="L286" s="1693" t="s">
        <v>522</v>
      </c>
      <c r="M286" s="1695" t="s">
        <v>523</v>
      </c>
      <c r="N286" s="951" t="s">
        <v>527</v>
      </c>
      <c r="O286" s="1687"/>
    </row>
    <row r="287" spans="1:15" ht="15.75" customHeight="1" thickBot="1" x14ac:dyDescent="0.25">
      <c r="A287" s="1690"/>
      <c r="B287" s="1692"/>
      <c r="C287" s="1694"/>
      <c r="D287" s="1692"/>
      <c r="E287" s="1690"/>
      <c r="F287" s="1688"/>
      <c r="G287" s="1692"/>
      <c r="H287" s="1694"/>
      <c r="I287" s="1694"/>
      <c r="J287" s="1690"/>
      <c r="K287" s="1694"/>
      <c r="L287" s="1694"/>
      <c r="M287" s="1696"/>
      <c r="N287" s="952">
        <v>2023</v>
      </c>
      <c r="O287" s="1688"/>
    </row>
    <row r="288" spans="1:15" ht="15.75" customHeight="1" thickBot="1" x14ac:dyDescent="0.25">
      <c r="A288" s="46" t="s">
        <v>2379</v>
      </c>
      <c r="B288" s="894">
        <f ca="1">SUM(ExpBase!C968:C995)</f>
        <v>10715.376471926391</v>
      </c>
      <c r="C288" s="47" t="s">
        <v>267</v>
      </c>
      <c r="D288" s="894">
        <v>2</v>
      </c>
      <c r="E288" s="48" t="s">
        <v>2531</v>
      </c>
      <c r="F288" s="889">
        <v>103000</v>
      </c>
      <c r="G288" s="894">
        <v>31815</v>
      </c>
      <c r="H288" s="47" t="s">
        <v>267</v>
      </c>
      <c r="I288" s="47">
        <v>2010</v>
      </c>
      <c r="J288" s="41"/>
      <c r="K288" s="47">
        <v>0.7</v>
      </c>
      <c r="L288" s="47">
        <v>2</v>
      </c>
      <c r="M288" s="936">
        <f ca="1">B288/G288</f>
        <v>0.33680265509748203</v>
      </c>
      <c r="N288" s="953">
        <f>N$3/267.6</f>
        <v>1.5040582959641253</v>
      </c>
      <c r="O288" s="917">
        <f ca="1">D288*N288*F288*L288*M288^(K288)</f>
        <v>289284.21721224807</v>
      </c>
    </row>
    <row r="289" spans="1:15" ht="15.75" customHeight="1" thickBot="1" x14ac:dyDescent="0.25">
      <c r="A289" s="46" t="s">
        <v>2374</v>
      </c>
      <c r="B289" s="894">
        <f ca="1">ExpBase!C967</f>
        <v>893.68559336614862</v>
      </c>
      <c r="C289" s="47" t="s">
        <v>267</v>
      </c>
      <c r="D289" s="894">
        <v>2</v>
      </c>
      <c r="E289" s="48" t="s">
        <v>1610</v>
      </c>
      <c r="F289" s="889">
        <v>11358</v>
      </c>
      <c r="G289" s="894">
        <v>43149</v>
      </c>
      <c r="H289" s="47" t="s">
        <v>267</v>
      </c>
      <c r="I289" s="47">
        <v>2018</v>
      </c>
      <c r="J289" s="41"/>
      <c r="K289" s="47">
        <v>0.8</v>
      </c>
      <c r="L289" s="47">
        <v>2.2999999999999998</v>
      </c>
      <c r="M289" s="936">
        <f t="shared" ref="M289:M297" ca="1" si="20">B289/G289</f>
        <v>2.0711617728479192E-2</v>
      </c>
      <c r="N289" s="953">
        <f>N$3/329.7</f>
        <v>1.220764331210191</v>
      </c>
      <c r="O289" s="917">
        <f t="shared" ref="O289:O297" ca="1" si="21">D289*N289*F289*L289*M289^(K289)</f>
        <v>2868.5521178948256</v>
      </c>
    </row>
    <row r="290" spans="1:15" ht="15.75" customHeight="1" thickBot="1" x14ac:dyDescent="0.25">
      <c r="A290" s="46" t="s">
        <v>2375</v>
      </c>
      <c r="B290" s="894">
        <f ca="1">B288</f>
        <v>10715.376471926391</v>
      </c>
      <c r="C290" s="47" t="s">
        <v>267</v>
      </c>
      <c r="D290" s="894">
        <v>2</v>
      </c>
      <c r="E290" s="48" t="s">
        <v>1610</v>
      </c>
      <c r="F290" s="889">
        <v>11358</v>
      </c>
      <c r="G290" s="894">
        <v>43149</v>
      </c>
      <c r="H290" s="47" t="s">
        <v>267</v>
      </c>
      <c r="I290" s="47">
        <v>2018</v>
      </c>
      <c r="J290" s="41"/>
      <c r="K290" s="47">
        <v>0.8</v>
      </c>
      <c r="L290" s="47">
        <v>2.2999999999999998</v>
      </c>
      <c r="M290" s="936">
        <f t="shared" ca="1" si="20"/>
        <v>0.24833429446630029</v>
      </c>
      <c r="N290" s="953">
        <f>N$3/329.7</f>
        <v>1.220764331210191</v>
      </c>
      <c r="O290" s="917">
        <f t="shared" ca="1" si="21"/>
        <v>20927.670388427814</v>
      </c>
    </row>
    <row r="291" spans="1:15" ht="15.75" customHeight="1" thickBot="1" x14ac:dyDescent="0.25">
      <c r="A291" s="35" t="s">
        <v>1025</v>
      </c>
      <c r="B291" s="894">
        <f ca="1">CostCalc!B566*CostCalc!B567</f>
        <v>14.334480683115206</v>
      </c>
      <c r="C291" s="66" t="s">
        <v>1</v>
      </c>
      <c r="D291" s="894">
        <v>2</v>
      </c>
      <c r="E291" s="36" t="s">
        <v>530</v>
      </c>
      <c r="F291" s="917">
        <f>CostCalc!F$557</f>
        <v>188.34</v>
      </c>
      <c r="G291" s="897">
        <v>0.76</v>
      </c>
      <c r="H291" s="47" t="str">
        <f>CostCalc!H558</f>
        <v>m3</v>
      </c>
      <c r="I291" s="47">
        <v>2023</v>
      </c>
      <c r="J291" s="36"/>
      <c r="K291" s="47">
        <v>0.7</v>
      </c>
      <c r="L291" s="47">
        <v>2.6</v>
      </c>
      <c r="M291" s="936">
        <f t="shared" ca="1" si="20"/>
        <v>18.861158793572638</v>
      </c>
      <c r="N291" s="953">
        <f>N$3/421.24</f>
        <v>0.9554790618174912</v>
      </c>
      <c r="O291" s="917">
        <f t="shared" ca="1" si="21"/>
        <v>7312.4842583230447</v>
      </c>
    </row>
    <row r="292" spans="1:15" ht="15.75" customHeight="1" thickBot="1" x14ac:dyDescent="0.25">
      <c r="A292" s="35" t="s">
        <v>841</v>
      </c>
      <c r="B292" s="894">
        <f ca="1">CostCalc!B571</f>
        <v>0.20576589783862523</v>
      </c>
      <c r="C292" s="47" t="s">
        <v>11</v>
      </c>
      <c r="D292" s="894">
        <v>2</v>
      </c>
      <c r="E292" s="36" t="s">
        <v>2504</v>
      </c>
      <c r="F292" s="917">
        <v>52500</v>
      </c>
      <c r="G292" s="897">
        <v>30</v>
      </c>
      <c r="H292" s="47" t="s">
        <v>11</v>
      </c>
      <c r="I292" s="47">
        <v>2009</v>
      </c>
      <c r="J292" s="36"/>
      <c r="K292" s="47">
        <v>1</v>
      </c>
      <c r="L292" s="47">
        <v>1.5</v>
      </c>
      <c r="M292" s="936">
        <f t="shared" ca="1" si="20"/>
        <v>6.8588632612875079E-3</v>
      </c>
      <c r="N292" s="953">
        <f>N$3/273.5</f>
        <v>1.4716124314442414</v>
      </c>
      <c r="O292" s="917">
        <f t="shared" ca="1" si="21"/>
        <v>1589.7401794396849</v>
      </c>
    </row>
    <row r="293" spans="1:15" ht="15.75" customHeight="1" thickBot="1" x14ac:dyDescent="0.25">
      <c r="A293" s="35" t="s">
        <v>2376</v>
      </c>
      <c r="B293" s="894">
        <f ca="1">SUM(ExpBase!C967:C995)</f>
        <v>11609.062065292539</v>
      </c>
      <c r="C293" s="47" t="s">
        <v>267</v>
      </c>
      <c r="D293" s="894">
        <v>2</v>
      </c>
      <c r="E293" s="36" t="s">
        <v>2513</v>
      </c>
      <c r="F293" s="917">
        <v>588000</v>
      </c>
      <c r="G293" s="894">
        <v>156789</v>
      </c>
      <c r="H293" s="47" t="s">
        <v>267</v>
      </c>
      <c r="I293" s="47">
        <v>2013</v>
      </c>
      <c r="J293" s="36"/>
      <c r="K293" s="47">
        <v>0.5</v>
      </c>
      <c r="L293" s="47">
        <v>2</v>
      </c>
      <c r="M293" s="936">
        <f t="shared" ca="1" si="20"/>
        <v>7.4042579934131464E-2</v>
      </c>
      <c r="N293" s="953">
        <f>N$3/303.8</f>
        <v>1.3248387096774192</v>
      </c>
      <c r="O293" s="917">
        <f t="shared" ca="1" si="21"/>
        <v>847893.09372974304</v>
      </c>
    </row>
    <row r="294" spans="1:15" ht="15.75" customHeight="1" thickBot="1" x14ac:dyDescent="0.25">
      <c r="A294" s="35" t="s">
        <v>1026</v>
      </c>
      <c r="B294" s="894">
        <f ca="1">SUM(ExpBase!G968:G984)</f>
        <v>953.50967738411077</v>
      </c>
      <c r="C294" s="47" t="s">
        <v>267</v>
      </c>
      <c r="D294" s="894">
        <v>2</v>
      </c>
      <c r="E294" s="36"/>
      <c r="F294" s="917">
        <f>CostCalc!F682</f>
        <v>13</v>
      </c>
      <c r="G294" s="897">
        <f>CostCalc!G682</f>
        <v>1</v>
      </c>
      <c r="H294" s="47" t="str">
        <f>CostCalc!H682</f>
        <v>kg/hr</v>
      </c>
      <c r="I294" s="47">
        <v>2007</v>
      </c>
      <c r="J294" s="36"/>
      <c r="K294" s="47">
        <v>0.7</v>
      </c>
      <c r="L294" s="47">
        <v>2.7</v>
      </c>
      <c r="M294" s="936">
        <f t="shared" ca="1" si="20"/>
        <v>953.50967738411077</v>
      </c>
      <c r="N294" s="953">
        <f>N$3/213.2</f>
        <v>1.8878330206378988</v>
      </c>
      <c r="O294" s="917">
        <f t="shared" ca="1" si="21"/>
        <v>16137.203060660289</v>
      </c>
    </row>
    <row r="295" spans="1:15" ht="15.75" customHeight="1" thickBot="1" x14ac:dyDescent="0.25">
      <c r="A295" s="64" t="s">
        <v>1027</v>
      </c>
      <c r="B295" s="894">
        <f ca="1">B294</f>
        <v>953.50967738411077</v>
      </c>
      <c r="C295" s="47" t="s">
        <v>267</v>
      </c>
      <c r="D295" s="894">
        <v>2</v>
      </c>
      <c r="E295" s="36"/>
      <c r="F295" s="917">
        <f>CostCalc!F691</f>
        <v>0.5</v>
      </c>
      <c r="G295" s="894">
        <f>CostCalc!G691</f>
        <v>1</v>
      </c>
      <c r="H295" s="47" t="str">
        <f>CostCalc!H691</f>
        <v>kg/hr</v>
      </c>
      <c r="I295" s="47">
        <v>1997</v>
      </c>
      <c r="J295" s="36"/>
      <c r="K295" s="47">
        <v>0.7</v>
      </c>
      <c r="L295" s="47">
        <v>2.7</v>
      </c>
      <c r="M295" s="936">
        <f t="shared" ca="1" si="20"/>
        <v>953.50967738411077</v>
      </c>
      <c r="N295" s="953">
        <f>N$3/146.2</f>
        <v>2.752982216142271</v>
      </c>
      <c r="O295" s="917">
        <f t="shared" ca="1" si="21"/>
        <v>905.09620449667841</v>
      </c>
    </row>
    <row r="296" spans="1:15" ht="15.75" customHeight="1" thickBot="1" x14ac:dyDescent="0.25">
      <c r="A296" s="35" t="s">
        <v>3020</v>
      </c>
      <c r="B296" s="894">
        <f ca="1">CostCalc!B576</f>
        <v>2.7994898082119658E-4</v>
      </c>
      <c r="C296" s="47" t="s">
        <v>999</v>
      </c>
      <c r="D296" s="894">
        <v>2</v>
      </c>
      <c r="E296" s="36" t="s">
        <v>1028</v>
      </c>
      <c r="F296" s="917">
        <f>CostCalc!F685</f>
        <v>3500</v>
      </c>
      <c r="G296" s="894">
        <f>CostCalc!G685</f>
        <v>1</v>
      </c>
      <c r="H296" s="47" t="str">
        <f>CostCalc!H685</f>
        <v>MMBTU/hr</v>
      </c>
      <c r="I296" s="47">
        <v>2007</v>
      </c>
      <c r="J296" s="36"/>
      <c r="K296" s="47">
        <v>0.5</v>
      </c>
      <c r="L296" s="47">
        <v>2.7</v>
      </c>
      <c r="M296" s="936">
        <f t="shared" ca="1" si="20"/>
        <v>2.7994898082119658E-4</v>
      </c>
      <c r="N296" s="953">
        <f>N$3/213.2</f>
        <v>1.8878330206378988</v>
      </c>
      <c r="O296" s="917">
        <f t="shared" ca="1" si="21"/>
        <v>596.98693636997416</v>
      </c>
    </row>
    <row r="297" spans="1:15" ht="15.75" customHeight="1" thickBot="1" x14ac:dyDescent="0.25">
      <c r="A297" s="35" t="s">
        <v>538</v>
      </c>
      <c r="B297" s="894">
        <f ca="1">CostCalc!B576</f>
        <v>2.7994898082119658E-4</v>
      </c>
      <c r="C297" s="47" t="s">
        <v>999</v>
      </c>
      <c r="D297" s="894">
        <v>2</v>
      </c>
      <c r="E297" s="36"/>
      <c r="F297" s="917">
        <f>CostCalc!F688</f>
        <v>4100</v>
      </c>
      <c r="G297" s="894">
        <f>CostCalc!G688</f>
        <v>1</v>
      </c>
      <c r="H297" s="47" t="str">
        <f>CostCalc!H688</f>
        <v>MMBTU/hr</v>
      </c>
      <c r="I297" s="47">
        <v>2007</v>
      </c>
      <c r="J297" s="36"/>
      <c r="K297" s="47">
        <v>1</v>
      </c>
      <c r="L297" s="47">
        <v>2.7</v>
      </c>
      <c r="M297" s="936">
        <f t="shared" ca="1" si="20"/>
        <v>2.7994898082119658E-4</v>
      </c>
      <c r="N297" s="953">
        <f>N$3/213.2</f>
        <v>1.8878330206378988</v>
      </c>
      <c r="O297" s="917">
        <f t="shared" ca="1" si="21"/>
        <v>11.700922032152322</v>
      </c>
    </row>
    <row r="298" spans="1:15" ht="15.75" customHeight="1" thickBot="1" x14ac:dyDescent="0.25">
      <c r="A298" s="35"/>
      <c r="B298" s="897"/>
      <c r="C298" s="47"/>
      <c r="D298" s="897"/>
      <c r="E298" s="36"/>
      <c r="F298" s="917"/>
      <c r="G298" s="897"/>
      <c r="H298" s="47"/>
      <c r="I298" s="47"/>
      <c r="J298" s="36"/>
      <c r="K298" s="47"/>
      <c r="L298" s="47"/>
      <c r="M298" s="936"/>
      <c r="N298" s="953"/>
      <c r="O298" s="917"/>
    </row>
    <row r="299" spans="1:15" ht="15.75" customHeight="1" thickBot="1" x14ac:dyDescent="0.25">
      <c r="A299" s="1677" t="s">
        <v>526</v>
      </c>
      <c r="B299" s="1678"/>
      <c r="C299" s="1678"/>
      <c r="D299" s="1678"/>
      <c r="E299" s="1678"/>
      <c r="F299" s="1678"/>
      <c r="G299" s="1678"/>
      <c r="H299" s="1678"/>
      <c r="I299" s="1678"/>
      <c r="J299" s="1678"/>
      <c r="K299" s="1678"/>
      <c r="L299" s="1678"/>
      <c r="M299" s="1678"/>
      <c r="N299" s="1679"/>
      <c r="O299" s="917">
        <f ca="1">SUM(O288:O298)</f>
        <v>1187526.7450096353</v>
      </c>
    </row>
    <row r="300" spans="1:15" ht="15.75" customHeight="1" x14ac:dyDescent="0.2">
      <c r="A300" s="197"/>
      <c r="B300" s="895"/>
      <c r="C300" s="197"/>
      <c r="D300" s="895"/>
      <c r="E300" s="197"/>
      <c r="F300" s="890"/>
      <c r="G300" s="895"/>
      <c r="H300" s="197"/>
      <c r="I300" s="197"/>
      <c r="J300" s="197"/>
      <c r="K300" s="197"/>
      <c r="L300" s="197"/>
      <c r="M300" s="937"/>
      <c r="N300" s="955"/>
      <c r="O300" s="891"/>
    </row>
    <row r="301" spans="1:15" ht="15.75" customHeight="1" thickBot="1" x14ac:dyDescent="0.25">
      <c r="A301" s="197"/>
      <c r="B301" s="895"/>
      <c r="C301" s="197"/>
      <c r="D301" s="895"/>
      <c r="E301" s="197"/>
      <c r="F301" s="890"/>
      <c r="G301" s="895"/>
      <c r="H301" s="197"/>
      <c r="I301" s="197"/>
      <c r="J301" s="197"/>
      <c r="K301" s="197"/>
      <c r="L301" s="197"/>
      <c r="M301" s="937"/>
      <c r="N301" s="955"/>
      <c r="O301" s="891"/>
    </row>
    <row r="302" spans="1:15" ht="15.75" customHeight="1" x14ac:dyDescent="0.2">
      <c r="A302" s="1789" t="s">
        <v>1416</v>
      </c>
      <c r="B302" s="1790"/>
      <c r="C302" s="1359"/>
      <c r="D302" s="1359"/>
      <c r="E302" s="1359"/>
      <c r="F302" s="1359"/>
      <c r="G302" s="1359"/>
      <c r="H302" s="1359"/>
      <c r="I302" s="1359"/>
      <c r="J302" s="1359"/>
      <c r="K302" s="1359"/>
      <c r="L302" s="1359"/>
      <c r="M302" s="1359"/>
      <c r="N302" s="1359"/>
      <c r="O302" s="1360"/>
    </row>
    <row r="303" spans="1:15" ht="15.75" customHeight="1" thickBot="1" x14ac:dyDescent="0.25">
      <c r="A303" s="1792"/>
      <c r="B303" s="1793"/>
      <c r="C303" s="1361"/>
      <c r="D303" s="1361"/>
      <c r="E303" s="1361"/>
      <c r="F303" s="1361"/>
      <c r="G303" s="1361"/>
      <c r="H303" s="1361"/>
      <c r="I303" s="1361"/>
      <c r="J303" s="1361"/>
      <c r="K303" s="1361"/>
      <c r="L303" s="1361"/>
      <c r="M303" s="1361"/>
      <c r="N303" s="1361"/>
      <c r="O303" s="1362"/>
    </row>
    <row r="304" spans="1:15" ht="15.75" customHeight="1" thickBot="1" x14ac:dyDescent="0.25">
      <c r="A304" s="1680" t="s">
        <v>509</v>
      </c>
      <c r="B304" s="1681"/>
      <c r="C304" s="1681"/>
      <c r="D304" s="1681"/>
      <c r="E304" s="1681"/>
      <c r="F304" s="1681"/>
      <c r="G304" s="1681"/>
      <c r="H304" s="1681"/>
      <c r="I304" s="1681"/>
      <c r="J304" s="1681"/>
      <c r="K304" s="1681"/>
      <c r="L304" s="1681"/>
      <c r="M304" s="1681"/>
      <c r="N304" s="1681"/>
      <c r="O304" s="1682"/>
    </row>
    <row r="305" spans="1:15" ht="15.75" customHeight="1" thickBot="1" x14ac:dyDescent="0.25">
      <c r="A305" s="1683" t="s">
        <v>510</v>
      </c>
      <c r="B305" s="1684"/>
      <c r="C305" s="1684"/>
      <c r="D305" s="1684"/>
      <c r="E305" s="1685"/>
      <c r="F305" s="1683" t="s">
        <v>511</v>
      </c>
      <c r="G305" s="1684"/>
      <c r="H305" s="1684"/>
      <c r="I305" s="1684"/>
      <c r="J305" s="1685"/>
      <c r="K305" s="1683" t="s">
        <v>512</v>
      </c>
      <c r="L305" s="1684"/>
      <c r="M305" s="1684"/>
      <c r="N305" s="1685"/>
      <c r="O305" s="1686" t="s">
        <v>513</v>
      </c>
    </row>
    <row r="306" spans="1:15" ht="15.75" customHeight="1" x14ac:dyDescent="0.2">
      <c r="A306" s="1689" t="s">
        <v>514</v>
      </c>
      <c r="B306" s="1691" t="s">
        <v>515</v>
      </c>
      <c r="C306" s="1693" t="s">
        <v>372</v>
      </c>
      <c r="D306" s="1691" t="s">
        <v>516</v>
      </c>
      <c r="E306" s="1689" t="s">
        <v>517</v>
      </c>
      <c r="F306" s="1686" t="s">
        <v>518</v>
      </c>
      <c r="G306" s="1691" t="s">
        <v>515</v>
      </c>
      <c r="H306" s="1693" t="s">
        <v>372</v>
      </c>
      <c r="I306" s="1693" t="s">
        <v>519</v>
      </c>
      <c r="J306" s="1689" t="s">
        <v>520</v>
      </c>
      <c r="K306" s="1693" t="s">
        <v>521</v>
      </c>
      <c r="L306" s="1693" t="s">
        <v>522</v>
      </c>
      <c r="M306" s="1695" t="s">
        <v>523</v>
      </c>
      <c r="N306" s="951" t="s">
        <v>527</v>
      </c>
      <c r="O306" s="1687"/>
    </row>
    <row r="307" spans="1:15" ht="15.75" customHeight="1" thickBot="1" x14ac:dyDescent="0.25">
      <c r="A307" s="1690"/>
      <c r="B307" s="1692"/>
      <c r="C307" s="1694"/>
      <c r="D307" s="1692"/>
      <c r="E307" s="1690"/>
      <c r="F307" s="1688"/>
      <c r="G307" s="1692"/>
      <c r="H307" s="1694"/>
      <c r="I307" s="1694"/>
      <c r="J307" s="1690"/>
      <c r="K307" s="1694"/>
      <c r="L307" s="1694"/>
      <c r="M307" s="1696"/>
      <c r="N307" s="952">
        <v>2024</v>
      </c>
      <c r="O307" s="1688"/>
    </row>
    <row r="308" spans="1:15" ht="15.75" customHeight="1" thickBot="1" x14ac:dyDescent="0.25">
      <c r="A308" s="46" t="s">
        <v>2379</v>
      </c>
      <c r="B308" s="894">
        <f ca="1">ExpBase!C1000</f>
        <v>950.78684940764629</v>
      </c>
      <c r="C308" s="47" t="s">
        <v>267</v>
      </c>
      <c r="D308" s="894">
        <v>3</v>
      </c>
      <c r="E308" s="48" t="s">
        <v>2531</v>
      </c>
      <c r="F308" s="889">
        <v>103000</v>
      </c>
      <c r="G308" s="894">
        <v>31815</v>
      </c>
      <c r="H308" s="47" t="s">
        <v>267</v>
      </c>
      <c r="I308" s="47">
        <v>2010</v>
      </c>
      <c r="J308" s="41"/>
      <c r="K308" s="47">
        <v>0.7</v>
      </c>
      <c r="L308" s="47">
        <v>2</v>
      </c>
      <c r="M308" s="936">
        <f ca="1">B308/G308</f>
        <v>2.9884860896044203E-2</v>
      </c>
      <c r="N308" s="953">
        <f>N$3/267.6</f>
        <v>1.5040582959641253</v>
      </c>
      <c r="O308" s="917">
        <f t="shared" ref="O308:O314" ca="1" si="22">D308*N308*F308*L308*M308^(K308)</f>
        <v>79628.587426385187</v>
      </c>
    </row>
    <row r="309" spans="1:15" ht="15.75" customHeight="1" thickBot="1" x14ac:dyDescent="0.25">
      <c r="A309" s="35" t="s">
        <v>1027</v>
      </c>
      <c r="B309" s="894">
        <f ca="1">CostCalc!B595</f>
        <v>59.978803750132357</v>
      </c>
      <c r="C309" s="47" t="s">
        <v>1091</v>
      </c>
      <c r="D309" s="894">
        <v>3</v>
      </c>
      <c r="E309" s="36" t="s">
        <v>1153</v>
      </c>
      <c r="F309" s="889">
        <f>Inputs!F$862*Reserve!G$8</f>
        <v>9200.1</v>
      </c>
      <c r="G309" s="897">
        <v>150</v>
      </c>
      <c r="H309" s="47" t="s">
        <v>1091</v>
      </c>
      <c r="I309" s="47">
        <v>2009</v>
      </c>
      <c r="J309" s="36"/>
      <c r="K309" s="47">
        <v>0.8</v>
      </c>
      <c r="L309" s="47">
        <v>3.1</v>
      </c>
      <c r="M309" s="936">
        <f t="shared" ref="M309:M314" ca="1" si="23">B309/G309</f>
        <v>0.39985869166754906</v>
      </c>
      <c r="N309" s="953">
        <f>N$3/273.5</f>
        <v>1.4716124314442414</v>
      </c>
      <c r="O309" s="917">
        <f t="shared" ca="1" si="22"/>
        <v>60477.548283387863</v>
      </c>
    </row>
    <row r="310" spans="1:15" ht="15.75" customHeight="1" thickBot="1" x14ac:dyDescent="0.25">
      <c r="A310" s="35" t="s">
        <v>1201</v>
      </c>
      <c r="B310" s="894">
        <f ca="1">ExpBase!C1000</f>
        <v>950.78684940764629</v>
      </c>
      <c r="C310" s="47" t="s">
        <v>267</v>
      </c>
      <c r="D310" s="894">
        <v>3</v>
      </c>
      <c r="E310" s="36" t="s">
        <v>1221</v>
      </c>
      <c r="F310" s="889">
        <f>Inputs!F$866*Reserve!G$9</f>
        <v>1229012.4000000001</v>
      </c>
      <c r="G310" s="897">
        <v>53204</v>
      </c>
      <c r="H310" s="47" t="s">
        <v>267</v>
      </c>
      <c r="I310" s="47">
        <v>2014</v>
      </c>
      <c r="J310" s="36"/>
      <c r="K310" s="47">
        <v>0.7</v>
      </c>
      <c r="L310" s="47">
        <v>2.2000000000000002</v>
      </c>
      <c r="M310" s="936">
        <f t="shared" ca="1" si="23"/>
        <v>1.7870589606188373E-2</v>
      </c>
      <c r="N310" s="953">
        <f>N$3/307.8</f>
        <v>1.3076218323586744</v>
      </c>
      <c r="O310" s="917">
        <f t="shared" ca="1" si="22"/>
        <v>633985.87244320207</v>
      </c>
    </row>
    <row r="311" spans="1:15" ht="15.75" customHeight="1" thickBot="1" x14ac:dyDescent="0.25">
      <c r="A311" s="35" t="s">
        <v>1088</v>
      </c>
      <c r="B311" s="894">
        <f ca="1">CostCalc!B599</f>
        <v>9.8079576083000557E-4</v>
      </c>
      <c r="C311" s="47" t="s">
        <v>999</v>
      </c>
      <c r="D311" s="894">
        <v>3</v>
      </c>
      <c r="E311" s="36" t="s">
        <v>1152</v>
      </c>
      <c r="F311" s="889">
        <f>Inputs!F$863*Reserve!G$10</f>
        <v>91999.99960000001</v>
      </c>
      <c r="G311" s="897">
        <v>9.4</v>
      </c>
      <c r="H311" s="47" t="s">
        <v>999</v>
      </c>
      <c r="I311" s="47">
        <v>2010</v>
      </c>
      <c r="J311" s="36"/>
      <c r="K311" s="47">
        <v>0.7</v>
      </c>
      <c r="L311" s="47">
        <v>2.2000000000000002</v>
      </c>
      <c r="M311" s="936">
        <f t="shared" ca="1" si="23"/>
        <v>1.0433997455638357E-4</v>
      </c>
      <c r="N311" s="953">
        <f>N$3/267.6</f>
        <v>1.5040582959641253</v>
      </c>
      <c r="O311" s="917">
        <f t="shared" ca="1" si="22"/>
        <v>1491.1177465123089</v>
      </c>
    </row>
    <row r="312" spans="1:15" ht="15.75" customHeight="1" thickBot="1" x14ac:dyDescent="0.25">
      <c r="A312" s="35" t="s">
        <v>1089</v>
      </c>
      <c r="B312" s="894">
        <f ca="1">ExpBase!E1091</f>
        <v>95.44286009601079</v>
      </c>
      <c r="C312" s="47" t="s">
        <v>267</v>
      </c>
      <c r="D312" s="894">
        <v>3</v>
      </c>
      <c r="E312" s="36"/>
      <c r="F312" s="889">
        <f>Inputs!F$865*Reserve!G$11</f>
        <v>12523.644</v>
      </c>
      <c r="G312" s="897">
        <v>198788</v>
      </c>
      <c r="H312" s="47" t="s">
        <v>267</v>
      </c>
      <c r="I312" s="47">
        <v>2007</v>
      </c>
      <c r="J312" s="36"/>
      <c r="K312" s="47">
        <v>0.65</v>
      </c>
      <c r="L312" s="47">
        <v>3.7</v>
      </c>
      <c r="M312" s="936">
        <f t="shared" ca="1" si="23"/>
        <v>4.8012385101721828E-4</v>
      </c>
      <c r="N312" s="953">
        <f>N$3/213.2</f>
        <v>1.8878330206378988</v>
      </c>
      <c r="O312" s="917">
        <f t="shared" ca="1" si="22"/>
        <v>1827.6662969296542</v>
      </c>
    </row>
    <row r="313" spans="1:15" ht="15.75" customHeight="1" thickBot="1" x14ac:dyDescent="0.25">
      <c r="A313" s="35" t="s">
        <v>1090</v>
      </c>
      <c r="B313" s="894">
        <f ca="1">CostCalc!B595</f>
        <v>59.978803750132357</v>
      </c>
      <c r="C313" s="47" t="s">
        <v>1091</v>
      </c>
      <c r="D313" s="894">
        <v>3</v>
      </c>
      <c r="E313" s="36" t="s">
        <v>1153</v>
      </c>
      <c r="F313" s="889">
        <f>Inputs!F$862*Reserve!G$12</f>
        <v>9200.1</v>
      </c>
      <c r="G313" s="897">
        <v>150</v>
      </c>
      <c r="H313" s="47" t="s">
        <v>1091</v>
      </c>
      <c r="I313" s="47">
        <v>2009</v>
      </c>
      <c r="J313" s="36"/>
      <c r="K313" s="47">
        <v>0.8</v>
      </c>
      <c r="L313" s="47">
        <v>3.1</v>
      </c>
      <c r="M313" s="936">
        <f t="shared" ca="1" si="23"/>
        <v>0.39985869166754906</v>
      </c>
      <c r="N313" s="953">
        <f>N$3/273.5</f>
        <v>1.4716124314442414</v>
      </c>
      <c r="O313" s="917">
        <f t="shared" ca="1" si="22"/>
        <v>60477.548283387863</v>
      </c>
    </row>
    <row r="314" spans="1:15" ht="15.75" customHeight="1" thickBot="1" x14ac:dyDescent="0.25">
      <c r="A314" s="46" t="s">
        <v>2444</v>
      </c>
      <c r="B314" s="894">
        <f>G314</f>
        <v>1926</v>
      </c>
      <c r="C314" s="47" t="s">
        <v>2445</v>
      </c>
      <c r="D314" s="894">
        <v>3</v>
      </c>
      <c r="E314" s="41"/>
      <c r="F314" s="889">
        <v>128888</v>
      </c>
      <c r="G314" s="894">
        <v>1926</v>
      </c>
      <c r="H314" s="47" t="s">
        <v>2445</v>
      </c>
      <c r="I314" s="47">
        <v>2011</v>
      </c>
      <c r="J314" s="41"/>
      <c r="K314" s="47">
        <v>0.65</v>
      </c>
      <c r="L314" s="47">
        <v>1.8</v>
      </c>
      <c r="M314" s="936">
        <f t="shared" si="23"/>
        <v>1</v>
      </c>
      <c r="N314" s="953">
        <f>N$3/295.3</f>
        <v>1.3629732475448695</v>
      </c>
      <c r="O314" s="917">
        <f t="shared" si="22"/>
        <v>948622.83801964088</v>
      </c>
    </row>
    <row r="315" spans="1:15" ht="15.75" customHeight="1" thickBot="1" x14ac:dyDescent="0.25">
      <c r="A315" s="1677" t="s">
        <v>526</v>
      </c>
      <c r="B315" s="1678"/>
      <c r="C315" s="1678"/>
      <c r="D315" s="1678"/>
      <c r="E315" s="1678"/>
      <c r="F315" s="1678"/>
      <c r="G315" s="1678"/>
      <c r="H315" s="1678"/>
      <c r="I315" s="1678"/>
      <c r="J315" s="1678"/>
      <c r="K315" s="1678"/>
      <c r="L315" s="1678"/>
      <c r="M315" s="1678"/>
      <c r="N315" s="1679"/>
      <c r="O315" s="889">
        <f ca="1">SUM(O308:O314)</f>
        <v>1786511.1784994458</v>
      </c>
    </row>
    <row r="316" spans="1:15" ht="15.75" customHeight="1" x14ac:dyDescent="0.2"/>
    <row r="317" spans="1:15" ht="15.75" customHeight="1" thickBot="1" x14ac:dyDescent="0.25">
      <c r="A317" s="197"/>
      <c r="B317" s="895"/>
      <c r="C317" s="197"/>
      <c r="D317" s="895"/>
      <c r="E317" s="197"/>
      <c r="F317" s="890"/>
      <c r="G317" s="895"/>
      <c r="H317" s="197"/>
      <c r="I317" s="197"/>
      <c r="J317" s="197"/>
      <c r="K317" s="197"/>
      <c r="L317" s="197"/>
      <c r="M317" s="937"/>
      <c r="N317" s="955"/>
      <c r="O317" s="891"/>
    </row>
    <row r="318" spans="1:15" ht="15.75" customHeight="1" x14ac:dyDescent="0.2">
      <c r="A318" s="1783" t="s">
        <v>1417</v>
      </c>
      <c r="B318" s="1784"/>
      <c r="C318" s="1363"/>
      <c r="D318" s="1363"/>
      <c r="E318" s="1363"/>
      <c r="F318" s="1363"/>
      <c r="G318" s="1363"/>
      <c r="H318" s="1363"/>
      <c r="I318" s="1363"/>
      <c r="J318" s="1363"/>
      <c r="K318" s="1363"/>
      <c r="L318" s="1363"/>
      <c r="M318" s="1363"/>
      <c r="N318" s="1363"/>
      <c r="O318" s="1364"/>
    </row>
    <row r="319" spans="1:15" ht="15.75" customHeight="1" thickBot="1" x14ac:dyDescent="0.25">
      <c r="A319" s="1786"/>
      <c r="B319" s="1787"/>
      <c r="C319" s="1365"/>
      <c r="D319" s="1365"/>
      <c r="E319" s="1365"/>
      <c r="F319" s="1365"/>
      <c r="G319" s="1365"/>
      <c r="H319" s="1365"/>
      <c r="I319" s="1365"/>
      <c r="J319" s="1365"/>
      <c r="K319" s="1365"/>
      <c r="L319" s="1365"/>
      <c r="M319" s="1365"/>
      <c r="N319" s="1365"/>
      <c r="O319" s="1366"/>
    </row>
    <row r="320" spans="1:15" ht="15.75" customHeight="1" thickBot="1" x14ac:dyDescent="0.25">
      <c r="A320" s="1680" t="s">
        <v>509</v>
      </c>
      <c r="B320" s="1681"/>
      <c r="C320" s="1681"/>
      <c r="D320" s="1681"/>
      <c r="E320" s="1681"/>
      <c r="F320" s="1681"/>
      <c r="G320" s="1681"/>
      <c r="H320" s="1681"/>
      <c r="I320" s="1681"/>
      <c r="J320" s="1681"/>
      <c r="K320" s="1681"/>
      <c r="L320" s="1681"/>
      <c r="M320" s="1681"/>
      <c r="N320" s="1681"/>
      <c r="O320" s="1682"/>
    </row>
    <row r="321" spans="1:15" ht="15.75" customHeight="1" thickBot="1" x14ac:dyDescent="0.25">
      <c r="A321" s="1683" t="s">
        <v>510</v>
      </c>
      <c r="B321" s="1684"/>
      <c r="C321" s="1684"/>
      <c r="D321" s="1684"/>
      <c r="E321" s="1685"/>
      <c r="F321" s="1683" t="s">
        <v>511</v>
      </c>
      <c r="G321" s="1684"/>
      <c r="H321" s="1684"/>
      <c r="I321" s="1684"/>
      <c r="J321" s="1685"/>
      <c r="K321" s="1683" t="s">
        <v>512</v>
      </c>
      <c r="L321" s="1684"/>
      <c r="M321" s="1684"/>
      <c r="N321" s="1685"/>
      <c r="O321" s="1686" t="s">
        <v>513</v>
      </c>
    </row>
    <row r="322" spans="1:15" ht="15.75" customHeight="1" x14ac:dyDescent="0.2">
      <c r="A322" s="1689" t="s">
        <v>514</v>
      </c>
      <c r="B322" s="1691" t="s">
        <v>515</v>
      </c>
      <c r="C322" s="1693" t="s">
        <v>372</v>
      </c>
      <c r="D322" s="1691" t="s">
        <v>516</v>
      </c>
      <c r="E322" s="1689" t="s">
        <v>517</v>
      </c>
      <c r="F322" s="1686" t="s">
        <v>518</v>
      </c>
      <c r="G322" s="1691" t="s">
        <v>515</v>
      </c>
      <c r="H322" s="1693" t="s">
        <v>372</v>
      </c>
      <c r="I322" s="1693" t="s">
        <v>519</v>
      </c>
      <c r="J322" s="1689" t="s">
        <v>520</v>
      </c>
      <c r="K322" s="1693" t="s">
        <v>521</v>
      </c>
      <c r="L322" s="1693" t="s">
        <v>522</v>
      </c>
      <c r="M322" s="1695" t="s">
        <v>523</v>
      </c>
      <c r="N322" s="951" t="s">
        <v>527</v>
      </c>
      <c r="O322" s="1687"/>
    </row>
    <row r="323" spans="1:15" ht="15.75" customHeight="1" thickBot="1" x14ac:dyDescent="0.25">
      <c r="A323" s="1690"/>
      <c r="B323" s="1692"/>
      <c r="C323" s="1694"/>
      <c r="D323" s="1692"/>
      <c r="E323" s="1690"/>
      <c r="F323" s="1688"/>
      <c r="G323" s="1692"/>
      <c r="H323" s="1694"/>
      <c r="I323" s="1694"/>
      <c r="J323" s="1690"/>
      <c r="K323" s="1694"/>
      <c r="L323" s="1694"/>
      <c r="M323" s="1696"/>
      <c r="N323" s="952">
        <v>2024</v>
      </c>
      <c r="O323" s="1688"/>
    </row>
    <row r="324" spans="1:15" ht="15.75" customHeight="1" thickBot="1" x14ac:dyDescent="0.25">
      <c r="A324" s="46" t="s">
        <v>2379</v>
      </c>
      <c r="B324" s="894">
        <f ca="1">ExpBase!E1071</f>
        <v>950.78684940764629</v>
      </c>
      <c r="C324" s="47" t="s">
        <v>267</v>
      </c>
      <c r="D324" s="894">
        <v>3</v>
      </c>
      <c r="E324" s="48" t="s">
        <v>2531</v>
      </c>
      <c r="F324" s="889">
        <v>103000</v>
      </c>
      <c r="G324" s="894">
        <v>31815</v>
      </c>
      <c r="H324" s="47" t="s">
        <v>267</v>
      </c>
      <c r="I324" s="47">
        <v>2010</v>
      </c>
      <c r="J324" s="41"/>
      <c r="K324" s="47">
        <v>0.7</v>
      </c>
      <c r="L324" s="47">
        <v>2</v>
      </c>
      <c r="M324" s="936">
        <f ca="1">B324/G324</f>
        <v>2.9884860896044203E-2</v>
      </c>
      <c r="N324" s="953">
        <f>N$3/267.6</f>
        <v>1.5040582959641253</v>
      </c>
      <c r="O324" s="917">
        <f t="shared" ref="O324:O332" ca="1" si="24">D324*N324*F324*L324*M324^(K324)</f>
        <v>79628.587426385187</v>
      </c>
    </row>
    <row r="325" spans="1:15" ht="15.75" customHeight="1" thickBot="1" x14ac:dyDescent="0.25">
      <c r="A325" s="46" t="s">
        <v>1223</v>
      </c>
      <c r="B325" s="894">
        <f ca="1">ExpBase!E1071</f>
        <v>950.78684940764629</v>
      </c>
      <c r="C325" s="47" t="s">
        <v>267</v>
      </c>
      <c r="D325" s="894">
        <v>3</v>
      </c>
      <c r="E325" s="36"/>
      <c r="F325" s="889">
        <f>Inputs!F$867*Reserve!G$22</f>
        <v>11785.4295</v>
      </c>
      <c r="G325" s="897">
        <v>221115</v>
      </c>
      <c r="H325" s="47" t="s">
        <v>267</v>
      </c>
      <c r="I325" s="47">
        <v>2011</v>
      </c>
      <c r="J325" s="36"/>
      <c r="K325" s="47">
        <v>1</v>
      </c>
      <c r="L325" s="47">
        <v>2.1</v>
      </c>
      <c r="M325" s="936">
        <f t="shared" ref="M325:M332" ca="1" si="25">B325/G325</f>
        <v>4.2999653999396077E-3</v>
      </c>
      <c r="N325" s="953">
        <f>N$3/295.3</f>
        <v>1.3629732475448695</v>
      </c>
      <c r="O325" s="917">
        <f t="shared" ca="1" si="24"/>
        <v>435.14926701462122</v>
      </c>
    </row>
    <row r="326" spans="1:15" ht="15.75" customHeight="1" thickBot="1" x14ac:dyDescent="0.25">
      <c r="A326" s="46" t="s">
        <v>1201</v>
      </c>
      <c r="B326" s="894">
        <f ca="1">ExpBase!E1071</f>
        <v>950.78684940764629</v>
      </c>
      <c r="C326" s="47" t="s">
        <v>391</v>
      </c>
      <c r="D326" s="894">
        <v>3</v>
      </c>
      <c r="E326" s="36" t="s">
        <v>1147</v>
      </c>
      <c r="F326" s="889">
        <f>Inputs!F$868*Reserve!G$23</f>
        <v>2627323.6500000004</v>
      </c>
      <c r="G326" s="897">
        <v>32895</v>
      </c>
      <c r="H326" s="47" t="s">
        <v>391</v>
      </c>
      <c r="I326" s="47">
        <v>2011</v>
      </c>
      <c r="J326" s="36"/>
      <c r="K326" s="47">
        <v>0.7</v>
      </c>
      <c r="L326" s="47">
        <v>2</v>
      </c>
      <c r="M326" s="936">
        <f t="shared" ca="1" si="25"/>
        <v>2.8903688992480508E-2</v>
      </c>
      <c r="N326" s="953">
        <f>N$3/295.3</f>
        <v>1.3629732475448695</v>
      </c>
      <c r="O326" s="917">
        <f t="shared" ca="1" si="24"/>
        <v>1798123.2228001643</v>
      </c>
    </row>
    <row r="327" spans="1:15" ht="15.75" customHeight="1" thickBot="1" x14ac:dyDescent="0.25">
      <c r="A327" s="35" t="s">
        <v>1088</v>
      </c>
      <c r="B327" s="894">
        <f ca="1">B311</f>
        <v>9.8079576083000557E-4</v>
      </c>
      <c r="C327" s="47" t="s">
        <v>999</v>
      </c>
      <c r="D327" s="894">
        <v>3</v>
      </c>
      <c r="E327" s="36" t="s">
        <v>1152</v>
      </c>
      <c r="F327" s="889">
        <f>Inputs!F$863*Reserve!G$10</f>
        <v>91999.99960000001</v>
      </c>
      <c r="G327" s="897">
        <v>9.4</v>
      </c>
      <c r="H327" s="47" t="s">
        <v>999</v>
      </c>
      <c r="I327" s="47">
        <v>2010</v>
      </c>
      <c r="J327" s="36"/>
      <c r="K327" s="47">
        <v>0.7</v>
      </c>
      <c r="L327" s="47">
        <v>2.2000000000000002</v>
      </c>
      <c r="M327" s="936">
        <f t="shared" ca="1" si="25"/>
        <v>1.0433997455638357E-4</v>
      </c>
      <c r="N327" s="953">
        <f>N$3/267.6</f>
        <v>1.5040582959641253</v>
      </c>
      <c r="O327" s="917">
        <f t="shared" ca="1" si="24"/>
        <v>1491.1177465123089</v>
      </c>
    </row>
    <row r="328" spans="1:15" ht="15.75" customHeight="1" thickBot="1" x14ac:dyDescent="0.25">
      <c r="A328" s="46" t="s">
        <v>1226</v>
      </c>
      <c r="B328" s="894">
        <f ca="1">B311</f>
        <v>9.8079576083000557E-4</v>
      </c>
      <c r="C328" s="47" t="s">
        <v>1095</v>
      </c>
      <c r="D328" s="894">
        <v>3</v>
      </c>
      <c r="E328" s="36"/>
      <c r="F328" s="889">
        <f>Inputs!F$864*Reserve!G$25</f>
        <v>228225.99896999999</v>
      </c>
      <c r="G328" s="897">
        <v>4.415</v>
      </c>
      <c r="H328" s="47" t="s">
        <v>1095</v>
      </c>
      <c r="I328" s="47">
        <v>2013</v>
      </c>
      <c r="J328" s="36"/>
      <c r="K328" s="47">
        <v>0.7</v>
      </c>
      <c r="L328" s="47">
        <v>1.7</v>
      </c>
      <c r="M328" s="936">
        <f t="shared" ca="1" si="25"/>
        <v>2.2215079520498428E-4</v>
      </c>
      <c r="N328" s="953">
        <f>N$3/303.8</f>
        <v>1.3248387096774192</v>
      </c>
      <c r="O328" s="917">
        <f t="shared" ca="1" si="24"/>
        <v>4273.1861522534537</v>
      </c>
    </row>
    <row r="329" spans="1:15" ht="15.75" customHeight="1" thickBot="1" x14ac:dyDescent="0.25">
      <c r="A329" s="46" t="s">
        <v>1092</v>
      </c>
      <c r="B329" s="894">
        <f ca="1">ExpBase!E1100</f>
        <v>21.361043774298263</v>
      </c>
      <c r="C329" s="47" t="s">
        <v>267</v>
      </c>
      <c r="D329" s="894">
        <v>3</v>
      </c>
      <c r="E329" s="36" t="s">
        <v>1096</v>
      </c>
      <c r="F329" s="889">
        <f>Inputs!F$869*Reserve!G$26</f>
        <v>1355913</v>
      </c>
      <c r="G329" s="897">
        <v>390</v>
      </c>
      <c r="H329" s="47" t="s">
        <v>267</v>
      </c>
      <c r="I329" s="47">
        <v>2011</v>
      </c>
      <c r="J329" s="36"/>
      <c r="K329" s="47">
        <v>0.6</v>
      </c>
      <c r="L329" s="47">
        <v>1.0900000000000001</v>
      </c>
      <c r="M329" s="936">
        <f t="shared" ca="1" si="25"/>
        <v>5.4771907113585289E-2</v>
      </c>
      <c r="N329" s="953">
        <f>N$3/295.3</f>
        <v>1.3629732475448695</v>
      </c>
      <c r="O329" s="917">
        <f t="shared" ca="1" si="24"/>
        <v>1057795.2844331148</v>
      </c>
    </row>
    <row r="330" spans="1:15" ht="15.75" customHeight="1" thickBot="1" x14ac:dyDescent="0.25">
      <c r="A330" s="46" t="s">
        <v>1093</v>
      </c>
      <c r="B330" s="894">
        <f ca="1">ExpBase!E1100</f>
        <v>21.361043774298263</v>
      </c>
      <c r="C330" s="47" t="s">
        <v>267</v>
      </c>
      <c r="D330" s="894">
        <v>3</v>
      </c>
      <c r="E330" s="36" t="s">
        <v>1097</v>
      </c>
      <c r="F330" s="889">
        <f>Inputs!F$870*Reserve!G$27</f>
        <v>260597.05</v>
      </c>
      <c r="G330" s="897">
        <v>14665</v>
      </c>
      <c r="H330" s="47" t="s">
        <v>267</v>
      </c>
      <c r="I330" s="47">
        <v>2011</v>
      </c>
      <c r="J330" s="36"/>
      <c r="K330" s="47">
        <v>0.6</v>
      </c>
      <c r="L330" s="47">
        <v>1.1299999999999999</v>
      </c>
      <c r="M330" s="936">
        <f t="shared" ca="1" si="25"/>
        <v>1.4566003255573313E-3</v>
      </c>
      <c r="N330" s="953">
        <f>N$3/295.3</f>
        <v>1.3629732475448695</v>
      </c>
      <c r="O330" s="917">
        <f t="shared" ca="1" si="24"/>
        <v>23914.470339934105</v>
      </c>
    </row>
    <row r="331" spans="1:15" ht="15.75" customHeight="1" thickBot="1" x14ac:dyDescent="0.25">
      <c r="A331" s="46" t="s">
        <v>1094</v>
      </c>
      <c r="B331" s="894">
        <f ca="1">ExpBase!E1071</f>
        <v>950.78684940764629</v>
      </c>
      <c r="C331" s="47" t="s">
        <v>267</v>
      </c>
      <c r="D331" s="894">
        <v>3</v>
      </c>
      <c r="E331" s="36"/>
      <c r="F331" s="889">
        <f>Inputs!F$871*Reserve!G$28</f>
        <v>52969.722000000002</v>
      </c>
      <c r="G331" s="897">
        <v>119841</v>
      </c>
      <c r="H331" s="47" t="s">
        <v>267</v>
      </c>
      <c r="I331" s="47">
        <v>2011</v>
      </c>
      <c r="J331" s="36"/>
      <c r="K331" s="47">
        <v>1</v>
      </c>
      <c r="L331" s="47">
        <v>1.5</v>
      </c>
      <c r="M331" s="936">
        <f t="shared" ca="1" si="25"/>
        <v>7.9337359451910981E-3</v>
      </c>
      <c r="N331" s="953">
        <f>N$3/295.3</f>
        <v>1.3629732475448695</v>
      </c>
      <c r="O331" s="917">
        <f t="shared" ca="1" si="24"/>
        <v>2577.5392122817284</v>
      </c>
    </row>
    <row r="332" spans="1:15" ht="15.75" customHeight="1" thickBot="1" x14ac:dyDescent="0.25">
      <c r="A332" s="46" t="s">
        <v>2444</v>
      </c>
      <c r="B332" s="894">
        <f>G332</f>
        <v>1926</v>
      </c>
      <c r="C332" s="47" t="s">
        <v>2445</v>
      </c>
      <c r="D332" s="894">
        <v>3</v>
      </c>
      <c r="E332" s="41"/>
      <c r="F332" s="889">
        <v>128888</v>
      </c>
      <c r="G332" s="894">
        <v>1926</v>
      </c>
      <c r="H332" s="47" t="s">
        <v>2445</v>
      </c>
      <c r="I332" s="47">
        <v>2011</v>
      </c>
      <c r="J332" s="41"/>
      <c r="K332" s="47">
        <v>0.65</v>
      </c>
      <c r="L332" s="47">
        <v>1.8</v>
      </c>
      <c r="M332" s="936">
        <f t="shared" si="25"/>
        <v>1</v>
      </c>
      <c r="N332" s="953">
        <f>N$3/295.3</f>
        <v>1.3629732475448695</v>
      </c>
      <c r="O332" s="917">
        <f t="shared" si="24"/>
        <v>948622.83801964088</v>
      </c>
    </row>
    <row r="333" spans="1:15" ht="15.75" customHeight="1" thickBot="1" x14ac:dyDescent="0.25">
      <c r="A333" s="1677" t="s">
        <v>526</v>
      </c>
      <c r="B333" s="1678"/>
      <c r="C333" s="1678"/>
      <c r="D333" s="1678"/>
      <c r="E333" s="1678"/>
      <c r="F333" s="1678"/>
      <c r="G333" s="1678"/>
      <c r="H333" s="1678"/>
      <c r="I333" s="1678"/>
      <c r="J333" s="1678"/>
      <c r="K333" s="1678"/>
      <c r="L333" s="1678"/>
      <c r="M333" s="1678"/>
      <c r="N333" s="1679"/>
      <c r="O333" s="889">
        <f ca="1">SUM(O324:O332)</f>
        <v>3916861.3953973008</v>
      </c>
    </row>
    <row r="334" spans="1:15" ht="15.75" customHeight="1" x14ac:dyDescent="0.2">
      <c r="A334" s="197"/>
      <c r="B334" s="895"/>
      <c r="C334" s="197"/>
      <c r="D334" s="895"/>
      <c r="E334" s="197"/>
      <c r="F334" s="890"/>
      <c r="G334" s="895"/>
      <c r="H334" s="197"/>
      <c r="I334" s="197"/>
      <c r="J334" s="197"/>
      <c r="K334" s="197"/>
      <c r="L334" s="197"/>
      <c r="M334" s="937"/>
      <c r="N334" s="955"/>
      <c r="O334" s="929"/>
    </row>
    <row r="335" spans="1:15" ht="15.75" customHeight="1" thickBot="1" x14ac:dyDescent="0.25"/>
    <row r="336" spans="1:15" ht="15.75" customHeight="1" x14ac:dyDescent="0.2">
      <c r="A336" s="1949" t="s">
        <v>1011</v>
      </c>
      <c r="B336" s="1950"/>
      <c r="C336" s="1367"/>
      <c r="D336" s="1367"/>
      <c r="E336" s="1367"/>
      <c r="F336" s="1367"/>
      <c r="G336" s="1367"/>
      <c r="H336" s="1367"/>
      <c r="I336" s="1367"/>
      <c r="J336" s="1367"/>
      <c r="K336" s="1367"/>
      <c r="L336" s="1367"/>
      <c r="M336" s="1367"/>
      <c r="N336" s="1367"/>
      <c r="O336" s="1368"/>
    </row>
    <row r="337" spans="1:15" ht="15.75" customHeight="1" thickBot="1" x14ac:dyDescent="0.25">
      <c r="A337" s="1952"/>
      <c r="B337" s="1953"/>
      <c r="C337" s="1369"/>
      <c r="D337" s="1369"/>
      <c r="E337" s="1369"/>
      <c r="F337" s="1369"/>
      <c r="G337" s="1369"/>
      <c r="H337" s="1369"/>
      <c r="I337" s="1369"/>
      <c r="J337" s="1369"/>
      <c r="K337" s="1369"/>
      <c r="L337" s="1369"/>
      <c r="M337" s="1369"/>
      <c r="N337" s="1369"/>
      <c r="O337" s="1370"/>
    </row>
    <row r="338" spans="1:15" ht="15.75" customHeight="1" thickBot="1" x14ac:dyDescent="0.25">
      <c r="A338" s="1680" t="s">
        <v>509</v>
      </c>
      <c r="B338" s="1681"/>
      <c r="C338" s="1681"/>
      <c r="D338" s="1681"/>
      <c r="E338" s="1681"/>
      <c r="F338" s="1681"/>
      <c r="G338" s="1681"/>
      <c r="H338" s="1681"/>
      <c r="I338" s="1681"/>
      <c r="J338" s="1681"/>
      <c r="K338" s="1681"/>
      <c r="L338" s="1681"/>
      <c r="M338" s="1681"/>
      <c r="N338" s="1681"/>
      <c r="O338" s="1682"/>
    </row>
    <row r="339" spans="1:15" ht="15.75" customHeight="1" thickBot="1" x14ac:dyDescent="0.25">
      <c r="A339" s="1683" t="s">
        <v>510</v>
      </c>
      <c r="B339" s="1684"/>
      <c r="C339" s="1684"/>
      <c r="D339" s="1684"/>
      <c r="E339" s="1685"/>
      <c r="F339" s="1683" t="s">
        <v>511</v>
      </c>
      <c r="G339" s="1684"/>
      <c r="H339" s="1684"/>
      <c r="I339" s="1684"/>
      <c r="J339" s="1685"/>
      <c r="K339" s="1683" t="s">
        <v>512</v>
      </c>
      <c r="L339" s="1684"/>
      <c r="M339" s="1684"/>
      <c r="N339" s="1685"/>
      <c r="O339" s="1686" t="s">
        <v>513</v>
      </c>
    </row>
    <row r="340" spans="1:15" ht="15.75" customHeight="1" x14ac:dyDescent="0.2">
      <c r="A340" s="1689" t="s">
        <v>514</v>
      </c>
      <c r="B340" s="1691" t="s">
        <v>515</v>
      </c>
      <c r="C340" s="1693" t="s">
        <v>372</v>
      </c>
      <c r="D340" s="1691" t="s">
        <v>516</v>
      </c>
      <c r="E340" s="1689" t="s">
        <v>517</v>
      </c>
      <c r="F340" s="1686" t="s">
        <v>518</v>
      </c>
      <c r="G340" s="1691" t="s">
        <v>515</v>
      </c>
      <c r="H340" s="1693" t="s">
        <v>372</v>
      </c>
      <c r="I340" s="1693" t="s">
        <v>519</v>
      </c>
      <c r="J340" s="1689" t="s">
        <v>520</v>
      </c>
      <c r="K340" s="1693" t="s">
        <v>521</v>
      </c>
      <c r="L340" s="1693" t="s">
        <v>522</v>
      </c>
      <c r="M340" s="1695" t="s">
        <v>523</v>
      </c>
      <c r="N340" s="951" t="s">
        <v>527</v>
      </c>
      <c r="O340" s="1687"/>
    </row>
    <row r="341" spans="1:15" ht="15.75" customHeight="1" thickBot="1" x14ac:dyDescent="0.25">
      <c r="A341" s="1690"/>
      <c r="B341" s="1692"/>
      <c r="C341" s="1694"/>
      <c r="D341" s="1692"/>
      <c r="E341" s="1690"/>
      <c r="F341" s="1688"/>
      <c r="G341" s="1692"/>
      <c r="H341" s="1694"/>
      <c r="I341" s="1694"/>
      <c r="J341" s="1690"/>
      <c r="K341" s="1694"/>
      <c r="L341" s="1694"/>
      <c r="M341" s="1696"/>
      <c r="N341" s="952">
        <v>2024</v>
      </c>
      <c r="O341" s="1688"/>
    </row>
    <row r="342" spans="1:15" ht="15.75" customHeight="1" thickBot="1" x14ac:dyDescent="0.25">
      <c r="A342" s="46" t="s">
        <v>2379</v>
      </c>
      <c r="B342" s="894">
        <f ca="1">ExpBase!E1071</f>
        <v>950.78684940764629</v>
      </c>
      <c r="C342" s="47" t="s">
        <v>267</v>
      </c>
      <c r="D342" s="894">
        <v>2</v>
      </c>
      <c r="E342" s="48" t="s">
        <v>2531</v>
      </c>
      <c r="F342" s="889">
        <v>103000</v>
      </c>
      <c r="G342" s="894">
        <v>31815</v>
      </c>
      <c r="H342" s="47" t="s">
        <v>267</v>
      </c>
      <c r="I342" s="47">
        <v>2010</v>
      </c>
      <c r="J342" s="41"/>
      <c r="K342" s="47">
        <v>0.7</v>
      </c>
      <c r="L342" s="47">
        <v>2</v>
      </c>
      <c r="M342" s="935">
        <f ca="1">B342/G342</f>
        <v>2.9884860896044203E-2</v>
      </c>
      <c r="N342" s="953">
        <f>N$3/267.6</f>
        <v>1.5040582959641253</v>
      </c>
      <c r="O342" s="917">
        <f ca="1">D342*N342*F342*L342*M342^(K342)</f>
        <v>53085.724950923446</v>
      </c>
    </row>
    <row r="343" spans="1:15" ht="15.75" customHeight="1" thickBot="1" x14ac:dyDescent="0.25">
      <c r="A343" s="35" t="s">
        <v>1026</v>
      </c>
      <c r="B343" s="894">
        <f ca="1">ExpBase!E1071</f>
        <v>950.78684940764629</v>
      </c>
      <c r="C343" s="47" t="s">
        <v>267</v>
      </c>
      <c r="D343" s="894">
        <v>2</v>
      </c>
      <c r="E343" s="36"/>
      <c r="F343" s="917">
        <v>13</v>
      </c>
      <c r="G343" s="897">
        <v>1</v>
      </c>
      <c r="H343" s="47" t="s">
        <v>267</v>
      </c>
      <c r="I343" s="47">
        <v>2007</v>
      </c>
      <c r="J343" s="36"/>
      <c r="K343" s="47">
        <v>0.7</v>
      </c>
      <c r="L343" s="47">
        <v>2.7</v>
      </c>
      <c r="M343" s="935">
        <f ca="1">B343/G343</f>
        <v>950.78684940764629</v>
      </c>
      <c r="N343" s="953">
        <f>N$3/213.2</f>
        <v>1.8878330206378988</v>
      </c>
      <c r="O343" s="917">
        <f ca="1">D343*N343*F343*L343*M343^(K343)</f>
        <v>16104.93241769869</v>
      </c>
    </row>
    <row r="344" spans="1:15" ht="15.75" customHeight="1" thickBot="1" x14ac:dyDescent="0.25">
      <c r="A344" s="64" t="s">
        <v>1027</v>
      </c>
      <c r="B344" s="894">
        <f ca="1">ExpBase!E1071</f>
        <v>950.78684940764629</v>
      </c>
      <c r="C344" s="47" t="s">
        <v>267</v>
      </c>
      <c r="D344" s="894">
        <v>2</v>
      </c>
      <c r="E344" s="36"/>
      <c r="F344" s="917">
        <v>0.5</v>
      </c>
      <c r="G344" s="897">
        <v>1</v>
      </c>
      <c r="H344" s="47" t="s">
        <v>267</v>
      </c>
      <c r="I344" s="47">
        <v>1997</v>
      </c>
      <c r="J344" s="36"/>
      <c r="K344" s="47">
        <v>0.7</v>
      </c>
      <c r="L344" s="47">
        <v>2.7</v>
      </c>
      <c r="M344" s="935">
        <f ca="1">B344/G344</f>
        <v>950.78684940764629</v>
      </c>
      <c r="N344" s="953">
        <f>N$3/146.2</f>
        <v>2.752982216142271</v>
      </c>
      <c r="O344" s="917">
        <f ca="1">D344*N344*F344*L344*M344^(K344)</f>
        <v>903.28622315409893</v>
      </c>
    </row>
    <row r="345" spans="1:15" ht="15.75" customHeight="1" thickBot="1" x14ac:dyDescent="0.25">
      <c r="A345" s="35" t="s">
        <v>901</v>
      </c>
      <c r="B345" s="894">
        <v>0.5</v>
      </c>
      <c r="C345" s="47" t="s">
        <v>999</v>
      </c>
      <c r="D345" s="894">
        <v>2</v>
      </c>
      <c r="E345" s="36" t="s">
        <v>1028</v>
      </c>
      <c r="F345" s="917">
        <v>3500</v>
      </c>
      <c r="G345" s="897">
        <v>1</v>
      </c>
      <c r="H345" s="47" t="s">
        <v>999</v>
      </c>
      <c r="I345" s="47">
        <v>2007</v>
      </c>
      <c r="J345" s="36"/>
      <c r="K345" s="47">
        <v>0.5</v>
      </c>
      <c r="L345" s="47">
        <v>2.7</v>
      </c>
      <c r="M345" s="935">
        <f>B345/G345</f>
        <v>0.5</v>
      </c>
      <c r="N345" s="953">
        <f>N$3/213.2</f>
        <v>1.8878330206378988</v>
      </c>
      <c r="O345" s="917">
        <f>D345*N345*F345*L345*M345^(K345)</f>
        <v>25229.601129113802</v>
      </c>
    </row>
    <row r="346" spans="1:15" ht="15.75" customHeight="1" thickBot="1" x14ac:dyDescent="0.25">
      <c r="A346" s="35" t="s">
        <v>538</v>
      </c>
      <c r="B346" s="894">
        <v>0.5</v>
      </c>
      <c r="C346" s="47" t="s">
        <v>999</v>
      </c>
      <c r="D346" s="894">
        <v>2</v>
      </c>
      <c r="E346" s="36"/>
      <c r="F346" s="917">
        <v>4100</v>
      </c>
      <c r="G346" s="897">
        <v>1</v>
      </c>
      <c r="H346" s="47" t="s">
        <v>999</v>
      </c>
      <c r="I346" s="47">
        <v>2007</v>
      </c>
      <c r="J346" s="36"/>
      <c r="K346" s="47">
        <v>1</v>
      </c>
      <c r="L346" s="47">
        <v>2.7</v>
      </c>
      <c r="M346" s="935">
        <f>B346/G346</f>
        <v>0.5</v>
      </c>
      <c r="N346" s="953">
        <f>N$3/213.2</f>
        <v>1.8878330206378988</v>
      </c>
      <c r="O346" s="917">
        <f>D346*N346*F346*L346*M346^(K346)</f>
        <v>20898.311538461541</v>
      </c>
    </row>
    <row r="347" spans="1:15" ht="15.75" customHeight="1" thickBot="1" x14ac:dyDescent="0.25">
      <c r="A347" s="1677" t="s">
        <v>526</v>
      </c>
      <c r="B347" s="1678"/>
      <c r="C347" s="1678"/>
      <c r="D347" s="1678"/>
      <c r="E347" s="1678"/>
      <c r="F347" s="1678"/>
      <c r="G347" s="1678"/>
      <c r="H347" s="1678"/>
      <c r="I347" s="1678"/>
      <c r="J347" s="1678"/>
      <c r="K347" s="1678"/>
      <c r="L347" s="1678"/>
      <c r="M347" s="1678"/>
      <c r="N347" s="1679"/>
      <c r="O347" s="889">
        <f ca="1">SUM(O342:O346)</f>
        <v>116221.85625935157</v>
      </c>
    </row>
    <row r="348" spans="1:15" ht="15.75" customHeight="1" x14ac:dyDescent="0.2">
      <c r="A348" s="197"/>
      <c r="B348" s="895"/>
      <c r="C348" s="197"/>
      <c r="D348" s="895"/>
      <c r="E348" s="197"/>
      <c r="F348" s="890"/>
      <c r="G348" s="895"/>
      <c r="H348" s="197"/>
      <c r="I348" s="197"/>
      <c r="J348" s="197"/>
      <c r="K348" s="197"/>
      <c r="L348" s="197"/>
      <c r="M348" s="937"/>
      <c r="N348" s="955"/>
      <c r="O348" s="929"/>
    </row>
    <row r="349" spans="1:15" ht="15.75" customHeight="1" x14ac:dyDescent="0.2">
      <c r="A349" s="197"/>
      <c r="B349" s="895"/>
      <c r="C349" s="197"/>
      <c r="D349" s="895"/>
      <c r="E349" s="197"/>
      <c r="F349" s="890"/>
      <c r="G349" s="895"/>
      <c r="H349" s="197"/>
      <c r="I349" s="197"/>
      <c r="J349" s="197"/>
      <c r="K349" s="197"/>
      <c r="L349" s="197"/>
      <c r="M349" s="937"/>
      <c r="N349" s="955"/>
      <c r="O349" s="891"/>
    </row>
    <row r="350" spans="1:15" ht="15.75" customHeight="1" x14ac:dyDescent="0.2">
      <c r="A350" s="1948" t="s">
        <v>1419</v>
      </c>
      <c r="B350" s="1948"/>
      <c r="C350" s="1371"/>
      <c r="D350" s="1371"/>
      <c r="E350" s="1371"/>
      <c r="F350" s="1371"/>
      <c r="G350" s="1371"/>
      <c r="H350" s="1371"/>
      <c r="I350" s="1371"/>
      <c r="J350" s="1371"/>
      <c r="K350" s="1371"/>
      <c r="L350" s="1371"/>
      <c r="M350" s="1371"/>
      <c r="N350" s="1371"/>
      <c r="O350" s="1371"/>
    </row>
    <row r="351" spans="1:15" ht="15.75" customHeight="1" x14ac:dyDescent="0.2">
      <c r="A351" s="1948"/>
      <c r="B351" s="1948"/>
      <c r="C351" s="1371"/>
      <c r="D351" s="1371"/>
      <c r="E351" s="1371"/>
      <c r="F351" s="1371"/>
      <c r="G351" s="1371"/>
      <c r="H351" s="1371"/>
      <c r="I351" s="1371"/>
      <c r="J351" s="1371"/>
      <c r="K351" s="1371"/>
      <c r="L351" s="1371"/>
      <c r="M351" s="1371"/>
      <c r="N351" s="1371"/>
      <c r="O351" s="1371"/>
    </row>
    <row r="352" spans="1:15" ht="15.75" customHeight="1" x14ac:dyDescent="0.2">
      <c r="A352" s="197"/>
      <c r="B352" s="895"/>
      <c r="C352" s="197"/>
      <c r="D352" s="895"/>
      <c r="E352" s="197"/>
      <c r="F352" s="890"/>
      <c r="G352" s="895"/>
      <c r="H352" s="197"/>
      <c r="I352" s="197"/>
      <c r="J352" s="197"/>
      <c r="K352" s="197"/>
      <c r="L352" s="197"/>
      <c r="M352" s="937"/>
      <c r="N352" s="955"/>
      <c r="O352" s="891"/>
    </row>
    <row r="353" spans="1:15" ht="15.75" customHeight="1" thickBot="1" x14ac:dyDescent="0.25"/>
    <row r="354" spans="1:15" ht="15.75" customHeight="1" x14ac:dyDescent="0.2">
      <c r="A354" s="1795" t="s">
        <v>2466</v>
      </c>
      <c r="B354" s="1796"/>
      <c r="C354" s="1372"/>
      <c r="D354" s="1372"/>
      <c r="E354" s="1372"/>
      <c r="F354" s="1372"/>
      <c r="G354" s="1372"/>
      <c r="H354" s="1372"/>
      <c r="I354" s="1372"/>
      <c r="J354" s="1372"/>
      <c r="K354" s="1372"/>
      <c r="L354" s="1372"/>
      <c r="M354" s="1372"/>
      <c r="N354" s="1372"/>
      <c r="O354" s="1373"/>
    </row>
    <row r="355" spans="1:15" ht="15.75" customHeight="1" thickBot="1" x14ac:dyDescent="0.25">
      <c r="A355" s="1798"/>
      <c r="B355" s="1799"/>
      <c r="C355" s="1374"/>
      <c r="D355" s="1374"/>
      <c r="E355" s="1374"/>
      <c r="F355" s="1374"/>
      <c r="G355" s="1374"/>
      <c r="H355" s="1374"/>
      <c r="I355" s="1374"/>
      <c r="J355" s="1374"/>
      <c r="K355" s="1374"/>
      <c r="L355" s="1374"/>
      <c r="M355" s="1374"/>
      <c r="N355" s="1374"/>
      <c r="O355" s="1375"/>
    </row>
    <row r="356" spans="1:15" ht="15.75" customHeight="1" thickBot="1" x14ac:dyDescent="0.25">
      <c r="A356" s="1680" t="s">
        <v>509</v>
      </c>
      <c r="B356" s="1681"/>
      <c r="C356" s="1681"/>
      <c r="D356" s="1681"/>
      <c r="E356" s="1681"/>
      <c r="F356" s="1681"/>
      <c r="G356" s="1681"/>
      <c r="H356" s="1681"/>
      <c r="I356" s="1681"/>
      <c r="J356" s="1681"/>
      <c r="K356" s="1681"/>
      <c r="L356" s="1681"/>
      <c r="M356" s="1681"/>
      <c r="N356" s="1681"/>
      <c r="O356" s="1682"/>
    </row>
    <row r="357" spans="1:15" ht="15.75" customHeight="1" thickBot="1" x14ac:dyDescent="0.25">
      <c r="A357" s="1683" t="s">
        <v>510</v>
      </c>
      <c r="B357" s="1684"/>
      <c r="C357" s="1684"/>
      <c r="D357" s="1684"/>
      <c r="E357" s="1685"/>
      <c r="F357" s="1683" t="s">
        <v>511</v>
      </c>
      <c r="G357" s="1684"/>
      <c r="H357" s="1684"/>
      <c r="I357" s="1684"/>
      <c r="J357" s="1685"/>
      <c r="K357" s="1683" t="s">
        <v>512</v>
      </c>
      <c r="L357" s="1684"/>
      <c r="M357" s="1684"/>
      <c r="N357" s="1685"/>
      <c r="O357" s="1686" t="s">
        <v>513</v>
      </c>
    </row>
    <row r="358" spans="1:15" ht="15.75" customHeight="1" x14ac:dyDescent="0.2">
      <c r="A358" s="1689" t="s">
        <v>514</v>
      </c>
      <c r="B358" s="1691" t="s">
        <v>515</v>
      </c>
      <c r="C358" s="1693" t="s">
        <v>372</v>
      </c>
      <c r="D358" s="1691" t="s">
        <v>516</v>
      </c>
      <c r="E358" s="1689" t="s">
        <v>517</v>
      </c>
      <c r="F358" s="1686" t="s">
        <v>518</v>
      </c>
      <c r="G358" s="1691" t="s">
        <v>515</v>
      </c>
      <c r="H358" s="1693" t="s">
        <v>372</v>
      </c>
      <c r="I358" s="1693" t="s">
        <v>519</v>
      </c>
      <c r="J358" s="1689" t="s">
        <v>520</v>
      </c>
      <c r="K358" s="1693" t="s">
        <v>521</v>
      </c>
      <c r="L358" s="1693" t="s">
        <v>522</v>
      </c>
      <c r="M358" s="1695" t="s">
        <v>523</v>
      </c>
      <c r="N358" s="951" t="s">
        <v>527</v>
      </c>
      <c r="O358" s="1687"/>
    </row>
    <row r="359" spans="1:15" ht="15.75" customHeight="1" thickBot="1" x14ac:dyDescent="0.25">
      <c r="A359" s="1690"/>
      <c r="B359" s="1692"/>
      <c r="C359" s="1694"/>
      <c r="D359" s="1692"/>
      <c r="E359" s="1690"/>
      <c r="F359" s="1688"/>
      <c r="G359" s="1692"/>
      <c r="H359" s="1694"/>
      <c r="I359" s="1694"/>
      <c r="J359" s="1690"/>
      <c r="K359" s="1694"/>
      <c r="L359" s="1694"/>
      <c r="M359" s="1696"/>
      <c r="N359" s="952">
        <v>2024</v>
      </c>
      <c r="O359" s="1688"/>
    </row>
    <row r="360" spans="1:15" ht="15.75" customHeight="1" thickBot="1" x14ac:dyDescent="0.25">
      <c r="A360" s="46" t="s">
        <v>2355</v>
      </c>
      <c r="B360" s="894">
        <f ca="1">B379</f>
        <v>59.464581494387097</v>
      </c>
      <c r="C360" s="47" t="s">
        <v>608</v>
      </c>
      <c r="D360" s="894">
        <v>2</v>
      </c>
      <c r="E360" s="41"/>
      <c r="F360" s="889">
        <v>2500000</v>
      </c>
      <c r="G360" s="894">
        <v>53820</v>
      </c>
      <c r="H360" s="47" t="s">
        <v>608</v>
      </c>
      <c r="I360" s="47">
        <v>2011</v>
      </c>
      <c r="J360" s="41"/>
      <c r="K360" s="47">
        <v>0.8</v>
      </c>
      <c r="L360" s="47">
        <v>1.5</v>
      </c>
      <c r="M360" s="936">
        <f t="shared" ref="M360:M380" ca="1" si="26">B360/G360</f>
        <v>1.1048788832104626E-3</v>
      </c>
      <c r="N360" s="953">
        <f>N$3/295.3</f>
        <v>1.3629732475448695</v>
      </c>
      <c r="O360" s="917">
        <f t="shared" ref="O360:O380" ca="1" si="27">D360*N360*F360*L360*M360^(K360)</f>
        <v>44075.813180509009</v>
      </c>
    </row>
    <row r="361" spans="1:15" ht="15.75" customHeight="1" thickBot="1" x14ac:dyDescent="0.25">
      <c r="A361" s="46" t="s">
        <v>2359</v>
      </c>
      <c r="B361" s="894">
        <f ca="1">B374*0.1</f>
        <v>4809.3884486476118</v>
      </c>
      <c r="C361" s="47" t="s">
        <v>267</v>
      </c>
      <c r="D361" s="894">
        <v>2</v>
      </c>
      <c r="E361" s="48" t="s">
        <v>1610</v>
      </c>
      <c r="F361" s="889">
        <v>11358</v>
      </c>
      <c r="G361" s="894">
        <v>43149</v>
      </c>
      <c r="H361" s="47" t="s">
        <v>267</v>
      </c>
      <c r="I361" s="47">
        <v>2018</v>
      </c>
      <c r="J361" s="41"/>
      <c r="K361" s="47">
        <v>0.8</v>
      </c>
      <c r="L361" s="47">
        <v>2.2999999999999998</v>
      </c>
      <c r="M361" s="936">
        <f t="shared" ca="1" si="26"/>
        <v>0.11146002105837011</v>
      </c>
      <c r="N361" s="953">
        <f>N$3/329.7</f>
        <v>1.220764331210191</v>
      </c>
      <c r="O361" s="917">
        <f t="shared" ca="1" si="27"/>
        <v>11025.208824934285</v>
      </c>
    </row>
    <row r="362" spans="1:15" ht="15.75" customHeight="1" thickBot="1" x14ac:dyDescent="0.25">
      <c r="A362" s="46" t="s">
        <v>2359</v>
      </c>
      <c r="B362" s="894">
        <f ca="1">B361*0.5</f>
        <v>2404.6942243238059</v>
      </c>
      <c r="C362" s="47" t="s">
        <v>267</v>
      </c>
      <c r="D362" s="894">
        <v>2</v>
      </c>
      <c r="E362" s="48" t="s">
        <v>1610</v>
      </c>
      <c r="F362" s="889">
        <v>11358</v>
      </c>
      <c r="G362" s="894">
        <v>43149</v>
      </c>
      <c r="H362" s="47" t="s">
        <v>267</v>
      </c>
      <c r="I362" s="47">
        <v>2018</v>
      </c>
      <c r="J362" s="41"/>
      <c r="K362" s="47">
        <v>0.8</v>
      </c>
      <c r="L362" s="47">
        <v>2.2999999999999998</v>
      </c>
      <c r="M362" s="936">
        <f t="shared" ca="1" si="26"/>
        <v>5.5730010529185053E-2</v>
      </c>
      <c r="N362" s="953">
        <f>N$3/329.7</f>
        <v>1.220764331210191</v>
      </c>
      <c r="O362" s="917">
        <f t="shared" ca="1" si="27"/>
        <v>6332.3196203504021</v>
      </c>
    </row>
    <row r="363" spans="1:15" ht="15.75" customHeight="1" thickBot="1" x14ac:dyDescent="0.25">
      <c r="A363" s="46" t="s">
        <v>2359</v>
      </c>
      <c r="B363" s="894">
        <f ca="1">B362*0.5</f>
        <v>1202.3471121619029</v>
      </c>
      <c r="C363" s="47" t="s">
        <v>267</v>
      </c>
      <c r="D363" s="894">
        <v>2</v>
      </c>
      <c r="E363" s="48" t="s">
        <v>1610</v>
      </c>
      <c r="F363" s="889">
        <v>11358</v>
      </c>
      <c r="G363" s="894">
        <v>43149</v>
      </c>
      <c r="H363" s="47" t="s">
        <v>267</v>
      </c>
      <c r="I363" s="47">
        <v>2018</v>
      </c>
      <c r="J363" s="41"/>
      <c r="K363" s="47">
        <v>0.8</v>
      </c>
      <c r="L363" s="47">
        <v>2.2999999999999998</v>
      </c>
      <c r="M363" s="936">
        <f t="shared" ca="1" si="26"/>
        <v>2.7865005264592527E-2</v>
      </c>
      <c r="N363" s="953">
        <f>N$3/329.7</f>
        <v>1.220764331210191</v>
      </c>
      <c r="O363" s="917">
        <f t="shared" ca="1" si="27"/>
        <v>3636.9625656059784</v>
      </c>
    </row>
    <row r="364" spans="1:15" ht="15.75" customHeight="1" thickBot="1" x14ac:dyDescent="0.25">
      <c r="A364" s="35" t="s">
        <v>2360</v>
      </c>
      <c r="B364" s="894">
        <f ca="1">B376*0.1</f>
        <v>696.08970653537313</v>
      </c>
      <c r="C364" s="47" t="s">
        <v>1</v>
      </c>
      <c r="D364" s="894">
        <v>2</v>
      </c>
      <c r="E364" s="36" t="s">
        <v>530</v>
      </c>
      <c r="F364" s="917">
        <f>Inputs!F$847</f>
        <v>188.34</v>
      </c>
      <c r="G364" s="897">
        <v>0.76</v>
      </c>
      <c r="H364" s="47" t="s">
        <v>1</v>
      </c>
      <c r="I364" s="47">
        <v>2022</v>
      </c>
      <c r="J364" s="36">
        <v>6</v>
      </c>
      <c r="K364" s="47">
        <v>0.7</v>
      </c>
      <c r="L364" s="47">
        <v>1.8</v>
      </c>
      <c r="M364" s="936">
        <f t="shared" ca="1" si="26"/>
        <v>915.90750859917512</v>
      </c>
      <c r="N364" s="953">
        <f>N$3/432.15</f>
        <v>0.93135716765012155</v>
      </c>
      <c r="O364" s="917">
        <f t="shared" ca="1" si="27"/>
        <v>74757.963410028475</v>
      </c>
    </row>
    <row r="365" spans="1:15" ht="15.75" customHeight="1" thickBot="1" x14ac:dyDescent="0.25">
      <c r="A365" s="35" t="s">
        <v>2361</v>
      </c>
      <c r="B365" s="894">
        <f ca="1">B377*0.1</f>
        <v>1392.1794130707463</v>
      </c>
      <c r="C365" s="47" t="s">
        <v>7</v>
      </c>
      <c r="D365" s="894">
        <v>2</v>
      </c>
      <c r="E365" s="64" t="s">
        <v>857</v>
      </c>
      <c r="F365" s="917">
        <f>CostCalc!F$714</f>
        <v>8.35</v>
      </c>
      <c r="G365" s="897">
        <f>ROUNDUP(CostCalc!G$714,2)</f>
        <v>9.9999999999999992E-2</v>
      </c>
      <c r="H365" s="47" t="s">
        <v>7</v>
      </c>
      <c r="I365" s="47">
        <v>2022</v>
      </c>
      <c r="J365" s="36">
        <v>3</v>
      </c>
      <c r="K365" s="47">
        <v>0.7</v>
      </c>
      <c r="L365" s="47">
        <v>1.5</v>
      </c>
      <c r="M365" s="936">
        <f t="shared" ca="1" si="26"/>
        <v>13921.794130707463</v>
      </c>
      <c r="N365" s="953">
        <f>N$3/432.15</f>
        <v>0.93135716765012155</v>
      </c>
      <c r="O365" s="917">
        <f t="shared" ca="1" si="27"/>
        <v>18557.122581101907</v>
      </c>
    </row>
    <row r="366" spans="1:15" ht="15.75" customHeight="1" thickBot="1" x14ac:dyDescent="0.25">
      <c r="A366" s="46" t="s">
        <v>2362</v>
      </c>
      <c r="B366" s="894">
        <f ca="1">B361*1.02</f>
        <v>4905.5762176205644</v>
      </c>
      <c r="C366" s="47" t="s">
        <v>267</v>
      </c>
      <c r="D366" s="894">
        <v>2</v>
      </c>
      <c r="E366" s="48" t="s">
        <v>1610</v>
      </c>
      <c r="F366" s="889">
        <v>11358</v>
      </c>
      <c r="G366" s="894">
        <v>43149</v>
      </c>
      <c r="H366" s="47" t="s">
        <v>267</v>
      </c>
      <c r="I366" s="47">
        <v>2018</v>
      </c>
      <c r="J366" s="41"/>
      <c r="K366" s="47">
        <v>0.8</v>
      </c>
      <c r="L366" s="47">
        <v>2.2999999999999998</v>
      </c>
      <c r="M366" s="936">
        <f t="shared" ca="1" si="26"/>
        <v>0.11368922147953751</v>
      </c>
      <c r="N366" s="953">
        <f>N$3/329.7</f>
        <v>1.220764331210191</v>
      </c>
      <c r="O366" s="917">
        <f t="shared" ca="1" si="27"/>
        <v>11201.262151249228</v>
      </c>
    </row>
    <row r="367" spans="1:15" ht="15.75" customHeight="1" thickBot="1" x14ac:dyDescent="0.25">
      <c r="A367" s="46" t="s">
        <v>2362</v>
      </c>
      <c r="B367" s="894">
        <f ca="1">B362*1.15</f>
        <v>2765.3983579723767</v>
      </c>
      <c r="C367" s="47" t="s">
        <v>267</v>
      </c>
      <c r="D367" s="894">
        <v>2</v>
      </c>
      <c r="E367" s="48" t="s">
        <v>1610</v>
      </c>
      <c r="F367" s="889">
        <v>11358</v>
      </c>
      <c r="G367" s="894">
        <v>43149</v>
      </c>
      <c r="H367" s="47" t="s">
        <v>267</v>
      </c>
      <c r="I367" s="47">
        <v>2018</v>
      </c>
      <c r="J367" s="41"/>
      <c r="K367" s="47">
        <v>0.8</v>
      </c>
      <c r="L367" s="47">
        <v>2.2999999999999998</v>
      </c>
      <c r="M367" s="936">
        <f t="shared" ca="1" si="26"/>
        <v>6.4089512108562813E-2</v>
      </c>
      <c r="N367" s="953">
        <f>N$3/329.7</f>
        <v>1.220764331210191</v>
      </c>
      <c r="O367" s="917">
        <f t="shared" ca="1" si="27"/>
        <v>7081.4321735089934</v>
      </c>
    </row>
    <row r="368" spans="1:15" ht="15.75" customHeight="1" thickBot="1" x14ac:dyDescent="0.25">
      <c r="A368" s="35" t="s">
        <v>2363</v>
      </c>
      <c r="B368" s="894">
        <f ca="1">B364*1.02</f>
        <v>710.01150066608056</v>
      </c>
      <c r="C368" s="47" t="s">
        <v>1</v>
      </c>
      <c r="D368" s="894">
        <v>2</v>
      </c>
      <c r="E368" s="36" t="s">
        <v>530</v>
      </c>
      <c r="F368" s="917">
        <f>Inputs!F$847</f>
        <v>188.34</v>
      </c>
      <c r="G368" s="897">
        <v>0.76</v>
      </c>
      <c r="H368" s="47" t="s">
        <v>1</v>
      </c>
      <c r="I368" s="47">
        <v>2022</v>
      </c>
      <c r="J368" s="36">
        <v>6</v>
      </c>
      <c r="K368" s="47">
        <v>0.7</v>
      </c>
      <c r="L368" s="47">
        <v>1.8</v>
      </c>
      <c r="M368" s="936">
        <f t="shared" ca="1" si="26"/>
        <v>934.22565877115858</v>
      </c>
      <c r="N368" s="953">
        <f>N$3/432.15</f>
        <v>0.93135716765012155</v>
      </c>
      <c r="O368" s="917">
        <f t="shared" ca="1" si="27"/>
        <v>75801.461966339964</v>
      </c>
    </row>
    <row r="369" spans="1:15" ht="15.75" customHeight="1" thickBot="1" x14ac:dyDescent="0.25">
      <c r="A369" s="35" t="s">
        <v>2364</v>
      </c>
      <c r="B369" s="894">
        <f ca="1">B365*1.02</f>
        <v>1420.0230013321611</v>
      </c>
      <c r="C369" s="47" t="s">
        <v>7</v>
      </c>
      <c r="D369" s="894">
        <v>2</v>
      </c>
      <c r="E369" s="64" t="s">
        <v>857</v>
      </c>
      <c r="F369" s="917">
        <f>CostCalc!F$714</f>
        <v>8.35</v>
      </c>
      <c r="G369" s="897">
        <f>ROUNDUP(CostCalc!G$714,2)</f>
        <v>9.9999999999999992E-2</v>
      </c>
      <c r="H369" s="47" t="s">
        <v>7</v>
      </c>
      <c r="I369" s="47">
        <v>2022</v>
      </c>
      <c r="J369" s="36">
        <v>3</v>
      </c>
      <c r="K369" s="47">
        <v>0.7</v>
      </c>
      <c r="L369" s="47">
        <v>1.5</v>
      </c>
      <c r="M369" s="936">
        <f t="shared" ca="1" si="26"/>
        <v>14200.230013321612</v>
      </c>
      <c r="N369" s="953">
        <f>N$3/432.15</f>
        <v>0.93135716765012155</v>
      </c>
      <c r="O369" s="917">
        <f t="shared" ca="1" si="27"/>
        <v>18816.14957621232</v>
      </c>
    </row>
    <row r="370" spans="1:15" ht="15.75" customHeight="1" thickBot="1" x14ac:dyDescent="0.25">
      <c r="A370" s="46" t="s">
        <v>2365</v>
      </c>
      <c r="B370" s="894">
        <f ca="1">B361*1.05</f>
        <v>5049.8578710799929</v>
      </c>
      <c r="C370" s="47" t="s">
        <v>267</v>
      </c>
      <c r="D370" s="894">
        <v>2</v>
      </c>
      <c r="E370" s="48" t="s">
        <v>1610</v>
      </c>
      <c r="F370" s="889">
        <v>11358</v>
      </c>
      <c r="G370" s="894">
        <v>43149</v>
      </c>
      <c r="H370" s="47" t="s">
        <v>267</v>
      </c>
      <c r="I370" s="47">
        <v>2018</v>
      </c>
      <c r="J370" s="41"/>
      <c r="K370" s="47">
        <v>0.8</v>
      </c>
      <c r="L370" s="47">
        <v>2.2999999999999998</v>
      </c>
      <c r="M370" s="936">
        <f t="shared" ca="1" si="26"/>
        <v>0.11703302211128863</v>
      </c>
      <c r="N370" s="953">
        <f>N$3/329.7</f>
        <v>1.220764331210191</v>
      </c>
      <c r="O370" s="917">
        <f t="shared" ca="1" si="27"/>
        <v>11464.055061728001</v>
      </c>
    </row>
    <row r="371" spans="1:15" ht="15.75" customHeight="1" thickBot="1" x14ac:dyDescent="0.25">
      <c r="A371" s="46" t="s">
        <v>2365</v>
      </c>
      <c r="B371" s="894">
        <f ca="1">B362*1.05</f>
        <v>2524.9289355399965</v>
      </c>
      <c r="C371" s="47" t="s">
        <v>267</v>
      </c>
      <c r="D371" s="894">
        <v>2</v>
      </c>
      <c r="E371" s="48" t="s">
        <v>1610</v>
      </c>
      <c r="F371" s="889">
        <v>11358</v>
      </c>
      <c r="G371" s="894">
        <v>43149</v>
      </c>
      <c r="H371" s="47" t="s">
        <v>267</v>
      </c>
      <c r="I371" s="47">
        <v>2018</v>
      </c>
      <c r="J371" s="41"/>
      <c r="K371" s="47">
        <v>0.8</v>
      </c>
      <c r="L371" s="47">
        <v>2.2999999999999998</v>
      </c>
      <c r="M371" s="936">
        <f t="shared" ca="1" si="26"/>
        <v>5.8516511055644316E-2</v>
      </c>
      <c r="N371" s="953">
        <f>N$3/329.7</f>
        <v>1.220764331210191</v>
      </c>
      <c r="O371" s="917">
        <f t="shared" ca="1" si="27"/>
        <v>6584.3705955011928</v>
      </c>
    </row>
    <row r="372" spans="1:15" ht="15.75" customHeight="1" thickBot="1" x14ac:dyDescent="0.25">
      <c r="A372" s="35" t="s">
        <v>2366</v>
      </c>
      <c r="B372" s="894">
        <f ca="1">B364*1.06</f>
        <v>737.85508892749556</v>
      </c>
      <c r="C372" s="47" t="s">
        <v>1</v>
      </c>
      <c r="D372" s="894">
        <v>2</v>
      </c>
      <c r="E372" s="36" t="s">
        <v>530</v>
      </c>
      <c r="F372" s="917">
        <f>Inputs!F$847</f>
        <v>188.34</v>
      </c>
      <c r="G372" s="897">
        <v>0.76</v>
      </c>
      <c r="H372" s="47" t="s">
        <v>1</v>
      </c>
      <c r="I372" s="47">
        <v>2022</v>
      </c>
      <c r="J372" s="36">
        <v>6</v>
      </c>
      <c r="K372" s="47">
        <v>0.7</v>
      </c>
      <c r="L372" s="47">
        <v>1.8</v>
      </c>
      <c r="M372" s="936">
        <f t="shared" ca="1" si="26"/>
        <v>970.86195911512573</v>
      </c>
      <c r="N372" s="953">
        <f>N$3/432.15</f>
        <v>0.93135716765012155</v>
      </c>
      <c r="O372" s="917">
        <f t="shared" ca="1" si="27"/>
        <v>77870.24969894778</v>
      </c>
    </row>
    <row r="373" spans="1:15" ht="15.75" customHeight="1" thickBot="1" x14ac:dyDescent="0.25">
      <c r="A373" s="35" t="s">
        <v>2367</v>
      </c>
      <c r="B373" s="894">
        <f ca="1">B365*1.06</f>
        <v>1475.7101778549911</v>
      </c>
      <c r="C373" s="47" t="s">
        <v>7</v>
      </c>
      <c r="D373" s="894">
        <v>2</v>
      </c>
      <c r="E373" s="64" t="s">
        <v>857</v>
      </c>
      <c r="F373" s="917">
        <f>CostCalc!F$714</f>
        <v>8.35</v>
      </c>
      <c r="G373" s="897">
        <f>ROUNDUP(CostCalc!G$714,2)</f>
        <v>9.9999999999999992E-2</v>
      </c>
      <c r="H373" s="47" t="s">
        <v>7</v>
      </c>
      <c r="I373" s="47">
        <v>2022</v>
      </c>
      <c r="J373" s="36">
        <v>3</v>
      </c>
      <c r="K373" s="47">
        <v>0.7</v>
      </c>
      <c r="L373" s="47">
        <v>1.5</v>
      </c>
      <c r="M373" s="936">
        <f t="shared" ca="1" si="26"/>
        <v>14757.101778549912</v>
      </c>
      <c r="N373" s="953">
        <f>N$3/432.15</f>
        <v>0.93135716765012155</v>
      </c>
      <c r="O373" s="917">
        <f t="shared" ca="1" si="27"/>
        <v>19329.683463401263</v>
      </c>
    </row>
    <row r="374" spans="1:15" ht="15.75" customHeight="1" thickBot="1" x14ac:dyDescent="0.25">
      <c r="A374" s="46" t="s">
        <v>2356</v>
      </c>
      <c r="B374" s="894">
        <f ca="1">ExpBase!E1203</f>
        <v>48093.884486476112</v>
      </c>
      <c r="C374" s="47" t="s">
        <v>267</v>
      </c>
      <c r="D374" s="894">
        <v>2</v>
      </c>
      <c r="E374" s="48" t="s">
        <v>1610</v>
      </c>
      <c r="F374" s="889">
        <v>11358</v>
      </c>
      <c r="G374" s="894">
        <v>43149</v>
      </c>
      <c r="H374" s="47" t="s">
        <v>267</v>
      </c>
      <c r="I374" s="47">
        <v>2018</v>
      </c>
      <c r="J374" s="41"/>
      <c r="K374" s="47">
        <v>0.8</v>
      </c>
      <c r="L374" s="47">
        <v>2.2999999999999998</v>
      </c>
      <c r="M374" s="936">
        <f t="shared" ca="1" si="26"/>
        <v>1.114600210583701</v>
      </c>
      <c r="N374" s="953">
        <f>N$3/329.7</f>
        <v>1.220764331210191</v>
      </c>
      <c r="O374" s="917">
        <f t="shared" ca="1" si="27"/>
        <v>69564.364825201264</v>
      </c>
    </row>
    <row r="375" spans="1:15" ht="15.75" customHeight="1" thickBot="1" x14ac:dyDescent="0.25">
      <c r="A375" s="46" t="s">
        <v>2356</v>
      </c>
      <c r="B375" s="894">
        <f ca="1">ExpBase!E1203</f>
        <v>48093.884486476112</v>
      </c>
      <c r="C375" s="47" t="s">
        <v>267</v>
      </c>
      <c r="D375" s="894">
        <v>2</v>
      </c>
      <c r="E375" s="48" t="s">
        <v>1610</v>
      </c>
      <c r="F375" s="889">
        <v>11358</v>
      </c>
      <c r="G375" s="894">
        <v>43149</v>
      </c>
      <c r="H375" s="47" t="s">
        <v>267</v>
      </c>
      <c r="I375" s="47">
        <v>2018</v>
      </c>
      <c r="J375" s="41"/>
      <c r="K375" s="47">
        <v>0.8</v>
      </c>
      <c r="L375" s="47">
        <v>2.2999999999999998</v>
      </c>
      <c r="M375" s="936">
        <f t="shared" ca="1" si="26"/>
        <v>1.114600210583701</v>
      </c>
      <c r="N375" s="953">
        <f>N$3/329.7</f>
        <v>1.220764331210191</v>
      </c>
      <c r="O375" s="917">
        <f t="shared" ca="1" si="27"/>
        <v>69564.364825201264</v>
      </c>
    </row>
    <row r="376" spans="1:15" ht="15.75" customHeight="1" thickBot="1" x14ac:dyDescent="0.25">
      <c r="A376" s="35" t="s">
        <v>2357</v>
      </c>
      <c r="B376" s="894">
        <f ca="1">B237*2</f>
        <v>6960.8970653537308</v>
      </c>
      <c r="C376" s="47" t="s">
        <v>1</v>
      </c>
      <c r="D376" s="894">
        <v>2</v>
      </c>
      <c r="E376" s="36" t="s">
        <v>530</v>
      </c>
      <c r="F376" s="917">
        <f>Inputs!F$847</f>
        <v>188.34</v>
      </c>
      <c r="G376" s="897">
        <v>0.76</v>
      </c>
      <c r="H376" s="47" t="s">
        <v>1</v>
      </c>
      <c r="I376" s="47">
        <v>2022</v>
      </c>
      <c r="J376" s="36">
        <v>6</v>
      </c>
      <c r="K376" s="47">
        <v>0.7</v>
      </c>
      <c r="L376" s="47">
        <v>1.8</v>
      </c>
      <c r="M376" s="936">
        <f t="shared" ca="1" si="26"/>
        <v>9159.0750859917516</v>
      </c>
      <c r="N376" s="953">
        <f>N$3/432.15</f>
        <v>0.93135716765012155</v>
      </c>
      <c r="O376" s="917">
        <f t="shared" ca="1" si="27"/>
        <v>374677.36873081001</v>
      </c>
    </row>
    <row r="377" spans="1:15" ht="15.75" customHeight="1" thickBot="1" x14ac:dyDescent="0.25">
      <c r="A377" s="35" t="s">
        <v>2358</v>
      </c>
      <c r="B377" s="894">
        <f ca="1">B238*2</f>
        <v>13921.794130707462</v>
      </c>
      <c r="C377" s="47" t="s">
        <v>7</v>
      </c>
      <c r="D377" s="894">
        <v>2</v>
      </c>
      <c r="E377" s="64" t="s">
        <v>857</v>
      </c>
      <c r="F377" s="917">
        <f>CostCalc!F$714</f>
        <v>8.35</v>
      </c>
      <c r="G377" s="897">
        <f>ROUNDUP(CostCalc!G$714,2)</f>
        <v>9.9999999999999992E-2</v>
      </c>
      <c r="H377" s="47" t="s">
        <v>7</v>
      </c>
      <c r="I377" s="47">
        <v>2022</v>
      </c>
      <c r="J377" s="36">
        <v>3</v>
      </c>
      <c r="K377" s="47">
        <v>0.7</v>
      </c>
      <c r="L377" s="47">
        <v>1.5</v>
      </c>
      <c r="M377" s="936">
        <f t="shared" ca="1" si="26"/>
        <v>139217.94130707462</v>
      </c>
      <c r="N377" s="953">
        <f>N$3/432.15</f>
        <v>0.93135716765012155</v>
      </c>
      <c r="O377" s="917">
        <f t="shared" ca="1" si="27"/>
        <v>93005.929305046389</v>
      </c>
    </row>
    <row r="378" spans="1:15" ht="15.75" customHeight="1" thickBot="1" x14ac:dyDescent="0.25">
      <c r="A378" s="35" t="s">
        <v>3021</v>
      </c>
      <c r="B378" s="894">
        <f ca="1">B239</f>
        <v>778.49042963518616</v>
      </c>
      <c r="C378" s="47" t="s">
        <v>11</v>
      </c>
      <c r="D378" s="894">
        <v>2</v>
      </c>
      <c r="E378" s="36" t="s">
        <v>2504</v>
      </c>
      <c r="F378" s="917">
        <v>52500</v>
      </c>
      <c r="G378" s="897">
        <v>30</v>
      </c>
      <c r="H378" s="47" t="s">
        <v>11</v>
      </c>
      <c r="I378" s="47">
        <v>2009</v>
      </c>
      <c r="J378" s="36"/>
      <c r="K378" s="47">
        <v>1</v>
      </c>
      <c r="L378" s="47">
        <v>1.5</v>
      </c>
      <c r="M378" s="936">
        <f t="shared" ca="1" si="26"/>
        <v>25.949680987839539</v>
      </c>
      <c r="N378" s="953">
        <f>N$3/273.5</f>
        <v>1.4716124314442414</v>
      </c>
      <c r="O378" s="917">
        <f t="shared" ca="1" si="27"/>
        <v>6014590.0185604189</v>
      </c>
    </row>
    <row r="379" spans="1:15" ht="15.75" customHeight="1" thickBot="1" x14ac:dyDescent="0.25">
      <c r="A379" s="35" t="s">
        <v>2467</v>
      </c>
      <c r="B379" s="894">
        <f ca="1">B254</f>
        <v>59.464581494387097</v>
      </c>
      <c r="C379" s="47" t="s">
        <v>444</v>
      </c>
      <c r="D379" s="894">
        <v>2</v>
      </c>
      <c r="E379" s="36" t="s">
        <v>739</v>
      </c>
      <c r="F379" s="917">
        <f>CostCalc!F$378</f>
        <v>989.99999999999989</v>
      </c>
      <c r="G379" s="897">
        <f>CostCalc!G$376</f>
        <v>40.499999999999993</v>
      </c>
      <c r="H379" s="47" t="s">
        <v>444</v>
      </c>
      <c r="I379" s="47">
        <v>2012</v>
      </c>
      <c r="J379" s="36">
        <v>11</v>
      </c>
      <c r="K379" s="47">
        <v>0.8</v>
      </c>
      <c r="L379" s="47">
        <v>1.7</v>
      </c>
      <c r="M379" s="936">
        <f t="shared" ca="1" si="26"/>
        <v>1.4682612714663483</v>
      </c>
      <c r="N379" s="953">
        <f>N$3/311.7</f>
        <v>1.2912608277189606</v>
      </c>
      <c r="O379" s="917">
        <f t="shared" ca="1" si="27"/>
        <v>5909.7724987971669</v>
      </c>
    </row>
    <row r="380" spans="1:15" ht="15.75" customHeight="1" thickBot="1" x14ac:dyDescent="0.25">
      <c r="A380" s="35" t="s">
        <v>2379</v>
      </c>
      <c r="B380" s="894">
        <f ca="1">B374</f>
        <v>48093.884486476112</v>
      </c>
      <c r="C380" s="47" t="s">
        <v>267</v>
      </c>
      <c r="D380" s="894">
        <v>2</v>
      </c>
      <c r="E380" s="48" t="s">
        <v>2531</v>
      </c>
      <c r="F380" s="889">
        <v>103000</v>
      </c>
      <c r="G380" s="894">
        <v>31815</v>
      </c>
      <c r="H380" s="47" t="s">
        <v>267</v>
      </c>
      <c r="I380" s="47">
        <v>2010</v>
      </c>
      <c r="J380" s="41"/>
      <c r="K380" s="47">
        <v>0.7</v>
      </c>
      <c r="L380" s="47">
        <v>2</v>
      </c>
      <c r="M380" s="936">
        <f t="shared" ca="1" si="26"/>
        <v>1.5116732511857964</v>
      </c>
      <c r="N380" s="953">
        <f>N$3/267.6</f>
        <v>1.5040582959641253</v>
      </c>
      <c r="O380" s="917">
        <f t="shared" ca="1" si="27"/>
        <v>827527.50074175524</v>
      </c>
    </row>
    <row r="381" spans="1:15" ht="15.75" customHeight="1" thickBot="1" x14ac:dyDescent="0.25">
      <c r="A381" s="35"/>
      <c r="B381" s="897"/>
      <c r="C381" s="47"/>
      <c r="D381" s="897"/>
      <c r="E381" s="36"/>
      <c r="F381" s="917"/>
      <c r="G381" s="897"/>
      <c r="H381" s="47"/>
      <c r="I381" s="47"/>
      <c r="J381" s="36"/>
      <c r="K381" s="47"/>
      <c r="L381" s="47"/>
      <c r="M381" s="936"/>
      <c r="N381" s="954"/>
      <c r="O381" s="917"/>
    </row>
    <row r="382" spans="1:15" ht="15.75" customHeight="1" thickBot="1" x14ac:dyDescent="0.25">
      <c r="A382" s="1677" t="s">
        <v>526</v>
      </c>
      <c r="B382" s="1678"/>
      <c r="C382" s="1678"/>
      <c r="D382" s="1678"/>
      <c r="E382" s="1678"/>
      <c r="F382" s="1678"/>
      <c r="G382" s="1678"/>
      <c r="H382" s="1678"/>
      <c r="I382" s="1678"/>
      <c r="J382" s="1678"/>
      <c r="K382" s="1678"/>
      <c r="L382" s="1678"/>
      <c r="M382" s="1678"/>
      <c r="N382" s="1679"/>
      <c r="O382" s="917">
        <f ca="1">SUM(O360:O380)</f>
        <v>7841373.3743566498</v>
      </c>
    </row>
    <row r="383" spans="1:15" ht="15.75" customHeight="1" thickBot="1" x14ac:dyDescent="0.25">
      <c r="A383" s="197"/>
      <c r="B383" s="895"/>
      <c r="C383" s="197"/>
      <c r="D383" s="895"/>
      <c r="E383" s="197"/>
      <c r="F383" s="890"/>
      <c r="G383" s="895"/>
      <c r="H383" s="197"/>
      <c r="I383" s="197"/>
      <c r="J383" s="197"/>
      <c r="K383" s="197"/>
      <c r="L383" s="197"/>
      <c r="M383" s="937"/>
      <c r="N383" s="955"/>
      <c r="O383" s="891"/>
    </row>
    <row r="384" spans="1:15" ht="15.75" customHeight="1" x14ac:dyDescent="0.2">
      <c r="A384" s="2067" t="s">
        <v>534</v>
      </c>
      <c r="B384" s="2068"/>
      <c r="C384" s="1376"/>
      <c r="D384" s="1376"/>
      <c r="E384" s="1376"/>
      <c r="F384" s="1376"/>
      <c r="G384" s="1376"/>
      <c r="H384" s="1376"/>
      <c r="I384" s="1376"/>
      <c r="J384" s="1376"/>
      <c r="K384" s="1376"/>
      <c r="L384" s="1376"/>
      <c r="M384" s="1376"/>
      <c r="N384" s="1376"/>
      <c r="O384" s="1377"/>
    </row>
    <row r="385" spans="1:15" ht="15.75" customHeight="1" thickBot="1" x14ac:dyDescent="0.25">
      <c r="A385" s="2069"/>
      <c r="B385" s="2070"/>
      <c r="C385" s="1378"/>
      <c r="D385" s="1378"/>
      <c r="E385" s="1378"/>
      <c r="F385" s="1378"/>
      <c r="G385" s="1378"/>
      <c r="H385" s="1378"/>
      <c r="I385" s="1378"/>
      <c r="J385" s="1378"/>
      <c r="K385" s="1378"/>
      <c r="L385" s="1378"/>
      <c r="M385" s="1378"/>
      <c r="N385" s="1378"/>
      <c r="O385" s="1379"/>
    </row>
    <row r="386" spans="1:15" ht="15.75" customHeight="1" thickBot="1" x14ac:dyDescent="0.25">
      <c r="A386" s="1680" t="s">
        <v>509</v>
      </c>
      <c r="B386" s="1681"/>
      <c r="C386" s="1681"/>
      <c r="D386" s="1681"/>
      <c r="E386" s="1681"/>
      <c r="F386" s="1681"/>
      <c r="G386" s="1681"/>
      <c r="H386" s="1681"/>
      <c r="I386" s="1681"/>
      <c r="J386" s="1681"/>
      <c r="K386" s="1681"/>
      <c r="L386" s="1681"/>
      <c r="M386" s="1681"/>
      <c r="N386" s="1681"/>
      <c r="O386" s="1682"/>
    </row>
    <row r="387" spans="1:15" ht="15.75" customHeight="1" thickBot="1" x14ac:dyDescent="0.25">
      <c r="A387" s="1683" t="s">
        <v>510</v>
      </c>
      <c r="B387" s="1684"/>
      <c r="C387" s="1684"/>
      <c r="D387" s="1684"/>
      <c r="E387" s="1685"/>
      <c r="F387" s="1683" t="s">
        <v>511</v>
      </c>
      <c r="G387" s="1684"/>
      <c r="H387" s="1684"/>
      <c r="I387" s="1684"/>
      <c r="J387" s="1685"/>
      <c r="K387" s="1683" t="s">
        <v>512</v>
      </c>
      <c r="L387" s="1684"/>
      <c r="M387" s="1684"/>
      <c r="N387" s="1685"/>
      <c r="O387" s="1686" t="s">
        <v>513</v>
      </c>
    </row>
    <row r="388" spans="1:15" ht="15.75" customHeight="1" x14ac:dyDescent="0.2">
      <c r="A388" s="1689" t="s">
        <v>514</v>
      </c>
      <c r="B388" s="1691" t="s">
        <v>515</v>
      </c>
      <c r="C388" s="1693" t="s">
        <v>372</v>
      </c>
      <c r="D388" s="1691" t="s">
        <v>516</v>
      </c>
      <c r="E388" s="1689" t="s">
        <v>517</v>
      </c>
      <c r="F388" s="1686" t="s">
        <v>518</v>
      </c>
      <c r="G388" s="1691" t="s">
        <v>515</v>
      </c>
      <c r="H388" s="1693" t="s">
        <v>372</v>
      </c>
      <c r="I388" s="1693" t="s">
        <v>519</v>
      </c>
      <c r="J388" s="1689" t="s">
        <v>520</v>
      </c>
      <c r="K388" s="1693" t="s">
        <v>521</v>
      </c>
      <c r="L388" s="1693" t="s">
        <v>522</v>
      </c>
      <c r="M388" s="1695" t="s">
        <v>523</v>
      </c>
      <c r="N388" s="951" t="s">
        <v>527</v>
      </c>
      <c r="O388" s="1687"/>
    </row>
    <row r="389" spans="1:15" ht="15.75" customHeight="1" thickBot="1" x14ac:dyDescent="0.25">
      <c r="A389" s="1690"/>
      <c r="B389" s="1692"/>
      <c r="C389" s="1694"/>
      <c r="D389" s="1692"/>
      <c r="E389" s="1690"/>
      <c r="F389" s="1688"/>
      <c r="G389" s="1692"/>
      <c r="H389" s="1694"/>
      <c r="I389" s="1694"/>
      <c r="J389" s="1690"/>
      <c r="K389" s="1694"/>
      <c r="L389" s="1694"/>
      <c r="M389" s="1696"/>
      <c r="N389" s="952">
        <v>2024</v>
      </c>
      <c r="O389" s="1688"/>
    </row>
    <row r="390" spans="1:15" ht="15.75" customHeight="1" thickBot="1" x14ac:dyDescent="0.25">
      <c r="A390" s="46" t="s">
        <v>799</v>
      </c>
      <c r="B390" s="897">
        <f ca="1">B270</f>
        <v>48100</v>
      </c>
      <c r="C390" s="47" t="s">
        <v>7</v>
      </c>
      <c r="D390" s="894">
        <v>2</v>
      </c>
      <c r="E390" s="36" t="s">
        <v>805</v>
      </c>
      <c r="F390" s="917">
        <f>Inputs!F$854</f>
        <v>16</v>
      </c>
      <c r="G390" s="894">
        <v>1</v>
      </c>
      <c r="H390" s="47" t="s">
        <v>7</v>
      </c>
      <c r="I390" s="47">
        <v>2024</v>
      </c>
      <c r="J390" s="41"/>
      <c r="K390" s="47">
        <v>1</v>
      </c>
      <c r="L390" s="47">
        <v>2.2999999999999998</v>
      </c>
      <c r="M390" s="936">
        <f t="shared" ref="M390:M398" ca="1" si="28">B390/G390</f>
        <v>48100</v>
      </c>
      <c r="N390" s="953">
        <f>N$3/389.544</f>
        <v>1.0332234612778017</v>
      </c>
      <c r="O390" s="917">
        <f t="shared" ref="O390:O398" ca="1" si="29">D390*N390*F390*L390*M390^(K390)</f>
        <v>3657776.3686772222</v>
      </c>
    </row>
    <row r="391" spans="1:15" ht="15.75" customHeight="1" thickBot="1" x14ac:dyDescent="0.25">
      <c r="A391" s="46" t="s">
        <v>800</v>
      </c>
      <c r="B391" s="897">
        <f t="shared" ref="B391:B398" ca="1" si="30">B271</f>
        <v>48100</v>
      </c>
      <c r="C391" s="47" t="s">
        <v>7</v>
      </c>
      <c r="D391" s="894">
        <v>2</v>
      </c>
      <c r="E391" s="36" t="s">
        <v>801</v>
      </c>
      <c r="F391" s="889">
        <f>Inputs!F$855</f>
        <v>17.5</v>
      </c>
      <c r="G391" s="894">
        <v>1</v>
      </c>
      <c r="H391" s="47" t="s">
        <v>7</v>
      </c>
      <c r="I391" s="47">
        <v>2024</v>
      </c>
      <c r="J391" s="41"/>
      <c r="K391" s="47">
        <v>1</v>
      </c>
      <c r="L391" s="47">
        <v>2.2999999999999998</v>
      </c>
      <c r="M391" s="936">
        <f t="shared" ca="1" si="28"/>
        <v>48100</v>
      </c>
      <c r="N391" s="953">
        <f>N$3/389.544</f>
        <v>1.0332234612778017</v>
      </c>
      <c r="O391" s="917">
        <f t="shared" ca="1" si="29"/>
        <v>4000692.9032407119</v>
      </c>
    </row>
    <row r="392" spans="1:15" ht="15.75" customHeight="1" thickBot="1" x14ac:dyDescent="0.25">
      <c r="A392" s="35" t="s">
        <v>802</v>
      </c>
      <c r="B392" s="897">
        <f t="shared" ca="1" si="30"/>
        <v>48100</v>
      </c>
      <c r="C392" s="47" t="s">
        <v>7</v>
      </c>
      <c r="D392" s="894">
        <v>2</v>
      </c>
      <c r="E392" s="36" t="s">
        <v>804</v>
      </c>
      <c r="F392" s="917">
        <f>Inputs!F$856</f>
        <v>52.5</v>
      </c>
      <c r="G392" s="894">
        <v>1</v>
      </c>
      <c r="H392" s="47" t="s">
        <v>7</v>
      </c>
      <c r="I392" s="47">
        <v>2024</v>
      </c>
      <c r="J392" s="36"/>
      <c r="K392" s="47">
        <v>1</v>
      </c>
      <c r="L392" s="47">
        <v>2.2999999999999998</v>
      </c>
      <c r="M392" s="936">
        <f t="shared" ca="1" si="28"/>
        <v>48100</v>
      </c>
      <c r="N392" s="953">
        <f>N$3/389.544</f>
        <v>1.0332234612778017</v>
      </c>
      <c r="O392" s="917">
        <f t="shared" ca="1" si="29"/>
        <v>12002078.709722135</v>
      </c>
    </row>
    <row r="393" spans="1:15" ht="15.75" customHeight="1" thickBot="1" x14ac:dyDescent="0.25">
      <c r="A393" s="35" t="s">
        <v>812</v>
      </c>
      <c r="B393" s="897">
        <f t="shared" ca="1" si="30"/>
        <v>489.40650473718154</v>
      </c>
      <c r="C393" s="47" t="s">
        <v>14</v>
      </c>
      <c r="D393" s="894">
        <v>2</v>
      </c>
      <c r="E393" s="36" t="s">
        <v>621</v>
      </c>
      <c r="F393" s="917">
        <f>Inputs!F$853</f>
        <v>3000</v>
      </c>
      <c r="G393" s="894">
        <v>1</v>
      </c>
      <c r="H393" s="47" t="s">
        <v>14</v>
      </c>
      <c r="I393" s="47">
        <v>2023</v>
      </c>
      <c r="J393" s="36"/>
      <c r="K393" s="47">
        <v>1</v>
      </c>
      <c r="L393" s="47">
        <v>2.2999999999999998</v>
      </c>
      <c r="M393" s="936">
        <f t="shared" ca="1" si="28"/>
        <v>489.40650473718154</v>
      </c>
      <c r="N393" s="953">
        <f>N$3/421.24</f>
        <v>0.9554790618174912</v>
      </c>
      <c r="O393" s="917">
        <f t="shared" ca="1" si="29"/>
        <v>6453123.8183125043</v>
      </c>
    </row>
    <row r="394" spans="1:15" ht="15.75" customHeight="1" thickBot="1" x14ac:dyDescent="0.25">
      <c r="A394" s="35" t="s">
        <v>834</v>
      </c>
      <c r="B394" s="897">
        <f t="shared" ca="1" si="30"/>
        <v>97.829505666341461</v>
      </c>
      <c r="C394" s="47" t="s">
        <v>1</v>
      </c>
      <c r="D394" s="894">
        <v>2</v>
      </c>
      <c r="E394" s="36" t="s">
        <v>530</v>
      </c>
      <c r="F394" s="917">
        <f>CostCalc!F$288</f>
        <v>188.34</v>
      </c>
      <c r="G394" s="894">
        <v>0.76</v>
      </c>
      <c r="H394" s="47" t="s">
        <v>1</v>
      </c>
      <c r="I394" s="47">
        <v>2022</v>
      </c>
      <c r="J394" s="36">
        <v>6</v>
      </c>
      <c r="K394" s="47">
        <v>0.7</v>
      </c>
      <c r="L394" s="47">
        <v>2.6</v>
      </c>
      <c r="M394" s="936">
        <f t="shared" ca="1" si="28"/>
        <v>128.72303377150192</v>
      </c>
      <c r="N394" s="953">
        <f>N$3/432.15</f>
        <v>0.93135716765012155</v>
      </c>
      <c r="O394" s="917">
        <f t="shared" ca="1" si="29"/>
        <v>27341.450935610712</v>
      </c>
    </row>
    <row r="395" spans="1:15" ht="15.75" customHeight="1" thickBot="1" x14ac:dyDescent="0.25">
      <c r="A395" s="35" t="s">
        <v>835</v>
      </c>
      <c r="B395" s="897">
        <f t="shared" ca="1" si="30"/>
        <v>41.486049832049744</v>
      </c>
      <c r="C395" s="47" t="s">
        <v>1</v>
      </c>
      <c r="D395" s="894">
        <v>2</v>
      </c>
      <c r="E395" s="36" t="s">
        <v>530</v>
      </c>
      <c r="F395" s="917">
        <f>CostCalc!F$504</f>
        <v>188.34</v>
      </c>
      <c r="G395" s="894">
        <v>0.76</v>
      </c>
      <c r="H395" s="47" t="s">
        <v>1</v>
      </c>
      <c r="I395" s="47">
        <v>2022</v>
      </c>
      <c r="J395" s="36">
        <v>2</v>
      </c>
      <c r="K395" s="47"/>
      <c r="L395" s="47">
        <v>2.6</v>
      </c>
      <c r="M395" s="936">
        <f t="shared" ca="1" si="28"/>
        <v>54.586907673749664</v>
      </c>
      <c r="N395" s="953">
        <f>N$3/432.15</f>
        <v>0.93135716765012155</v>
      </c>
      <c r="O395" s="917">
        <f t="shared" ca="1" si="29"/>
        <v>912.14140656716438</v>
      </c>
    </row>
    <row r="396" spans="1:15" ht="15.75" customHeight="1" thickBot="1" x14ac:dyDescent="0.25">
      <c r="A396" s="35" t="s">
        <v>836</v>
      </c>
      <c r="B396" s="897">
        <f t="shared" ca="1" si="30"/>
        <v>41.486049832049744</v>
      </c>
      <c r="C396" s="47" t="s">
        <v>1</v>
      </c>
      <c r="D396" s="894">
        <v>2</v>
      </c>
      <c r="E396" s="36" t="s">
        <v>530</v>
      </c>
      <c r="F396" s="917">
        <f>CostCalc!F$504</f>
        <v>188.34</v>
      </c>
      <c r="G396" s="894">
        <v>0.76</v>
      </c>
      <c r="H396" s="47" t="s">
        <v>1</v>
      </c>
      <c r="I396" s="47">
        <v>2022</v>
      </c>
      <c r="J396" s="36">
        <v>2</v>
      </c>
      <c r="K396" s="47"/>
      <c r="L396" s="47">
        <v>2.6</v>
      </c>
      <c r="M396" s="936">
        <f t="shared" ca="1" si="28"/>
        <v>54.586907673749664</v>
      </c>
      <c r="N396" s="953">
        <f>N$3/432.15</f>
        <v>0.93135716765012155</v>
      </c>
      <c r="O396" s="917">
        <f t="shared" ca="1" si="29"/>
        <v>912.14140656716438</v>
      </c>
    </row>
    <row r="397" spans="1:15" ht="15.75" customHeight="1" thickBot="1" x14ac:dyDescent="0.25">
      <c r="A397" s="35" t="s">
        <v>837</v>
      </c>
      <c r="B397" s="897">
        <f t="shared" ca="1" si="30"/>
        <v>41.486049832049744</v>
      </c>
      <c r="C397" s="47" t="s">
        <v>1</v>
      </c>
      <c r="D397" s="894">
        <v>2</v>
      </c>
      <c r="E397" s="36" t="s">
        <v>530</v>
      </c>
      <c r="F397" s="917">
        <f>CostCalc!F$504</f>
        <v>188.34</v>
      </c>
      <c r="G397" s="894">
        <v>0.76</v>
      </c>
      <c r="H397" s="47" t="s">
        <v>1</v>
      </c>
      <c r="I397" s="47">
        <v>2022</v>
      </c>
      <c r="J397" s="36">
        <v>2</v>
      </c>
      <c r="K397" s="47"/>
      <c r="L397" s="47">
        <v>2.6</v>
      </c>
      <c r="M397" s="936">
        <f t="shared" ca="1" si="28"/>
        <v>54.586907673749664</v>
      </c>
      <c r="N397" s="953">
        <f>N$3/432.15</f>
        <v>0.93135716765012155</v>
      </c>
      <c r="O397" s="917">
        <f t="shared" ca="1" si="29"/>
        <v>912.14140656716438</v>
      </c>
    </row>
    <row r="398" spans="1:15" ht="15.75" customHeight="1" thickBot="1" x14ac:dyDescent="0.25">
      <c r="A398" s="35" t="s">
        <v>745</v>
      </c>
      <c r="B398" s="897">
        <f t="shared" ca="1" si="30"/>
        <v>96187.768972952224</v>
      </c>
      <c r="C398" s="47" t="s">
        <v>391</v>
      </c>
      <c r="D398" s="894">
        <v>2</v>
      </c>
      <c r="E398" s="36" t="s">
        <v>816</v>
      </c>
      <c r="F398" s="917">
        <f>Inputs!F$860*G398</f>
        <v>631.9</v>
      </c>
      <c r="G398" s="894">
        <v>71</v>
      </c>
      <c r="H398" s="47" t="s">
        <v>391</v>
      </c>
      <c r="I398" s="47">
        <v>2023</v>
      </c>
      <c r="J398" s="36">
        <v>14</v>
      </c>
      <c r="K398" s="47">
        <v>0.8</v>
      </c>
      <c r="L398" s="47">
        <v>2.2999999999999998</v>
      </c>
      <c r="M398" s="936">
        <f t="shared" ca="1" si="28"/>
        <v>1354.7573094782003</v>
      </c>
      <c r="N398" s="953">
        <f>N$3/421.24</f>
        <v>0.9554790618174912</v>
      </c>
      <c r="O398" s="917">
        <f t="shared" ca="1" si="29"/>
        <v>889439.80976708652</v>
      </c>
    </row>
    <row r="399" spans="1:15" ht="15.75" customHeight="1" thickBot="1" x14ac:dyDescent="0.25">
      <c r="A399" s="35"/>
      <c r="B399" s="897"/>
      <c r="C399" s="47"/>
      <c r="D399" s="897"/>
      <c r="E399" s="36"/>
      <c r="F399" s="917"/>
      <c r="G399" s="897"/>
      <c r="H399" s="47"/>
      <c r="I399" s="47"/>
      <c r="J399" s="36"/>
      <c r="K399" s="47"/>
      <c r="L399" s="47"/>
      <c r="M399" s="936"/>
      <c r="N399" s="954"/>
      <c r="O399" s="917"/>
    </row>
    <row r="400" spans="1:15" ht="15.75" customHeight="1" thickBot="1" x14ac:dyDescent="0.25">
      <c r="A400" s="1677" t="s">
        <v>526</v>
      </c>
      <c r="B400" s="1678"/>
      <c r="C400" s="1678"/>
      <c r="D400" s="1678"/>
      <c r="E400" s="1678"/>
      <c r="F400" s="1678"/>
      <c r="G400" s="1678"/>
      <c r="H400" s="1678"/>
      <c r="I400" s="1678"/>
      <c r="J400" s="1678"/>
      <c r="K400" s="1678"/>
      <c r="L400" s="1678"/>
      <c r="M400" s="1678"/>
      <c r="N400" s="1679"/>
      <c r="O400" s="917">
        <f ca="1">SUM(O390:O398)</f>
        <v>27033189.484874967</v>
      </c>
    </row>
    <row r="401" spans="1:15" ht="15.75" customHeight="1" thickBot="1" x14ac:dyDescent="0.25">
      <c r="A401" s="197"/>
      <c r="B401" s="895"/>
      <c r="C401" s="197"/>
      <c r="D401" s="895"/>
      <c r="E401" s="197"/>
      <c r="F401" s="890"/>
      <c r="G401" s="895"/>
      <c r="H401" s="197"/>
      <c r="I401" s="197"/>
      <c r="J401" s="197"/>
      <c r="K401" s="197"/>
      <c r="L401" s="197"/>
      <c r="M401" s="937"/>
      <c r="N401" s="955"/>
      <c r="O401" s="891"/>
    </row>
    <row r="402" spans="1:15" ht="15.75" customHeight="1" x14ac:dyDescent="0.2">
      <c r="A402" s="1801" t="s">
        <v>2319</v>
      </c>
      <c r="B402" s="1802"/>
      <c r="C402" s="1380"/>
      <c r="D402" s="1380"/>
      <c r="E402" s="1380"/>
      <c r="F402" s="1380"/>
      <c r="G402" s="1380"/>
      <c r="H402" s="1380"/>
      <c r="I402" s="1380"/>
      <c r="J402" s="1380"/>
      <c r="K402" s="1380"/>
      <c r="L402" s="1380"/>
      <c r="M402" s="1380"/>
      <c r="N402" s="1380"/>
      <c r="O402" s="1381"/>
    </row>
    <row r="403" spans="1:15" ht="15.75" customHeight="1" thickBot="1" x14ac:dyDescent="0.25">
      <c r="A403" s="1804"/>
      <c r="B403" s="1805"/>
      <c r="C403" s="1382"/>
      <c r="D403" s="1382"/>
      <c r="E403" s="1382"/>
      <c r="F403" s="1382"/>
      <c r="G403" s="1382"/>
      <c r="H403" s="1382"/>
      <c r="I403" s="1382"/>
      <c r="J403" s="1382"/>
      <c r="K403" s="1382"/>
      <c r="L403" s="1382"/>
      <c r="M403" s="1382"/>
      <c r="N403" s="1382"/>
      <c r="O403" s="1383"/>
    </row>
    <row r="404" spans="1:15" ht="15.75" customHeight="1" thickBot="1" x14ac:dyDescent="0.25">
      <c r="A404" s="1680" t="s">
        <v>509</v>
      </c>
      <c r="B404" s="1681"/>
      <c r="C404" s="1681"/>
      <c r="D404" s="1681"/>
      <c r="E404" s="1681"/>
      <c r="F404" s="1681"/>
      <c r="G404" s="1681"/>
      <c r="H404" s="1681"/>
      <c r="I404" s="1681"/>
      <c r="J404" s="1681"/>
      <c r="K404" s="1681"/>
      <c r="L404" s="1681"/>
      <c r="M404" s="1681"/>
      <c r="N404" s="1681"/>
      <c r="O404" s="1682"/>
    </row>
    <row r="405" spans="1:15" ht="15.75" customHeight="1" thickBot="1" x14ac:dyDescent="0.25">
      <c r="A405" s="1683" t="s">
        <v>510</v>
      </c>
      <c r="B405" s="1684"/>
      <c r="C405" s="1684"/>
      <c r="D405" s="1684"/>
      <c r="E405" s="1685"/>
      <c r="F405" s="1683" t="s">
        <v>511</v>
      </c>
      <c r="G405" s="1684"/>
      <c r="H405" s="1684"/>
      <c r="I405" s="1684"/>
      <c r="J405" s="1685"/>
      <c r="K405" s="1683" t="s">
        <v>512</v>
      </c>
      <c r="L405" s="1684"/>
      <c r="M405" s="1684"/>
      <c r="N405" s="1685"/>
      <c r="O405" s="1686" t="s">
        <v>513</v>
      </c>
    </row>
    <row r="406" spans="1:15" ht="15.75" customHeight="1" x14ac:dyDescent="0.2">
      <c r="A406" s="1689" t="s">
        <v>514</v>
      </c>
      <c r="B406" s="1691" t="s">
        <v>515</v>
      </c>
      <c r="C406" s="1693" t="s">
        <v>372</v>
      </c>
      <c r="D406" s="1691" t="s">
        <v>516</v>
      </c>
      <c r="E406" s="1689" t="s">
        <v>517</v>
      </c>
      <c r="F406" s="1686" t="s">
        <v>518</v>
      </c>
      <c r="G406" s="1691" t="s">
        <v>515</v>
      </c>
      <c r="H406" s="1693" t="s">
        <v>372</v>
      </c>
      <c r="I406" s="1693" t="s">
        <v>519</v>
      </c>
      <c r="J406" s="1689" t="s">
        <v>520</v>
      </c>
      <c r="K406" s="1693" t="s">
        <v>521</v>
      </c>
      <c r="L406" s="1693" t="s">
        <v>522</v>
      </c>
      <c r="M406" s="1695" t="s">
        <v>523</v>
      </c>
      <c r="N406" s="951" t="s">
        <v>527</v>
      </c>
      <c r="O406" s="1687"/>
    </row>
    <row r="407" spans="1:15" ht="15.75" customHeight="1" thickBot="1" x14ac:dyDescent="0.25">
      <c r="A407" s="1690"/>
      <c r="B407" s="1692"/>
      <c r="C407" s="1694"/>
      <c r="D407" s="1692"/>
      <c r="E407" s="1690"/>
      <c r="F407" s="1688"/>
      <c r="G407" s="1692"/>
      <c r="H407" s="1694"/>
      <c r="I407" s="1694"/>
      <c r="J407" s="1690"/>
      <c r="K407" s="1694"/>
      <c r="L407" s="1694"/>
      <c r="M407" s="1696"/>
      <c r="N407" s="952">
        <v>2024</v>
      </c>
      <c r="O407" s="1688"/>
    </row>
    <row r="408" spans="1:15" ht="15.75" customHeight="1" thickBot="1" x14ac:dyDescent="0.25">
      <c r="A408" s="35" t="s">
        <v>2368</v>
      </c>
      <c r="B408" s="897">
        <f ca="1">ExpBase!C1577</f>
        <v>96187.768972952224</v>
      </c>
      <c r="C408" s="47" t="s">
        <v>267</v>
      </c>
      <c r="D408" s="894">
        <v>2</v>
      </c>
      <c r="E408" s="36"/>
      <c r="F408" s="917">
        <v>251758</v>
      </c>
      <c r="G408" s="897">
        <v>19366</v>
      </c>
      <c r="H408" s="47" t="s">
        <v>267</v>
      </c>
      <c r="I408" s="47">
        <v>2007</v>
      </c>
      <c r="J408" s="36"/>
      <c r="K408" s="47">
        <v>0.7</v>
      </c>
      <c r="L408" s="47">
        <v>2.7</v>
      </c>
      <c r="M408" s="935">
        <f ca="1">B408/G408</f>
        <v>4.9668371874910786</v>
      </c>
      <c r="N408" s="953">
        <f>N$3/213.2</f>
        <v>1.8878330206378988</v>
      </c>
      <c r="O408" s="917">
        <f t="shared" ref="O408:O416" ca="1" si="31">D408*N408*F408*L408*M408^(K408)</f>
        <v>7881276.5092851697</v>
      </c>
    </row>
    <row r="409" spans="1:15" ht="15.75" customHeight="1" thickBot="1" x14ac:dyDescent="0.25">
      <c r="A409" s="64" t="s">
        <v>1027</v>
      </c>
      <c r="B409" s="897">
        <f ca="1">ExpBase!C1577</f>
        <v>96187.768972952224</v>
      </c>
      <c r="C409" s="47" t="s">
        <v>267</v>
      </c>
      <c r="D409" s="894">
        <v>2</v>
      </c>
      <c r="E409" s="36"/>
      <c r="F409" s="917">
        <v>9273</v>
      </c>
      <c r="G409" s="897">
        <v>18546</v>
      </c>
      <c r="H409" s="47" t="s">
        <v>267</v>
      </c>
      <c r="I409" s="47">
        <v>1997</v>
      </c>
      <c r="J409" s="36"/>
      <c r="K409" s="47">
        <v>0.7</v>
      </c>
      <c r="L409" s="47">
        <v>2.7</v>
      </c>
      <c r="M409" s="935">
        <f t="shared" ref="M409:M416" ca="1" si="32">B409/G409</f>
        <v>5.1864428433598739</v>
      </c>
      <c r="N409" s="953">
        <f>N$3/146.2</f>
        <v>2.752982216142271</v>
      </c>
      <c r="O409" s="917">
        <f t="shared" ca="1" si="31"/>
        <v>436341.12080345402</v>
      </c>
    </row>
    <row r="410" spans="1:15" ht="15.75" customHeight="1" thickBot="1" x14ac:dyDescent="0.25">
      <c r="A410" s="67" t="s">
        <v>2369</v>
      </c>
      <c r="B410" s="897">
        <f ca="1">ExpBase!C1577*ExpBase!C1558</f>
        <v>240469.42243238055</v>
      </c>
      <c r="C410" s="47" t="s">
        <v>267</v>
      </c>
      <c r="D410" s="894">
        <v>2</v>
      </c>
      <c r="E410" s="48" t="s">
        <v>2531</v>
      </c>
      <c r="F410" s="889">
        <v>103000</v>
      </c>
      <c r="G410" s="894">
        <v>31815</v>
      </c>
      <c r="H410" s="47" t="s">
        <v>267</v>
      </c>
      <c r="I410" s="47">
        <v>2010</v>
      </c>
      <c r="J410" s="41"/>
      <c r="K410" s="47">
        <v>0.7</v>
      </c>
      <c r="L410" s="47">
        <v>2</v>
      </c>
      <c r="M410" s="935">
        <f t="shared" ca="1" si="32"/>
        <v>7.5583662559289815</v>
      </c>
      <c r="N410" s="953">
        <f>N$3/267.6</f>
        <v>1.5040582959641253</v>
      </c>
      <c r="O410" s="917">
        <f t="shared" ca="1" si="31"/>
        <v>2553062.4514486049</v>
      </c>
    </row>
    <row r="411" spans="1:15" ht="15.75" customHeight="1" thickBot="1" x14ac:dyDescent="0.25">
      <c r="A411" s="67" t="s">
        <v>2370</v>
      </c>
      <c r="B411" s="897">
        <f ca="1">ExpBase!C1577*Units!C3/Units!C56*0.5</f>
        <v>3033.9225463552016</v>
      </c>
      <c r="C411" s="47" t="s">
        <v>1091</v>
      </c>
      <c r="D411" s="894">
        <v>2</v>
      </c>
      <c r="E411" s="36"/>
      <c r="F411" s="917">
        <v>39000</v>
      </c>
      <c r="G411" s="897">
        <v>200</v>
      </c>
      <c r="H411" s="47" t="s">
        <v>1091</v>
      </c>
      <c r="I411" s="47">
        <v>2007</v>
      </c>
      <c r="J411" s="36"/>
      <c r="K411" s="47">
        <v>0.8</v>
      </c>
      <c r="L411" s="47">
        <v>5.56</v>
      </c>
      <c r="M411" s="935">
        <f t="shared" ca="1" si="32"/>
        <v>15.169612731776008</v>
      </c>
      <c r="N411" s="953">
        <f>N$3/213.2</f>
        <v>1.8878330206378988</v>
      </c>
      <c r="O411" s="917">
        <f t="shared" ca="1" si="31"/>
        <v>7209623.1979979118</v>
      </c>
    </row>
    <row r="412" spans="1:15" ht="15.75" customHeight="1" thickBot="1" x14ac:dyDescent="0.25">
      <c r="A412" s="67" t="s">
        <v>2371</v>
      </c>
      <c r="B412" s="897">
        <f ca="1">B411*0.8</f>
        <v>2427.1380370841612</v>
      </c>
      <c r="C412" s="47" t="s">
        <v>1091</v>
      </c>
      <c r="D412" s="894">
        <v>2</v>
      </c>
      <c r="E412" s="36"/>
      <c r="F412" s="917">
        <v>39000</v>
      </c>
      <c r="G412" s="897">
        <v>200</v>
      </c>
      <c r="H412" s="47" t="s">
        <v>1091</v>
      </c>
      <c r="I412" s="47">
        <v>2007</v>
      </c>
      <c r="J412" s="36"/>
      <c r="K412" s="47">
        <v>0.8</v>
      </c>
      <c r="L412" s="47">
        <v>5.59</v>
      </c>
      <c r="M412" s="935">
        <f t="shared" ca="1" si="32"/>
        <v>12.135690185420806</v>
      </c>
      <c r="N412" s="953">
        <f>N$3/213.2</f>
        <v>1.8878330206378988</v>
      </c>
      <c r="O412" s="917">
        <f t="shared" ca="1" si="31"/>
        <v>6063474.7494739098</v>
      </c>
    </row>
    <row r="413" spans="1:15" ht="15.75" customHeight="1" thickBot="1" x14ac:dyDescent="0.25">
      <c r="A413" s="67" t="s">
        <v>1088</v>
      </c>
      <c r="B413" s="897">
        <f ca="1">B411*0.1</f>
        <v>303.39225463552015</v>
      </c>
      <c r="C413" s="47" t="s">
        <v>1091</v>
      </c>
      <c r="D413" s="894">
        <v>2</v>
      </c>
      <c r="E413" s="36"/>
      <c r="F413" s="917">
        <v>71000</v>
      </c>
      <c r="G413" s="897">
        <v>200</v>
      </c>
      <c r="H413" s="47" t="s">
        <v>1091</v>
      </c>
      <c r="I413" s="47">
        <v>2007</v>
      </c>
      <c r="J413" s="36"/>
      <c r="K413" s="47">
        <v>0.8</v>
      </c>
      <c r="L413" s="47">
        <v>3.49</v>
      </c>
      <c r="M413" s="935">
        <f t="shared" ca="1" si="32"/>
        <v>1.5169612731776008</v>
      </c>
      <c r="N413" s="953">
        <f>N$3/213.2</f>
        <v>1.8878330206378988</v>
      </c>
      <c r="O413" s="917">
        <f t="shared" ca="1" si="31"/>
        <v>1305740.7096721593</v>
      </c>
    </row>
    <row r="414" spans="1:15" ht="15.75" customHeight="1" thickBot="1" x14ac:dyDescent="0.25">
      <c r="A414" s="35" t="s">
        <v>3022</v>
      </c>
      <c r="B414" s="897">
        <f ca="1">B413</f>
        <v>303.39225463552015</v>
      </c>
      <c r="C414" s="47" t="s">
        <v>1091</v>
      </c>
      <c r="D414" s="894">
        <v>2</v>
      </c>
      <c r="E414" s="36"/>
      <c r="F414" s="917">
        <v>170000</v>
      </c>
      <c r="G414" s="897">
        <v>200</v>
      </c>
      <c r="H414" s="47" t="s">
        <v>1091</v>
      </c>
      <c r="I414" s="47">
        <v>2007</v>
      </c>
      <c r="J414" s="36"/>
      <c r="K414" s="47">
        <v>0.8</v>
      </c>
      <c r="L414" s="47">
        <v>2</v>
      </c>
      <c r="M414" s="935">
        <f t="shared" ca="1" si="32"/>
        <v>1.5169612731776008</v>
      </c>
      <c r="N414" s="953">
        <f>N$3/213.2</f>
        <v>1.8878330206378988</v>
      </c>
      <c r="O414" s="917">
        <f t="shared" ca="1" si="31"/>
        <v>1791645.5114755807</v>
      </c>
    </row>
    <row r="415" spans="1:15" ht="15.75" customHeight="1" thickBot="1" x14ac:dyDescent="0.25">
      <c r="A415" s="35" t="s">
        <v>3023</v>
      </c>
      <c r="B415" s="897">
        <f ca="1">B413</f>
        <v>303.39225463552015</v>
      </c>
      <c r="C415" s="47" t="s">
        <v>1091</v>
      </c>
      <c r="D415" s="894">
        <v>2</v>
      </c>
      <c r="E415" s="36"/>
      <c r="F415" s="917">
        <v>145000</v>
      </c>
      <c r="G415" s="897">
        <v>200</v>
      </c>
      <c r="H415" s="47" t="s">
        <v>1091</v>
      </c>
      <c r="I415" s="47">
        <v>2007</v>
      </c>
      <c r="J415" s="36"/>
      <c r="K415" s="47">
        <v>0.8</v>
      </c>
      <c r="L415" s="47">
        <v>2</v>
      </c>
      <c r="M415" s="935">
        <f t="shared" ca="1" si="32"/>
        <v>1.5169612731776008</v>
      </c>
      <c r="N415" s="953">
        <f>N$3/213.2</f>
        <v>1.8878330206378988</v>
      </c>
      <c r="O415" s="917">
        <f t="shared" ca="1" si="31"/>
        <v>1528168.2303762306</v>
      </c>
    </row>
    <row r="416" spans="1:15" ht="15.75" customHeight="1" thickBot="1" x14ac:dyDescent="0.25">
      <c r="A416" s="35" t="s">
        <v>2379</v>
      </c>
      <c r="B416" s="897">
        <f ca="1">ExpBase!C1577</f>
        <v>96187.768972952224</v>
      </c>
      <c r="C416" s="47" t="s">
        <v>267</v>
      </c>
      <c r="D416" s="894">
        <v>2</v>
      </c>
      <c r="E416" s="48" t="s">
        <v>2531</v>
      </c>
      <c r="F416" s="889">
        <v>103000</v>
      </c>
      <c r="G416" s="894">
        <v>31815</v>
      </c>
      <c r="H416" s="47" t="s">
        <v>267</v>
      </c>
      <c r="I416" s="47">
        <v>2010</v>
      </c>
      <c r="J416" s="41"/>
      <c r="K416" s="47">
        <v>0.7</v>
      </c>
      <c r="L416" s="47">
        <v>2</v>
      </c>
      <c r="M416" s="935">
        <f t="shared" ca="1" si="32"/>
        <v>3.0233465023715929</v>
      </c>
      <c r="N416" s="953">
        <f>N$3/267.6</f>
        <v>1.5040582959641253</v>
      </c>
      <c r="O416" s="917">
        <f t="shared" ca="1" si="31"/>
        <v>1344322.3910563544</v>
      </c>
    </row>
    <row r="417" spans="1:15" ht="15.75" customHeight="1" thickBot="1" x14ac:dyDescent="0.25">
      <c r="A417" s="35"/>
      <c r="B417" s="897"/>
      <c r="C417" s="47"/>
      <c r="D417" s="897"/>
      <c r="E417" s="36"/>
      <c r="F417" s="917"/>
      <c r="G417" s="897"/>
      <c r="H417" s="47"/>
      <c r="I417" s="47"/>
      <c r="J417" s="36"/>
      <c r="K417" s="47"/>
      <c r="L417" s="47"/>
      <c r="M417" s="936"/>
      <c r="N417" s="954"/>
      <c r="O417" s="917"/>
    </row>
    <row r="418" spans="1:15" ht="15.75" customHeight="1" thickBot="1" x14ac:dyDescent="0.25">
      <c r="A418" s="1677" t="s">
        <v>526</v>
      </c>
      <c r="B418" s="1678"/>
      <c r="C418" s="1678"/>
      <c r="D418" s="1678"/>
      <c r="E418" s="1678"/>
      <c r="F418" s="1678"/>
      <c r="G418" s="1678"/>
      <c r="H418" s="1678"/>
      <c r="I418" s="1678"/>
      <c r="J418" s="1678"/>
      <c r="K418" s="1678"/>
      <c r="L418" s="1678"/>
      <c r="M418" s="1678"/>
      <c r="N418" s="1679"/>
      <c r="O418" s="917">
        <f ca="1">SUM(O408:O417)</f>
        <v>30113654.871589381</v>
      </c>
    </row>
    <row r="419" spans="1:15" ht="15.75" customHeight="1" thickBot="1" x14ac:dyDescent="0.25">
      <c r="A419" s="197"/>
      <c r="B419" s="895"/>
      <c r="C419" s="197"/>
      <c r="D419" s="895"/>
      <c r="E419" s="197"/>
      <c r="F419" s="890"/>
      <c r="G419" s="895"/>
      <c r="H419" s="197"/>
      <c r="I419" s="197"/>
      <c r="J419" s="197"/>
      <c r="K419" s="197"/>
      <c r="L419" s="197"/>
      <c r="M419" s="937"/>
      <c r="N419" s="955"/>
      <c r="O419" s="891"/>
    </row>
    <row r="420" spans="1:15" ht="15.75" customHeight="1" x14ac:dyDescent="0.2">
      <c r="A420" s="1934" t="s">
        <v>910</v>
      </c>
      <c r="B420" s="1935"/>
      <c r="C420" s="1355"/>
      <c r="D420" s="1355"/>
      <c r="E420" s="1355"/>
      <c r="F420" s="1355"/>
      <c r="G420" s="1355"/>
      <c r="H420" s="1355"/>
      <c r="I420" s="1355"/>
      <c r="J420" s="1355"/>
      <c r="K420" s="1355"/>
      <c r="L420" s="1355"/>
      <c r="M420" s="1355"/>
      <c r="N420" s="1355"/>
      <c r="O420" s="1356"/>
    </row>
    <row r="421" spans="1:15" ht="15.75" customHeight="1" thickBot="1" x14ac:dyDescent="0.25">
      <c r="A421" s="1937"/>
      <c r="B421" s="1938"/>
      <c r="C421" s="1357"/>
      <c r="D421" s="1357"/>
      <c r="E421" s="1357"/>
      <c r="F421" s="1357"/>
      <c r="G421" s="1357"/>
      <c r="H421" s="1357"/>
      <c r="I421" s="1357"/>
      <c r="J421" s="1357"/>
      <c r="K421" s="1357"/>
      <c r="L421" s="1357"/>
      <c r="M421" s="1357"/>
      <c r="N421" s="1357"/>
      <c r="O421" s="1358"/>
    </row>
    <row r="422" spans="1:15" ht="15.75" customHeight="1" thickBot="1" x14ac:dyDescent="0.25">
      <c r="A422" s="1680" t="s">
        <v>509</v>
      </c>
      <c r="B422" s="1681"/>
      <c r="C422" s="1681"/>
      <c r="D422" s="1681"/>
      <c r="E422" s="1681"/>
      <c r="F422" s="1681"/>
      <c r="G422" s="1681"/>
      <c r="H422" s="1681"/>
      <c r="I422" s="1681"/>
      <c r="J422" s="1681"/>
      <c r="K422" s="1681"/>
      <c r="L422" s="1681"/>
      <c r="M422" s="1681"/>
      <c r="N422" s="1681"/>
      <c r="O422" s="1682"/>
    </row>
    <row r="423" spans="1:15" ht="15.75" customHeight="1" thickBot="1" x14ac:dyDescent="0.25">
      <c r="A423" s="1683" t="s">
        <v>510</v>
      </c>
      <c r="B423" s="1684"/>
      <c r="C423" s="1684"/>
      <c r="D423" s="1684"/>
      <c r="E423" s="1685"/>
      <c r="F423" s="1683" t="s">
        <v>511</v>
      </c>
      <c r="G423" s="1684"/>
      <c r="H423" s="1684"/>
      <c r="I423" s="1684"/>
      <c r="J423" s="1685"/>
      <c r="K423" s="1683" t="s">
        <v>512</v>
      </c>
      <c r="L423" s="1684"/>
      <c r="M423" s="1684"/>
      <c r="N423" s="1685"/>
      <c r="O423" s="1686" t="s">
        <v>513</v>
      </c>
    </row>
    <row r="424" spans="1:15" ht="15.75" customHeight="1" x14ac:dyDescent="0.2">
      <c r="A424" s="1689" t="s">
        <v>514</v>
      </c>
      <c r="B424" s="1691" t="s">
        <v>515</v>
      </c>
      <c r="C424" s="1693" t="s">
        <v>372</v>
      </c>
      <c r="D424" s="1691" t="s">
        <v>516</v>
      </c>
      <c r="E424" s="1689" t="s">
        <v>517</v>
      </c>
      <c r="F424" s="1686" t="s">
        <v>518</v>
      </c>
      <c r="G424" s="1691" t="s">
        <v>515</v>
      </c>
      <c r="H424" s="1693" t="s">
        <v>372</v>
      </c>
      <c r="I424" s="1693" t="s">
        <v>519</v>
      </c>
      <c r="J424" s="1689" t="s">
        <v>520</v>
      </c>
      <c r="K424" s="1693" t="s">
        <v>521</v>
      </c>
      <c r="L424" s="1693" t="s">
        <v>522</v>
      </c>
      <c r="M424" s="1695" t="s">
        <v>523</v>
      </c>
      <c r="N424" s="951" t="s">
        <v>527</v>
      </c>
      <c r="O424" s="1687"/>
    </row>
    <row r="425" spans="1:15" ht="15.75" customHeight="1" thickBot="1" x14ac:dyDescent="0.25">
      <c r="A425" s="1690"/>
      <c r="B425" s="1692"/>
      <c r="C425" s="1694"/>
      <c r="D425" s="1692"/>
      <c r="E425" s="1690"/>
      <c r="F425" s="1688"/>
      <c r="G425" s="1692"/>
      <c r="H425" s="1694"/>
      <c r="I425" s="1694"/>
      <c r="J425" s="1690"/>
      <c r="K425" s="1694"/>
      <c r="L425" s="1694"/>
      <c r="M425" s="1696"/>
      <c r="N425" s="952">
        <v>2024</v>
      </c>
      <c r="O425" s="1688"/>
    </row>
    <row r="426" spans="1:15" ht="15.75" customHeight="1" thickBot="1" x14ac:dyDescent="0.25">
      <c r="A426" s="46" t="s">
        <v>2374</v>
      </c>
      <c r="B426" s="894">
        <f ca="1">B288</f>
        <v>10715.376471926391</v>
      </c>
      <c r="C426" s="47" t="s">
        <v>267</v>
      </c>
      <c r="D426" s="894">
        <v>2</v>
      </c>
      <c r="E426" s="48" t="s">
        <v>1610</v>
      </c>
      <c r="F426" s="889">
        <v>11358</v>
      </c>
      <c r="G426" s="894">
        <v>43149</v>
      </c>
      <c r="H426" s="47" t="s">
        <v>267</v>
      </c>
      <c r="I426" s="47">
        <v>2018</v>
      </c>
      <c r="J426" s="41"/>
      <c r="K426" s="47">
        <v>0.8</v>
      </c>
      <c r="L426" s="47">
        <v>2.2999999999999998</v>
      </c>
      <c r="M426" s="935">
        <f ca="1">B426/G426</f>
        <v>0.24833429446630029</v>
      </c>
      <c r="N426" s="953">
        <f>N$3/329.7</f>
        <v>1.220764331210191</v>
      </c>
      <c r="O426" s="917">
        <f ca="1">D426*N426*F426*L426*M426^(K426)</f>
        <v>20927.670388427814</v>
      </c>
    </row>
    <row r="427" spans="1:15" ht="15.75" customHeight="1" thickBot="1" x14ac:dyDescent="0.25">
      <c r="A427" s="46" t="s">
        <v>2375</v>
      </c>
      <c r="B427" s="894">
        <f t="shared" ref="B427:B433" ca="1" si="33">B289</f>
        <v>893.68559336614862</v>
      </c>
      <c r="C427" s="47" t="s">
        <v>267</v>
      </c>
      <c r="D427" s="894">
        <v>2</v>
      </c>
      <c r="E427" s="48" t="s">
        <v>1610</v>
      </c>
      <c r="F427" s="889">
        <v>11358</v>
      </c>
      <c r="G427" s="894">
        <v>43149</v>
      </c>
      <c r="H427" s="47" t="s">
        <v>267</v>
      </c>
      <c r="I427" s="47">
        <v>2018</v>
      </c>
      <c r="J427" s="41"/>
      <c r="K427" s="47">
        <v>0.8</v>
      </c>
      <c r="L427" s="47">
        <v>2.2999999999999998</v>
      </c>
      <c r="M427" s="935">
        <f t="shared" ref="M427:M435" ca="1" si="34">B427/G427</f>
        <v>2.0711617728479192E-2</v>
      </c>
      <c r="N427" s="953">
        <f>N$3/329.7</f>
        <v>1.220764331210191</v>
      </c>
      <c r="O427" s="917">
        <f t="shared" ref="O427:O435" ca="1" si="35">D427*N427*F427*L427*M427^(K427)</f>
        <v>2868.5521178948256</v>
      </c>
    </row>
    <row r="428" spans="1:15" ht="15.75" customHeight="1" thickBot="1" x14ac:dyDescent="0.25">
      <c r="A428" s="35" t="s">
        <v>1025</v>
      </c>
      <c r="B428" s="894">
        <f t="shared" ca="1" si="33"/>
        <v>10715.376471926391</v>
      </c>
      <c r="C428" s="66" t="s">
        <v>1</v>
      </c>
      <c r="D428" s="894">
        <v>2</v>
      </c>
      <c r="E428" s="36" t="s">
        <v>530</v>
      </c>
      <c r="F428" s="889">
        <f>CostCalc!F$557</f>
        <v>188.34</v>
      </c>
      <c r="G428" s="897">
        <v>0.76</v>
      </c>
      <c r="H428" s="47" t="s">
        <v>1</v>
      </c>
      <c r="I428" s="47">
        <v>2023</v>
      </c>
      <c r="J428" s="36"/>
      <c r="K428" s="47">
        <v>0.7</v>
      </c>
      <c r="L428" s="47">
        <v>2.6</v>
      </c>
      <c r="M428" s="935">
        <f t="shared" ca="1" si="34"/>
        <v>14099.179568324198</v>
      </c>
      <c r="N428" s="953">
        <f>N$3/421.24</f>
        <v>0.9554790618174912</v>
      </c>
      <c r="O428" s="917">
        <f t="shared" ca="1" si="35"/>
        <v>750935.73793454107</v>
      </c>
    </row>
    <row r="429" spans="1:15" ht="15.75" customHeight="1" thickBot="1" x14ac:dyDescent="0.25">
      <c r="A429" s="35" t="s">
        <v>841</v>
      </c>
      <c r="B429" s="894">
        <f t="shared" ca="1" si="33"/>
        <v>14.334480683115206</v>
      </c>
      <c r="C429" s="47" t="s">
        <v>11</v>
      </c>
      <c r="D429" s="894">
        <v>2</v>
      </c>
      <c r="E429" s="36" t="s">
        <v>2504</v>
      </c>
      <c r="F429" s="889">
        <v>52500</v>
      </c>
      <c r="G429" s="897">
        <v>30</v>
      </c>
      <c r="H429" s="47" t="s">
        <v>11</v>
      </c>
      <c r="I429" s="47">
        <v>2009</v>
      </c>
      <c r="J429" s="36"/>
      <c r="K429" s="47">
        <v>1</v>
      </c>
      <c r="L429" s="47">
        <v>1.5</v>
      </c>
      <c r="M429" s="935">
        <f t="shared" ca="1" si="34"/>
        <v>0.47781602277050689</v>
      </c>
      <c r="N429" s="953">
        <f>N$3/273.5</f>
        <v>1.4716124314442414</v>
      </c>
      <c r="O429" s="917">
        <f t="shared" ca="1" si="35"/>
        <v>110747.69985074081</v>
      </c>
    </row>
    <row r="430" spans="1:15" ht="15.75" customHeight="1" thickBot="1" x14ac:dyDescent="0.25">
      <c r="A430" s="35" t="s">
        <v>2376</v>
      </c>
      <c r="B430" s="894">
        <f t="shared" ca="1" si="33"/>
        <v>0.20576589783862523</v>
      </c>
      <c r="C430" s="47" t="s">
        <v>267</v>
      </c>
      <c r="D430" s="894">
        <v>2</v>
      </c>
      <c r="E430" s="36" t="s">
        <v>2513</v>
      </c>
      <c r="F430" s="889">
        <v>588000</v>
      </c>
      <c r="G430" s="894">
        <v>156789</v>
      </c>
      <c r="H430" s="47" t="s">
        <v>267</v>
      </c>
      <c r="I430" s="47">
        <v>2013</v>
      </c>
      <c r="J430" s="36"/>
      <c r="K430" s="47">
        <v>0.5</v>
      </c>
      <c r="L430" s="47">
        <v>2</v>
      </c>
      <c r="M430" s="935">
        <f t="shared" ca="1" si="34"/>
        <v>1.3123745788201037E-6</v>
      </c>
      <c r="N430" s="953">
        <f>N$3/303.8</f>
        <v>1.3248387096774192</v>
      </c>
      <c r="O430" s="917">
        <f t="shared" ca="1" si="35"/>
        <v>3569.6795486558308</v>
      </c>
    </row>
    <row r="431" spans="1:15" ht="15.75" customHeight="1" thickBot="1" x14ac:dyDescent="0.25">
      <c r="A431" s="35" t="s">
        <v>1026</v>
      </c>
      <c r="B431" s="894">
        <f t="shared" ca="1" si="33"/>
        <v>11609.062065292539</v>
      </c>
      <c r="C431" s="47" t="s">
        <v>267</v>
      </c>
      <c r="D431" s="894">
        <v>2</v>
      </c>
      <c r="E431" s="36"/>
      <c r="F431" s="889">
        <v>13</v>
      </c>
      <c r="G431" s="897">
        <v>1</v>
      </c>
      <c r="H431" s="199" t="s">
        <v>267</v>
      </c>
      <c r="I431" s="47">
        <v>2007</v>
      </c>
      <c r="J431" s="36"/>
      <c r="K431" s="47">
        <v>0.7</v>
      </c>
      <c r="L431" s="47">
        <v>2.7</v>
      </c>
      <c r="M431" s="935">
        <f t="shared" ca="1" si="34"/>
        <v>11609.062065292539</v>
      </c>
      <c r="N431" s="953">
        <f>N$3/213.2</f>
        <v>1.8878330206378988</v>
      </c>
      <c r="O431" s="917">
        <f t="shared" ca="1" si="35"/>
        <v>92823.658928129167</v>
      </c>
    </row>
    <row r="432" spans="1:15" ht="15.75" customHeight="1" thickBot="1" x14ac:dyDescent="0.25">
      <c r="A432" s="64" t="s">
        <v>1027</v>
      </c>
      <c r="B432" s="894">
        <f t="shared" ca="1" si="33"/>
        <v>953.50967738411077</v>
      </c>
      <c r="C432" s="47" t="s">
        <v>267</v>
      </c>
      <c r="D432" s="894">
        <v>2</v>
      </c>
      <c r="E432" s="36"/>
      <c r="F432" s="889">
        <v>0.5</v>
      </c>
      <c r="G432" s="897">
        <v>1</v>
      </c>
      <c r="H432" s="281" t="s">
        <v>267</v>
      </c>
      <c r="I432" s="47">
        <v>1997</v>
      </c>
      <c r="J432" s="36"/>
      <c r="K432" s="47">
        <v>0.7</v>
      </c>
      <c r="L432" s="47">
        <v>2.7</v>
      </c>
      <c r="M432" s="935">
        <f t="shared" ca="1" si="34"/>
        <v>953.50967738411077</v>
      </c>
      <c r="N432" s="953">
        <f>N$3/146.2</f>
        <v>2.752982216142271</v>
      </c>
      <c r="O432" s="917">
        <f t="shared" ca="1" si="35"/>
        <v>905.09620449667841</v>
      </c>
    </row>
    <row r="433" spans="1:15" ht="15.75" customHeight="1" thickBot="1" x14ac:dyDescent="0.25">
      <c r="A433" s="35" t="s">
        <v>3020</v>
      </c>
      <c r="B433" s="894">
        <f t="shared" ca="1" si="33"/>
        <v>953.50967738411077</v>
      </c>
      <c r="C433" s="47" t="s">
        <v>999</v>
      </c>
      <c r="D433" s="894">
        <v>2</v>
      </c>
      <c r="E433" s="36" t="s">
        <v>1028</v>
      </c>
      <c r="F433" s="889">
        <v>3500</v>
      </c>
      <c r="G433" s="897">
        <v>1</v>
      </c>
      <c r="H433" s="281" t="s">
        <v>999</v>
      </c>
      <c r="I433" s="47">
        <v>2007</v>
      </c>
      <c r="J433" s="36"/>
      <c r="K433" s="47">
        <v>0.5</v>
      </c>
      <c r="L433" s="47">
        <v>2.7</v>
      </c>
      <c r="M433" s="935">
        <f t="shared" ca="1" si="34"/>
        <v>953.50967738411077</v>
      </c>
      <c r="N433" s="953">
        <f>N$3/213.2</f>
        <v>1.8878330206378988</v>
      </c>
      <c r="O433" s="917">
        <f t="shared" ca="1" si="35"/>
        <v>1101762.3692571695</v>
      </c>
    </row>
    <row r="434" spans="1:15" ht="15.75" customHeight="1" thickBot="1" x14ac:dyDescent="0.25">
      <c r="A434" s="35" t="s">
        <v>538</v>
      </c>
      <c r="B434" s="894">
        <f ca="1">B433</f>
        <v>953.50967738411077</v>
      </c>
      <c r="C434" s="47" t="s">
        <v>999</v>
      </c>
      <c r="D434" s="894">
        <v>2</v>
      </c>
      <c r="E434" s="36"/>
      <c r="F434" s="889">
        <v>4100</v>
      </c>
      <c r="G434" s="897">
        <v>1</v>
      </c>
      <c r="H434" s="281" t="s">
        <v>999</v>
      </c>
      <c r="I434" s="47">
        <v>2007</v>
      </c>
      <c r="J434" s="36"/>
      <c r="K434" s="47">
        <v>0.5</v>
      </c>
      <c r="L434" s="47">
        <v>2.7</v>
      </c>
      <c r="M434" s="935">
        <f t="shared" ca="1" si="34"/>
        <v>953.50967738411077</v>
      </c>
      <c r="N434" s="953">
        <f>N$3/213.2</f>
        <v>1.8878330206378988</v>
      </c>
      <c r="O434" s="917">
        <f ca="1">D434*N434*F434*L434*M434^(K434)</f>
        <v>1290635.9182726841</v>
      </c>
    </row>
    <row r="435" spans="1:15" ht="15.75" customHeight="1" thickBot="1" x14ac:dyDescent="0.25">
      <c r="A435" s="35" t="s">
        <v>2379</v>
      </c>
      <c r="B435" s="894">
        <f ca="1">B427</f>
        <v>893.68559336614862</v>
      </c>
      <c r="C435" s="47" t="s">
        <v>267</v>
      </c>
      <c r="D435" s="894">
        <v>2</v>
      </c>
      <c r="E435" s="48" t="s">
        <v>2531</v>
      </c>
      <c r="F435" s="889">
        <v>103000</v>
      </c>
      <c r="G435" s="894">
        <v>31815</v>
      </c>
      <c r="H435" s="47" t="s">
        <v>267</v>
      </c>
      <c r="I435" s="47">
        <v>2010</v>
      </c>
      <c r="J435" s="41"/>
      <c r="K435" s="47">
        <v>0.7</v>
      </c>
      <c r="L435" s="47">
        <v>2</v>
      </c>
      <c r="M435" s="935">
        <f t="shared" ca="1" si="34"/>
        <v>2.8090070512844525E-2</v>
      </c>
      <c r="N435" s="953">
        <f>N$3/267.6</f>
        <v>1.5040582959641253</v>
      </c>
      <c r="O435" s="917">
        <f t="shared" ca="1" si="35"/>
        <v>50833.36576631941</v>
      </c>
    </row>
    <row r="436" spans="1:15" ht="15.75" customHeight="1" thickBot="1" x14ac:dyDescent="0.25">
      <c r="A436" s="35"/>
      <c r="B436" s="897"/>
      <c r="C436" s="47"/>
      <c r="D436" s="897"/>
      <c r="E436" s="36"/>
      <c r="F436" s="917"/>
      <c r="G436" s="897"/>
      <c r="H436" s="47"/>
      <c r="I436" s="47"/>
      <c r="J436" s="36"/>
      <c r="K436" s="47"/>
      <c r="L436" s="47"/>
      <c r="M436" s="936"/>
      <c r="N436" s="954"/>
      <c r="O436" s="917"/>
    </row>
    <row r="437" spans="1:15" ht="15.75" customHeight="1" thickBot="1" x14ac:dyDescent="0.25">
      <c r="A437" s="1677" t="s">
        <v>526</v>
      </c>
      <c r="B437" s="1678"/>
      <c r="C437" s="1678"/>
      <c r="D437" s="1678"/>
      <c r="E437" s="1678"/>
      <c r="F437" s="1678"/>
      <c r="G437" s="1678"/>
      <c r="H437" s="1678"/>
      <c r="I437" s="1678"/>
      <c r="J437" s="1678"/>
      <c r="K437" s="1678"/>
      <c r="L437" s="1678"/>
      <c r="M437" s="1678"/>
      <c r="N437" s="1679"/>
      <c r="O437" s="917">
        <f ca="1">SUM(O426:O435)</f>
        <v>3426009.7482690597</v>
      </c>
    </row>
    <row r="438" spans="1:15" ht="15.75" customHeight="1" x14ac:dyDescent="0.2">
      <c r="A438" s="197"/>
      <c r="B438" s="895"/>
      <c r="C438" s="197"/>
      <c r="D438" s="895"/>
      <c r="E438" s="197"/>
      <c r="F438" s="890"/>
      <c r="G438" s="895"/>
      <c r="H438" s="197"/>
      <c r="I438" s="197"/>
      <c r="J438" s="197"/>
      <c r="K438" s="197"/>
      <c r="L438" s="197"/>
      <c r="M438" s="937"/>
      <c r="N438" s="955"/>
      <c r="O438" s="891"/>
    </row>
    <row r="439" spans="1:15" ht="15.75" customHeight="1" thickBot="1" x14ac:dyDescent="0.25"/>
    <row r="440" spans="1:15" ht="15.75" customHeight="1" x14ac:dyDescent="0.2">
      <c r="A440" s="1789" t="s">
        <v>755</v>
      </c>
      <c r="B440" s="1790"/>
      <c r="C440" s="1359"/>
      <c r="D440" s="1359"/>
      <c r="E440" s="1359"/>
      <c r="F440" s="1359"/>
      <c r="G440" s="1359"/>
      <c r="H440" s="1359"/>
      <c r="I440" s="1359"/>
      <c r="J440" s="1359"/>
      <c r="K440" s="1359"/>
      <c r="L440" s="1359"/>
      <c r="M440" s="1359"/>
      <c r="N440" s="1359"/>
      <c r="O440" s="1360"/>
    </row>
    <row r="441" spans="1:15" ht="15.75" customHeight="1" thickBot="1" x14ac:dyDescent="0.25">
      <c r="A441" s="1792"/>
      <c r="B441" s="1793"/>
      <c r="C441" s="1361"/>
      <c r="D441" s="1361"/>
      <c r="E441" s="1361"/>
      <c r="F441" s="1361"/>
      <c r="G441" s="1361"/>
      <c r="H441" s="1361"/>
      <c r="I441" s="1361"/>
      <c r="J441" s="1361"/>
      <c r="K441" s="1361"/>
      <c r="L441" s="1361"/>
      <c r="M441" s="1361"/>
      <c r="N441" s="1361"/>
      <c r="O441" s="1362"/>
    </row>
    <row r="442" spans="1:15" ht="15.75" customHeight="1" thickBot="1" x14ac:dyDescent="0.25">
      <c r="A442" s="1680" t="s">
        <v>509</v>
      </c>
      <c r="B442" s="1681"/>
      <c r="C442" s="1681"/>
      <c r="D442" s="1681"/>
      <c r="E442" s="1681"/>
      <c r="F442" s="1681"/>
      <c r="G442" s="1681"/>
      <c r="H442" s="1681"/>
      <c r="I442" s="1681"/>
      <c r="J442" s="1681"/>
      <c r="K442" s="1681"/>
      <c r="L442" s="1681"/>
      <c r="M442" s="1681"/>
      <c r="N442" s="1681"/>
      <c r="O442" s="1682"/>
    </row>
    <row r="443" spans="1:15" ht="15.75" customHeight="1" thickBot="1" x14ac:dyDescent="0.25">
      <c r="A443" s="1683" t="s">
        <v>510</v>
      </c>
      <c r="B443" s="1684"/>
      <c r="C443" s="1684"/>
      <c r="D443" s="1684"/>
      <c r="E443" s="1685"/>
      <c r="F443" s="1683" t="s">
        <v>511</v>
      </c>
      <c r="G443" s="1684"/>
      <c r="H443" s="1684"/>
      <c r="I443" s="1684"/>
      <c r="J443" s="1685"/>
      <c r="K443" s="1683" t="s">
        <v>512</v>
      </c>
      <c r="L443" s="1684"/>
      <c r="M443" s="1684"/>
      <c r="N443" s="1685"/>
      <c r="O443" s="1686" t="s">
        <v>513</v>
      </c>
    </row>
    <row r="444" spans="1:15" ht="15.75" customHeight="1" x14ac:dyDescent="0.2">
      <c r="A444" s="1689" t="s">
        <v>514</v>
      </c>
      <c r="B444" s="1691" t="s">
        <v>515</v>
      </c>
      <c r="C444" s="1693" t="s">
        <v>372</v>
      </c>
      <c r="D444" s="1691" t="s">
        <v>516</v>
      </c>
      <c r="E444" s="1689" t="s">
        <v>517</v>
      </c>
      <c r="F444" s="1686" t="s">
        <v>518</v>
      </c>
      <c r="G444" s="1691" t="s">
        <v>515</v>
      </c>
      <c r="H444" s="1693" t="s">
        <v>372</v>
      </c>
      <c r="I444" s="1693" t="s">
        <v>519</v>
      </c>
      <c r="J444" s="1689" t="s">
        <v>520</v>
      </c>
      <c r="K444" s="1693" t="s">
        <v>521</v>
      </c>
      <c r="L444" s="1693" t="s">
        <v>522</v>
      </c>
      <c r="M444" s="1695" t="s">
        <v>523</v>
      </c>
      <c r="N444" s="951" t="s">
        <v>527</v>
      </c>
      <c r="O444" s="1687"/>
    </row>
    <row r="445" spans="1:15" ht="15.75" customHeight="1" thickBot="1" x14ac:dyDescent="0.25">
      <c r="A445" s="1690"/>
      <c r="B445" s="1692"/>
      <c r="C445" s="1694"/>
      <c r="D445" s="1692"/>
      <c r="E445" s="1690"/>
      <c r="F445" s="1688"/>
      <c r="G445" s="1692"/>
      <c r="H445" s="1694"/>
      <c r="I445" s="1694"/>
      <c r="J445" s="1690"/>
      <c r="K445" s="1694"/>
      <c r="L445" s="1694"/>
      <c r="M445" s="1696"/>
      <c r="N445" s="952">
        <v>2024</v>
      </c>
      <c r="O445" s="1688"/>
    </row>
    <row r="446" spans="1:15" ht="15.75" customHeight="1" thickBot="1" x14ac:dyDescent="0.25">
      <c r="A446" s="35" t="s">
        <v>2377</v>
      </c>
      <c r="B446" s="897">
        <f ca="1">B308</f>
        <v>950.78684940764629</v>
      </c>
      <c r="C446" s="47" t="s">
        <v>267</v>
      </c>
      <c r="D446" s="894">
        <v>3</v>
      </c>
      <c r="E446" s="48" t="s">
        <v>2531</v>
      </c>
      <c r="F446" s="889">
        <v>103000</v>
      </c>
      <c r="G446" s="894">
        <v>31815</v>
      </c>
      <c r="H446" s="47" t="s">
        <v>267</v>
      </c>
      <c r="I446" s="47">
        <v>2010</v>
      </c>
      <c r="J446" s="41"/>
      <c r="K446" s="47">
        <v>0.7</v>
      </c>
      <c r="L446" s="47">
        <v>2</v>
      </c>
      <c r="M446" s="936">
        <f t="shared" ref="M446:M453" ca="1" si="36">B446/G446</f>
        <v>2.9884860896044203E-2</v>
      </c>
      <c r="N446" s="953">
        <f>N$3/267.6</f>
        <v>1.5040582959641253</v>
      </c>
      <c r="O446" s="917">
        <f t="shared" ref="O446:O452" ca="1" si="37">D446*N446*F446*L446*M446^(K446)</f>
        <v>79628.587426385187</v>
      </c>
    </row>
    <row r="447" spans="1:15" ht="15.75" customHeight="1" thickBot="1" x14ac:dyDescent="0.25">
      <c r="A447" s="35" t="s">
        <v>1027</v>
      </c>
      <c r="B447" s="897">
        <f ca="1">B309</f>
        <v>59.978803750132357</v>
      </c>
      <c r="C447" s="47" t="s">
        <v>1091</v>
      </c>
      <c r="D447" s="894">
        <v>3</v>
      </c>
      <c r="E447" s="36"/>
      <c r="F447" s="889">
        <f>Inputs!F$862*G$447</f>
        <v>9200.1</v>
      </c>
      <c r="G447" s="897">
        <v>150</v>
      </c>
      <c r="H447" s="47" t="s">
        <v>1091</v>
      </c>
      <c r="I447" s="47">
        <v>2009</v>
      </c>
      <c r="J447" s="41"/>
      <c r="K447" s="47">
        <v>0.8</v>
      </c>
      <c r="L447" s="47">
        <v>3.1</v>
      </c>
      <c r="M447" s="936">
        <f t="shared" ca="1" si="36"/>
        <v>0.39985869166754906</v>
      </c>
      <c r="N447" s="953">
        <f>N$3/273.5</f>
        <v>1.4716124314442414</v>
      </c>
      <c r="O447" s="917">
        <f t="shared" ca="1" si="37"/>
        <v>60477.548283387863</v>
      </c>
    </row>
    <row r="448" spans="1:15" ht="15.75" customHeight="1" thickBot="1" x14ac:dyDescent="0.25">
      <c r="A448" s="67" t="s">
        <v>2484</v>
      </c>
      <c r="B448" s="897">
        <f ca="1">B308*Inputs!F725*Inputs!F718</f>
        <v>380.31473976305853</v>
      </c>
      <c r="C448" s="47" t="s">
        <v>1</v>
      </c>
      <c r="D448" s="894">
        <v>3</v>
      </c>
      <c r="E448" s="36" t="s">
        <v>2499</v>
      </c>
      <c r="F448" s="889">
        <v>5760</v>
      </c>
      <c r="G448" s="897">
        <v>72</v>
      </c>
      <c r="H448" s="47" t="s">
        <v>1</v>
      </c>
      <c r="I448" s="47">
        <v>1996</v>
      </c>
      <c r="J448" s="36"/>
      <c r="K448" s="47">
        <v>0.71</v>
      </c>
      <c r="L448" s="47">
        <v>1.4</v>
      </c>
      <c r="M448" s="936">
        <f t="shared" ca="1" si="36"/>
        <v>5.2821491633758129</v>
      </c>
      <c r="N448" s="953">
        <f>N$3/135.8</f>
        <v>2.9638144329896905</v>
      </c>
      <c r="O448" s="917">
        <f t="shared" ca="1" si="37"/>
        <v>233732.09503278485</v>
      </c>
    </row>
    <row r="449" spans="1:15" ht="15.75" customHeight="1" thickBot="1" x14ac:dyDescent="0.25">
      <c r="A449" s="67" t="s">
        <v>2485</v>
      </c>
      <c r="B449" s="897">
        <f ca="1">B446*Inputs!F725</f>
        <v>95.078684940764632</v>
      </c>
      <c r="C449" s="47" t="s">
        <v>444</v>
      </c>
      <c r="D449" s="894">
        <v>3</v>
      </c>
      <c r="E449" s="36" t="s">
        <v>2500</v>
      </c>
      <c r="F449" s="889">
        <v>4800</v>
      </c>
      <c r="G449" s="897">
        <v>0.6</v>
      </c>
      <c r="H449" s="47" t="s">
        <v>444</v>
      </c>
      <c r="I449" s="47">
        <v>1997</v>
      </c>
      <c r="J449" s="36"/>
      <c r="K449" s="47">
        <v>0.79</v>
      </c>
      <c r="L449" s="47">
        <v>2.8</v>
      </c>
      <c r="M449" s="936">
        <f t="shared" ca="1" si="36"/>
        <v>158.4644749012744</v>
      </c>
      <c r="N449" s="953">
        <f>N$3/146.2</f>
        <v>2.752982216142271</v>
      </c>
      <c r="O449" s="917">
        <f t="shared" ca="1" si="37"/>
        <v>6071138.5337613588</v>
      </c>
    </row>
    <row r="450" spans="1:15" ht="15.75" customHeight="1" thickBot="1" x14ac:dyDescent="0.25">
      <c r="A450" s="35" t="s">
        <v>906</v>
      </c>
      <c r="B450" s="897">
        <f ca="1">B448</f>
        <v>380.31473976305853</v>
      </c>
      <c r="C450" s="47" t="s">
        <v>1</v>
      </c>
      <c r="D450" s="894">
        <v>3</v>
      </c>
      <c r="E450" s="36" t="s">
        <v>907</v>
      </c>
      <c r="F450" s="889">
        <f>CostCalc!F$742</f>
        <v>30000</v>
      </c>
      <c r="G450" s="897">
        <f>CostCalc!G742</f>
        <v>1</v>
      </c>
      <c r="H450" s="47" t="str">
        <f>CostCalc!H742</f>
        <v>m3</v>
      </c>
      <c r="I450" s="47">
        <v>2024</v>
      </c>
      <c r="J450" s="36"/>
      <c r="K450" s="47">
        <v>0.8</v>
      </c>
      <c r="L450" s="47">
        <v>1.5</v>
      </c>
      <c r="M450" s="936">
        <f t="shared" ca="1" si="36"/>
        <v>380.31473976305853</v>
      </c>
      <c r="N450" s="953">
        <f>N$3/389.544</f>
        <v>1.0332234612778017</v>
      </c>
      <c r="O450" s="917">
        <f t="shared" ca="1" si="37"/>
        <v>16167488.237170383</v>
      </c>
    </row>
    <row r="451" spans="1:15" ht="15.75" customHeight="1" thickBot="1" x14ac:dyDescent="0.25">
      <c r="A451" s="35" t="s">
        <v>1088</v>
      </c>
      <c r="B451" s="897">
        <f>CostCalc!B834</f>
        <v>0</v>
      </c>
      <c r="C451" s="47" t="s">
        <v>999</v>
      </c>
      <c r="D451" s="894">
        <v>3</v>
      </c>
      <c r="E451" s="36" t="s">
        <v>1152</v>
      </c>
      <c r="F451" s="889">
        <f>Inputs!F$863*G$451</f>
        <v>91999.99960000001</v>
      </c>
      <c r="G451" s="897">
        <v>9.4</v>
      </c>
      <c r="H451" s="47" t="s">
        <v>999</v>
      </c>
      <c r="I451" s="47">
        <v>2010</v>
      </c>
      <c r="J451" s="41"/>
      <c r="K451" s="47">
        <v>0.5</v>
      </c>
      <c r="L451" s="47">
        <v>2.2000000000000002</v>
      </c>
      <c r="M451" s="936">
        <f t="shared" si="36"/>
        <v>0</v>
      </c>
      <c r="N451" s="953">
        <f>N$3/267.6</f>
        <v>1.5040582959641253</v>
      </c>
      <c r="O451" s="917">
        <f t="shared" si="37"/>
        <v>0</v>
      </c>
    </row>
    <row r="452" spans="1:15" ht="15.75" customHeight="1" thickBot="1" x14ac:dyDescent="0.25">
      <c r="A452" s="35" t="s">
        <v>1089</v>
      </c>
      <c r="B452" s="897">
        <f ca="1">B312</f>
        <v>95.44286009601079</v>
      </c>
      <c r="C452" s="47" t="s">
        <v>267</v>
      </c>
      <c r="D452" s="894">
        <v>3</v>
      </c>
      <c r="E452" s="36"/>
      <c r="F452" s="889">
        <f>Inputs!F$865*G$452</f>
        <v>12523.644</v>
      </c>
      <c r="G452" s="897">
        <v>198788</v>
      </c>
      <c r="H452" s="47" t="s">
        <v>267</v>
      </c>
      <c r="I452" s="47">
        <v>2007</v>
      </c>
      <c r="J452" s="41"/>
      <c r="K452" s="47">
        <v>0.65</v>
      </c>
      <c r="L452" s="47">
        <v>3.7</v>
      </c>
      <c r="M452" s="936">
        <f ca="1">B452/G452</f>
        <v>4.8012385101721828E-4</v>
      </c>
      <c r="N452" s="953">
        <f>N$3/213.2</f>
        <v>1.8878330206378988</v>
      </c>
      <c r="O452" s="917">
        <f t="shared" ca="1" si="37"/>
        <v>1827.6662969296542</v>
      </c>
    </row>
    <row r="453" spans="1:15" ht="15.75" customHeight="1" thickBot="1" x14ac:dyDescent="0.25">
      <c r="A453" s="46" t="s">
        <v>2444</v>
      </c>
      <c r="B453" s="897">
        <f>B314</f>
        <v>1926</v>
      </c>
      <c r="C453" s="47" t="s">
        <v>2445</v>
      </c>
      <c r="D453" s="894">
        <v>3</v>
      </c>
      <c r="E453" s="41"/>
      <c r="F453" s="889">
        <v>128888</v>
      </c>
      <c r="G453" s="894">
        <v>1926</v>
      </c>
      <c r="H453" s="47" t="s">
        <v>2445</v>
      </c>
      <c r="I453" s="47">
        <v>2011</v>
      </c>
      <c r="J453" s="41"/>
      <c r="K453" s="47">
        <v>0.65</v>
      </c>
      <c r="L453" s="47">
        <v>1.8</v>
      </c>
      <c r="M453" s="936">
        <f t="shared" si="36"/>
        <v>1</v>
      </c>
      <c r="N453" s="953">
        <f>N$3/295.3</f>
        <v>1.3629732475448695</v>
      </c>
      <c r="O453" s="917">
        <f>D453*N453*F453*L453*M453^(K453)</f>
        <v>948622.83801964088</v>
      </c>
    </row>
    <row r="454" spans="1:15" ht="15.75" customHeight="1" thickBot="1" x14ac:dyDescent="0.25">
      <c r="A454" s="46"/>
      <c r="B454" s="897"/>
      <c r="C454" s="47"/>
      <c r="D454" s="897"/>
      <c r="E454" s="41"/>
      <c r="F454" s="889"/>
      <c r="G454" s="894"/>
      <c r="H454" s="47"/>
      <c r="I454" s="47"/>
      <c r="J454" s="41"/>
      <c r="K454" s="47"/>
      <c r="L454" s="47"/>
      <c r="M454" s="936"/>
      <c r="N454" s="954"/>
      <c r="O454" s="917"/>
    </row>
    <row r="455" spans="1:15" ht="15.75" customHeight="1" thickBot="1" x14ac:dyDescent="0.25">
      <c r="A455" s="1677" t="s">
        <v>526</v>
      </c>
      <c r="B455" s="1678"/>
      <c r="C455" s="1678"/>
      <c r="D455" s="1678"/>
      <c r="E455" s="1678"/>
      <c r="F455" s="1678"/>
      <c r="G455" s="1678"/>
      <c r="H455" s="1678"/>
      <c r="I455" s="1678"/>
      <c r="J455" s="1678"/>
      <c r="K455" s="1678"/>
      <c r="L455" s="1678"/>
      <c r="M455" s="1678"/>
      <c r="N455" s="1679"/>
      <c r="O455" s="889">
        <f ca="1">SUM(O446:O453)</f>
        <v>23562915.50599087</v>
      </c>
    </row>
    <row r="456" spans="1:15" ht="15.75" customHeight="1" x14ac:dyDescent="0.2">
      <c r="A456" s="197"/>
      <c r="B456" s="895"/>
      <c r="C456" s="197"/>
      <c r="D456" s="895"/>
      <c r="E456" s="290"/>
      <c r="F456" s="890"/>
      <c r="G456" s="895"/>
      <c r="H456" s="197"/>
      <c r="I456" s="197"/>
      <c r="J456" s="197"/>
      <c r="K456" s="197"/>
      <c r="L456" s="197"/>
      <c r="M456" s="937"/>
      <c r="N456" s="955"/>
      <c r="O456" s="929"/>
    </row>
    <row r="457" spans="1:15" ht="15.75" customHeight="1" x14ac:dyDescent="0.2">
      <c r="A457" s="197"/>
      <c r="B457" s="895"/>
      <c r="C457" s="197"/>
      <c r="D457" s="895"/>
      <c r="E457" s="197"/>
      <c r="F457" s="890"/>
      <c r="G457" s="895"/>
      <c r="H457" s="197"/>
      <c r="I457" s="197"/>
      <c r="J457" s="197"/>
      <c r="K457" s="197"/>
      <c r="L457" s="197"/>
      <c r="M457" s="937"/>
      <c r="N457" s="955"/>
      <c r="O457" s="929"/>
    </row>
    <row r="458" spans="1:15" ht="15.75" customHeight="1" thickBot="1" x14ac:dyDescent="0.25"/>
    <row r="459" spans="1:15" ht="15.75" customHeight="1" x14ac:dyDescent="0.2">
      <c r="A459" s="1807" t="s">
        <v>2320</v>
      </c>
      <c r="B459" s="1808"/>
      <c r="C459" s="1384"/>
      <c r="D459" s="1384"/>
      <c r="E459" s="1384"/>
      <c r="F459" s="1384"/>
      <c r="G459" s="1384"/>
      <c r="H459" s="1384"/>
      <c r="I459" s="1384"/>
      <c r="J459" s="1384"/>
      <c r="K459" s="1384"/>
      <c r="L459" s="1384"/>
      <c r="M459" s="1384"/>
      <c r="N459" s="1384"/>
      <c r="O459" s="1385"/>
    </row>
    <row r="460" spans="1:15" ht="15.75" customHeight="1" thickBot="1" x14ac:dyDescent="0.25">
      <c r="A460" s="1810"/>
      <c r="B460" s="1811"/>
      <c r="C460" s="1386"/>
      <c r="D460" s="1386"/>
      <c r="E460" s="1386"/>
      <c r="F460" s="1386"/>
      <c r="G460" s="1386"/>
      <c r="H460" s="1386"/>
      <c r="I460" s="1386"/>
      <c r="J460" s="1386"/>
      <c r="K460" s="1386"/>
      <c r="L460" s="1386"/>
      <c r="M460" s="1386"/>
      <c r="N460" s="1386"/>
      <c r="O460" s="1387"/>
    </row>
    <row r="461" spans="1:15" ht="15.75" customHeight="1" thickBot="1" x14ac:dyDescent="0.25">
      <c r="A461" s="1680" t="s">
        <v>509</v>
      </c>
      <c r="B461" s="1681"/>
      <c r="C461" s="1681"/>
      <c r="D461" s="1681"/>
      <c r="E461" s="1681"/>
      <c r="F461" s="1681"/>
      <c r="G461" s="1681"/>
      <c r="H461" s="1681"/>
      <c r="I461" s="1681"/>
      <c r="J461" s="1681"/>
      <c r="K461" s="1681"/>
      <c r="L461" s="1681"/>
      <c r="M461" s="1681"/>
      <c r="N461" s="1681"/>
      <c r="O461" s="1682"/>
    </row>
    <row r="462" spans="1:15" ht="15.75" customHeight="1" thickBot="1" x14ac:dyDescent="0.25">
      <c r="A462" s="1683" t="s">
        <v>510</v>
      </c>
      <c r="B462" s="1684"/>
      <c r="C462" s="1684"/>
      <c r="D462" s="1684"/>
      <c r="E462" s="1685"/>
      <c r="F462" s="1683" t="s">
        <v>511</v>
      </c>
      <c r="G462" s="1684"/>
      <c r="H462" s="1684"/>
      <c r="I462" s="1684"/>
      <c r="J462" s="1685"/>
      <c r="K462" s="1683" t="s">
        <v>512</v>
      </c>
      <c r="L462" s="1684"/>
      <c r="M462" s="1684"/>
      <c r="N462" s="1685"/>
      <c r="O462" s="1686" t="s">
        <v>513</v>
      </c>
    </row>
    <row r="463" spans="1:15" ht="15.75" customHeight="1" x14ac:dyDescent="0.2">
      <c r="A463" s="1689" t="s">
        <v>514</v>
      </c>
      <c r="B463" s="1691" t="s">
        <v>515</v>
      </c>
      <c r="C463" s="1693" t="s">
        <v>372</v>
      </c>
      <c r="D463" s="1691" t="s">
        <v>516</v>
      </c>
      <c r="E463" s="1689" t="s">
        <v>517</v>
      </c>
      <c r="F463" s="1686" t="s">
        <v>518</v>
      </c>
      <c r="G463" s="1691" t="s">
        <v>515</v>
      </c>
      <c r="H463" s="1693" t="s">
        <v>372</v>
      </c>
      <c r="I463" s="1693" t="s">
        <v>519</v>
      </c>
      <c r="J463" s="1689" t="s">
        <v>520</v>
      </c>
      <c r="K463" s="1693" t="s">
        <v>521</v>
      </c>
      <c r="L463" s="1693" t="s">
        <v>522</v>
      </c>
      <c r="M463" s="1695" t="s">
        <v>523</v>
      </c>
      <c r="N463" s="951" t="s">
        <v>527</v>
      </c>
      <c r="O463" s="1687"/>
    </row>
    <row r="464" spans="1:15" ht="15.75" customHeight="1" thickBot="1" x14ac:dyDescent="0.25">
      <c r="A464" s="1690"/>
      <c r="B464" s="1692"/>
      <c r="C464" s="1694"/>
      <c r="D464" s="1692"/>
      <c r="E464" s="1690"/>
      <c r="F464" s="1688"/>
      <c r="G464" s="1692"/>
      <c r="H464" s="1694"/>
      <c r="I464" s="1694"/>
      <c r="J464" s="1690"/>
      <c r="K464" s="1694"/>
      <c r="L464" s="1694"/>
      <c r="M464" s="1696"/>
      <c r="N464" s="952">
        <v>2024</v>
      </c>
      <c r="O464" s="1688"/>
    </row>
    <row r="465" spans="1:15" ht="15.75" customHeight="1" thickBot="1" x14ac:dyDescent="0.25">
      <c r="A465" s="35" t="s">
        <v>1026</v>
      </c>
      <c r="B465" s="894">
        <f ca="1">B467</f>
        <v>1091683.0404180316</v>
      </c>
      <c r="C465" s="47" t="s">
        <v>2445</v>
      </c>
      <c r="D465" s="894">
        <v>10</v>
      </c>
      <c r="E465" s="64" t="s">
        <v>2536</v>
      </c>
      <c r="F465" s="917">
        <v>1989906</v>
      </c>
      <c r="G465" s="897">
        <v>12855</v>
      </c>
      <c r="H465" s="47" t="s">
        <v>2445</v>
      </c>
      <c r="I465" s="47">
        <v>2007</v>
      </c>
      <c r="J465" s="36"/>
      <c r="K465" s="47">
        <v>0.65</v>
      </c>
      <c r="L465" s="47">
        <v>1.25</v>
      </c>
      <c r="M465" s="935">
        <f ca="1">B465/G465</f>
        <v>84.92283472719032</v>
      </c>
      <c r="N465" s="953">
        <f>N$3/213.2</f>
        <v>1.8878330206378988</v>
      </c>
      <c r="O465" s="917">
        <f t="shared" ref="O465:O477" ca="1" si="38">D465*N465*F465*L465*M465^(K465)</f>
        <v>842504184.03599858</v>
      </c>
    </row>
    <row r="466" spans="1:15" ht="15.75" customHeight="1" thickBot="1" x14ac:dyDescent="0.25">
      <c r="A466" s="64" t="s">
        <v>1027</v>
      </c>
      <c r="B466" s="894">
        <f ca="1">B342</f>
        <v>950.78684940764629</v>
      </c>
      <c r="C466" s="47" t="s">
        <v>267</v>
      </c>
      <c r="D466" s="894">
        <v>10</v>
      </c>
      <c r="E466" s="48" t="s">
        <v>1610</v>
      </c>
      <c r="F466" s="889">
        <v>11358</v>
      </c>
      <c r="G466" s="894">
        <v>43149</v>
      </c>
      <c r="H466" s="47" t="s">
        <v>267</v>
      </c>
      <c r="I466" s="47">
        <v>2018</v>
      </c>
      <c r="J466" s="41"/>
      <c r="K466" s="47">
        <v>0.8</v>
      </c>
      <c r="L466" s="47">
        <v>2.2999999999999998</v>
      </c>
      <c r="M466" s="935">
        <f t="shared" ref="M466:M477" ca="1" si="39">B466/G466</f>
        <v>2.2034968351703314E-2</v>
      </c>
      <c r="N466" s="953">
        <f>N$3/146.2</f>
        <v>2.752982216142271</v>
      </c>
      <c r="O466" s="917">
        <f t="shared" ca="1" si="38"/>
        <v>33987.799777345295</v>
      </c>
    </row>
    <row r="467" spans="1:15" ht="15.75" customHeight="1" thickBot="1" x14ac:dyDescent="0.25">
      <c r="A467" s="35" t="s">
        <v>901</v>
      </c>
      <c r="B467" s="894">
        <f ca="1">CostCalc!A821</f>
        <v>1091683.0404180316</v>
      </c>
      <c r="C467" s="47" t="s">
        <v>2445</v>
      </c>
      <c r="D467" s="894">
        <v>10</v>
      </c>
      <c r="E467" s="64" t="s">
        <v>2535</v>
      </c>
      <c r="F467" s="917">
        <v>370914</v>
      </c>
      <c r="G467" s="894">
        <v>35940000</v>
      </c>
      <c r="H467" s="47" t="s">
        <v>2445</v>
      </c>
      <c r="I467" s="47">
        <v>2007</v>
      </c>
      <c r="J467" s="36"/>
      <c r="K467" s="47">
        <v>0.5</v>
      </c>
      <c r="L467" s="47">
        <v>2.7</v>
      </c>
      <c r="M467" s="935">
        <f t="shared" ca="1" si="39"/>
        <v>3.0375154157429928E-2</v>
      </c>
      <c r="N467" s="953">
        <f t="shared" ref="N467:N473" si="40">N$3/213.2</f>
        <v>1.8878330206378988</v>
      </c>
      <c r="O467" s="917">
        <f t="shared" ca="1" si="38"/>
        <v>3295033.3427056931</v>
      </c>
    </row>
    <row r="468" spans="1:15" ht="15.75" customHeight="1" thickBot="1" x14ac:dyDescent="0.25">
      <c r="A468" s="35" t="s">
        <v>538</v>
      </c>
      <c r="B468" s="894">
        <f ca="1">CostCalc!A820</f>
        <v>1.0916830404180315</v>
      </c>
      <c r="C468" s="47" t="s">
        <v>999</v>
      </c>
      <c r="D468" s="894">
        <v>10</v>
      </c>
      <c r="E468" s="64" t="s">
        <v>2534</v>
      </c>
      <c r="F468" s="917">
        <v>1423536</v>
      </c>
      <c r="G468" s="894">
        <v>33.347999999999999</v>
      </c>
      <c r="H468" s="47" t="s">
        <v>999</v>
      </c>
      <c r="I468" s="47">
        <v>2007</v>
      </c>
      <c r="J468" s="36"/>
      <c r="K468" s="47">
        <v>1</v>
      </c>
      <c r="L468" s="47">
        <v>2.7</v>
      </c>
      <c r="M468" s="935">
        <f t="shared" ca="1" si="39"/>
        <v>3.2736087334113935E-2</v>
      </c>
      <c r="N468" s="953">
        <f t="shared" si="40"/>
        <v>1.8878330206378988</v>
      </c>
      <c r="O468" s="917">
        <f t="shared" ca="1" si="38"/>
        <v>2375322.4178738385</v>
      </c>
    </row>
    <row r="469" spans="1:15" ht="15.75" customHeight="1" thickBot="1" x14ac:dyDescent="0.25">
      <c r="A469" s="64" t="s">
        <v>2537</v>
      </c>
      <c r="B469" s="894">
        <f ca="1">CostCalc!A821</f>
        <v>1091683.0404180316</v>
      </c>
      <c r="C469" s="47" t="s">
        <v>2445</v>
      </c>
      <c r="D469" s="894">
        <v>10</v>
      </c>
      <c r="E469" s="64" t="s">
        <v>2540</v>
      </c>
      <c r="F469" s="917">
        <v>6967</v>
      </c>
      <c r="G469" s="894">
        <v>122900</v>
      </c>
      <c r="H469" s="47" t="s">
        <v>2445</v>
      </c>
      <c r="I469" s="47">
        <v>2007</v>
      </c>
      <c r="J469" s="36"/>
      <c r="K469" s="47">
        <v>0.3</v>
      </c>
      <c r="L469" s="47">
        <v>5.0999999999999996</v>
      </c>
      <c r="M469" s="935">
        <f t="shared" ca="1" si="39"/>
        <v>8.8826935754111602</v>
      </c>
      <c r="N469" s="953">
        <f t="shared" si="40"/>
        <v>1.8878330206378988</v>
      </c>
      <c r="O469" s="917">
        <f t="shared" ca="1" si="38"/>
        <v>1291644.4107677091</v>
      </c>
    </row>
    <row r="470" spans="1:15" ht="15.75" customHeight="1" thickBot="1" x14ac:dyDescent="0.25">
      <c r="A470" s="67" t="s">
        <v>2538</v>
      </c>
      <c r="B470" s="894">
        <f ca="1">CostCalc!A821</f>
        <v>1091683.0404180316</v>
      </c>
      <c r="C470" s="47" t="s">
        <v>2445</v>
      </c>
      <c r="D470" s="894">
        <v>10</v>
      </c>
      <c r="E470" s="64" t="s">
        <v>2541</v>
      </c>
      <c r="F470" s="917">
        <v>8063</v>
      </c>
      <c r="G470" s="894">
        <v>5655</v>
      </c>
      <c r="H470" s="47" t="s">
        <v>2445</v>
      </c>
      <c r="I470" s="47">
        <v>2007</v>
      </c>
      <c r="J470" s="36"/>
      <c r="K470" s="47">
        <v>0.3</v>
      </c>
      <c r="L470" s="47">
        <v>4.55</v>
      </c>
      <c r="M470" s="935">
        <f t="shared" ca="1" si="39"/>
        <v>193.04739883607985</v>
      </c>
      <c r="N470" s="953">
        <f t="shared" si="40"/>
        <v>1.8878330206378988</v>
      </c>
      <c r="O470" s="917">
        <f t="shared" ca="1" si="38"/>
        <v>3358696.9578849636</v>
      </c>
    </row>
    <row r="471" spans="1:15" ht="15.75" customHeight="1" thickBot="1" x14ac:dyDescent="0.25">
      <c r="A471" s="67" t="s">
        <v>2539</v>
      </c>
      <c r="B471" s="894">
        <f ca="1">CostCalc!A821</f>
        <v>1091683.0404180316</v>
      </c>
      <c r="C471" s="47" t="s">
        <v>2445</v>
      </c>
      <c r="D471" s="894">
        <v>10</v>
      </c>
      <c r="E471" s="64" t="s">
        <v>2542</v>
      </c>
      <c r="F471" s="917">
        <v>30191</v>
      </c>
      <c r="G471" s="894">
        <v>122900</v>
      </c>
      <c r="H471" s="47" t="s">
        <v>2445</v>
      </c>
      <c r="I471" s="47">
        <v>2007</v>
      </c>
      <c r="J471" s="36"/>
      <c r="K471" s="47">
        <v>0.65</v>
      </c>
      <c r="L471" s="47">
        <v>6.16</v>
      </c>
      <c r="M471" s="935">
        <f t="shared" ca="1" si="39"/>
        <v>8.8826935754111602</v>
      </c>
      <c r="N471" s="953">
        <f t="shared" si="40"/>
        <v>1.8878330206378988</v>
      </c>
      <c r="O471" s="917">
        <f t="shared" ca="1" si="38"/>
        <v>14520308.077846445</v>
      </c>
    </row>
    <row r="472" spans="1:15" ht="15.75" customHeight="1" thickBot="1" x14ac:dyDescent="0.25">
      <c r="A472" s="67" t="s">
        <v>1089</v>
      </c>
      <c r="B472" s="894">
        <f ca="1">CostCalc!A821</f>
        <v>1091683.0404180316</v>
      </c>
      <c r="C472" s="47" t="s">
        <v>2445</v>
      </c>
      <c r="D472" s="894">
        <v>10</v>
      </c>
      <c r="E472" s="64" t="s">
        <v>2543</v>
      </c>
      <c r="F472" s="917">
        <v>116973</v>
      </c>
      <c r="G472" s="894">
        <v>869375</v>
      </c>
      <c r="H472" s="47" t="s">
        <v>2445</v>
      </c>
      <c r="I472" s="47">
        <v>2007</v>
      </c>
      <c r="J472" s="36"/>
      <c r="K472" s="47">
        <v>0.65</v>
      </c>
      <c r="L472" s="47">
        <v>2.02</v>
      </c>
      <c r="M472" s="935">
        <f t="shared" ca="1" si="39"/>
        <v>1.2557101830832857</v>
      </c>
      <c r="N472" s="953">
        <f t="shared" si="40"/>
        <v>1.8878330206378988</v>
      </c>
      <c r="O472" s="917">
        <f t="shared" ca="1" si="38"/>
        <v>5172240.3321738336</v>
      </c>
    </row>
    <row r="473" spans="1:15" ht="15.75" customHeight="1" thickBot="1" x14ac:dyDescent="0.25">
      <c r="A473" s="67" t="s">
        <v>2544</v>
      </c>
      <c r="B473" s="894">
        <f ca="1">CostCalc!A821</f>
        <v>1091683.0404180316</v>
      </c>
      <c r="C473" s="47" t="s">
        <v>2445</v>
      </c>
      <c r="D473" s="894">
        <v>10</v>
      </c>
      <c r="E473" t="s">
        <v>2545</v>
      </c>
      <c r="F473" s="918">
        <v>106034</v>
      </c>
      <c r="G473" s="894">
        <v>1000</v>
      </c>
      <c r="H473" s="47" t="s">
        <v>2445</v>
      </c>
      <c r="I473" s="47">
        <v>2007</v>
      </c>
      <c r="J473" s="36"/>
      <c r="K473" s="47">
        <v>0.65</v>
      </c>
      <c r="L473" s="47">
        <v>2.14</v>
      </c>
      <c r="M473" s="935">
        <f t="shared" ca="1" si="39"/>
        <v>1091.6830404180316</v>
      </c>
      <c r="N473" s="953">
        <f t="shared" si="40"/>
        <v>1.8878330206378988</v>
      </c>
      <c r="O473" s="917">
        <f ca="1">D473*N473*F473*L473*M473^(K473)</f>
        <v>404189719.15093589</v>
      </c>
    </row>
    <row r="474" spans="1:15" ht="15.75" customHeight="1" thickBot="1" x14ac:dyDescent="0.25">
      <c r="A474" s="67" t="s">
        <v>2532</v>
      </c>
      <c r="B474" s="894">
        <f ca="1">CostCalc!A821</f>
        <v>1091683.0404180316</v>
      </c>
      <c r="C474" s="47" t="s">
        <v>2445</v>
      </c>
      <c r="D474" s="894">
        <v>10</v>
      </c>
      <c r="E474" s="51" t="s">
        <v>2533</v>
      </c>
      <c r="F474" s="917">
        <v>2600000</v>
      </c>
      <c r="G474" s="894">
        <v>66978</v>
      </c>
      <c r="H474" s="47" t="s">
        <v>2445</v>
      </c>
      <c r="I474" s="47">
        <v>2009</v>
      </c>
      <c r="J474" s="36"/>
      <c r="K474" s="47">
        <v>0.6</v>
      </c>
      <c r="L474" s="47">
        <v>1.8</v>
      </c>
      <c r="M474" s="935">
        <f t="shared" ca="1" si="39"/>
        <v>16.29912867535656</v>
      </c>
      <c r="N474" s="953">
        <f>N$3/273.5</f>
        <v>1.4716124314442414</v>
      </c>
      <c r="O474" s="917">
        <f t="shared" ca="1" si="38"/>
        <v>367568202.04753065</v>
      </c>
    </row>
    <row r="475" spans="1:15" ht="15.75" customHeight="1" thickBot="1" x14ac:dyDescent="0.25">
      <c r="A475" s="67" t="s">
        <v>2377</v>
      </c>
      <c r="B475" s="894">
        <f ca="1">B342</f>
        <v>950.78684940764629</v>
      </c>
      <c r="C475" s="47" t="s">
        <v>267</v>
      </c>
      <c r="D475" s="894">
        <v>10</v>
      </c>
      <c r="E475" s="48" t="s">
        <v>2531</v>
      </c>
      <c r="F475" s="889">
        <v>103000</v>
      </c>
      <c r="G475" s="894">
        <v>31815</v>
      </c>
      <c r="H475" s="47" t="s">
        <v>267</v>
      </c>
      <c r="I475" s="47">
        <v>2010</v>
      </c>
      <c r="J475" s="41"/>
      <c r="K475" s="47">
        <v>0.7</v>
      </c>
      <c r="L475" s="47">
        <v>2</v>
      </c>
      <c r="M475" s="935">
        <f t="shared" ca="1" si="39"/>
        <v>2.9884860896044203E-2</v>
      </c>
      <c r="N475" s="953">
        <f>N$3/267.6</f>
        <v>1.5040582959641253</v>
      </c>
      <c r="O475" s="917">
        <f t="shared" ca="1" si="38"/>
        <v>265428.62475461722</v>
      </c>
    </row>
    <row r="476" spans="1:15" ht="15.75" customHeight="1" thickBot="1" x14ac:dyDescent="0.25">
      <c r="A476" s="67" t="s">
        <v>2378</v>
      </c>
      <c r="B476" s="894">
        <f ca="1">B342</f>
        <v>950.78684940764629</v>
      </c>
      <c r="C476" s="47" t="s">
        <v>267</v>
      </c>
      <c r="D476" s="894">
        <v>10</v>
      </c>
      <c r="E476" s="48" t="s">
        <v>2531</v>
      </c>
      <c r="F476" s="889">
        <v>103000</v>
      </c>
      <c r="G476" s="894">
        <v>31815</v>
      </c>
      <c r="H476" s="47" t="s">
        <v>267</v>
      </c>
      <c r="I476" s="47">
        <v>2010</v>
      </c>
      <c r="J476" s="41"/>
      <c r="K476" s="47">
        <v>0.7</v>
      </c>
      <c r="L476" s="47">
        <v>2</v>
      </c>
      <c r="M476" s="935">
        <f t="shared" ca="1" si="39"/>
        <v>2.9884860896044203E-2</v>
      </c>
      <c r="N476" s="953">
        <f>N$3/267.6</f>
        <v>1.5040582959641253</v>
      </c>
      <c r="O476" s="917">
        <f t="shared" ca="1" si="38"/>
        <v>265428.62475461722</v>
      </c>
    </row>
    <row r="477" spans="1:15" ht="15.75" customHeight="1" thickBot="1" x14ac:dyDescent="0.25">
      <c r="A477" s="67" t="s">
        <v>2484</v>
      </c>
      <c r="B477" s="894">
        <f ca="1">B448</f>
        <v>380.31473976305853</v>
      </c>
      <c r="C477" s="47" t="s">
        <v>1</v>
      </c>
      <c r="D477" s="894">
        <v>10</v>
      </c>
      <c r="E477" s="36"/>
      <c r="F477" s="917">
        <v>5760</v>
      </c>
      <c r="G477" s="894">
        <v>72</v>
      </c>
      <c r="H477" s="47" t="s">
        <v>1</v>
      </c>
      <c r="I477" s="47">
        <v>1996</v>
      </c>
      <c r="J477" s="36"/>
      <c r="K477" s="47">
        <v>0.71</v>
      </c>
      <c r="L477" s="47">
        <v>1.4</v>
      </c>
      <c r="M477" s="935">
        <f t="shared" ca="1" si="39"/>
        <v>5.2821491633758129</v>
      </c>
      <c r="N477" s="953">
        <f>N$3/135.8</f>
        <v>2.9638144329896905</v>
      </c>
      <c r="O477" s="917">
        <f t="shared" ca="1" si="38"/>
        <v>779106.98344261607</v>
      </c>
    </row>
    <row r="478" spans="1:15" ht="15.75" customHeight="1" thickBot="1" x14ac:dyDescent="0.25">
      <c r="A478" s="35"/>
      <c r="B478" s="897"/>
      <c r="C478" s="47"/>
      <c r="D478" s="897"/>
      <c r="E478" s="36"/>
      <c r="F478" s="917"/>
      <c r="G478" s="897"/>
      <c r="H478" s="47"/>
      <c r="I478" s="47"/>
      <c r="J478" s="36"/>
      <c r="K478" s="47"/>
      <c r="L478" s="47"/>
      <c r="M478" s="936"/>
      <c r="N478" s="954"/>
      <c r="O478" s="917"/>
    </row>
    <row r="479" spans="1:15" ht="15.75" customHeight="1" thickBot="1" x14ac:dyDescent="0.25">
      <c r="A479" s="1677" t="s">
        <v>526</v>
      </c>
      <c r="B479" s="1678"/>
      <c r="C479" s="1678"/>
      <c r="D479" s="1678"/>
      <c r="E479" s="1678"/>
      <c r="F479" s="1678"/>
      <c r="G479" s="1678"/>
      <c r="H479" s="1678"/>
      <c r="I479" s="1678"/>
      <c r="J479" s="1678"/>
      <c r="K479" s="1678"/>
      <c r="L479" s="1678"/>
      <c r="M479" s="1678"/>
      <c r="N479" s="1679"/>
      <c r="O479" s="889">
        <f ca="1">SUM(O465:O478)</f>
        <v>1645619302.8064468</v>
      </c>
    </row>
    <row r="480" spans="1:15" ht="15.75" customHeight="1" x14ac:dyDescent="0.2">
      <c r="A480" s="197"/>
      <c r="B480" s="895"/>
      <c r="C480" s="197"/>
      <c r="D480" s="895"/>
      <c r="E480" s="197"/>
      <c r="F480" s="890"/>
      <c r="G480" s="895"/>
      <c r="H480" s="197"/>
      <c r="I480" s="197"/>
      <c r="J480" s="197"/>
      <c r="K480" s="197"/>
      <c r="L480" s="197"/>
      <c r="M480" s="937"/>
      <c r="N480" s="955"/>
      <c r="O480" s="929"/>
    </row>
    <row r="481" spans="1:15" ht="15.75" customHeight="1" x14ac:dyDescent="0.2">
      <c r="A481" s="197"/>
      <c r="B481" s="895"/>
      <c r="C481" s="197"/>
      <c r="D481" s="895"/>
      <c r="E481" s="197"/>
      <c r="F481" s="890"/>
      <c r="G481" s="895"/>
      <c r="H481" s="197"/>
      <c r="I481" s="197"/>
      <c r="J481" s="197"/>
      <c r="K481" s="197"/>
      <c r="L481" s="197"/>
      <c r="M481" s="937"/>
      <c r="N481" s="955"/>
      <c r="O481" s="929"/>
    </row>
    <row r="482" spans="1:15" ht="15.75" customHeight="1" x14ac:dyDescent="0.2">
      <c r="A482" s="1725" t="s">
        <v>1875</v>
      </c>
      <c r="B482" s="1725"/>
      <c r="C482" s="1725"/>
      <c r="D482" s="1725"/>
      <c r="E482" s="1725"/>
      <c r="F482" s="1725"/>
      <c r="G482" s="1725"/>
      <c r="H482" s="1725"/>
      <c r="I482" s="1725"/>
      <c r="J482" s="1725"/>
      <c r="K482" s="1725"/>
      <c r="L482" s="1725"/>
      <c r="M482" s="1725"/>
      <c r="N482" s="1725"/>
      <c r="O482" s="1725"/>
    </row>
    <row r="483" spans="1:15" ht="15.75" customHeight="1" x14ac:dyDescent="0.2">
      <c r="A483" s="1725"/>
      <c r="B483" s="1725"/>
      <c r="C483" s="1725"/>
      <c r="D483" s="1725"/>
      <c r="E483" s="1725"/>
      <c r="F483" s="1725"/>
      <c r="G483" s="1725"/>
      <c r="H483" s="1725"/>
      <c r="I483" s="1725"/>
      <c r="J483" s="1725"/>
      <c r="K483" s="1725"/>
      <c r="L483" s="1725"/>
      <c r="M483" s="1725"/>
      <c r="N483" s="1725"/>
      <c r="O483" s="1725"/>
    </row>
    <row r="484" spans="1:15" ht="15.75" customHeight="1" x14ac:dyDescent="0.2">
      <c r="A484" s="197"/>
      <c r="B484" s="895"/>
      <c r="C484" s="197"/>
      <c r="D484" s="895"/>
      <c r="E484" s="197"/>
      <c r="F484" s="890"/>
      <c r="G484" s="895"/>
      <c r="H484" s="197"/>
      <c r="I484" s="197"/>
      <c r="J484" s="197"/>
      <c r="K484" s="197"/>
      <c r="L484" s="197"/>
      <c r="M484" s="937"/>
      <c r="N484" s="955"/>
      <c r="O484" s="929"/>
    </row>
    <row r="485" spans="1:15" ht="15.75" customHeight="1" thickBot="1" x14ac:dyDescent="0.25"/>
    <row r="486" spans="1:15" ht="15.75" customHeight="1" x14ac:dyDescent="0.2">
      <c r="A486" s="1914" t="s">
        <v>539</v>
      </c>
      <c r="B486" s="1915"/>
      <c r="C486" s="1388"/>
      <c r="D486" s="1388"/>
      <c r="E486" s="1388"/>
      <c r="F486" s="1388"/>
      <c r="G486" s="1388"/>
      <c r="H486" s="1388"/>
      <c r="I486" s="1388"/>
      <c r="J486" s="1388"/>
      <c r="K486" s="1388"/>
      <c r="L486" s="1388"/>
      <c r="M486" s="1388"/>
      <c r="N486" s="1388"/>
      <c r="O486" s="1389"/>
    </row>
    <row r="487" spans="1:15" ht="15.75" customHeight="1" thickBot="1" x14ac:dyDescent="0.25">
      <c r="A487" s="1917"/>
      <c r="B487" s="1918"/>
      <c r="C487" s="1390"/>
      <c r="D487" s="1390"/>
      <c r="E487" s="1390"/>
      <c r="F487" s="1390"/>
      <c r="G487" s="1390"/>
      <c r="H487" s="1390"/>
      <c r="I487" s="1390"/>
      <c r="J487" s="1390"/>
      <c r="K487" s="1390"/>
      <c r="L487" s="1390"/>
      <c r="M487" s="1390"/>
      <c r="N487" s="1390"/>
      <c r="O487" s="1391"/>
    </row>
    <row r="488" spans="1:15" ht="15.75" customHeight="1" thickBot="1" x14ac:dyDescent="0.25">
      <c r="A488" s="1680" t="s">
        <v>509</v>
      </c>
      <c r="B488" s="1681"/>
      <c r="C488" s="1681"/>
      <c r="D488" s="1681"/>
      <c r="E488" s="1681"/>
      <c r="F488" s="1681"/>
      <c r="G488" s="1681"/>
      <c r="H488" s="1681"/>
      <c r="I488" s="1681"/>
      <c r="J488" s="1681"/>
      <c r="K488" s="1681"/>
      <c r="L488" s="1681"/>
      <c r="M488" s="1681"/>
      <c r="N488" s="1681"/>
      <c r="O488" s="1682"/>
    </row>
    <row r="489" spans="1:15" ht="15.75" customHeight="1" thickBot="1" x14ac:dyDescent="0.25">
      <c r="A489" s="1683" t="s">
        <v>510</v>
      </c>
      <c r="B489" s="1684"/>
      <c r="C489" s="1684"/>
      <c r="D489" s="1684"/>
      <c r="E489" s="1685"/>
      <c r="F489" s="1683" t="s">
        <v>511</v>
      </c>
      <c r="G489" s="1684"/>
      <c r="H489" s="1684"/>
      <c r="I489" s="1684"/>
      <c r="J489" s="1685"/>
      <c r="K489" s="1683" t="s">
        <v>512</v>
      </c>
      <c r="L489" s="1684"/>
      <c r="M489" s="1684"/>
      <c r="N489" s="1685"/>
      <c r="O489" s="1686" t="s">
        <v>513</v>
      </c>
    </row>
    <row r="490" spans="1:15" ht="15.75" customHeight="1" x14ac:dyDescent="0.2">
      <c r="A490" s="1689" t="s">
        <v>514</v>
      </c>
      <c r="B490" s="1691" t="s">
        <v>515</v>
      </c>
      <c r="C490" s="1693" t="s">
        <v>372</v>
      </c>
      <c r="D490" s="1691" t="s">
        <v>516</v>
      </c>
      <c r="E490" s="1689" t="s">
        <v>517</v>
      </c>
      <c r="F490" s="1686" t="s">
        <v>518</v>
      </c>
      <c r="G490" s="1691" t="s">
        <v>515</v>
      </c>
      <c r="H490" s="1693" t="s">
        <v>372</v>
      </c>
      <c r="I490" s="1693" t="s">
        <v>519</v>
      </c>
      <c r="J490" s="1689" t="s">
        <v>520</v>
      </c>
      <c r="K490" s="1693" t="s">
        <v>521</v>
      </c>
      <c r="L490" s="1693" t="s">
        <v>522</v>
      </c>
      <c r="M490" s="1695" t="s">
        <v>523</v>
      </c>
      <c r="N490" s="951" t="s">
        <v>527</v>
      </c>
      <c r="O490" s="1687"/>
    </row>
    <row r="491" spans="1:15" ht="15.75" customHeight="1" thickBot="1" x14ac:dyDescent="0.25">
      <c r="A491" s="1690"/>
      <c r="B491" s="1692"/>
      <c r="C491" s="1694"/>
      <c r="D491" s="1692"/>
      <c r="E491" s="1690"/>
      <c r="F491" s="1688"/>
      <c r="G491" s="1692"/>
      <c r="H491" s="1694"/>
      <c r="I491" s="1694"/>
      <c r="J491" s="1690"/>
      <c r="K491" s="1694"/>
      <c r="L491" s="1694"/>
      <c r="M491" s="1696"/>
      <c r="N491" s="952">
        <v>2024</v>
      </c>
      <c r="O491" s="1688"/>
    </row>
    <row r="492" spans="1:15" ht="15.75" customHeight="1" thickBot="1" x14ac:dyDescent="0.25">
      <c r="A492" s="46" t="s">
        <v>2317</v>
      </c>
      <c r="B492" s="894">
        <v>0.12453669384729429</v>
      </c>
      <c r="C492" s="47" t="s">
        <v>6</v>
      </c>
      <c r="D492" s="897">
        <v>1</v>
      </c>
      <c r="E492" s="48" t="s">
        <v>540</v>
      </c>
      <c r="F492" s="917">
        <v>14000</v>
      </c>
      <c r="G492" s="897">
        <v>1</v>
      </c>
      <c r="H492" s="47" t="s">
        <v>6</v>
      </c>
      <c r="I492" s="47">
        <v>2007</v>
      </c>
      <c r="J492" s="36"/>
      <c r="K492" s="47">
        <v>1</v>
      </c>
      <c r="L492" s="47">
        <v>1</v>
      </c>
      <c r="M492" s="935">
        <f>B492/G492</f>
        <v>0.12453669384729429</v>
      </c>
      <c r="N492" s="953">
        <f>N$3/213.2</f>
        <v>1.8878330206378988</v>
      </c>
      <c r="O492" s="917">
        <f>D492*N492*F492*L492*M492^(K492)</f>
        <v>3291.4627609639274</v>
      </c>
    </row>
    <row r="493" spans="1:15" ht="15.75" customHeight="1" thickBot="1" x14ac:dyDescent="0.25">
      <c r="A493" s="46" t="s">
        <v>2318</v>
      </c>
      <c r="B493" s="894">
        <v>527.43148745560734</v>
      </c>
      <c r="C493" s="47" t="s">
        <v>6</v>
      </c>
      <c r="D493" s="897">
        <v>1</v>
      </c>
      <c r="E493" s="48" t="s">
        <v>540</v>
      </c>
      <c r="F493" s="917">
        <v>14000</v>
      </c>
      <c r="G493" s="897">
        <v>1</v>
      </c>
      <c r="H493" s="47" t="s">
        <v>6</v>
      </c>
      <c r="I493" s="47">
        <v>2007</v>
      </c>
      <c r="J493" s="36"/>
      <c r="K493" s="47">
        <v>1</v>
      </c>
      <c r="L493" s="47">
        <v>1</v>
      </c>
      <c r="M493" s="935">
        <f t="shared" ref="M493:M498" si="41">B493/G493</f>
        <v>527.43148745560734</v>
      </c>
      <c r="N493" s="953">
        <f>N$3/213.2</f>
        <v>1.8878330206378988</v>
      </c>
      <c r="O493" s="917">
        <f>D493*N493*F493*L493*M493^(K493)</f>
        <v>13939836.09400003</v>
      </c>
    </row>
    <row r="494" spans="1:15" ht="15.75" customHeight="1" thickBot="1" x14ac:dyDescent="0.25">
      <c r="A494" s="46" t="s">
        <v>2473</v>
      </c>
      <c r="B494" s="894">
        <v>2.2051582751790884</v>
      </c>
      <c r="C494" s="47" t="s">
        <v>6</v>
      </c>
      <c r="D494" s="897">
        <v>1</v>
      </c>
      <c r="E494" s="48" t="s">
        <v>540</v>
      </c>
      <c r="F494" s="917">
        <v>14000</v>
      </c>
      <c r="G494" s="897">
        <v>1</v>
      </c>
      <c r="H494" s="47" t="s">
        <v>6</v>
      </c>
      <c r="I494" s="47">
        <v>2007</v>
      </c>
      <c r="J494" s="36"/>
      <c r="K494" s="47">
        <v>1</v>
      </c>
      <c r="L494" s="47">
        <v>1</v>
      </c>
      <c r="M494" s="935">
        <f t="shared" si="41"/>
        <v>2.2051582751790884</v>
      </c>
      <c r="N494" s="953">
        <f>N$3/213.2</f>
        <v>1.8878330206378988</v>
      </c>
      <c r="O494" s="917">
        <f>D494*N494*F494*L494*M494^(K494)</f>
        <v>58281.588506623964</v>
      </c>
    </row>
    <row r="495" spans="1:15" ht="15.75" customHeight="1" thickBot="1" x14ac:dyDescent="0.25">
      <c r="A495" s="46" t="s">
        <v>2474</v>
      </c>
      <c r="B495" s="894">
        <v>38.897645023769108</v>
      </c>
      <c r="C495" s="47" t="s">
        <v>6</v>
      </c>
      <c r="D495" s="897">
        <v>1</v>
      </c>
      <c r="E495" s="48" t="s">
        <v>540</v>
      </c>
      <c r="F495" s="917">
        <v>14000</v>
      </c>
      <c r="G495" s="897">
        <v>1</v>
      </c>
      <c r="H495" s="47" t="s">
        <v>6</v>
      </c>
      <c r="I495" s="47">
        <v>2007</v>
      </c>
      <c r="J495" s="36"/>
      <c r="K495" s="47">
        <v>1</v>
      </c>
      <c r="L495" s="47">
        <v>1</v>
      </c>
      <c r="M495" s="935">
        <f t="shared" si="41"/>
        <v>38.897645023769108</v>
      </c>
      <c r="N495" s="953">
        <f>N$3/213.2</f>
        <v>1.8878330206378988</v>
      </c>
      <c r="O495" s="917">
        <f>D495*N495*F495*L495*M495^(K495)</f>
        <v>1028051.6218129188</v>
      </c>
    </row>
    <row r="496" spans="1:15" ht="15.75" customHeight="1" thickBot="1" x14ac:dyDescent="0.25">
      <c r="A496" s="35" t="s">
        <v>2475</v>
      </c>
      <c r="B496" s="894">
        <v>78.598020756115645</v>
      </c>
      <c r="C496" s="47" t="s">
        <v>6</v>
      </c>
      <c r="D496" s="897">
        <v>1</v>
      </c>
      <c r="E496" s="36" t="s">
        <v>540</v>
      </c>
      <c r="F496" s="917">
        <v>14000</v>
      </c>
      <c r="G496" s="897">
        <v>1</v>
      </c>
      <c r="H496" s="47" t="s">
        <v>6</v>
      </c>
      <c r="I496" s="47">
        <v>2007</v>
      </c>
      <c r="J496" s="36"/>
      <c r="K496" s="47">
        <v>1</v>
      </c>
      <c r="L496" s="47">
        <v>1</v>
      </c>
      <c r="M496" s="935">
        <f t="shared" si="41"/>
        <v>78.598020756115645</v>
      </c>
      <c r="N496" s="953">
        <f>N$3/213.2</f>
        <v>1.8878330206378988</v>
      </c>
      <c r="O496" s="917">
        <f>D496*N496*F496*L496*M496^(K496)</f>
        <v>2077319.145162493</v>
      </c>
    </row>
    <row r="497" spans="1:15" ht="15.75" customHeight="1" thickBot="1" x14ac:dyDescent="0.25">
      <c r="A497" s="35" t="s">
        <v>2546</v>
      </c>
      <c r="B497" s="905"/>
      <c r="C497" s="53"/>
      <c r="D497" s="898"/>
      <c r="E497" s="51" t="s">
        <v>2547</v>
      </c>
      <c r="F497" s="917"/>
      <c r="G497" s="897"/>
      <c r="H497" s="47"/>
      <c r="I497" s="47"/>
      <c r="J497" s="52"/>
      <c r="K497" s="53"/>
      <c r="L497" s="54"/>
      <c r="M497" s="935"/>
      <c r="N497" s="954"/>
      <c r="O497" s="889"/>
    </row>
    <row r="498" spans="1:15" ht="15.75" customHeight="1" thickBot="1" x14ac:dyDescent="0.25">
      <c r="A498" s="51" t="s">
        <v>541</v>
      </c>
      <c r="B498" s="905">
        <v>1</v>
      </c>
      <c r="C498" s="53" t="s">
        <v>6</v>
      </c>
      <c r="D498" s="898">
        <v>1</v>
      </c>
      <c r="E498" s="51" t="s">
        <v>540</v>
      </c>
      <c r="F498" s="917">
        <v>14000</v>
      </c>
      <c r="G498" s="897">
        <v>1</v>
      </c>
      <c r="H498" s="47" t="s">
        <v>6</v>
      </c>
      <c r="I498" s="47">
        <v>2007</v>
      </c>
      <c r="J498" s="36"/>
      <c r="K498" s="53">
        <v>1</v>
      </c>
      <c r="L498" s="54">
        <v>1</v>
      </c>
      <c r="M498" s="935">
        <f t="shared" si="41"/>
        <v>1</v>
      </c>
      <c r="N498" s="953">
        <f>N$3/213.2</f>
        <v>1.8878330206378988</v>
      </c>
      <c r="O498" s="917">
        <f>D498*N498*F498*L498*M498^(K498)</f>
        <v>26429.662288930584</v>
      </c>
    </row>
    <row r="499" spans="1:15" ht="15.75" customHeight="1" thickBot="1" x14ac:dyDescent="0.25">
      <c r="A499" s="1677" t="s">
        <v>526</v>
      </c>
      <c r="B499" s="1678"/>
      <c r="C499" s="1678"/>
      <c r="D499" s="1678"/>
      <c r="E499" s="1678"/>
      <c r="F499" s="1678"/>
      <c r="G499" s="1678"/>
      <c r="H499" s="1678"/>
      <c r="I499" s="1678"/>
      <c r="J499" s="1678"/>
      <c r="K499" s="1678"/>
      <c r="L499" s="1678"/>
      <c r="M499" s="1678"/>
      <c r="N499" s="1679"/>
      <c r="O499" s="889">
        <f>SUM(O492:O498)</f>
        <v>17133209.574531961</v>
      </c>
    </row>
    <row r="500" spans="1:15" ht="15.75" customHeight="1" x14ac:dyDescent="0.2">
      <c r="A500" s="197"/>
      <c r="B500" s="895"/>
      <c r="C500" s="197"/>
      <c r="D500" s="895"/>
      <c r="E500" s="197"/>
      <c r="F500" s="890"/>
      <c r="G500" s="895"/>
      <c r="H500" s="197"/>
      <c r="I500" s="197"/>
      <c r="J500" s="197"/>
      <c r="K500" s="197"/>
      <c r="L500" s="197"/>
      <c r="M500" s="937"/>
      <c r="N500" s="955"/>
      <c r="O500" s="929"/>
    </row>
    <row r="501" spans="1:15" ht="15.75" customHeight="1" thickBot="1" x14ac:dyDescent="0.25"/>
    <row r="502" spans="1:15" ht="15.75" customHeight="1" x14ac:dyDescent="0.2">
      <c r="A502" s="1715" t="s">
        <v>541</v>
      </c>
      <c r="B502" s="1716"/>
      <c r="C502" s="1716"/>
      <c r="D502" s="1716"/>
      <c r="E502" s="1716"/>
      <c r="F502" s="1716"/>
      <c r="G502" s="1716"/>
      <c r="H502" s="1716"/>
      <c r="I502" s="1716"/>
      <c r="J502" s="1716"/>
      <c r="K502" s="1716"/>
      <c r="L502" s="1716"/>
      <c r="M502" s="1716"/>
      <c r="N502" s="1716"/>
      <c r="O502" s="1717"/>
    </row>
    <row r="503" spans="1:15" ht="15.75" customHeight="1" thickBot="1" x14ac:dyDescent="0.25">
      <c r="A503" s="1718"/>
      <c r="B503" s="1719"/>
      <c r="C503" s="1719"/>
      <c r="D503" s="1719"/>
      <c r="E503" s="1719"/>
      <c r="F503" s="1719"/>
      <c r="G503" s="1719"/>
      <c r="H503" s="1719"/>
      <c r="I503" s="1719"/>
      <c r="J503" s="1719"/>
      <c r="K503" s="1719"/>
      <c r="L503" s="1719"/>
      <c r="M503" s="1719"/>
      <c r="N503" s="1719"/>
      <c r="O503" s="1720"/>
    </row>
    <row r="504" spans="1:15" ht="15.75" customHeight="1" thickBot="1" x14ac:dyDescent="0.25">
      <c r="A504" s="1683" t="s">
        <v>509</v>
      </c>
      <c r="B504" s="1684"/>
      <c r="C504" s="1684"/>
      <c r="D504" s="1684"/>
      <c r="E504" s="1684"/>
      <c r="F504" s="1684"/>
      <c r="G504" s="1684"/>
      <c r="H504" s="1684"/>
      <c r="I504" s="1684"/>
      <c r="J504" s="1684"/>
      <c r="K504" s="1684"/>
      <c r="L504" s="1684"/>
      <c r="M504" s="1684"/>
      <c r="N504" s="1684"/>
      <c r="O504" s="1685"/>
    </row>
    <row r="505" spans="1:15" ht="15.75" customHeight="1" thickBot="1" x14ac:dyDescent="0.25">
      <c r="A505" s="1721" t="s">
        <v>510</v>
      </c>
      <c r="B505" s="1722"/>
      <c r="C505" s="1722"/>
      <c r="D505" s="1722"/>
      <c r="E505" s="1723"/>
      <c r="F505" s="1721" t="s">
        <v>511</v>
      </c>
      <c r="G505" s="1722"/>
      <c r="H505" s="1722"/>
      <c r="I505" s="1722"/>
      <c r="J505" s="1723"/>
      <c r="K505" s="1721" t="s">
        <v>512</v>
      </c>
      <c r="L505" s="1722"/>
      <c r="M505" s="1722"/>
      <c r="N505" s="1723"/>
      <c r="O505" s="1711" t="s">
        <v>513</v>
      </c>
    </row>
    <row r="506" spans="1:15" ht="15.75" customHeight="1" x14ac:dyDescent="0.2">
      <c r="A506" s="1709" t="s">
        <v>514</v>
      </c>
      <c r="B506" s="1707" t="s">
        <v>515</v>
      </c>
      <c r="C506" s="1713" t="s">
        <v>372</v>
      </c>
      <c r="D506" s="1707" t="s">
        <v>516</v>
      </c>
      <c r="E506" s="1709" t="s">
        <v>517</v>
      </c>
      <c r="F506" s="1711" t="s">
        <v>518</v>
      </c>
      <c r="G506" s="1707" t="s">
        <v>515</v>
      </c>
      <c r="H506" s="1713" t="s">
        <v>372</v>
      </c>
      <c r="I506" s="1713" t="s">
        <v>519</v>
      </c>
      <c r="J506" s="1709" t="s">
        <v>520</v>
      </c>
      <c r="K506" s="1713" t="s">
        <v>521</v>
      </c>
      <c r="L506" s="1713" t="s">
        <v>522</v>
      </c>
      <c r="M506" s="1702" t="s">
        <v>523</v>
      </c>
      <c r="N506" s="960" t="s">
        <v>527</v>
      </c>
      <c r="O506" s="1724"/>
    </row>
    <row r="507" spans="1:15" ht="15.75" customHeight="1" thickBot="1" x14ac:dyDescent="0.25">
      <c r="A507" s="1710"/>
      <c r="B507" s="1708"/>
      <c r="C507" s="1714"/>
      <c r="D507" s="1708"/>
      <c r="E507" s="1710"/>
      <c r="F507" s="1712"/>
      <c r="G507" s="1708"/>
      <c r="H507" s="1714"/>
      <c r="I507" s="1714"/>
      <c r="J507" s="1710"/>
      <c r="K507" s="1714"/>
      <c r="L507" s="1714"/>
      <c r="M507" s="1703"/>
      <c r="N507" s="954">
        <v>2023</v>
      </c>
      <c r="O507" s="1712"/>
    </row>
    <row r="508" spans="1:15" ht="15.75" customHeight="1" thickBot="1" x14ac:dyDescent="0.25">
      <c r="A508" s="55" t="s">
        <v>542</v>
      </c>
      <c r="B508" s="906"/>
      <c r="C508" s="54"/>
      <c r="D508" s="906"/>
      <c r="E508" s="56"/>
      <c r="F508" s="921"/>
      <c r="G508" s="898">
        <v>1</v>
      </c>
      <c r="H508" s="57" t="s">
        <v>543</v>
      </c>
      <c r="I508" s="54">
        <v>2023</v>
      </c>
      <c r="J508" s="57">
        <v>29</v>
      </c>
      <c r="K508" s="54">
        <v>1</v>
      </c>
      <c r="L508" s="57">
        <v>1.6</v>
      </c>
      <c r="M508" s="944">
        <f>B508/G508</f>
        <v>0</v>
      </c>
      <c r="N508" s="961">
        <v>1</v>
      </c>
      <c r="O508" s="930">
        <f>N508*L508*F508*D508*M508^K508</f>
        <v>0</v>
      </c>
    </row>
    <row r="509" spans="1:15" ht="15.75" customHeight="1" thickBot="1" x14ac:dyDescent="0.25">
      <c r="A509" s="59" t="s">
        <v>544</v>
      </c>
      <c r="B509" s="907"/>
      <c r="C509" s="912"/>
      <c r="D509" s="907"/>
      <c r="E509" s="60"/>
      <c r="F509" s="922"/>
      <c r="G509" s="926">
        <v>1</v>
      </c>
      <c r="H509" s="63" t="s">
        <v>546</v>
      </c>
      <c r="I509" s="912">
        <v>2023</v>
      </c>
      <c r="J509" s="63" t="s">
        <v>547</v>
      </c>
      <c r="K509" s="912">
        <v>1</v>
      </c>
      <c r="L509" s="63">
        <v>1.28</v>
      </c>
      <c r="M509" s="944">
        <f>B509/G509</f>
        <v>0</v>
      </c>
      <c r="N509" s="962">
        <v>1</v>
      </c>
      <c r="O509" s="930">
        <f>N509*L509*F509*D509*M509^K509</f>
        <v>0</v>
      </c>
    </row>
    <row r="510" spans="1:15" ht="15.75" customHeight="1" thickBot="1" x14ac:dyDescent="0.25">
      <c r="A510" s="64" t="s">
        <v>548</v>
      </c>
      <c r="B510" s="902"/>
      <c r="C510" s="66"/>
      <c r="D510" s="902"/>
      <c r="E510" s="64"/>
      <c r="F510" s="916"/>
      <c r="G510" s="902">
        <v>1</v>
      </c>
      <c r="H510" s="66" t="s">
        <v>378</v>
      </c>
      <c r="I510" s="66">
        <v>2023</v>
      </c>
      <c r="J510" s="66">
        <v>36</v>
      </c>
      <c r="K510" s="66">
        <v>1</v>
      </c>
      <c r="L510" s="66">
        <v>1</v>
      </c>
      <c r="M510" s="934">
        <f>B510/G510</f>
        <v>0</v>
      </c>
      <c r="N510" s="950">
        <v>1</v>
      </c>
      <c r="O510" s="927">
        <f>N510*L510*F510*D510*M510^K510</f>
        <v>0</v>
      </c>
    </row>
    <row r="511" spans="1:15" ht="15.75" customHeight="1" thickBot="1" x14ac:dyDescent="0.25">
      <c r="A511" s="67" t="s">
        <v>549</v>
      </c>
      <c r="B511" s="908"/>
      <c r="C511" s="70"/>
      <c r="D511" s="908"/>
      <c r="E511" s="67"/>
      <c r="F511" s="923"/>
      <c r="G511" s="908">
        <v>1</v>
      </c>
      <c r="H511" s="914" t="s">
        <v>551</v>
      </c>
      <c r="I511" s="70">
        <v>2023</v>
      </c>
      <c r="J511" s="70" t="s">
        <v>552</v>
      </c>
      <c r="K511" s="70">
        <v>1</v>
      </c>
      <c r="L511" s="70">
        <v>1.35</v>
      </c>
      <c r="M511" s="941">
        <f>B511/G511</f>
        <v>0</v>
      </c>
      <c r="N511" s="963">
        <v>1</v>
      </c>
      <c r="O511" s="931">
        <f>N511*L511*F511*D511*M511^K511</f>
        <v>0</v>
      </c>
    </row>
    <row r="512" spans="1:15" ht="15.75" customHeight="1" thickBot="1" x14ac:dyDescent="0.25">
      <c r="A512" s="1704" t="s">
        <v>526</v>
      </c>
      <c r="B512" s="1705"/>
      <c r="C512" s="1705"/>
      <c r="D512" s="1705"/>
      <c r="E512" s="1705"/>
      <c r="F512" s="1705"/>
      <c r="G512" s="1705"/>
      <c r="H512" s="1705"/>
      <c r="I512" s="1705"/>
      <c r="J512" s="1705"/>
      <c r="K512" s="1705"/>
      <c r="L512" s="1705"/>
      <c r="M512" s="1705"/>
      <c r="N512" s="1706"/>
      <c r="O512" s="916">
        <f>SUM(O508:O511)</f>
        <v>0</v>
      </c>
    </row>
    <row r="513" spans="1:15" ht="15.75" customHeight="1" x14ac:dyDescent="0.2"/>
    <row r="514" spans="1:15" ht="15.75" customHeight="1" thickBot="1" x14ac:dyDescent="0.25"/>
    <row r="515" spans="1:15" ht="15.75" customHeight="1" x14ac:dyDescent="0.2">
      <c r="A515" s="1734" t="s">
        <v>1878</v>
      </c>
      <c r="B515" s="1735"/>
      <c r="C515" s="1735"/>
      <c r="D515" s="1735"/>
      <c r="E515" s="1735"/>
      <c r="F515" s="1735"/>
      <c r="G515" s="1735"/>
      <c r="H515" s="1735"/>
      <c r="I515" s="1735"/>
      <c r="J515" s="1735"/>
      <c r="K515" s="1735"/>
      <c r="L515" s="1735"/>
      <c r="M515" s="1735"/>
      <c r="N515" s="1736"/>
      <c r="O515" s="1740"/>
    </row>
    <row r="516" spans="1:15" ht="15.75" customHeight="1" thickBot="1" x14ac:dyDescent="0.25">
      <c r="A516" s="1737"/>
      <c r="B516" s="1738"/>
      <c r="C516" s="1738"/>
      <c r="D516" s="1738"/>
      <c r="E516" s="1738"/>
      <c r="F516" s="1738"/>
      <c r="G516" s="1738"/>
      <c r="H516" s="1738"/>
      <c r="I516" s="1738"/>
      <c r="J516" s="1738"/>
      <c r="K516" s="1738"/>
      <c r="L516" s="1738"/>
      <c r="M516" s="1738"/>
      <c r="N516" s="1739"/>
      <c r="O516" s="1741"/>
    </row>
    <row r="517" spans="1:15" ht="15.75" customHeight="1" thickBot="1" x14ac:dyDescent="0.25"/>
    <row r="518" spans="1:15" ht="15.75" customHeight="1" x14ac:dyDescent="0.2">
      <c r="A518" s="1734" t="s">
        <v>1879</v>
      </c>
      <c r="B518" s="1735"/>
      <c r="C518" s="1735"/>
      <c r="D518" s="1735"/>
      <c r="E518" s="1735"/>
      <c r="F518" s="1735"/>
      <c r="G518" s="1735"/>
      <c r="H518" s="1735"/>
      <c r="I518" s="1735"/>
      <c r="J518" s="1735"/>
      <c r="K518" s="1735"/>
      <c r="L518" s="1735"/>
      <c r="M518" s="1735"/>
      <c r="N518" s="1736"/>
      <c r="O518" s="1740"/>
    </row>
    <row r="519" spans="1:15" ht="15.75" customHeight="1" thickBot="1" x14ac:dyDescent="0.25">
      <c r="A519" s="1737"/>
      <c r="B519" s="1738"/>
      <c r="C519" s="1738"/>
      <c r="D519" s="1738"/>
      <c r="E519" s="1738"/>
      <c r="F519" s="1738"/>
      <c r="G519" s="1738"/>
      <c r="H519" s="1738"/>
      <c r="I519" s="1738"/>
      <c r="J519" s="1738"/>
      <c r="K519" s="1738"/>
      <c r="L519" s="1738"/>
      <c r="M519" s="1738"/>
      <c r="N519" s="1739"/>
      <c r="O519" s="1741"/>
    </row>
    <row r="520" spans="1:15" ht="15.75" customHeight="1" thickBot="1" x14ac:dyDescent="0.25"/>
    <row r="521" spans="1:15" ht="15.75" customHeight="1" x14ac:dyDescent="0.2">
      <c r="A521" s="1726" t="s">
        <v>1880</v>
      </c>
      <c r="B521" s="1727"/>
      <c r="C521" s="1727"/>
      <c r="D521" s="1727"/>
      <c r="E521" s="1727"/>
      <c r="F521" s="1727"/>
      <c r="G521" s="1727"/>
      <c r="H521" s="1727"/>
      <c r="I521" s="1727"/>
      <c r="J521" s="1727"/>
      <c r="K521" s="1727"/>
      <c r="L521" s="1727"/>
      <c r="M521" s="1727"/>
      <c r="N521" s="1728"/>
      <c r="O521" s="1732">
        <f ca="1">SUM(O504,O488,Reserve!O4,O442,O356,O284,O266,O254,O172,O139)</f>
        <v>5909.7724987971669</v>
      </c>
    </row>
    <row r="522" spans="1:15" ht="15.75" customHeight="1" thickBot="1" x14ac:dyDescent="0.25">
      <c r="A522" s="1729"/>
      <c r="B522" s="1730"/>
      <c r="C522" s="1730"/>
      <c r="D522" s="1730"/>
      <c r="E522" s="1730"/>
      <c r="F522" s="1730"/>
      <c r="G522" s="1730"/>
      <c r="H522" s="1730"/>
      <c r="I522" s="1730"/>
      <c r="J522" s="1730"/>
      <c r="K522" s="1730"/>
      <c r="L522" s="1730"/>
      <c r="M522" s="1730"/>
      <c r="N522" s="1731"/>
      <c r="O522" s="1733"/>
    </row>
    <row r="523" spans="1:15" ht="15.75" customHeight="1" thickBot="1" x14ac:dyDescent="0.25"/>
    <row r="524" spans="1:15" ht="15.75" customHeight="1" x14ac:dyDescent="0.2">
      <c r="A524" s="1726" t="s">
        <v>1881</v>
      </c>
      <c r="B524" s="1727"/>
      <c r="C524" s="1727"/>
      <c r="D524" s="1727"/>
      <c r="E524" s="1727"/>
      <c r="F524" s="1727"/>
      <c r="G524" s="1727"/>
      <c r="H524" s="1727"/>
      <c r="I524" s="1727"/>
      <c r="J524" s="1727"/>
      <c r="K524" s="1727"/>
      <c r="L524" s="1727"/>
      <c r="M524" s="1727"/>
      <c r="N524" s="1728"/>
      <c r="O524" s="1732">
        <f ca="1">SUM(O504,O488,Reserve!O4,O442,O356,O284,O266,O254,O172,O139,O517)</f>
        <v>5909.7724987971669</v>
      </c>
    </row>
    <row r="525" spans="1:15" ht="15.75" customHeight="1" thickBot="1" x14ac:dyDescent="0.25">
      <c r="A525" s="1729"/>
      <c r="B525" s="1730"/>
      <c r="C525" s="1730"/>
      <c r="D525" s="1730"/>
      <c r="E525" s="1730"/>
      <c r="F525" s="1730"/>
      <c r="G525" s="1730"/>
      <c r="H525" s="1730"/>
      <c r="I525" s="1730"/>
      <c r="J525" s="1730"/>
      <c r="K525" s="1730"/>
      <c r="L525" s="1730"/>
      <c r="M525" s="1730"/>
      <c r="N525" s="1731"/>
      <c r="O525" s="1733"/>
    </row>
    <row r="526" spans="1:15" ht="15.75" customHeight="1" thickBot="1" x14ac:dyDescent="0.25"/>
    <row r="527" spans="1:15" ht="15.75" customHeight="1" x14ac:dyDescent="0.2">
      <c r="A527" s="1734" t="s">
        <v>1884</v>
      </c>
      <c r="B527" s="1735"/>
      <c r="C527" s="1735"/>
      <c r="D527" s="1735"/>
      <c r="E527" s="1735"/>
      <c r="F527" s="1735"/>
      <c r="G527" s="1735"/>
      <c r="H527" s="1735"/>
      <c r="I527" s="1735"/>
      <c r="J527" s="1735"/>
      <c r="K527" s="1735"/>
      <c r="L527" s="1735"/>
      <c r="M527" s="1735"/>
      <c r="N527" s="1736"/>
      <c r="O527" s="1740"/>
    </row>
    <row r="528" spans="1:15" ht="15.75" customHeight="1" thickBot="1" x14ac:dyDescent="0.25">
      <c r="A528" s="1737"/>
      <c r="B528" s="1738"/>
      <c r="C528" s="1738"/>
      <c r="D528" s="1738"/>
      <c r="E528" s="1738"/>
      <c r="F528" s="1738"/>
      <c r="G528" s="1738"/>
      <c r="H528" s="1738"/>
      <c r="I528" s="1738"/>
      <c r="J528" s="1738"/>
      <c r="K528" s="1738"/>
      <c r="L528" s="1738"/>
      <c r="M528" s="1738"/>
      <c r="N528" s="1739"/>
      <c r="O528" s="1741"/>
    </row>
    <row r="529" spans="1:15" ht="15.75" customHeight="1" thickBot="1" x14ac:dyDescent="0.25"/>
    <row r="530" spans="1:15" ht="15.75" customHeight="1" x14ac:dyDescent="0.2">
      <c r="A530" s="1734" t="s">
        <v>1885</v>
      </c>
      <c r="B530" s="1735"/>
      <c r="C530" s="1735"/>
      <c r="D530" s="1735"/>
      <c r="E530" s="1735"/>
      <c r="F530" s="1735"/>
      <c r="G530" s="1735"/>
      <c r="H530" s="1735"/>
      <c r="I530" s="1735"/>
      <c r="J530" s="1735"/>
      <c r="K530" s="1735"/>
      <c r="L530" s="1735"/>
      <c r="M530" s="1735"/>
      <c r="N530" s="1736"/>
      <c r="O530" s="1740"/>
    </row>
    <row r="531" spans="1:15" ht="15.75" customHeight="1" thickBot="1" x14ac:dyDescent="0.25">
      <c r="A531" s="1737"/>
      <c r="B531" s="1738"/>
      <c r="C531" s="1738"/>
      <c r="D531" s="1738"/>
      <c r="E531" s="1738"/>
      <c r="F531" s="1738"/>
      <c r="G531" s="1738"/>
      <c r="H531" s="1738"/>
      <c r="I531" s="1738"/>
      <c r="J531" s="1738"/>
      <c r="K531" s="1738"/>
      <c r="L531" s="1738"/>
      <c r="M531" s="1738"/>
      <c r="N531" s="1739"/>
      <c r="O531" s="1741"/>
    </row>
    <row r="532" spans="1:15" ht="15.75" customHeight="1" thickBot="1" x14ac:dyDescent="0.25"/>
    <row r="533" spans="1:15" ht="15.75" customHeight="1" x14ac:dyDescent="0.2">
      <c r="A533" s="1726" t="s">
        <v>1886</v>
      </c>
      <c r="B533" s="1727"/>
      <c r="C533" s="1727"/>
      <c r="D533" s="1727"/>
      <c r="E533" s="1727"/>
      <c r="F533" s="1727"/>
      <c r="G533" s="1727"/>
      <c r="H533" s="1727"/>
      <c r="I533" s="1727"/>
      <c r="J533" s="1727"/>
      <c r="K533" s="1727"/>
      <c r="L533" s="1727"/>
      <c r="M533" s="1727"/>
      <c r="N533" s="1728"/>
      <c r="O533" s="1732">
        <f>SUM(O516,O500,Reserve!O16,Reserve!O3,O387,O301,O279,O263,O184,O154)</f>
        <v>20084392.034063976</v>
      </c>
    </row>
    <row r="534" spans="1:15" ht="15.75" customHeight="1" thickBot="1" x14ac:dyDescent="0.25">
      <c r="A534" s="1729"/>
      <c r="B534" s="1730"/>
      <c r="C534" s="1730"/>
      <c r="D534" s="1730"/>
      <c r="E534" s="1730"/>
      <c r="F534" s="1730"/>
      <c r="G534" s="1730"/>
      <c r="H534" s="1730"/>
      <c r="I534" s="1730"/>
      <c r="J534" s="1730"/>
      <c r="K534" s="1730"/>
      <c r="L534" s="1730"/>
      <c r="M534" s="1730"/>
      <c r="N534" s="1731"/>
      <c r="O534" s="1733"/>
    </row>
    <row r="535" spans="1:15" ht="15.75" customHeight="1" thickBot="1" x14ac:dyDescent="0.25"/>
    <row r="536" spans="1:15" ht="15.75" customHeight="1" x14ac:dyDescent="0.2">
      <c r="A536" s="1726" t="s">
        <v>1887</v>
      </c>
      <c r="B536" s="1727"/>
      <c r="C536" s="1727"/>
      <c r="D536" s="1727"/>
      <c r="E536" s="1727"/>
      <c r="F536" s="1727"/>
      <c r="G536" s="1727"/>
      <c r="H536" s="1727"/>
      <c r="I536" s="1727"/>
      <c r="J536" s="1727"/>
      <c r="K536" s="1727"/>
      <c r="L536" s="1727"/>
      <c r="M536" s="1727"/>
      <c r="N536" s="1728"/>
      <c r="O536" s="1732">
        <f>SUM(O516,O500,Reserve!O16,Reserve!O3,O387,O301,O279,O263,O184,O154,O529)</f>
        <v>20084392.034063976</v>
      </c>
    </row>
    <row r="537" spans="1:15" ht="15.75" customHeight="1" thickBot="1" x14ac:dyDescent="0.25">
      <c r="A537" s="1729"/>
      <c r="B537" s="1730"/>
      <c r="C537" s="1730"/>
      <c r="D537" s="1730"/>
      <c r="E537" s="1730"/>
      <c r="F537" s="1730"/>
      <c r="G537" s="1730"/>
      <c r="H537" s="1730"/>
      <c r="I537" s="1730"/>
      <c r="J537" s="1730"/>
      <c r="K537" s="1730"/>
      <c r="L537" s="1730"/>
      <c r="M537" s="1730"/>
      <c r="N537" s="1731"/>
      <c r="O537" s="1733"/>
    </row>
    <row r="538" spans="1:15" ht="15.75" customHeight="1" x14ac:dyDescent="0.2"/>
    <row r="539" spans="1:15" ht="15.75" customHeight="1" x14ac:dyDescent="0.2"/>
    <row r="540" spans="1:15" ht="15.75" customHeight="1" x14ac:dyDescent="0.2"/>
    <row r="541" spans="1:15" ht="15.75" customHeight="1" thickBot="1" x14ac:dyDescent="0.25"/>
    <row r="542" spans="1:15" ht="15.75" customHeight="1" x14ac:dyDescent="0.2">
      <c r="A542" s="1669" t="s">
        <v>1896</v>
      </c>
      <c r="B542" s="1670"/>
      <c r="C542" s="1670"/>
      <c r="D542" s="1670"/>
      <c r="E542" s="1670"/>
      <c r="F542" s="1671"/>
    </row>
    <row r="543" spans="1:15" ht="15.75" customHeight="1" thickBot="1" x14ac:dyDescent="0.25">
      <c r="A543" s="1676"/>
      <c r="B543" s="1674"/>
      <c r="C543" s="1674"/>
      <c r="D543" s="1674"/>
      <c r="E543" s="1674"/>
      <c r="F543" s="1675"/>
    </row>
    <row r="544" spans="1:15" ht="15.75" customHeight="1" x14ac:dyDescent="0.2">
      <c r="A544" s="977" t="s">
        <v>649</v>
      </c>
      <c r="B544" s="1056" t="s">
        <v>752</v>
      </c>
      <c r="C544" s="977" t="s">
        <v>3273</v>
      </c>
      <c r="F544" s="924"/>
    </row>
    <row r="545" spans="1:6" ht="15.75" customHeight="1" x14ac:dyDescent="0.2">
      <c r="A545" s="109" t="s">
        <v>753</v>
      </c>
      <c r="B545" s="1159">
        <f ca="1">O17</f>
        <v>100134360.397732</v>
      </c>
      <c r="C545" s="1160">
        <f ca="1">B545/B$560</f>
        <v>0.25790134883732185</v>
      </c>
      <c r="F545" s="924"/>
    </row>
    <row r="546" spans="1:6" ht="15.75" customHeight="1" x14ac:dyDescent="0.2">
      <c r="A546" s="126" t="str">
        <f>A56</f>
        <v>Ocean Water Processing</v>
      </c>
      <c r="B546" s="901">
        <f ca="1">O81</f>
        <v>4501673.6122288434</v>
      </c>
      <c r="C546" s="1161">
        <f t="shared" ref="C546:C558" ca="1" si="42">B546/B$560</f>
        <v>1.1594298820182944E-2</v>
      </c>
      <c r="F546" s="924"/>
    </row>
    <row r="547" spans="1:6" ht="15.75" customHeight="1" x14ac:dyDescent="0.2">
      <c r="A547" s="126" t="str">
        <f>A85</f>
        <v>Cheese Whey Processing</v>
      </c>
      <c r="B547" s="901">
        <f ca="1">O111</f>
        <v>1645965.6270352765</v>
      </c>
      <c r="C547" s="1161">
        <f t="shared" ca="1" si="42"/>
        <v>4.2392716512710728E-3</v>
      </c>
      <c r="F547" s="924"/>
    </row>
    <row r="548" spans="1:6" ht="15.75" customHeight="1" x14ac:dyDescent="0.2">
      <c r="A548" s="126" t="str">
        <f>A115</f>
        <v>Feedstock Preparation</v>
      </c>
      <c r="B548" s="901">
        <f>O134</f>
        <v>29872414.48031405</v>
      </c>
      <c r="C548" s="1161">
        <f t="shared" ca="1" si="42"/>
        <v>7.6937985691423405E-2</v>
      </c>
      <c r="F548" s="924"/>
    </row>
    <row r="549" spans="1:6" ht="15.75" customHeight="1" x14ac:dyDescent="0.2">
      <c r="A549" s="126" t="s">
        <v>2978</v>
      </c>
      <c r="B549" s="901">
        <f>O150</f>
        <v>428415.40169322415</v>
      </c>
      <c r="C549" s="1161">
        <f t="shared" ca="1" si="42"/>
        <v>1.1034065581535196E-3</v>
      </c>
      <c r="F549" s="924"/>
    </row>
    <row r="550" spans="1:6" ht="15.75" customHeight="1" x14ac:dyDescent="0.2">
      <c r="A550" s="126" t="s">
        <v>2792</v>
      </c>
      <c r="B550" s="901">
        <f>O167</f>
        <v>2190863.7909880206</v>
      </c>
      <c r="C550" s="1161">
        <f t="shared" ca="1" si="42"/>
        <v>5.6426857331527587E-3</v>
      </c>
      <c r="F550" s="924"/>
    </row>
    <row r="551" spans="1:6" ht="15.75" customHeight="1" x14ac:dyDescent="0.2">
      <c r="A551" s="126" t="s">
        <v>2979</v>
      </c>
      <c r="B551" s="901">
        <f>O184</f>
        <v>20084392.034063976</v>
      </c>
      <c r="C551" s="1161">
        <f t="shared" ca="1" si="42"/>
        <v>5.1728415456878299E-2</v>
      </c>
      <c r="F551" s="924"/>
    </row>
    <row r="552" spans="1:6" ht="15.75" customHeight="1" x14ac:dyDescent="0.2">
      <c r="A552" s="126" t="str">
        <f>A200</f>
        <v>Nitrogen Removal</v>
      </c>
      <c r="B552" s="901">
        <f ca="1">O197+O223</f>
        <v>101851589.49650778</v>
      </c>
      <c r="C552" s="1161">
        <f t="shared" ca="1" si="42"/>
        <v>0.26232416333454217</v>
      </c>
      <c r="F552" s="924"/>
    </row>
    <row r="553" spans="1:6" ht="15.75" customHeight="1" x14ac:dyDescent="0.2">
      <c r="A553" s="126" t="s">
        <v>537</v>
      </c>
      <c r="B553" s="901">
        <f ca="1">O242+O255</f>
        <v>93516151.334897533</v>
      </c>
      <c r="C553" s="1161">
        <f t="shared" ca="1" si="42"/>
        <v>0.24085580086145386</v>
      </c>
      <c r="F553" s="924"/>
    </row>
    <row r="554" spans="1:6" ht="15.75" customHeight="1" x14ac:dyDescent="0.2">
      <c r="A554" s="126" t="str">
        <f>A264</f>
        <v>Electrodialysis</v>
      </c>
      <c r="B554" s="901">
        <f ca="1">O280</f>
        <v>27033189.484874967</v>
      </c>
      <c r="C554" s="1161">
        <f t="shared" ca="1" si="42"/>
        <v>6.9625411335648479E-2</v>
      </c>
      <c r="F554" s="924"/>
    </row>
    <row r="555" spans="1:6" ht="15.75" customHeight="1" x14ac:dyDescent="0.2">
      <c r="A555" s="126" t="str">
        <f>A282</f>
        <v>Liquid-Liquid Extraction</v>
      </c>
      <c r="B555" s="901">
        <f ca="1">O299</f>
        <v>1187526.7450096353</v>
      </c>
      <c r="C555" s="1161">
        <f t="shared" ca="1" si="42"/>
        <v>3.0585380293228106E-3</v>
      </c>
      <c r="F555" s="924"/>
    </row>
    <row r="556" spans="1:6" ht="15.75" customHeight="1" x14ac:dyDescent="0.2">
      <c r="A556" s="126" t="str">
        <f>A302</f>
        <v>Ketonization</v>
      </c>
      <c r="B556" s="901">
        <f ca="1">O315</f>
        <v>1786511.1784994458</v>
      </c>
      <c r="C556" s="1161">
        <f t="shared" ca="1" si="42"/>
        <v>4.6012541630854236E-3</v>
      </c>
      <c r="F556" s="924"/>
    </row>
    <row r="557" spans="1:6" ht="15.75" customHeight="1" x14ac:dyDescent="0.2">
      <c r="A557" s="126" t="str">
        <f>A318</f>
        <v>Hydrodeoxygenation</v>
      </c>
      <c r="B557" s="901">
        <f ca="1">O333</f>
        <v>3916861.3953973008</v>
      </c>
      <c r="C557" s="1161">
        <f t="shared" ca="1" si="42"/>
        <v>1.0088083981057499E-2</v>
      </c>
      <c r="F557" s="924"/>
    </row>
    <row r="558" spans="1:6" ht="15.75" customHeight="1" x14ac:dyDescent="0.2">
      <c r="A558" s="117" t="str">
        <f>A336</f>
        <v>Hydrocarbon Distillation</v>
      </c>
      <c r="B558" s="1162">
        <f ca="1">O347</f>
        <v>116221.85625935157</v>
      </c>
      <c r="C558" s="1163">
        <f t="shared" ca="1" si="42"/>
        <v>2.9933554650580265E-4</v>
      </c>
      <c r="F558" s="924"/>
    </row>
    <row r="559" spans="1:6" ht="15.75" customHeight="1" x14ac:dyDescent="0.2">
      <c r="A559" s="123"/>
      <c r="C559" s="913"/>
      <c r="F559" s="924"/>
    </row>
    <row r="560" spans="1:6" ht="15.75" customHeight="1" x14ac:dyDescent="0.2">
      <c r="A560" s="9" t="s">
        <v>577</v>
      </c>
      <c r="B560" s="1057">
        <f ca="1">SUM(B545:B558)</f>
        <v>388266136.83550143</v>
      </c>
      <c r="F560" s="924"/>
    </row>
    <row r="561" spans="1:6" ht="15.75" customHeight="1" x14ac:dyDescent="0.2">
      <c r="A561" s="123"/>
      <c r="F561" s="924"/>
    </row>
    <row r="562" spans="1:6" ht="15.75" customHeight="1" x14ac:dyDescent="0.2">
      <c r="A562" s="123"/>
      <c r="F562" s="924"/>
    </row>
    <row r="563" spans="1:6" ht="15.75" customHeight="1" x14ac:dyDescent="0.2">
      <c r="A563" s="123"/>
      <c r="F563" s="924"/>
    </row>
    <row r="564" spans="1:6" ht="15.75" customHeight="1" x14ac:dyDescent="0.2">
      <c r="A564" s="123"/>
      <c r="F564" s="924"/>
    </row>
    <row r="565" spans="1:6" ht="15.75" customHeight="1" x14ac:dyDescent="0.2">
      <c r="A565" s="123"/>
      <c r="F565" s="924"/>
    </row>
    <row r="566" spans="1:6" ht="15.75" customHeight="1" x14ac:dyDescent="0.2">
      <c r="A566" s="123"/>
      <c r="F566" s="924"/>
    </row>
    <row r="567" spans="1:6" ht="15.75" customHeight="1" x14ac:dyDescent="0.2">
      <c r="A567" s="123"/>
      <c r="F567" s="924"/>
    </row>
    <row r="568" spans="1:6" ht="15.75" customHeight="1" x14ac:dyDescent="0.2">
      <c r="A568" s="123"/>
      <c r="F568" s="924"/>
    </row>
    <row r="569" spans="1:6" ht="15.75" customHeight="1" x14ac:dyDescent="0.2">
      <c r="A569" s="123"/>
      <c r="F569" s="924"/>
    </row>
    <row r="570" spans="1:6" ht="15.75" customHeight="1" x14ac:dyDescent="0.2">
      <c r="A570" s="123"/>
      <c r="F570" s="924"/>
    </row>
    <row r="571" spans="1:6" ht="15.75" customHeight="1" x14ac:dyDescent="0.2">
      <c r="A571" s="123"/>
      <c r="F571" s="924"/>
    </row>
    <row r="572" spans="1:6" ht="15.75" customHeight="1" thickBot="1" x14ac:dyDescent="0.25">
      <c r="A572" s="152"/>
      <c r="B572" s="909"/>
      <c r="C572" s="914"/>
      <c r="D572" s="909"/>
      <c r="E572" s="69"/>
      <c r="F572" s="925"/>
    </row>
    <row r="573" spans="1:6" ht="15.75" customHeight="1" x14ac:dyDescent="0.2"/>
    <row r="574" spans="1:6" ht="15.75" customHeight="1" thickBot="1" x14ac:dyDescent="0.25"/>
    <row r="575" spans="1:6" ht="15.75" customHeight="1" x14ac:dyDescent="0.2">
      <c r="A575" s="1669" t="s">
        <v>3017</v>
      </c>
      <c r="B575" s="1670"/>
      <c r="C575" s="1670"/>
      <c r="D575" s="1670"/>
      <c r="E575" s="1670"/>
      <c r="F575" s="1671"/>
    </row>
    <row r="576" spans="1:6" ht="15.75" customHeight="1" thickBot="1" x14ac:dyDescent="0.25">
      <c r="A576" s="1676"/>
      <c r="B576" s="1674"/>
      <c r="C576" s="1673"/>
      <c r="D576" s="1674"/>
      <c r="E576" s="1674"/>
      <c r="F576" s="1675"/>
    </row>
    <row r="577" spans="1:3" ht="15.75" customHeight="1" x14ac:dyDescent="0.2">
      <c r="A577" s="970" t="s">
        <v>649</v>
      </c>
      <c r="B577" s="1164" t="s">
        <v>752</v>
      </c>
      <c r="C577" s="972" t="s">
        <v>3273</v>
      </c>
    </row>
    <row r="578" spans="1:3" ht="15.75" customHeight="1" x14ac:dyDescent="0.2">
      <c r="A578" s="109" t="s">
        <v>753</v>
      </c>
      <c r="B578" s="1159">
        <f t="shared" ref="B578:B586" ca="1" si="43">B545</f>
        <v>100134360.397732</v>
      </c>
      <c r="C578" s="1165">
        <f ca="1">B578/B$594</f>
        <v>4.786943983705335E-2</v>
      </c>
    </row>
    <row r="579" spans="1:3" ht="15.75" customHeight="1" x14ac:dyDescent="0.2">
      <c r="A579" s="126" t="s">
        <v>2317</v>
      </c>
      <c r="B579" s="901">
        <f t="shared" ca="1" si="43"/>
        <v>4501673.6122288434</v>
      </c>
      <c r="C579" s="1166">
        <f t="shared" ref="C579:C592" ca="1" si="44">B579/B$594</f>
        <v>2.1520344594074029E-3</v>
      </c>
    </row>
    <row r="580" spans="1:3" ht="15.75" customHeight="1" x14ac:dyDescent="0.2">
      <c r="A580" s="126" t="s">
        <v>2318</v>
      </c>
      <c r="B580" s="901">
        <f t="shared" ca="1" si="43"/>
        <v>1645965.6270352765</v>
      </c>
      <c r="C580" s="1166">
        <f t="shared" ca="1" si="44"/>
        <v>7.8685730097305894E-4</v>
      </c>
    </row>
    <row r="581" spans="1:3" ht="15.75" customHeight="1" x14ac:dyDescent="0.2">
      <c r="A581" s="126" t="s">
        <v>1415</v>
      </c>
      <c r="B581" s="901">
        <f t="shared" si="43"/>
        <v>29872414.48031405</v>
      </c>
      <c r="C581" s="1166">
        <f t="shared" ca="1" si="44"/>
        <v>1.4280570046815849E-2</v>
      </c>
    </row>
    <row r="582" spans="1:3" ht="15.75" customHeight="1" x14ac:dyDescent="0.2">
      <c r="A582" s="126" t="s">
        <v>2978</v>
      </c>
      <c r="B582" s="901">
        <f t="shared" si="43"/>
        <v>428415.40169322415</v>
      </c>
      <c r="C582" s="1166">
        <f t="shared" ca="1" si="44"/>
        <v>2.0480487631981055E-4</v>
      </c>
    </row>
    <row r="583" spans="1:3" ht="15.75" customHeight="1" x14ac:dyDescent="0.2">
      <c r="A583" s="126" t="s">
        <v>2792</v>
      </c>
      <c r="B583" s="901">
        <f t="shared" si="43"/>
        <v>2190863.7909880206</v>
      </c>
      <c r="C583" s="1166">
        <f t="shared" ca="1" si="44"/>
        <v>1.0473470047375972E-3</v>
      </c>
    </row>
    <row r="584" spans="1:3" x14ac:dyDescent="0.2">
      <c r="A584" s="126" t="s">
        <v>2979</v>
      </c>
      <c r="B584" s="901">
        <f t="shared" si="43"/>
        <v>20084392.034063976</v>
      </c>
      <c r="C584" s="1166">
        <f t="shared" ca="1" si="44"/>
        <v>9.60138550163641E-3</v>
      </c>
    </row>
    <row r="585" spans="1:3" x14ac:dyDescent="0.2">
      <c r="A585" s="126" t="s">
        <v>1561</v>
      </c>
      <c r="B585" s="901">
        <f t="shared" ca="1" si="43"/>
        <v>101851589.49650778</v>
      </c>
      <c r="C585" s="1166">
        <f t="shared" ca="1" si="44"/>
        <v>4.8690364789325244E-2</v>
      </c>
    </row>
    <row r="586" spans="1:3" x14ac:dyDescent="0.2">
      <c r="A586" s="126" t="s">
        <v>537</v>
      </c>
      <c r="B586" s="901">
        <f t="shared" ca="1" si="43"/>
        <v>93516151.334897533</v>
      </c>
      <c r="C586" s="1166">
        <f t="shared" ca="1" si="44"/>
        <v>4.4705591191053794E-2</v>
      </c>
    </row>
    <row r="587" spans="1:3" x14ac:dyDescent="0.2">
      <c r="A587" s="126" t="s">
        <v>754</v>
      </c>
      <c r="B587" s="901">
        <f ca="1">O382</f>
        <v>7841373.3743566498</v>
      </c>
      <c r="C587" s="1166">
        <f t="shared" ca="1" si="44"/>
        <v>3.7485848962604397E-3</v>
      </c>
    </row>
    <row r="588" spans="1:3" x14ac:dyDescent="0.2">
      <c r="A588" s="126" t="s">
        <v>534</v>
      </c>
      <c r="B588" s="901">
        <f ca="1">O400</f>
        <v>27033189.484874967</v>
      </c>
      <c r="C588" s="1166">
        <f t="shared" ca="1" si="44"/>
        <v>1.2923272616011991E-2</v>
      </c>
    </row>
    <row r="589" spans="1:3" x14ac:dyDescent="0.2">
      <c r="A589" s="126" t="s">
        <v>2319</v>
      </c>
      <c r="B589" s="901">
        <f ca="1">O418</f>
        <v>30113654.871589381</v>
      </c>
      <c r="C589" s="1166">
        <f t="shared" ca="1" si="44"/>
        <v>1.4395895519016931E-2</v>
      </c>
    </row>
    <row r="590" spans="1:3" x14ac:dyDescent="0.2">
      <c r="A590" s="126" t="s">
        <v>910</v>
      </c>
      <c r="B590" s="901">
        <f ca="1">O437</f>
        <v>3426009.7482690597</v>
      </c>
      <c r="C590" s="1166">
        <f t="shared" ca="1" si="44"/>
        <v>1.6378111057434646E-3</v>
      </c>
    </row>
    <row r="591" spans="1:3" x14ac:dyDescent="0.2">
      <c r="A591" s="126" t="str">
        <f>A440</f>
        <v>Esterification</v>
      </c>
      <c r="B591" s="901">
        <f ca="1">O455</f>
        <v>23562915.50599087</v>
      </c>
      <c r="C591" s="1166">
        <f t="shared" ca="1" si="44"/>
        <v>1.1264300902501684E-2</v>
      </c>
    </row>
    <row r="592" spans="1:3" x14ac:dyDescent="0.2">
      <c r="A592" s="117" t="str">
        <f>A459</f>
        <v>Ester Separations</v>
      </c>
      <c r="B592" s="1162">
        <f ca="1">O479</f>
        <v>1645619302.8064468</v>
      </c>
      <c r="C592" s="1167">
        <f t="shared" ca="1" si="44"/>
        <v>0.78669173995314301</v>
      </c>
    </row>
    <row r="594" spans="1:3" x14ac:dyDescent="0.2">
      <c r="A594" s="9" t="s">
        <v>577</v>
      </c>
      <c r="B594" s="1057">
        <f ca="1">SUM(B578:B592)</f>
        <v>2091822271.9669883</v>
      </c>
      <c r="C594" s="26"/>
    </row>
    <row r="613" spans="1:6" ht="16" thickBot="1" x14ac:dyDescent="0.25"/>
    <row r="614" spans="1:6" x14ac:dyDescent="0.2">
      <c r="A614" s="1669" t="s">
        <v>3274</v>
      </c>
      <c r="B614" s="1670"/>
      <c r="C614" s="1670"/>
      <c r="D614" s="1670"/>
      <c r="E614" s="1670"/>
      <c r="F614" s="1671"/>
    </row>
    <row r="615" spans="1:6" ht="16" thickBot="1" x14ac:dyDescent="0.25">
      <c r="A615" s="1672"/>
      <c r="B615" s="1673"/>
      <c r="C615" s="1673"/>
      <c r="D615" s="1674"/>
      <c r="E615" s="1674"/>
      <c r="F615" s="1675"/>
    </row>
    <row r="616" spans="1:6" x14ac:dyDescent="0.2">
      <c r="A616" s="972" t="s">
        <v>649</v>
      </c>
      <c r="B616" s="1169" t="s">
        <v>752</v>
      </c>
      <c r="C616" s="1058" t="s">
        <v>3275</v>
      </c>
    </row>
    <row r="617" spans="1:6" x14ac:dyDescent="0.2">
      <c r="A617" s="109" t="s">
        <v>753</v>
      </c>
      <c r="B617" s="1170">
        <f ca="1">B545+B578</f>
        <v>200268720.79546401</v>
      </c>
      <c r="C617" s="133">
        <f ca="1">B617/B$638</f>
        <v>8.0750637793659832E-2</v>
      </c>
    </row>
    <row r="618" spans="1:6" x14ac:dyDescent="0.2">
      <c r="A618" s="126" t="s">
        <v>2317</v>
      </c>
      <c r="B618" s="1171">
        <f t="shared" ref="B618:B625" ca="1" si="45">B546+B579</f>
        <v>9003347.2244576868</v>
      </c>
      <c r="C618" s="133">
        <f t="shared" ref="C618:C636" ca="1" si="46">B618/B$638</f>
        <v>3.630252531523645E-3</v>
      </c>
    </row>
    <row r="619" spans="1:6" x14ac:dyDescent="0.2">
      <c r="A619" s="126" t="s">
        <v>2318</v>
      </c>
      <c r="B619" s="1171">
        <f t="shared" ca="1" si="45"/>
        <v>3291931.254070553</v>
      </c>
      <c r="C619" s="133">
        <f t="shared" ca="1" si="46"/>
        <v>1.3273443165923513E-3</v>
      </c>
    </row>
    <row r="620" spans="1:6" x14ac:dyDescent="0.2">
      <c r="A620" s="126" t="s">
        <v>1415</v>
      </c>
      <c r="B620" s="1171">
        <f t="shared" si="45"/>
        <v>59744828.9606281</v>
      </c>
      <c r="C620" s="133">
        <f t="shared" ca="1" si="46"/>
        <v>2.4089798068721219E-2</v>
      </c>
    </row>
    <row r="621" spans="1:6" x14ac:dyDescent="0.2">
      <c r="A621" s="126" t="s">
        <v>2978</v>
      </c>
      <c r="B621" s="1171">
        <f t="shared" si="45"/>
        <v>856830.8033864483</v>
      </c>
      <c r="C621" s="133">
        <f t="shared" ca="1" si="46"/>
        <v>3.4548397562979174E-4</v>
      </c>
    </row>
    <row r="622" spans="1:6" x14ac:dyDescent="0.2">
      <c r="A622" s="126" t="s">
        <v>2792</v>
      </c>
      <c r="B622" s="1171">
        <f t="shared" si="45"/>
        <v>4381727.5819760412</v>
      </c>
      <c r="C622" s="133">
        <f t="shared" ca="1" si="46"/>
        <v>1.7667626550828314E-3</v>
      </c>
    </row>
    <row r="623" spans="1:6" x14ac:dyDescent="0.2">
      <c r="A623" s="126" t="s">
        <v>2979</v>
      </c>
      <c r="B623" s="1171">
        <f t="shared" si="45"/>
        <v>40168784.068127953</v>
      </c>
      <c r="C623" s="133">
        <f t="shared" ca="1" si="46"/>
        <v>1.6196512965246847E-2</v>
      </c>
    </row>
    <row r="624" spans="1:6" x14ac:dyDescent="0.2">
      <c r="A624" s="126" t="s">
        <v>1561</v>
      </c>
      <c r="B624" s="1171">
        <f t="shared" ca="1" si="45"/>
        <v>203703178.99301556</v>
      </c>
      <c r="C624" s="133">
        <f t="shared" ca="1" si="46"/>
        <v>8.2135450603300714E-2</v>
      </c>
    </row>
    <row r="625" spans="1:3" x14ac:dyDescent="0.2">
      <c r="A625" s="126" t="s">
        <v>537</v>
      </c>
      <c r="B625" s="1171">
        <f t="shared" ca="1" si="45"/>
        <v>187032302.66979507</v>
      </c>
      <c r="C625" s="133">
        <f t="shared" ca="1" si="46"/>
        <v>7.541356268025283E-2</v>
      </c>
    </row>
    <row r="626" spans="1:3" x14ac:dyDescent="0.2">
      <c r="A626" s="126" t="s">
        <v>534</v>
      </c>
      <c r="B626" s="1171">
        <f ca="1">B554</f>
        <v>27033189.484874967</v>
      </c>
      <c r="C626" s="133">
        <f t="shared" ca="1" si="46"/>
        <v>1.0900091056805486E-2</v>
      </c>
    </row>
    <row r="627" spans="1:3" x14ac:dyDescent="0.2">
      <c r="A627" s="126" t="s">
        <v>910</v>
      </c>
      <c r="B627" s="1171">
        <f ca="1">B555</f>
        <v>1187526.7450096353</v>
      </c>
      <c r="C627" s="133">
        <f t="shared" ca="1" si="46"/>
        <v>4.7882435996829338E-4</v>
      </c>
    </row>
    <row r="628" spans="1:3" x14ac:dyDescent="0.2">
      <c r="A628" s="126" t="s">
        <v>1416</v>
      </c>
      <c r="B628" s="1171">
        <f ca="1">B556</f>
        <v>1786511.1784994458</v>
      </c>
      <c r="C628" s="133">
        <f t="shared" ca="1" si="46"/>
        <v>7.2034173143128489E-4</v>
      </c>
    </row>
    <row r="629" spans="1:3" x14ac:dyDescent="0.2">
      <c r="A629" s="126" t="s">
        <v>1417</v>
      </c>
      <c r="B629" s="1171">
        <f ca="1">B557</f>
        <v>3916861.3953973008</v>
      </c>
      <c r="C629" s="133">
        <f t="shared" ca="1" si="46"/>
        <v>1.5793232940790834E-3</v>
      </c>
    </row>
    <row r="630" spans="1:3" x14ac:dyDescent="0.2">
      <c r="A630" s="126" t="s">
        <v>1011</v>
      </c>
      <c r="B630" s="1171">
        <f ca="1">B558</f>
        <v>116221.85625935157</v>
      </c>
      <c r="C630" s="133">
        <f t="shared" ca="1" si="46"/>
        <v>4.6861981148272563E-5</v>
      </c>
    </row>
    <row r="631" spans="1:3" x14ac:dyDescent="0.2">
      <c r="A631" s="126" t="s">
        <v>754</v>
      </c>
      <c r="B631" s="1171">
        <f t="shared" ref="B631:B636" ca="1" si="47">B587</f>
        <v>7841373.3743566498</v>
      </c>
      <c r="C631" s="133">
        <f t="shared" ca="1" si="46"/>
        <v>3.1617313909155583E-3</v>
      </c>
    </row>
    <row r="632" spans="1:3" x14ac:dyDescent="0.2">
      <c r="A632" s="126" t="s">
        <v>534</v>
      </c>
      <c r="B632" s="1171">
        <f t="shared" ca="1" si="47"/>
        <v>27033189.484874967</v>
      </c>
      <c r="C632" s="133">
        <f t="shared" ca="1" si="46"/>
        <v>1.0900091056805486E-2</v>
      </c>
    </row>
    <row r="633" spans="1:3" x14ac:dyDescent="0.2">
      <c r="A633" s="126" t="s">
        <v>2319</v>
      </c>
      <c r="B633" s="1171">
        <f t="shared" ca="1" si="47"/>
        <v>30113654.871589381</v>
      </c>
      <c r="C633" s="133">
        <f t="shared" ca="1" si="46"/>
        <v>1.2142169918099716E-2</v>
      </c>
    </row>
    <row r="634" spans="1:3" x14ac:dyDescent="0.2">
      <c r="A634" s="126" t="s">
        <v>910</v>
      </c>
      <c r="B634" s="1171">
        <f t="shared" ca="1" si="47"/>
        <v>3426009.7482690597</v>
      </c>
      <c r="C634" s="133">
        <f t="shared" ca="1" si="46"/>
        <v>1.3814062983034173E-3</v>
      </c>
    </row>
    <row r="635" spans="1:3" x14ac:dyDescent="0.2">
      <c r="A635" s="126" t="s">
        <v>755</v>
      </c>
      <c r="B635" s="1171">
        <f t="shared" ca="1" si="47"/>
        <v>23562915.50599087</v>
      </c>
      <c r="C635" s="133">
        <f t="shared" ca="1" si="46"/>
        <v>9.5008369146679806E-3</v>
      </c>
    </row>
    <row r="636" spans="1:3" x14ac:dyDescent="0.2">
      <c r="A636" s="117" t="s">
        <v>2320</v>
      </c>
      <c r="B636" s="1172">
        <f t="shared" ca="1" si="47"/>
        <v>1645619302.8064468</v>
      </c>
      <c r="C636" s="133">
        <f t="shared" ca="1" si="46"/>
        <v>0.66353251640776534</v>
      </c>
    </row>
    <row r="638" spans="1:3" x14ac:dyDescent="0.2">
      <c r="A638" s="9" t="s">
        <v>586</v>
      </c>
      <c r="B638" s="1057">
        <f ca="1">SUM(B617:B636)</f>
        <v>2480088408.8024898</v>
      </c>
    </row>
  </sheetData>
  <mergeCells count="523">
    <mergeCell ref="A486:B487"/>
    <mergeCell ref="A318:B319"/>
    <mergeCell ref="A336:B337"/>
    <mergeCell ref="A350:B351"/>
    <mergeCell ref="A354:B355"/>
    <mergeCell ref="A384:B385"/>
    <mergeCell ref="A402:B403"/>
    <mergeCell ref="A420:B421"/>
    <mergeCell ref="A440:B441"/>
    <mergeCell ref="A459:B460"/>
    <mergeCell ref="A170:D171"/>
    <mergeCell ref="A187:D188"/>
    <mergeCell ref="A200:D201"/>
    <mergeCell ref="A226:D227"/>
    <mergeCell ref="A245:D246"/>
    <mergeCell ref="A260:D261"/>
    <mergeCell ref="A264:B265"/>
    <mergeCell ref="A282:B283"/>
    <mergeCell ref="A302:B303"/>
    <mergeCell ref="A1:O2"/>
    <mergeCell ref="A5:A6"/>
    <mergeCell ref="A20:A21"/>
    <mergeCell ref="A56:A57"/>
    <mergeCell ref="A85:A86"/>
    <mergeCell ref="A115:A116"/>
    <mergeCell ref="A137:B138"/>
    <mergeCell ref="A153:D154"/>
    <mergeCell ref="M249:M250"/>
    <mergeCell ref="K88:N88"/>
    <mergeCell ref="O88:O90"/>
    <mergeCell ref="A89:A90"/>
    <mergeCell ref="B89:B90"/>
    <mergeCell ref="C89:C90"/>
    <mergeCell ref="D89:D90"/>
    <mergeCell ref="E89:E90"/>
    <mergeCell ref="F89:F90"/>
    <mergeCell ref="G89:G90"/>
    <mergeCell ref="H89:H90"/>
    <mergeCell ref="I89:I90"/>
    <mergeCell ref="J89:J90"/>
    <mergeCell ref="K89:K90"/>
    <mergeCell ref="L89:L90"/>
    <mergeCell ref="M89:M90"/>
    <mergeCell ref="A189:O189"/>
    <mergeCell ref="A190:E190"/>
    <mergeCell ref="F190:J190"/>
    <mergeCell ref="A111:N111"/>
    <mergeCell ref="K191:K192"/>
    <mergeCell ref="L191:L192"/>
    <mergeCell ref="M191:M192"/>
    <mergeCell ref="A228:O228"/>
    <mergeCell ref="A58:O58"/>
    <mergeCell ref="A59:E59"/>
    <mergeCell ref="F59:J59"/>
    <mergeCell ref="K59:N59"/>
    <mergeCell ref="O59:O61"/>
    <mergeCell ref="A60:A61"/>
    <mergeCell ref="B60:B61"/>
    <mergeCell ref="C60:C61"/>
    <mergeCell ref="D60:D61"/>
    <mergeCell ref="E60:E61"/>
    <mergeCell ref="F60:F61"/>
    <mergeCell ref="G60:G61"/>
    <mergeCell ref="H60:H61"/>
    <mergeCell ref="I60:I61"/>
    <mergeCell ref="J60:J61"/>
    <mergeCell ref="K60:K61"/>
    <mergeCell ref="L60:L61"/>
    <mergeCell ref="M60:M61"/>
    <mergeCell ref="A81:N81"/>
    <mergeCell ref="A87:O87"/>
    <mergeCell ref="A542:F543"/>
    <mergeCell ref="A524:N525"/>
    <mergeCell ref="O524:O525"/>
    <mergeCell ref="A521:N522"/>
    <mergeCell ref="O521:O522"/>
    <mergeCell ref="A518:N519"/>
    <mergeCell ref="O518:O519"/>
    <mergeCell ref="A515:N516"/>
    <mergeCell ref="O515:O516"/>
    <mergeCell ref="A527:N528"/>
    <mergeCell ref="A530:N531"/>
    <mergeCell ref="A533:N534"/>
    <mergeCell ref="A536:N537"/>
    <mergeCell ref="O527:O528"/>
    <mergeCell ref="O530:O531"/>
    <mergeCell ref="O533:O534"/>
    <mergeCell ref="O536:O537"/>
    <mergeCell ref="F191:F192"/>
    <mergeCell ref="G191:G192"/>
    <mergeCell ref="H191:H192"/>
    <mergeCell ref="I191:I192"/>
    <mergeCell ref="J191:J192"/>
    <mergeCell ref="A482:O483"/>
    <mergeCell ref="A197:N197"/>
    <mergeCell ref="A255:N255"/>
    <mergeCell ref="A247:O247"/>
    <mergeCell ref="A248:E248"/>
    <mergeCell ref="F248:J248"/>
    <mergeCell ref="K248:N248"/>
    <mergeCell ref="O248:O250"/>
    <mergeCell ref="A249:A250"/>
    <mergeCell ref="B249:B250"/>
    <mergeCell ref="C249:C250"/>
    <mergeCell ref="D249:D250"/>
    <mergeCell ref="E249:E250"/>
    <mergeCell ref="F249:F250"/>
    <mergeCell ref="G249:G250"/>
    <mergeCell ref="H249:H250"/>
    <mergeCell ref="I444:I445"/>
    <mergeCell ref="A461:O461"/>
    <mergeCell ref="E463:E464"/>
    <mergeCell ref="L463:L464"/>
    <mergeCell ref="M463:M464"/>
    <mergeCell ref="F463:F464"/>
    <mergeCell ref="G463:G464"/>
    <mergeCell ref="H463:H464"/>
    <mergeCell ref="A512:N512"/>
    <mergeCell ref="D506:D507"/>
    <mergeCell ref="E506:E507"/>
    <mergeCell ref="F506:F507"/>
    <mergeCell ref="G506:G507"/>
    <mergeCell ref="H506:H507"/>
    <mergeCell ref="I506:I507"/>
    <mergeCell ref="F490:F491"/>
    <mergeCell ref="G490:G491"/>
    <mergeCell ref="A499:N499"/>
    <mergeCell ref="A502:O503"/>
    <mergeCell ref="A504:O504"/>
    <mergeCell ref="A505:E505"/>
    <mergeCell ref="F505:J505"/>
    <mergeCell ref="K505:N505"/>
    <mergeCell ref="O505:O507"/>
    <mergeCell ref="A506:A507"/>
    <mergeCell ref="B506:B507"/>
    <mergeCell ref="O489:O491"/>
    <mergeCell ref="A490:A491"/>
    <mergeCell ref="C506:C507"/>
    <mergeCell ref="J506:J507"/>
    <mergeCell ref="K506:K507"/>
    <mergeCell ref="L506:L507"/>
    <mergeCell ref="M506:M507"/>
    <mergeCell ref="A489:E489"/>
    <mergeCell ref="F489:J489"/>
    <mergeCell ref="A462:E462"/>
    <mergeCell ref="F462:J462"/>
    <mergeCell ref="K462:N462"/>
    <mergeCell ref="L490:L491"/>
    <mergeCell ref="M490:M491"/>
    <mergeCell ref="B490:B491"/>
    <mergeCell ref="C490:C491"/>
    <mergeCell ref="D490:D491"/>
    <mergeCell ref="E490:E491"/>
    <mergeCell ref="H490:H491"/>
    <mergeCell ref="I490:I491"/>
    <mergeCell ref="J490:J491"/>
    <mergeCell ref="K490:K491"/>
    <mergeCell ref="A479:N479"/>
    <mergeCell ref="A488:O488"/>
    <mergeCell ref="K489:N489"/>
    <mergeCell ref="O462:O464"/>
    <mergeCell ref="A463:A464"/>
    <mergeCell ref="B463:B464"/>
    <mergeCell ref="C463:C464"/>
    <mergeCell ref="D463:D464"/>
    <mergeCell ref="I463:I464"/>
    <mergeCell ref="J463:J464"/>
    <mergeCell ref="K463:K464"/>
    <mergeCell ref="A382:N382"/>
    <mergeCell ref="A442:O442"/>
    <mergeCell ref="A443:E443"/>
    <mergeCell ref="F443:J443"/>
    <mergeCell ref="K443:N443"/>
    <mergeCell ref="O443:O445"/>
    <mergeCell ref="A444:A445"/>
    <mergeCell ref="B444:B445"/>
    <mergeCell ref="C444:C445"/>
    <mergeCell ref="J444:J445"/>
    <mergeCell ref="K444:K445"/>
    <mergeCell ref="L444:L445"/>
    <mergeCell ref="M444:M445"/>
    <mergeCell ref="A437:N437"/>
    <mergeCell ref="A404:O404"/>
    <mergeCell ref="A405:E405"/>
    <mergeCell ref="F405:J405"/>
    <mergeCell ref="K405:N405"/>
    <mergeCell ref="O405:O407"/>
    <mergeCell ref="A406:A407"/>
    <mergeCell ref="B406:B407"/>
    <mergeCell ref="D444:D445"/>
    <mergeCell ref="E444:E445"/>
    <mergeCell ref="F444:F445"/>
    <mergeCell ref="H230:H231"/>
    <mergeCell ref="I230:I231"/>
    <mergeCell ref="J230:J231"/>
    <mergeCell ref="K230:K231"/>
    <mergeCell ref="H358:H359"/>
    <mergeCell ref="I358:I359"/>
    <mergeCell ref="J358:J359"/>
    <mergeCell ref="K358:K359"/>
    <mergeCell ref="A242:N242"/>
    <mergeCell ref="F267:J267"/>
    <mergeCell ref="K267:N267"/>
    <mergeCell ref="K268:K269"/>
    <mergeCell ref="L268:L269"/>
    <mergeCell ref="M268:M269"/>
    <mergeCell ref="D268:D269"/>
    <mergeCell ref="E268:E269"/>
    <mergeCell ref="F268:F269"/>
    <mergeCell ref="G268:G269"/>
    <mergeCell ref="H268:H269"/>
    <mergeCell ref="I268:I269"/>
    <mergeCell ref="M322:M323"/>
    <mergeCell ref="L358:L359"/>
    <mergeCell ref="I249:I250"/>
    <mergeCell ref="J249:J250"/>
    <mergeCell ref="K249:K250"/>
    <mergeCell ref="L249:L250"/>
    <mergeCell ref="F285:J285"/>
    <mergeCell ref="K285:N285"/>
    <mergeCell ref="O285:O287"/>
    <mergeCell ref="A286:A287"/>
    <mergeCell ref="B286:B287"/>
    <mergeCell ref="C286:C287"/>
    <mergeCell ref="D286:D287"/>
    <mergeCell ref="E286:E287"/>
    <mergeCell ref="F286:F287"/>
    <mergeCell ref="G286:G287"/>
    <mergeCell ref="H286:H287"/>
    <mergeCell ref="I286:I287"/>
    <mergeCell ref="J286:J287"/>
    <mergeCell ref="K286:K287"/>
    <mergeCell ref="L286:L287"/>
    <mergeCell ref="M286:M287"/>
    <mergeCell ref="A284:O284"/>
    <mergeCell ref="A266:O266"/>
    <mergeCell ref="A267:E267"/>
    <mergeCell ref="F229:J229"/>
    <mergeCell ref="K229:N229"/>
    <mergeCell ref="O229:O231"/>
    <mergeCell ref="A230:A231"/>
    <mergeCell ref="B230:B231"/>
    <mergeCell ref="C230:C231"/>
    <mergeCell ref="D230:D231"/>
    <mergeCell ref="E230:E231"/>
    <mergeCell ref="L230:L231"/>
    <mergeCell ref="M230:M231"/>
    <mergeCell ref="A229:E229"/>
    <mergeCell ref="O267:O269"/>
    <mergeCell ref="A268:A269"/>
    <mergeCell ref="B268:B269"/>
    <mergeCell ref="C268:C269"/>
    <mergeCell ref="F230:F231"/>
    <mergeCell ref="G230:G231"/>
    <mergeCell ref="A184:N184"/>
    <mergeCell ref="A223:N223"/>
    <mergeCell ref="A150:N150"/>
    <mergeCell ref="A172:O172"/>
    <mergeCell ref="A173:E173"/>
    <mergeCell ref="F173:J173"/>
    <mergeCell ref="K173:N173"/>
    <mergeCell ref="O173:O175"/>
    <mergeCell ref="A174:A175"/>
    <mergeCell ref="L174:L175"/>
    <mergeCell ref="M174:M175"/>
    <mergeCell ref="B174:B175"/>
    <mergeCell ref="C174:C175"/>
    <mergeCell ref="D174:D175"/>
    <mergeCell ref="E174:E175"/>
    <mergeCell ref="O156:O158"/>
    <mergeCell ref="A156:E156"/>
    <mergeCell ref="K190:N190"/>
    <mergeCell ref="O190:O192"/>
    <mergeCell ref="A191:A192"/>
    <mergeCell ref="B191:B192"/>
    <mergeCell ref="C191:C192"/>
    <mergeCell ref="D191:D192"/>
    <mergeCell ref="E191:E192"/>
    <mergeCell ref="H174:H175"/>
    <mergeCell ref="I174:I175"/>
    <mergeCell ref="J174:J175"/>
    <mergeCell ref="K174:K175"/>
    <mergeCell ref="F174:F175"/>
    <mergeCell ref="G174:G175"/>
    <mergeCell ref="K156:N156"/>
    <mergeCell ref="F156:J156"/>
    <mergeCell ref="A155:O155"/>
    <mergeCell ref="J157:J158"/>
    <mergeCell ref="I157:I158"/>
    <mergeCell ref="H157:H158"/>
    <mergeCell ref="G157:G158"/>
    <mergeCell ref="F157:F158"/>
    <mergeCell ref="E157:E158"/>
    <mergeCell ref="D157:D158"/>
    <mergeCell ref="C157:C158"/>
    <mergeCell ref="B157:B158"/>
    <mergeCell ref="K157:K158"/>
    <mergeCell ref="K140:N140"/>
    <mergeCell ref="O140:O142"/>
    <mergeCell ref="A141:A142"/>
    <mergeCell ref="B141:B142"/>
    <mergeCell ref="C141:C142"/>
    <mergeCell ref="D141:D142"/>
    <mergeCell ref="E141:E142"/>
    <mergeCell ref="L141:L142"/>
    <mergeCell ref="M141:M142"/>
    <mergeCell ref="A140:E140"/>
    <mergeCell ref="F141:F142"/>
    <mergeCell ref="G141:G142"/>
    <mergeCell ref="H141:H142"/>
    <mergeCell ref="I141:I142"/>
    <mergeCell ref="J141:J142"/>
    <mergeCell ref="K141:K142"/>
    <mergeCell ref="A17:N17"/>
    <mergeCell ref="E9:E10"/>
    <mergeCell ref="F9:F10"/>
    <mergeCell ref="G9:G10"/>
    <mergeCell ref="H9:H10"/>
    <mergeCell ref="I9:I10"/>
    <mergeCell ref="J9:J10"/>
    <mergeCell ref="A139:O139"/>
    <mergeCell ref="L119:L120"/>
    <mergeCell ref="M119:M120"/>
    <mergeCell ref="A134:N134"/>
    <mergeCell ref="A117:O117"/>
    <mergeCell ref="A118:E118"/>
    <mergeCell ref="F118:J118"/>
    <mergeCell ref="K118:N118"/>
    <mergeCell ref="O118:O120"/>
    <mergeCell ref="E119:E120"/>
    <mergeCell ref="F119:F120"/>
    <mergeCell ref="G119:G120"/>
    <mergeCell ref="H119:H120"/>
    <mergeCell ref="I119:I120"/>
    <mergeCell ref="J119:J120"/>
    <mergeCell ref="A88:E88"/>
    <mergeCell ref="F88:J88"/>
    <mergeCell ref="A7:O7"/>
    <mergeCell ref="A8:E8"/>
    <mergeCell ref="F8:J8"/>
    <mergeCell ref="K8:N8"/>
    <mergeCell ref="O8:O10"/>
    <mergeCell ref="A9:A10"/>
    <mergeCell ref="B9:B10"/>
    <mergeCell ref="C9:C10"/>
    <mergeCell ref="D9:D10"/>
    <mergeCell ref="K9:K10"/>
    <mergeCell ref="L9:L10"/>
    <mergeCell ref="M9:M10"/>
    <mergeCell ref="A22:O22"/>
    <mergeCell ref="A23:E23"/>
    <mergeCell ref="F23:J23"/>
    <mergeCell ref="K23:N23"/>
    <mergeCell ref="O23:O25"/>
    <mergeCell ref="A24:A25"/>
    <mergeCell ref="B24:B25"/>
    <mergeCell ref="C24:C25"/>
    <mergeCell ref="D24:D25"/>
    <mergeCell ref="E24:E25"/>
    <mergeCell ref="F24:F25"/>
    <mergeCell ref="G24:G25"/>
    <mergeCell ref="H24:H25"/>
    <mergeCell ref="I24:I25"/>
    <mergeCell ref="J24:J25"/>
    <mergeCell ref="K24:K25"/>
    <mergeCell ref="L24:L25"/>
    <mergeCell ref="M24:M25"/>
    <mergeCell ref="A52:N52"/>
    <mergeCell ref="A202:O202"/>
    <mergeCell ref="A203:E203"/>
    <mergeCell ref="F203:J203"/>
    <mergeCell ref="K203:N203"/>
    <mergeCell ref="O203:O205"/>
    <mergeCell ref="A204:A205"/>
    <mergeCell ref="B204:B205"/>
    <mergeCell ref="C204:C205"/>
    <mergeCell ref="D204:D205"/>
    <mergeCell ref="E204:E205"/>
    <mergeCell ref="F204:F205"/>
    <mergeCell ref="G204:G205"/>
    <mergeCell ref="H204:H205"/>
    <mergeCell ref="I204:I205"/>
    <mergeCell ref="J204:J205"/>
    <mergeCell ref="K204:K205"/>
    <mergeCell ref="L204:L205"/>
    <mergeCell ref="M204:M205"/>
    <mergeCell ref="A167:N167"/>
    <mergeCell ref="M157:M158"/>
    <mergeCell ref="L157:L158"/>
    <mergeCell ref="D119:D120"/>
    <mergeCell ref="F140:J140"/>
    <mergeCell ref="K119:K120"/>
    <mergeCell ref="A304:O304"/>
    <mergeCell ref="A305:E305"/>
    <mergeCell ref="F305:J305"/>
    <mergeCell ref="K305:N305"/>
    <mergeCell ref="O305:O307"/>
    <mergeCell ref="A306:A307"/>
    <mergeCell ref="B306:B307"/>
    <mergeCell ref="C306:C307"/>
    <mergeCell ref="D306:D307"/>
    <mergeCell ref="E306:E307"/>
    <mergeCell ref="F306:F307"/>
    <mergeCell ref="G306:G307"/>
    <mergeCell ref="H306:H307"/>
    <mergeCell ref="I306:I307"/>
    <mergeCell ref="J306:J307"/>
    <mergeCell ref="K306:K307"/>
    <mergeCell ref="L306:L307"/>
    <mergeCell ref="M306:M307"/>
    <mergeCell ref="A119:A120"/>
    <mergeCell ref="B119:B120"/>
    <mergeCell ref="C119:C120"/>
    <mergeCell ref="A157:A158"/>
    <mergeCell ref="J268:J269"/>
    <mergeCell ref="A333:N333"/>
    <mergeCell ref="C406:C407"/>
    <mergeCell ref="D406:D407"/>
    <mergeCell ref="E406:E407"/>
    <mergeCell ref="F406:F407"/>
    <mergeCell ref="G406:G407"/>
    <mergeCell ref="H406:H407"/>
    <mergeCell ref="I406:I407"/>
    <mergeCell ref="J406:J407"/>
    <mergeCell ref="K406:K407"/>
    <mergeCell ref="A356:O356"/>
    <mergeCell ref="A357:E357"/>
    <mergeCell ref="F357:J357"/>
    <mergeCell ref="K357:N357"/>
    <mergeCell ref="O357:O359"/>
    <mergeCell ref="A358:A359"/>
    <mergeCell ref="M358:M359"/>
    <mergeCell ref="B358:B359"/>
    <mergeCell ref="C358:C359"/>
    <mergeCell ref="D358:D359"/>
    <mergeCell ref="E358:E359"/>
    <mergeCell ref="F358:F359"/>
    <mergeCell ref="G358:G359"/>
    <mergeCell ref="A338:O338"/>
    <mergeCell ref="A315:N315"/>
    <mergeCell ref="A299:N299"/>
    <mergeCell ref="A280:N280"/>
    <mergeCell ref="A285:E285"/>
    <mergeCell ref="L406:L407"/>
    <mergeCell ref="M406:M407"/>
    <mergeCell ref="A418:N418"/>
    <mergeCell ref="A320:O320"/>
    <mergeCell ref="A321:E321"/>
    <mergeCell ref="F321:J321"/>
    <mergeCell ref="K321:N321"/>
    <mergeCell ref="O321:O323"/>
    <mergeCell ref="A322:A323"/>
    <mergeCell ref="B322:B323"/>
    <mergeCell ref="C322:C323"/>
    <mergeCell ref="D322:D323"/>
    <mergeCell ref="E322:E323"/>
    <mergeCell ref="F322:F323"/>
    <mergeCell ref="G322:G323"/>
    <mergeCell ref="H322:H323"/>
    <mergeCell ref="I322:I323"/>
    <mergeCell ref="J322:J323"/>
    <mergeCell ref="K322:K323"/>
    <mergeCell ref="L322:L323"/>
    <mergeCell ref="A339:E339"/>
    <mergeCell ref="A347:N347"/>
    <mergeCell ref="F339:J339"/>
    <mergeCell ref="K339:N339"/>
    <mergeCell ref="O339:O341"/>
    <mergeCell ref="A340:A341"/>
    <mergeCell ref="B340:B341"/>
    <mergeCell ref="C340:C341"/>
    <mergeCell ref="D340:D341"/>
    <mergeCell ref="E340:E341"/>
    <mergeCell ref="F340:F341"/>
    <mergeCell ref="G340:G341"/>
    <mergeCell ref="H340:H341"/>
    <mergeCell ref="I340:I341"/>
    <mergeCell ref="J340:J341"/>
    <mergeCell ref="K340:K341"/>
    <mergeCell ref="L340:L341"/>
    <mergeCell ref="M340:M341"/>
    <mergeCell ref="A386:O386"/>
    <mergeCell ref="A387:E387"/>
    <mergeCell ref="F387:J387"/>
    <mergeCell ref="K387:N387"/>
    <mergeCell ref="O387:O389"/>
    <mergeCell ref="A388:A389"/>
    <mergeCell ref="B388:B389"/>
    <mergeCell ref="C388:C389"/>
    <mergeCell ref="D388:D389"/>
    <mergeCell ref="E388:E389"/>
    <mergeCell ref="F388:F389"/>
    <mergeCell ref="G388:G389"/>
    <mergeCell ref="H388:H389"/>
    <mergeCell ref="I388:I389"/>
    <mergeCell ref="J388:J389"/>
    <mergeCell ref="K388:K389"/>
    <mergeCell ref="L388:L389"/>
    <mergeCell ref="M388:M389"/>
    <mergeCell ref="A614:F615"/>
    <mergeCell ref="A575:F576"/>
    <mergeCell ref="A400:N400"/>
    <mergeCell ref="A422:O422"/>
    <mergeCell ref="A423:E423"/>
    <mergeCell ref="F423:J423"/>
    <mergeCell ref="K423:N423"/>
    <mergeCell ref="O423:O425"/>
    <mergeCell ref="A424:A425"/>
    <mergeCell ref="B424:B425"/>
    <mergeCell ref="C424:C425"/>
    <mergeCell ref="D424:D425"/>
    <mergeCell ref="E424:E425"/>
    <mergeCell ref="F424:F425"/>
    <mergeCell ref="G424:G425"/>
    <mergeCell ref="H424:H425"/>
    <mergeCell ref="I424:I425"/>
    <mergeCell ref="J424:J425"/>
    <mergeCell ref="K424:K425"/>
    <mergeCell ref="L424:L425"/>
    <mergeCell ref="M424:M425"/>
    <mergeCell ref="A455:N455"/>
    <mergeCell ref="G444:G445"/>
    <mergeCell ref="H444:H445"/>
  </mergeCells>
  <pageMargins left="0.7" right="0.7" top="0.75" bottom="0.75" header="0.3" footer="0.3"/>
  <pageSetup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4004F-4335-4475-9DED-44BBBA9CDFE7}">
  <sheetPr codeName="Sheet13"/>
  <dimension ref="A1:I742"/>
  <sheetViews>
    <sheetView workbookViewId="0">
      <selection activeCell="F741" sqref="F741"/>
    </sheetView>
  </sheetViews>
  <sheetFormatPr baseColWidth="10" defaultColWidth="9" defaultRowHeight="15" x14ac:dyDescent="0.2"/>
  <cols>
    <col min="1" max="1" width="41.33203125" style="76" customWidth="1"/>
    <col min="2" max="2" width="17.5" style="76" customWidth="1"/>
    <col min="3" max="3" width="15.33203125" style="76" customWidth="1"/>
    <col min="4" max="4" width="19.83203125" style="76" customWidth="1"/>
    <col min="5" max="5" width="20.83203125" style="76" customWidth="1"/>
    <col min="6" max="8" width="9" style="76"/>
    <col min="9" max="9" width="30.83203125" style="76" customWidth="1"/>
    <col min="10" max="16384" width="9" style="76"/>
  </cols>
  <sheetData>
    <row r="1" spans="1:9" ht="15.75" customHeight="1" x14ac:dyDescent="0.2">
      <c r="A1" s="1760" t="s">
        <v>1858</v>
      </c>
      <c r="B1" s="1760"/>
      <c r="C1" s="1760"/>
      <c r="D1" s="1760"/>
      <c r="E1" s="1760"/>
      <c r="F1" s="1760"/>
      <c r="G1" s="1760"/>
      <c r="H1" s="1760"/>
      <c r="I1" s="1760"/>
    </row>
    <row r="2" spans="1:9" ht="15.75" customHeight="1" thickBot="1" x14ac:dyDescent="0.25">
      <c r="A2" s="1761"/>
      <c r="B2" s="1761"/>
      <c r="C2" s="1761"/>
      <c r="D2" s="1761"/>
      <c r="E2" s="1761"/>
      <c r="F2" s="1761"/>
      <c r="G2" s="1761"/>
      <c r="H2" s="1761"/>
      <c r="I2" s="1761"/>
    </row>
    <row r="3" spans="1:9" ht="15.75" customHeight="1" thickBot="1" x14ac:dyDescent="0.25"/>
    <row r="4" spans="1:9" ht="15.75" customHeight="1" x14ac:dyDescent="0.2">
      <c r="A4" s="1813" t="s">
        <v>2322</v>
      </c>
      <c r="B4" s="1814"/>
      <c r="C4" s="1314"/>
      <c r="D4" s="1314"/>
      <c r="E4" s="1314"/>
      <c r="F4" s="1314"/>
      <c r="G4" s="1314"/>
      <c r="H4" s="1314"/>
      <c r="I4" s="1315"/>
    </row>
    <row r="5" spans="1:9" ht="15.75" customHeight="1" thickBot="1" x14ac:dyDescent="0.25">
      <c r="A5" s="1816"/>
      <c r="B5" s="1817"/>
      <c r="C5" s="1316"/>
      <c r="D5" s="1316"/>
      <c r="E5" s="1316"/>
      <c r="F5" s="1316"/>
      <c r="G5" s="1316"/>
      <c r="H5" s="1316"/>
      <c r="I5" s="1317"/>
    </row>
    <row r="6" spans="1:9" ht="15.75" customHeight="1" thickBot="1" x14ac:dyDescent="0.25">
      <c r="A6" s="202"/>
      <c r="B6" s="203"/>
      <c r="C6" s="203"/>
      <c r="D6" s="203"/>
      <c r="E6" s="203"/>
      <c r="F6" s="203"/>
      <c r="G6" s="203"/>
      <c r="H6" s="203"/>
      <c r="I6" s="204"/>
    </row>
    <row r="7" spans="1:9" ht="15.75" customHeight="1" thickBot="1" x14ac:dyDescent="0.25">
      <c r="A7" s="1392" t="s">
        <v>553</v>
      </c>
      <c r="B7" s="1393"/>
      <c r="C7" s="1393"/>
      <c r="D7" s="1393"/>
      <c r="E7" s="1393"/>
      <c r="F7" s="1393"/>
      <c r="G7" s="1393"/>
      <c r="H7" s="1393"/>
      <c r="I7" s="1394"/>
    </row>
    <row r="8" spans="1:9" ht="15.75" customHeight="1" thickBot="1" x14ac:dyDescent="0.25">
      <c r="A8" s="1689" t="s">
        <v>554</v>
      </c>
      <c r="B8" s="1689" t="s">
        <v>555</v>
      </c>
      <c r="C8" s="1689" t="s">
        <v>41</v>
      </c>
      <c r="D8" s="1683" t="s">
        <v>511</v>
      </c>
      <c r="E8" s="1684"/>
      <c r="F8" s="1684"/>
      <c r="G8" s="1685"/>
      <c r="H8" s="1683" t="s">
        <v>556</v>
      </c>
      <c r="I8" s="1685"/>
    </row>
    <row r="9" spans="1:9" ht="15.75" customHeight="1" thickBot="1" x14ac:dyDescent="0.25">
      <c r="A9" s="1690"/>
      <c r="B9" s="1690"/>
      <c r="C9" s="1690"/>
      <c r="D9" s="321" t="s">
        <v>518</v>
      </c>
      <c r="E9" s="321" t="s">
        <v>41</v>
      </c>
      <c r="F9" s="321" t="s">
        <v>519</v>
      </c>
      <c r="G9" s="80" t="s">
        <v>520</v>
      </c>
      <c r="H9" s="321" t="s">
        <v>2422</v>
      </c>
      <c r="I9" s="322" t="s">
        <v>557</v>
      </c>
    </row>
    <row r="10" spans="1:9" ht="15.75" customHeight="1" thickBot="1" x14ac:dyDescent="0.25">
      <c r="A10" s="46" t="s">
        <v>2323</v>
      </c>
      <c r="B10" s="281">
        <f>CostCalc!B56</f>
        <v>355555.55555555556</v>
      </c>
      <c r="C10" s="41" t="s">
        <v>2962</v>
      </c>
      <c r="D10" s="49">
        <v>3.65</v>
      </c>
      <c r="E10" s="41" t="s">
        <v>26</v>
      </c>
      <c r="F10" s="41">
        <v>2024</v>
      </c>
      <c r="G10" s="73"/>
      <c r="H10" s="335">
        <f>CAPEX!N$3/389.544</f>
        <v>1.0332234612778017</v>
      </c>
      <c r="I10" s="87">
        <f>B10*D10*H10</f>
        <v>1340894.4475249692</v>
      </c>
    </row>
    <row r="11" spans="1:9" ht="15.75" customHeight="1" thickBot="1" x14ac:dyDescent="0.25">
      <c r="A11" s="46" t="s">
        <v>2790</v>
      </c>
      <c r="B11" s="281">
        <f>CostCalc!B55</f>
        <v>355555.55555555562</v>
      </c>
      <c r="C11" s="41" t="s">
        <v>2962</v>
      </c>
      <c r="D11" s="49">
        <v>3.65</v>
      </c>
      <c r="E11" s="41" t="s">
        <v>26</v>
      </c>
      <c r="F11" s="41">
        <v>2024</v>
      </c>
      <c r="G11" s="73"/>
      <c r="H11" s="335">
        <f>CAPEX!N$3/389.544</f>
        <v>1.0332234612778017</v>
      </c>
      <c r="I11" s="87">
        <f>B11*D11*H11</f>
        <v>1340894.4475249695</v>
      </c>
    </row>
    <row r="12" spans="1:9" ht="15.75" customHeight="1" thickBot="1" x14ac:dyDescent="0.25">
      <c r="A12" s="46" t="s">
        <v>2789</v>
      </c>
      <c r="B12" s="281">
        <f>CostCalc!B54</f>
        <v>711111.11111111101</v>
      </c>
      <c r="C12" s="41" t="s">
        <v>2962</v>
      </c>
      <c r="D12" s="49">
        <v>3.65</v>
      </c>
      <c r="E12" s="41" t="s">
        <v>26</v>
      </c>
      <c r="F12" s="41">
        <v>2024</v>
      </c>
      <c r="G12" s="34"/>
      <c r="H12" s="335">
        <f>CAPEX!N$3/389.544</f>
        <v>1.0332234612778017</v>
      </c>
      <c r="I12" s="87">
        <f>B12*D12*H12</f>
        <v>2681788.895049938</v>
      </c>
    </row>
    <row r="13" spans="1:9" ht="15.75" customHeight="1" thickBot="1" x14ac:dyDescent="0.25">
      <c r="A13" s="1677" t="s">
        <v>526</v>
      </c>
      <c r="B13" s="1678"/>
      <c r="C13" s="1678"/>
      <c r="D13" s="1678"/>
      <c r="E13" s="1678"/>
      <c r="F13" s="1678"/>
      <c r="G13" s="1678"/>
      <c r="H13" s="1679"/>
      <c r="I13" s="812">
        <f>SUM(I10:I12)</f>
        <v>5363577.7900998769</v>
      </c>
    </row>
    <row r="14" spans="1:9" ht="15.75" customHeight="1" thickBot="1" x14ac:dyDescent="0.25"/>
    <row r="15" spans="1:9" ht="15.75" customHeight="1" thickBot="1" x14ac:dyDescent="0.25">
      <c r="A15" s="1392" t="s">
        <v>558</v>
      </c>
      <c r="B15" s="1393"/>
      <c r="C15" s="1393"/>
      <c r="D15" s="1393"/>
      <c r="E15" s="1394"/>
    </row>
    <row r="16" spans="1:9" ht="15.75" customHeight="1" thickBot="1" x14ac:dyDescent="0.25">
      <c r="A16" s="322" t="s">
        <v>559</v>
      </c>
      <c r="B16" s="322" t="s">
        <v>516</v>
      </c>
      <c r="C16" s="322" t="s">
        <v>41</v>
      </c>
      <c r="D16" s="322" t="s">
        <v>2423</v>
      </c>
      <c r="E16" s="322" t="s">
        <v>557</v>
      </c>
    </row>
    <row r="17" spans="1:9" ht="15.75" customHeight="1" thickBot="1" x14ac:dyDescent="0.25">
      <c r="A17" s="46" t="s">
        <v>2324</v>
      </c>
      <c r="B17" s="36">
        <v>3</v>
      </c>
      <c r="C17" s="36" t="s">
        <v>568</v>
      </c>
      <c r="D17" s="37">
        <v>100000</v>
      </c>
      <c r="E17" s="37">
        <f>D17*B17</f>
        <v>300000</v>
      </c>
    </row>
    <row r="18" spans="1:9" ht="15.75" customHeight="1" thickBot="1" x14ac:dyDescent="0.25">
      <c r="A18" s="46" t="s">
        <v>571</v>
      </c>
      <c r="B18" s="36">
        <v>5</v>
      </c>
      <c r="C18" s="36" t="s">
        <v>568</v>
      </c>
      <c r="D18" s="37">
        <v>75000</v>
      </c>
      <c r="E18" s="37">
        <f>D18*B18</f>
        <v>375000</v>
      </c>
    </row>
    <row r="19" spans="1:9" ht="15.75" customHeight="1" thickBot="1" x14ac:dyDescent="0.25">
      <c r="A19" s="46" t="s">
        <v>561</v>
      </c>
      <c r="B19" s="36">
        <v>200</v>
      </c>
      <c r="C19" s="36" t="s">
        <v>568</v>
      </c>
      <c r="D19" s="37">
        <v>65000</v>
      </c>
      <c r="E19" s="37">
        <f>D19*B19</f>
        <v>13000000</v>
      </c>
    </row>
    <row r="20" spans="1:9" ht="15.75" customHeight="1" thickBot="1" x14ac:dyDescent="0.25">
      <c r="A20" s="1677" t="s">
        <v>526</v>
      </c>
      <c r="B20" s="1678"/>
      <c r="C20" s="1678"/>
      <c r="D20" s="1679"/>
      <c r="E20" s="78">
        <f>SUM(E17:E19)</f>
        <v>13675000</v>
      </c>
    </row>
    <row r="21" spans="1:9" ht="15.75" customHeight="1" x14ac:dyDescent="0.2"/>
    <row r="22" spans="1:9" ht="15.75" customHeight="1" x14ac:dyDescent="0.2"/>
    <row r="23" spans="1:9" ht="15.75" customHeight="1" thickBot="1" x14ac:dyDescent="0.25"/>
    <row r="24" spans="1:9" ht="15.75" customHeight="1" x14ac:dyDescent="0.2">
      <c r="A24" s="2065" t="s">
        <v>1412</v>
      </c>
      <c r="B24" s="2071"/>
      <c r="C24" s="1318"/>
      <c r="D24" s="1318"/>
      <c r="E24" s="1318"/>
      <c r="F24" s="1318"/>
      <c r="G24" s="1318"/>
      <c r="H24" s="1318"/>
      <c r="I24" s="1319"/>
    </row>
    <row r="25" spans="1:9" ht="15.75" customHeight="1" thickBot="1" x14ac:dyDescent="0.25">
      <c r="A25" s="2066"/>
      <c r="B25" s="2072"/>
      <c r="C25" s="1320"/>
      <c r="D25" s="1320"/>
      <c r="E25" s="1320"/>
      <c r="F25" s="1320"/>
      <c r="G25" s="1320"/>
      <c r="H25" s="1320"/>
      <c r="I25" s="1321"/>
    </row>
    <row r="26" spans="1:9" ht="15.75" customHeight="1" thickBot="1" x14ac:dyDescent="0.25">
      <c r="A26" s="202"/>
      <c r="B26" s="203"/>
      <c r="C26" s="203"/>
      <c r="D26" s="203"/>
      <c r="E26" s="203"/>
      <c r="F26" s="203"/>
      <c r="G26" s="203"/>
      <c r="H26" s="203"/>
      <c r="I26" s="204"/>
    </row>
    <row r="27" spans="1:9" ht="15.75" customHeight="1" thickBot="1" x14ac:dyDescent="0.25">
      <c r="A27" s="1395" t="s">
        <v>553</v>
      </c>
      <c r="B27" s="1396"/>
      <c r="C27" s="1396"/>
      <c r="D27" s="1396"/>
      <c r="E27" s="1396"/>
      <c r="F27" s="1396"/>
      <c r="G27" s="1396"/>
      <c r="H27" s="1396"/>
      <c r="I27" s="1397"/>
    </row>
    <row r="28" spans="1:9" ht="15.75" customHeight="1" thickBot="1" x14ac:dyDescent="0.25">
      <c r="A28" s="1689" t="s">
        <v>554</v>
      </c>
      <c r="B28" s="1689" t="s">
        <v>555</v>
      </c>
      <c r="C28" s="1689" t="s">
        <v>41</v>
      </c>
      <c r="D28" s="1683" t="s">
        <v>511</v>
      </c>
      <c r="E28" s="1684"/>
      <c r="F28" s="1684"/>
      <c r="G28" s="1685"/>
      <c r="H28" s="1683" t="s">
        <v>556</v>
      </c>
      <c r="I28" s="1685"/>
    </row>
    <row r="29" spans="1:9" ht="15.75" customHeight="1" thickBot="1" x14ac:dyDescent="0.25">
      <c r="A29" s="1690"/>
      <c r="B29" s="1690"/>
      <c r="C29" s="1690"/>
      <c r="D29" s="321" t="s">
        <v>518</v>
      </c>
      <c r="E29" s="321" t="s">
        <v>41</v>
      </c>
      <c r="F29" s="321" t="s">
        <v>519</v>
      </c>
      <c r="G29" s="80" t="s">
        <v>520</v>
      </c>
      <c r="H29" s="321" t="s">
        <v>2422</v>
      </c>
      <c r="I29" s="322" t="s">
        <v>557</v>
      </c>
    </row>
    <row r="30" spans="1:9" ht="15.75" customHeight="1" thickBot="1" x14ac:dyDescent="0.25">
      <c r="A30" s="46" t="s">
        <v>2391</v>
      </c>
      <c r="B30" s="41"/>
      <c r="C30" s="41"/>
      <c r="D30" s="50">
        <v>0.17799999999999999</v>
      </c>
      <c r="E30" s="41" t="s">
        <v>378</v>
      </c>
      <c r="F30" s="41">
        <v>2024</v>
      </c>
      <c r="G30" s="34"/>
      <c r="H30" s="335">
        <f>CAPEX!N$3/389.544</f>
        <v>1.0332234612778017</v>
      </c>
      <c r="I30" s="77"/>
    </row>
    <row r="31" spans="1:9" ht="15.75" customHeight="1" thickBot="1" x14ac:dyDescent="0.25">
      <c r="A31" s="46" t="s">
        <v>2392</v>
      </c>
      <c r="B31" s="41"/>
      <c r="C31" s="41"/>
      <c r="D31" s="50">
        <v>0.17799999999999999</v>
      </c>
      <c r="E31" s="41" t="s">
        <v>378</v>
      </c>
      <c r="F31" s="41">
        <v>2024</v>
      </c>
      <c r="G31" s="34"/>
      <c r="H31" s="335">
        <f>CAPEX!N$3/389.544</f>
        <v>1.0332234612778017</v>
      </c>
      <c r="I31" s="77"/>
    </row>
    <row r="32" spans="1:9" ht="15.75" customHeight="1" thickBot="1" x14ac:dyDescent="0.25">
      <c r="A32" s="46" t="s">
        <v>2390</v>
      </c>
      <c r="B32" s="41"/>
      <c r="C32" s="41"/>
      <c r="D32" s="50">
        <v>0.17799999999999999</v>
      </c>
      <c r="E32" s="41" t="s">
        <v>378</v>
      </c>
      <c r="F32" s="41">
        <v>2024</v>
      </c>
      <c r="G32" s="34"/>
      <c r="H32" s="335">
        <f>CAPEX!N$3/389.544</f>
        <v>1.0332234612778017</v>
      </c>
      <c r="I32" s="77"/>
    </row>
    <row r="33" spans="1:9" ht="15.75" customHeight="1" thickBot="1" x14ac:dyDescent="0.25">
      <c r="A33" s="336" t="s">
        <v>2551</v>
      </c>
      <c r="B33" s="41"/>
      <c r="C33" s="41"/>
      <c r="D33" s="50"/>
      <c r="E33" s="41"/>
      <c r="F33" s="41"/>
      <c r="G33" s="34"/>
      <c r="H33" s="335"/>
      <c r="I33" s="77"/>
    </row>
    <row r="34" spans="1:9" ht="15.75" customHeight="1" thickBot="1" x14ac:dyDescent="0.25">
      <c r="A34" s="46" t="s">
        <v>393</v>
      </c>
      <c r="B34" s="41"/>
      <c r="C34" s="41"/>
      <c r="D34" s="50">
        <v>430</v>
      </c>
      <c r="E34" s="41" t="s">
        <v>2553</v>
      </c>
      <c r="F34" s="41">
        <v>2024</v>
      </c>
      <c r="G34" s="34"/>
      <c r="H34" s="335">
        <f>CAPEX!N$3/389.544</f>
        <v>1.0332234612778017</v>
      </c>
      <c r="I34" s="77"/>
    </row>
    <row r="35" spans="1:9" ht="15.75" customHeight="1" thickBot="1" x14ac:dyDescent="0.25">
      <c r="A35" s="46" t="s">
        <v>2548</v>
      </c>
      <c r="B35" s="41"/>
      <c r="C35" s="41"/>
      <c r="D35" s="50">
        <f>2330/5</f>
        <v>466</v>
      </c>
      <c r="E35" s="41" t="s">
        <v>2560</v>
      </c>
      <c r="F35" s="41">
        <v>2024</v>
      </c>
      <c r="G35" s="34"/>
      <c r="H35" s="335">
        <f>CAPEX!N$3/389.544</f>
        <v>1.0332234612778017</v>
      </c>
      <c r="I35" s="77"/>
    </row>
    <row r="36" spans="1:9" ht="15.75" customHeight="1" thickBot="1" x14ac:dyDescent="0.25">
      <c r="A36" s="46" t="s">
        <v>2554</v>
      </c>
      <c r="B36" s="41"/>
      <c r="C36" s="41"/>
      <c r="D36" s="50">
        <f>1815.37/25</f>
        <v>72.614800000000002</v>
      </c>
      <c r="E36" s="41" t="s">
        <v>2561</v>
      </c>
      <c r="F36" s="41">
        <v>2024</v>
      </c>
      <c r="G36" s="34"/>
      <c r="H36" s="335">
        <f>CAPEX!N$3/389.544</f>
        <v>1.0332234612778017</v>
      </c>
      <c r="I36" s="77"/>
    </row>
    <row r="37" spans="1:9" ht="15.75" customHeight="1" thickBot="1" x14ac:dyDescent="0.25">
      <c r="A37" s="46" t="s">
        <v>2555</v>
      </c>
      <c r="B37" s="41"/>
      <c r="C37" s="41"/>
      <c r="D37" s="50">
        <v>318.5</v>
      </c>
      <c r="E37" s="41" t="s">
        <v>15</v>
      </c>
      <c r="F37" s="41">
        <v>2024</v>
      </c>
      <c r="G37" s="34"/>
      <c r="H37" s="335">
        <f>CAPEX!N$3/389.544</f>
        <v>1.0332234612778017</v>
      </c>
      <c r="I37" s="77"/>
    </row>
    <row r="38" spans="1:9" ht="15.75" customHeight="1" thickBot="1" x14ac:dyDescent="0.25">
      <c r="A38" s="46" t="s">
        <v>2556</v>
      </c>
      <c r="B38" s="41"/>
      <c r="C38" s="41"/>
      <c r="D38" s="50">
        <v>35.65</v>
      </c>
      <c r="E38" s="41" t="s">
        <v>29</v>
      </c>
      <c r="F38" s="41">
        <v>2024</v>
      </c>
      <c r="G38" s="34"/>
      <c r="H38" s="335">
        <f>CAPEX!N$3/389.544</f>
        <v>1.0332234612778017</v>
      </c>
      <c r="I38" s="77"/>
    </row>
    <row r="39" spans="1:9" ht="15.75" customHeight="1" thickBot="1" x14ac:dyDescent="0.25">
      <c r="A39" s="46" t="s">
        <v>2550</v>
      </c>
      <c r="B39" s="41"/>
      <c r="C39" s="41"/>
      <c r="D39" s="50">
        <f>130/2.5</f>
        <v>52</v>
      </c>
      <c r="E39" s="41" t="s">
        <v>2559</v>
      </c>
      <c r="F39" s="41">
        <v>2024</v>
      </c>
      <c r="G39" s="34"/>
      <c r="H39" s="335">
        <f>CAPEX!N$3/389.544</f>
        <v>1.0332234612778017</v>
      </c>
      <c r="I39" s="77"/>
    </row>
    <row r="40" spans="1:9" ht="15.75" customHeight="1" thickBot="1" x14ac:dyDescent="0.25">
      <c r="A40" s="336" t="s">
        <v>2393</v>
      </c>
      <c r="B40" s="41"/>
      <c r="C40" s="41"/>
      <c r="D40" s="50"/>
      <c r="E40" s="41"/>
      <c r="F40" s="41"/>
      <c r="G40" s="34"/>
      <c r="H40" s="335"/>
      <c r="I40" s="77"/>
    </row>
    <row r="41" spans="1:9" ht="15.75" customHeight="1" thickBot="1" x14ac:dyDescent="0.25">
      <c r="A41" s="46" t="s">
        <v>2549</v>
      </c>
      <c r="B41" s="41"/>
      <c r="C41" s="41"/>
      <c r="D41" s="50">
        <f>595.65/10000</f>
        <v>5.9565E-2</v>
      </c>
      <c r="E41" s="41" t="s">
        <v>2563</v>
      </c>
      <c r="F41" s="41">
        <v>2024</v>
      </c>
      <c r="G41" s="34"/>
      <c r="H41" s="335">
        <f>CAPEX!N$3/389.544</f>
        <v>1.0332234612778017</v>
      </c>
      <c r="I41" s="77"/>
    </row>
    <row r="42" spans="1:9" ht="15.75" customHeight="1" thickBot="1" x14ac:dyDescent="0.25">
      <c r="A42" s="46" t="s">
        <v>2548</v>
      </c>
      <c r="B42" s="41"/>
      <c r="C42" s="41"/>
      <c r="D42" s="50">
        <f>2330/5</f>
        <v>466</v>
      </c>
      <c r="E42" s="41" t="s">
        <v>2560</v>
      </c>
      <c r="F42" s="41">
        <v>2024</v>
      </c>
      <c r="G42" s="34"/>
      <c r="H42" s="335">
        <f>CAPEX!N$3/389.544</f>
        <v>1.0332234612778017</v>
      </c>
      <c r="I42" s="77"/>
    </row>
    <row r="43" spans="1:9" ht="15.75" customHeight="1" thickBot="1" x14ac:dyDescent="0.25">
      <c r="A43" s="46" t="s">
        <v>2550</v>
      </c>
      <c r="B43" s="41"/>
      <c r="C43" s="41"/>
      <c r="D43" s="50">
        <f>130/2.5</f>
        <v>52</v>
      </c>
      <c r="E43" s="41" t="s">
        <v>2559</v>
      </c>
      <c r="F43" s="41">
        <v>2024</v>
      </c>
      <c r="G43" s="34"/>
      <c r="H43" s="335">
        <f>CAPEX!N$3/389.544</f>
        <v>1.0332234612778017</v>
      </c>
      <c r="I43" s="77"/>
    </row>
    <row r="44" spans="1:9" ht="15.75" customHeight="1" thickBot="1" x14ac:dyDescent="0.25">
      <c r="A44" s="336" t="s">
        <v>2552</v>
      </c>
      <c r="B44" s="41"/>
      <c r="C44" s="41"/>
      <c r="D44" s="50"/>
      <c r="E44" s="41"/>
      <c r="F44" s="41"/>
      <c r="G44" s="77"/>
      <c r="H44" s="335"/>
      <c r="I44" s="77"/>
    </row>
    <row r="45" spans="1:9" ht="15.75" customHeight="1" thickBot="1" x14ac:dyDescent="0.25">
      <c r="A45" s="46" t="s">
        <v>2452</v>
      </c>
      <c r="B45" s="41"/>
      <c r="C45" s="41"/>
      <c r="D45" s="50">
        <v>106</v>
      </c>
      <c r="E45" s="41" t="s">
        <v>15</v>
      </c>
      <c r="F45" s="41"/>
      <c r="G45" s="77"/>
      <c r="H45" s="335">
        <f>CAPEX!N$3/389.544</f>
        <v>1.0332234612778017</v>
      </c>
      <c r="I45" s="77"/>
    </row>
    <row r="46" spans="1:9" ht="15.75" customHeight="1" thickBot="1" x14ac:dyDescent="0.25">
      <c r="A46" s="46" t="s">
        <v>2548</v>
      </c>
      <c r="B46" s="41"/>
      <c r="C46" s="41"/>
      <c r="D46" s="50">
        <f>2330/5</f>
        <v>466</v>
      </c>
      <c r="E46" s="41" t="s">
        <v>2562</v>
      </c>
      <c r="F46" s="41">
        <v>2024</v>
      </c>
      <c r="G46" s="34"/>
      <c r="H46" s="335">
        <f>CAPEX!N$3/389.544</f>
        <v>1.0332234612778017</v>
      </c>
      <c r="I46" s="77"/>
    </row>
    <row r="47" spans="1:9" ht="15.75" customHeight="1" thickBot="1" x14ac:dyDescent="0.25">
      <c r="A47" s="46" t="s">
        <v>2554</v>
      </c>
      <c r="B47" s="41"/>
      <c r="C47" s="41"/>
      <c r="D47" s="50">
        <f>1815.37/25</f>
        <v>72.614800000000002</v>
      </c>
      <c r="E47" s="41" t="s">
        <v>2561</v>
      </c>
      <c r="F47" s="41">
        <v>2024</v>
      </c>
      <c r="G47" s="34"/>
      <c r="H47" s="335">
        <f>CAPEX!N$3/389.544</f>
        <v>1.0332234612778017</v>
      </c>
      <c r="I47" s="77"/>
    </row>
    <row r="48" spans="1:9" ht="15.75" customHeight="1" thickBot="1" x14ac:dyDescent="0.25">
      <c r="A48" s="46" t="s">
        <v>2555</v>
      </c>
      <c r="B48" s="41"/>
      <c r="C48" s="41"/>
      <c r="D48" s="50">
        <v>318.5</v>
      </c>
      <c r="E48" s="41" t="s">
        <v>15</v>
      </c>
      <c r="F48" s="41">
        <v>2024</v>
      </c>
      <c r="G48" s="34"/>
      <c r="H48" s="335">
        <f>CAPEX!N$3/389.544</f>
        <v>1.0332234612778017</v>
      </c>
      <c r="I48" s="77"/>
    </row>
    <row r="49" spans="1:9" ht="15.75" customHeight="1" thickBot="1" x14ac:dyDescent="0.25">
      <c r="A49" s="46" t="s">
        <v>2557</v>
      </c>
      <c r="B49" s="41"/>
      <c r="C49" s="41"/>
      <c r="D49" s="50">
        <f>238/5</f>
        <v>47.6</v>
      </c>
      <c r="E49" s="41" t="s">
        <v>2560</v>
      </c>
      <c r="F49" s="41">
        <v>2024</v>
      </c>
      <c r="G49" s="77"/>
      <c r="H49" s="335">
        <f>CAPEX!N$3/389.544</f>
        <v>1.0332234612778017</v>
      </c>
      <c r="I49" s="77"/>
    </row>
    <row r="50" spans="1:9" ht="15.75" customHeight="1" thickBot="1" x14ac:dyDescent="0.25">
      <c r="A50" s="46" t="s">
        <v>2550</v>
      </c>
      <c r="B50" s="41"/>
      <c r="C50" s="41"/>
      <c r="D50" s="50">
        <f>130/2.5</f>
        <v>52</v>
      </c>
      <c r="E50" s="41" t="s">
        <v>2559</v>
      </c>
      <c r="F50" s="41">
        <v>2024</v>
      </c>
      <c r="G50" s="34"/>
      <c r="H50" s="335">
        <f>CAPEX!N$3/389.544</f>
        <v>1.0332234612778017</v>
      </c>
      <c r="I50" s="77"/>
    </row>
    <row r="51" spans="1:9" ht="15.75" customHeight="1" thickBot="1" x14ac:dyDescent="0.25">
      <c r="A51" s="46"/>
      <c r="B51" s="72"/>
      <c r="C51" s="41"/>
      <c r="D51" s="50"/>
      <c r="E51" s="41"/>
      <c r="F51" s="41"/>
      <c r="G51" s="73"/>
      <c r="H51" s="813"/>
      <c r="I51" s="811">
        <f>B51*D51*H51</f>
        <v>0</v>
      </c>
    </row>
    <row r="52" spans="1:9" ht="15.75" customHeight="1" thickBot="1" x14ac:dyDescent="0.25">
      <c r="A52" s="1677" t="s">
        <v>526</v>
      </c>
      <c r="B52" s="1678"/>
      <c r="C52" s="1678"/>
      <c r="D52" s="1678"/>
      <c r="E52" s="1678"/>
      <c r="F52" s="1678"/>
      <c r="G52" s="1678"/>
      <c r="H52" s="1679"/>
      <c r="I52" s="812">
        <f>SUM(I51)</f>
        <v>0</v>
      </c>
    </row>
    <row r="53" spans="1:9" ht="15.75" customHeight="1" thickBot="1" x14ac:dyDescent="0.25"/>
    <row r="54" spans="1:9" ht="15.75" customHeight="1" thickBot="1" x14ac:dyDescent="0.25">
      <c r="A54" s="1395" t="s">
        <v>558</v>
      </c>
      <c r="B54" s="1396"/>
      <c r="C54" s="1396"/>
      <c r="D54" s="1396"/>
      <c r="E54" s="1397"/>
    </row>
    <row r="55" spans="1:9" ht="15.75" customHeight="1" thickBot="1" x14ac:dyDescent="0.25">
      <c r="A55" s="322" t="s">
        <v>559</v>
      </c>
      <c r="B55" s="322" t="s">
        <v>516</v>
      </c>
      <c r="C55" s="322" t="s">
        <v>41</v>
      </c>
      <c r="D55" s="322" t="s">
        <v>2423</v>
      </c>
      <c r="E55" s="322" t="s">
        <v>557</v>
      </c>
    </row>
    <row r="56" spans="1:9" ht="15.75" customHeight="1" thickBot="1" x14ac:dyDescent="0.25">
      <c r="A56" s="35" t="s">
        <v>567</v>
      </c>
      <c r="B56" s="36">
        <v>1</v>
      </c>
      <c r="C56" s="36" t="s">
        <v>568</v>
      </c>
      <c r="D56" s="37">
        <v>150000</v>
      </c>
      <c r="E56" s="37">
        <f>D56*B56</f>
        <v>150000</v>
      </c>
    </row>
    <row r="57" spans="1:9" ht="15.75" customHeight="1" thickBot="1" x14ac:dyDescent="0.25">
      <c r="A57" s="35" t="s">
        <v>2468</v>
      </c>
      <c r="B57" s="36">
        <v>1</v>
      </c>
      <c r="C57" s="36" t="s">
        <v>568</v>
      </c>
      <c r="D57" s="37">
        <v>100000</v>
      </c>
      <c r="E57" s="37">
        <f>D57*B57</f>
        <v>100000</v>
      </c>
    </row>
    <row r="58" spans="1:9" ht="15.75" customHeight="1" thickBot="1" x14ac:dyDescent="0.25">
      <c r="A58" s="35" t="s">
        <v>570</v>
      </c>
      <c r="B58" s="36">
        <v>3</v>
      </c>
      <c r="C58" s="36" t="s">
        <v>568</v>
      </c>
      <c r="D58" s="37">
        <v>85000</v>
      </c>
      <c r="E58" s="37">
        <f>D58*B58</f>
        <v>255000</v>
      </c>
    </row>
    <row r="59" spans="1:9" ht="15.75" customHeight="1" thickBot="1" x14ac:dyDescent="0.25">
      <c r="A59" s="35" t="s">
        <v>571</v>
      </c>
      <c r="B59" s="36">
        <v>5</v>
      </c>
      <c r="C59" s="36" t="s">
        <v>568</v>
      </c>
      <c r="D59" s="37">
        <v>70000</v>
      </c>
      <c r="E59" s="37">
        <f>D59*B59</f>
        <v>350000</v>
      </c>
    </row>
    <row r="60" spans="1:9" ht="15.75" customHeight="1" thickBot="1" x14ac:dyDescent="0.25">
      <c r="A60" s="1757" t="s">
        <v>526</v>
      </c>
      <c r="B60" s="1758"/>
      <c r="C60" s="1758"/>
      <c r="D60" s="1759"/>
      <c r="E60" s="812">
        <f>SUM(E56:E59)</f>
        <v>855000</v>
      </c>
    </row>
    <row r="61" spans="1:9" ht="15.75" customHeight="1" x14ac:dyDescent="0.2"/>
    <row r="62" spans="1:9" ht="15.75" customHeight="1" thickBot="1" x14ac:dyDescent="0.25"/>
    <row r="63" spans="1:9" ht="15.75" customHeight="1" x14ac:dyDescent="0.2">
      <c r="A63" s="1837" t="s">
        <v>2317</v>
      </c>
      <c r="B63" s="1838"/>
      <c r="C63" s="1322"/>
      <c r="D63" s="1322"/>
      <c r="E63" s="1322"/>
      <c r="F63" s="1322"/>
      <c r="G63" s="1322"/>
      <c r="H63" s="1322"/>
      <c r="I63" s="1323"/>
    </row>
    <row r="64" spans="1:9" ht="15.75" customHeight="1" thickBot="1" x14ac:dyDescent="0.25">
      <c r="A64" s="1840"/>
      <c r="B64" s="1841"/>
      <c r="C64" s="1324"/>
      <c r="D64" s="1324"/>
      <c r="E64" s="1324"/>
      <c r="F64" s="1324"/>
      <c r="G64" s="1324"/>
      <c r="H64" s="1324"/>
      <c r="I64" s="1325"/>
    </row>
    <row r="65" spans="1:9" ht="15.75" customHeight="1" thickBot="1" x14ac:dyDescent="0.25">
      <c r="A65" s="202"/>
      <c r="B65" s="203"/>
      <c r="C65" s="203"/>
      <c r="D65" s="203"/>
      <c r="E65" s="203"/>
      <c r="F65" s="203"/>
      <c r="G65" s="203"/>
      <c r="H65" s="203"/>
      <c r="I65" s="204"/>
    </row>
    <row r="66" spans="1:9" ht="15.75" customHeight="1" thickBot="1" x14ac:dyDescent="0.25">
      <c r="A66" s="1398" t="s">
        <v>553</v>
      </c>
      <c r="B66" s="1399"/>
      <c r="C66" s="1399"/>
      <c r="D66" s="1399"/>
      <c r="E66" s="1399"/>
      <c r="F66" s="1399"/>
      <c r="G66" s="1399"/>
      <c r="H66" s="1399"/>
      <c r="I66" s="1400"/>
    </row>
    <row r="67" spans="1:9" ht="15.75" customHeight="1" thickBot="1" x14ac:dyDescent="0.25">
      <c r="A67" s="1689" t="s">
        <v>554</v>
      </c>
      <c r="B67" s="1689" t="s">
        <v>555</v>
      </c>
      <c r="C67" s="1689" t="s">
        <v>41</v>
      </c>
      <c r="D67" s="1683" t="s">
        <v>511</v>
      </c>
      <c r="E67" s="1684"/>
      <c r="F67" s="1684"/>
      <c r="G67" s="1685"/>
      <c r="H67" s="1683" t="s">
        <v>556</v>
      </c>
      <c r="I67" s="1685"/>
    </row>
    <row r="68" spans="1:9" ht="15.75" customHeight="1" thickBot="1" x14ac:dyDescent="0.25">
      <c r="A68" s="1690"/>
      <c r="B68" s="1690"/>
      <c r="C68" s="1690"/>
      <c r="D68" s="321" t="s">
        <v>518</v>
      </c>
      <c r="E68" s="321" t="s">
        <v>41</v>
      </c>
      <c r="F68" s="321" t="s">
        <v>519</v>
      </c>
      <c r="G68" s="80" t="s">
        <v>520</v>
      </c>
      <c r="H68" s="321" t="s">
        <v>2422</v>
      </c>
      <c r="I68" s="323" t="s">
        <v>557</v>
      </c>
    </row>
    <row r="69" spans="1:9" ht="15.75" customHeight="1" thickBot="1" x14ac:dyDescent="0.25">
      <c r="A69" s="46" t="s">
        <v>2387</v>
      </c>
      <c r="B69" s="281">
        <f ca="1">CostCalc!B160*Inputs!F3</f>
        <v>15231.789154200922</v>
      </c>
      <c r="C69" s="41" t="s">
        <v>40</v>
      </c>
      <c r="D69" s="50">
        <v>0.17799999999999999</v>
      </c>
      <c r="E69" s="41" t="s">
        <v>378</v>
      </c>
      <c r="F69" s="41">
        <v>2024</v>
      </c>
      <c r="G69" s="34"/>
      <c r="H69" s="335">
        <f>CAPEX!N$3/389.544</f>
        <v>1.0332234612778017</v>
      </c>
      <c r="I69" s="87">
        <f t="shared" ref="I69:I74" ca="1" si="0">B69*D69*H69</f>
        <v>2801.335860221574</v>
      </c>
    </row>
    <row r="70" spans="1:9" ht="15.75" customHeight="1" thickBot="1" x14ac:dyDescent="0.25">
      <c r="A70" s="46" t="s">
        <v>2434</v>
      </c>
      <c r="B70" s="281">
        <f ca="1">CostCalc!B161*Inputs!F$3</f>
        <v>1781.5208668640737</v>
      </c>
      <c r="C70" s="41" t="s">
        <v>40</v>
      </c>
      <c r="D70" s="50">
        <v>0.17799999999999999</v>
      </c>
      <c r="E70" s="41" t="s">
        <v>378</v>
      </c>
      <c r="F70" s="41">
        <v>2024</v>
      </c>
      <c r="G70" s="34"/>
      <c r="H70" s="335">
        <f>CAPEX!N$3/389.544</f>
        <v>1.0332234612778017</v>
      </c>
      <c r="I70" s="87">
        <f t="shared" ca="1" si="0"/>
        <v>327.64622983918719</v>
      </c>
    </row>
    <row r="71" spans="1:9" ht="15.75" customHeight="1" thickBot="1" x14ac:dyDescent="0.25">
      <c r="A71" s="46" t="s">
        <v>2435</v>
      </c>
      <c r="B71" s="281">
        <f ca="1">CostCalc!B162*Inputs!F$3</f>
        <v>1781.5208668640737</v>
      </c>
      <c r="C71" s="41" t="s">
        <v>40</v>
      </c>
      <c r="D71" s="50">
        <v>0.17799999999999999</v>
      </c>
      <c r="E71" s="41" t="s">
        <v>378</v>
      </c>
      <c r="F71" s="41">
        <v>2024</v>
      </c>
      <c r="G71" s="34"/>
      <c r="H71" s="335">
        <f>CAPEX!N$3/389.544</f>
        <v>1.0332234612778017</v>
      </c>
      <c r="I71" s="87">
        <f t="shared" ca="1" si="0"/>
        <v>327.64622983918719</v>
      </c>
    </row>
    <row r="72" spans="1:9" ht="15.75" customHeight="1" thickBot="1" x14ac:dyDescent="0.25">
      <c r="A72" s="46" t="s">
        <v>2425</v>
      </c>
      <c r="B72" s="281">
        <f ca="1">CostCalc!B163*Inputs!F$3</f>
        <v>1781.5208668640737</v>
      </c>
      <c r="C72" s="41" t="s">
        <v>40</v>
      </c>
      <c r="D72" s="50">
        <v>0.17799999999999999</v>
      </c>
      <c r="E72" s="41" t="s">
        <v>378</v>
      </c>
      <c r="F72" s="41">
        <v>2024</v>
      </c>
      <c r="G72" s="34"/>
      <c r="H72" s="335">
        <f>CAPEX!N$3/389.544</f>
        <v>1.0332234612778017</v>
      </c>
      <c r="I72" s="87">
        <f t="shared" ca="1" si="0"/>
        <v>327.64622983918719</v>
      </c>
    </row>
    <row r="73" spans="1:9" ht="15.75" customHeight="1" thickBot="1" x14ac:dyDescent="0.25">
      <c r="A73" s="46" t="s">
        <v>2388</v>
      </c>
      <c r="B73" s="281">
        <v>0</v>
      </c>
      <c r="C73" s="41" t="s">
        <v>40</v>
      </c>
      <c r="D73" s="50">
        <v>0.17799999999999999</v>
      </c>
      <c r="E73" s="41" t="s">
        <v>378</v>
      </c>
      <c r="F73" s="41">
        <v>2024</v>
      </c>
      <c r="G73" s="34"/>
      <c r="H73" s="335">
        <f>CAPEX!N$3/389.544</f>
        <v>1.0332234612778017</v>
      </c>
      <c r="I73" s="87">
        <f t="shared" si="0"/>
        <v>0</v>
      </c>
    </row>
    <row r="74" spans="1:9" ht="15.75" customHeight="1" thickBot="1" x14ac:dyDescent="0.25">
      <c r="A74" s="46" t="s">
        <v>2802</v>
      </c>
      <c r="B74" s="281">
        <f ca="1">CostCalc!B164*Inputs!F3</f>
        <v>434688</v>
      </c>
      <c r="C74" s="41" t="s">
        <v>40</v>
      </c>
      <c r="D74" s="50">
        <v>0.17799999999999999</v>
      </c>
      <c r="E74" s="41" t="s">
        <v>378</v>
      </c>
      <c r="F74" s="41">
        <v>2024</v>
      </c>
      <c r="G74" s="34"/>
      <c r="H74" s="335">
        <f>CAPEX!N$3/389.544</f>
        <v>1.0332234612778017</v>
      </c>
      <c r="I74" s="87">
        <f t="shared" ca="1" si="0"/>
        <v>79945.111508594651</v>
      </c>
    </row>
    <row r="75" spans="1:9" ht="15.75" customHeight="1" thickBot="1" x14ac:dyDescent="0.25">
      <c r="A75" s="34"/>
      <c r="B75" s="72"/>
      <c r="C75" s="41"/>
      <c r="D75" s="49"/>
      <c r="E75" s="41"/>
      <c r="F75" s="41"/>
      <c r="G75" s="73"/>
      <c r="H75" s="813"/>
      <c r="I75" s="811"/>
    </row>
    <row r="76" spans="1:9" ht="15.75" customHeight="1" thickBot="1" x14ac:dyDescent="0.25">
      <c r="A76" s="1677" t="s">
        <v>526</v>
      </c>
      <c r="B76" s="1678"/>
      <c r="C76" s="1678"/>
      <c r="D76" s="1678"/>
      <c r="E76" s="1678"/>
      <c r="F76" s="1678"/>
      <c r="G76" s="1678"/>
      <c r="H76" s="1679"/>
      <c r="I76" s="812">
        <f ca="1">SUM(I69:I74)</f>
        <v>83729.386058333781</v>
      </c>
    </row>
    <row r="77" spans="1:9" ht="15.75" customHeight="1" thickBot="1" x14ac:dyDescent="0.25"/>
    <row r="78" spans="1:9" ht="15.75" customHeight="1" thickBot="1" x14ac:dyDescent="0.25">
      <c r="A78" s="1398" t="s">
        <v>558</v>
      </c>
      <c r="B78" s="1399"/>
      <c r="C78" s="1399"/>
      <c r="D78" s="1399"/>
      <c r="E78" s="1400"/>
    </row>
    <row r="79" spans="1:9" ht="15.75" customHeight="1" thickBot="1" x14ac:dyDescent="0.25">
      <c r="A79" s="322" t="s">
        <v>559</v>
      </c>
      <c r="B79" s="322" t="s">
        <v>516</v>
      </c>
      <c r="C79" s="322" t="s">
        <v>41</v>
      </c>
      <c r="D79" s="322" t="s">
        <v>2423</v>
      </c>
      <c r="E79" s="322" t="s">
        <v>557</v>
      </c>
    </row>
    <row r="80" spans="1:9" ht="15.75" customHeight="1" thickBot="1" x14ac:dyDescent="0.25">
      <c r="A80" s="35" t="s">
        <v>567</v>
      </c>
      <c r="B80" s="36">
        <v>1</v>
      </c>
      <c r="C80" s="36" t="s">
        <v>568</v>
      </c>
      <c r="D80" s="37">
        <v>150000</v>
      </c>
      <c r="E80" s="37">
        <f>D80*B80</f>
        <v>150000</v>
      </c>
    </row>
    <row r="81" spans="1:9" ht="15.75" customHeight="1" thickBot="1" x14ac:dyDescent="0.25">
      <c r="A81" s="35" t="s">
        <v>2468</v>
      </c>
      <c r="B81" s="36">
        <v>1</v>
      </c>
      <c r="C81" s="36" t="s">
        <v>568</v>
      </c>
      <c r="D81" s="37">
        <v>100000</v>
      </c>
      <c r="E81" s="37">
        <f>D81*B81</f>
        <v>100000</v>
      </c>
    </row>
    <row r="82" spans="1:9" ht="15.75" customHeight="1" thickBot="1" x14ac:dyDescent="0.25">
      <c r="A82" s="35" t="s">
        <v>570</v>
      </c>
      <c r="B82" s="36">
        <v>3</v>
      </c>
      <c r="C82" s="36" t="s">
        <v>568</v>
      </c>
      <c r="D82" s="37">
        <v>85000</v>
      </c>
      <c r="E82" s="37">
        <f>D82*B82</f>
        <v>255000</v>
      </c>
    </row>
    <row r="83" spans="1:9" ht="15.75" customHeight="1" thickBot="1" x14ac:dyDescent="0.25">
      <c r="A83" s="35" t="s">
        <v>571</v>
      </c>
      <c r="B83" s="36">
        <v>5</v>
      </c>
      <c r="C83" s="36" t="s">
        <v>568</v>
      </c>
      <c r="D83" s="37">
        <v>70000</v>
      </c>
      <c r="E83" s="37">
        <f>D83*B83</f>
        <v>350000</v>
      </c>
    </row>
    <row r="84" spans="1:9" ht="15.75" customHeight="1" thickBot="1" x14ac:dyDescent="0.25">
      <c r="A84" s="1757" t="s">
        <v>526</v>
      </c>
      <c r="B84" s="1758"/>
      <c r="C84" s="1758"/>
      <c r="D84" s="1759"/>
      <c r="E84" s="812">
        <f>SUM(E80:E83)</f>
        <v>855000</v>
      </c>
    </row>
    <row r="85" spans="1:9" ht="15.75" customHeight="1" x14ac:dyDescent="0.2"/>
    <row r="86" spans="1:9" ht="15.75" customHeight="1" x14ac:dyDescent="0.2"/>
    <row r="87" spans="1:9" ht="15.75" customHeight="1" x14ac:dyDescent="0.2"/>
    <row r="88" spans="1:9" ht="15.75" customHeight="1" thickBot="1" x14ac:dyDescent="0.25"/>
    <row r="89" spans="1:9" ht="15.75" customHeight="1" x14ac:dyDescent="0.2">
      <c r="A89" s="1843" t="s">
        <v>2318</v>
      </c>
      <c r="B89" s="1844"/>
      <c r="C89" s="1326"/>
      <c r="D89" s="1326"/>
      <c r="E89" s="1326"/>
      <c r="F89" s="1326"/>
      <c r="G89" s="1326"/>
      <c r="H89" s="1326"/>
      <c r="I89" s="1327"/>
    </row>
    <row r="90" spans="1:9" ht="15.75" customHeight="1" thickBot="1" x14ac:dyDescent="0.25">
      <c r="A90" s="1846"/>
      <c r="B90" s="1847"/>
      <c r="C90" s="1328"/>
      <c r="D90" s="1328"/>
      <c r="E90" s="1328"/>
      <c r="F90" s="1328"/>
      <c r="G90" s="1328"/>
      <c r="H90" s="1328"/>
      <c r="I90" s="1329"/>
    </row>
    <row r="91" spans="1:9" ht="15.75" customHeight="1" thickBot="1" x14ac:dyDescent="0.25">
      <c r="A91" s="202"/>
      <c r="B91" s="203"/>
      <c r="C91" s="203"/>
      <c r="D91" s="203"/>
      <c r="E91" s="203"/>
      <c r="F91" s="203"/>
      <c r="G91" s="203"/>
      <c r="H91" s="203"/>
      <c r="I91" s="204"/>
    </row>
    <row r="92" spans="1:9" ht="15.75" customHeight="1" thickBot="1" x14ac:dyDescent="0.25">
      <c r="A92" s="1401" t="s">
        <v>553</v>
      </c>
      <c r="B92" s="1402"/>
      <c r="C92" s="1402"/>
      <c r="D92" s="1402"/>
      <c r="E92" s="1402"/>
      <c r="F92" s="1402"/>
      <c r="G92" s="1402"/>
      <c r="H92" s="1402"/>
      <c r="I92" s="1403"/>
    </row>
    <row r="93" spans="1:9" ht="15.75" customHeight="1" thickBot="1" x14ac:dyDescent="0.25">
      <c r="A93" s="1689" t="s">
        <v>554</v>
      </c>
      <c r="B93" s="1689" t="s">
        <v>555</v>
      </c>
      <c r="C93" s="1689" t="s">
        <v>41</v>
      </c>
      <c r="D93" s="1683" t="s">
        <v>511</v>
      </c>
      <c r="E93" s="1684"/>
      <c r="F93" s="1684"/>
      <c r="G93" s="1685"/>
      <c r="H93" s="1683" t="s">
        <v>556</v>
      </c>
      <c r="I93" s="1685"/>
    </row>
    <row r="94" spans="1:9" ht="15.75" customHeight="1" thickBot="1" x14ac:dyDescent="0.25">
      <c r="A94" s="1690"/>
      <c r="B94" s="1690"/>
      <c r="C94" s="1690"/>
      <c r="D94" s="321" t="s">
        <v>518</v>
      </c>
      <c r="E94" s="321" t="s">
        <v>41</v>
      </c>
      <c r="F94" s="321" t="s">
        <v>519</v>
      </c>
      <c r="G94" s="80" t="s">
        <v>520</v>
      </c>
      <c r="H94" s="321" t="s">
        <v>2422</v>
      </c>
      <c r="I94" s="323" t="s">
        <v>557</v>
      </c>
    </row>
    <row r="95" spans="1:9" ht="15.75" customHeight="1" thickBot="1" x14ac:dyDescent="0.25">
      <c r="A95" s="46" t="s">
        <v>2387</v>
      </c>
      <c r="B95" s="72">
        <f ca="1">CostCalc!B213*Inputs!F3</f>
        <v>13902.085241013809</v>
      </c>
      <c r="C95" s="41" t="s">
        <v>40</v>
      </c>
      <c r="D95" s="50">
        <v>0.17799999999999999</v>
      </c>
      <c r="E95" s="41" t="s">
        <v>378</v>
      </c>
      <c r="F95" s="41">
        <v>2024</v>
      </c>
      <c r="G95" s="34"/>
      <c r="H95" s="335">
        <f>CAPEX!N$3/389.544</f>
        <v>1.0332234612778017</v>
      </c>
      <c r="I95" s="87">
        <f t="shared" ref="I95:I104" ca="1" si="1">B95*D95*H95</f>
        <v>2556.7849924424809</v>
      </c>
    </row>
    <row r="96" spans="1:9" ht="15.75" customHeight="1" thickBot="1" x14ac:dyDescent="0.25">
      <c r="A96" s="46" t="s">
        <v>2874</v>
      </c>
      <c r="B96" s="832">
        <f ca="1">CostCalc!B210*Inputs!F3</f>
        <v>470784008955.38965</v>
      </c>
      <c r="C96" s="41" t="s">
        <v>2845</v>
      </c>
      <c r="D96" s="50">
        <f>(177/1500)</f>
        <v>0.11799999999999999</v>
      </c>
      <c r="E96" s="41" t="s">
        <v>2873</v>
      </c>
      <c r="F96" s="41">
        <v>2024</v>
      </c>
      <c r="G96" s="34"/>
      <c r="H96" s="335">
        <v>1</v>
      </c>
      <c r="I96" s="87">
        <f ca="1">(B96*D96*H96)^0.55</f>
        <v>812057.98391340917</v>
      </c>
    </row>
    <row r="97" spans="1:9" ht="15.75" customHeight="1" thickBot="1" x14ac:dyDescent="0.25">
      <c r="A97" s="46" t="s">
        <v>2843</v>
      </c>
      <c r="B97" s="72">
        <f ca="1">CostCalc!B214*Inputs!F3</f>
        <v>3208.1735171570326</v>
      </c>
      <c r="C97" s="41" t="s">
        <v>40</v>
      </c>
      <c r="D97" s="50">
        <v>0.17799999999999999</v>
      </c>
      <c r="E97" s="41" t="s">
        <v>378</v>
      </c>
      <c r="F97" s="41">
        <v>2024</v>
      </c>
      <c r="G97" s="34"/>
      <c r="H97" s="335">
        <f>CAPEX!N$3/389.544</f>
        <v>1.0332234612778017</v>
      </c>
      <c r="I97" s="87">
        <f t="shared" ca="1" si="1"/>
        <v>590.02730594826471</v>
      </c>
    </row>
    <row r="98" spans="1:9" ht="15.75" customHeight="1" thickBot="1" x14ac:dyDescent="0.25">
      <c r="A98" s="46" t="s">
        <v>2880</v>
      </c>
      <c r="B98" s="72">
        <f ca="1">CostCalc!B220*Inputs!F3</f>
        <v>5109.2270483003058</v>
      </c>
      <c r="C98" s="41" t="s">
        <v>40</v>
      </c>
      <c r="D98" s="50">
        <v>0.17799999999999999</v>
      </c>
      <c r="E98" s="41" t="s">
        <v>378</v>
      </c>
      <c r="F98" s="41">
        <v>2024</v>
      </c>
      <c r="G98" s="34"/>
      <c r="H98" s="335">
        <f>CAPEX!N$3/389.544</f>
        <v>1.0332234612778017</v>
      </c>
      <c r="I98" s="87">
        <f t="shared" ca="1" si="1"/>
        <v>939.65723944322349</v>
      </c>
    </row>
    <row r="99" spans="1:9" ht="15.75" customHeight="1" thickBot="1" x14ac:dyDescent="0.25">
      <c r="A99" s="46" t="s">
        <v>2406</v>
      </c>
      <c r="B99" s="72">
        <f ca="1">CostCalc!B185*Units!C$65/Units!C$84*Inputs!F$3</f>
        <v>933465.02292015287</v>
      </c>
      <c r="C99" s="41" t="s">
        <v>40</v>
      </c>
      <c r="D99" s="50">
        <v>0.17799999999999999</v>
      </c>
      <c r="E99" s="41" t="s">
        <v>378</v>
      </c>
      <c r="F99" s="41">
        <v>2024</v>
      </c>
      <c r="G99" s="34"/>
      <c r="H99" s="335">
        <f>CAPEX!N$3/389.544</f>
        <v>1.0332234612778017</v>
      </c>
      <c r="I99" s="87">
        <f t="shared" ca="1" si="1"/>
        <v>171677.07722947147</v>
      </c>
    </row>
    <row r="100" spans="1:9" ht="15.75" customHeight="1" thickBot="1" x14ac:dyDescent="0.25">
      <c r="A100" s="46" t="s">
        <v>2387</v>
      </c>
      <c r="B100" s="72">
        <f ca="1">CostCalc!B215*Inputs!F3</f>
        <v>2519.497321872479</v>
      </c>
      <c r="C100" s="41" t="s">
        <v>40</v>
      </c>
      <c r="D100" s="50">
        <v>0.17799999999999999</v>
      </c>
      <c r="E100" s="41" t="s">
        <v>378</v>
      </c>
      <c r="F100" s="41">
        <v>2024</v>
      </c>
      <c r="G100" s="34"/>
      <c r="H100" s="335">
        <f>CAPEX!N$3/389.544</f>
        <v>1.0332234612778017</v>
      </c>
      <c r="I100" s="87">
        <f t="shared" ca="1" si="1"/>
        <v>463.3702663581717</v>
      </c>
    </row>
    <row r="101" spans="1:9" ht="15.75" customHeight="1" thickBot="1" x14ac:dyDescent="0.25">
      <c r="A101" s="46" t="s">
        <v>2881</v>
      </c>
      <c r="B101" s="72">
        <f ca="1">CostCalc!B222*Inputs!F3</f>
        <v>145.97791566572306</v>
      </c>
      <c r="C101" s="41" t="s">
        <v>40</v>
      </c>
      <c r="D101" s="50">
        <v>0.17799999999999999</v>
      </c>
      <c r="E101" s="41" t="s">
        <v>378</v>
      </c>
      <c r="F101" s="41">
        <v>2024</v>
      </c>
      <c r="G101" s="34"/>
      <c r="H101" s="335">
        <f>CAPEX!N$3/389.544</f>
        <v>1.0332234612778017</v>
      </c>
      <c r="I101" s="87">
        <f t="shared" ca="1" si="1"/>
        <v>26.847349698377819</v>
      </c>
    </row>
    <row r="102" spans="1:9" ht="15.75" customHeight="1" thickBot="1" x14ac:dyDescent="0.25">
      <c r="A102" s="46" t="s">
        <v>2406</v>
      </c>
      <c r="B102" s="72">
        <f ca="1">CostCalc!B185*Units!C$65/Units!C$84*Inputs!F$3</f>
        <v>933465.02292015287</v>
      </c>
      <c r="C102" s="41" t="s">
        <v>40</v>
      </c>
      <c r="D102" s="50">
        <v>0.17799999999999999</v>
      </c>
      <c r="E102" s="41" t="s">
        <v>378</v>
      </c>
      <c r="F102" s="41">
        <v>2024</v>
      </c>
      <c r="G102" s="34"/>
      <c r="H102" s="335">
        <f>CAPEX!N$3/389.544</f>
        <v>1.0332234612778017</v>
      </c>
      <c r="I102" s="87">
        <f t="shared" ca="1" si="1"/>
        <v>171677.07722947147</v>
      </c>
    </row>
    <row r="103" spans="1:9" ht="15.75" customHeight="1" thickBot="1" x14ac:dyDescent="0.25">
      <c r="A103" s="46" t="s">
        <v>2846</v>
      </c>
      <c r="B103" s="72">
        <f ca="1">CostCalc!B198*Units!C$65/Units!C$84*Inputs!F$3</f>
        <v>933471.01094583271</v>
      </c>
      <c r="C103" s="41" t="s">
        <v>40</v>
      </c>
      <c r="D103" s="50">
        <v>0.17799999999999999</v>
      </c>
      <c r="E103" s="41" t="s">
        <v>378</v>
      </c>
      <c r="F103" s="41">
        <v>2024</v>
      </c>
      <c r="G103" s="34"/>
      <c r="H103" s="335">
        <f>CAPEX!N$3/389.544</f>
        <v>1.0332234612778017</v>
      </c>
      <c r="I103" s="87">
        <f t="shared" ca="1" si="1"/>
        <v>171678.17850988568</v>
      </c>
    </row>
    <row r="104" spans="1:9" ht="15.75" customHeight="1" thickBot="1" x14ac:dyDescent="0.25">
      <c r="A104" s="46" t="s">
        <v>2847</v>
      </c>
      <c r="B104" s="72">
        <f ca="1">CostCalc!B216*Inputs!F3</f>
        <v>1813.4018893194125</v>
      </c>
      <c r="C104" s="41" t="s">
        <v>40</v>
      </c>
      <c r="D104" s="50">
        <v>0.17799999999999999</v>
      </c>
      <c r="E104" s="41" t="s">
        <v>378</v>
      </c>
      <c r="F104" s="41">
        <v>2024</v>
      </c>
      <c r="G104" s="34"/>
      <c r="H104" s="335">
        <f>CAPEX!N$3/389.544</f>
        <v>1.0332234612778017</v>
      </c>
      <c r="I104" s="87">
        <f t="shared" ca="1" si="1"/>
        <v>333.50958906511488</v>
      </c>
    </row>
    <row r="105" spans="1:9" ht="15.75" customHeight="1" thickBot="1" x14ac:dyDescent="0.25">
      <c r="A105" s="1677" t="s">
        <v>526</v>
      </c>
      <c r="B105" s="1678"/>
      <c r="C105" s="1678"/>
      <c r="D105" s="1678"/>
      <c r="E105" s="1678"/>
      <c r="F105" s="1678"/>
      <c r="G105" s="1678"/>
      <c r="H105" s="1679"/>
      <c r="I105" s="812">
        <f ca="1">SUM(I95:I104)</f>
        <v>1332000.5136251934</v>
      </c>
    </row>
    <row r="106" spans="1:9" ht="15.75" customHeight="1" thickBot="1" x14ac:dyDescent="0.25"/>
    <row r="107" spans="1:9" ht="15.75" customHeight="1" thickBot="1" x14ac:dyDescent="0.25">
      <c r="A107" s="1401" t="s">
        <v>558</v>
      </c>
      <c r="B107" s="1402"/>
      <c r="C107" s="1402"/>
      <c r="D107" s="1402"/>
      <c r="E107" s="1403"/>
    </row>
    <row r="108" spans="1:9" ht="15.75" customHeight="1" thickBot="1" x14ac:dyDescent="0.25">
      <c r="A108" s="322" t="s">
        <v>559</v>
      </c>
      <c r="B108" s="322" t="s">
        <v>516</v>
      </c>
      <c r="C108" s="322" t="s">
        <v>41</v>
      </c>
      <c r="D108" s="322" t="s">
        <v>2423</v>
      </c>
      <c r="E108" s="322" t="s">
        <v>557</v>
      </c>
    </row>
    <row r="109" spans="1:9" ht="15.75" customHeight="1" thickBot="1" x14ac:dyDescent="0.25">
      <c r="A109" s="35" t="s">
        <v>567</v>
      </c>
      <c r="B109" s="36">
        <v>1</v>
      </c>
      <c r="C109" s="36" t="s">
        <v>568</v>
      </c>
      <c r="D109" s="37">
        <v>150000</v>
      </c>
      <c r="E109" s="37">
        <f>D109*B109</f>
        <v>150000</v>
      </c>
    </row>
    <row r="110" spans="1:9" ht="15.75" customHeight="1" thickBot="1" x14ac:dyDescent="0.25">
      <c r="A110" s="35" t="s">
        <v>2468</v>
      </c>
      <c r="B110" s="36">
        <v>1</v>
      </c>
      <c r="C110" s="36" t="s">
        <v>568</v>
      </c>
      <c r="D110" s="37">
        <v>100000</v>
      </c>
      <c r="E110" s="37">
        <f>D110*B110</f>
        <v>100000</v>
      </c>
    </row>
    <row r="111" spans="1:9" ht="15.75" customHeight="1" thickBot="1" x14ac:dyDescent="0.25">
      <c r="A111" s="35" t="s">
        <v>570</v>
      </c>
      <c r="B111" s="36">
        <v>3</v>
      </c>
      <c r="C111" s="36" t="s">
        <v>568</v>
      </c>
      <c r="D111" s="37">
        <v>85000</v>
      </c>
      <c r="E111" s="37">
        <f>D111*B111</f>
        <v>255000</v>
      </c>
    </row>
    <row r="112" spans="1:9" ht="15.75" customHeight="1" thickBot="1" x14ac:dyDescent="0.25">
      <c r="A112" s="35" t="s">
        <v>571</v>
      </c>
      <c r="B112" s="36">
        <v>5</v>
      </c>
      <c r="C112" s="36" t="s">
        <v>568</v>
      </c>
      <c r="D112" s="37">
        <v>70000</v>
      </c>
      <c r="E112" s="37">
        <f>D112*B112</f>
        <v>350000</v>
      </c>
    </row>
    <row r="113" spans="1:9" ht="15.75" customHeight="1" thickBot="1" x14ac:dyDescent="0.25">
      <c r="A113" s="1757" t="s">
        <v>526</v>
      </c>
      <c r="B113" s="1758"/>
      <c r="C113" s="1758"/>
      <c r="D113" s="1759"/>
      <c r="E113" s="812">
        <f>SUM(E109:E112)</f>
        <v>855000</v>
      </c>
    </row>
    <row r="114" spans="1:9" ht="15.75" customHeight="1" x14ac:dyDescent="0.2"/>
    <row r="115" spans="1:9" ht="15.75" customHeight="1" x14ac:dyDescent="0.2"/>
    <row r="116" spans="1:9" ht="15.75" customHeight="1" x14ac:dyDescent="0.2"/>
    <row r="117" spans="1:9" ht="15.75" customHeight="1" thickBot="1" x14ac:dyDescent="0.25"/>
    <row r="118" spans="1:9" ht="15.75" customHeight="1" x14ac:dyDescent="0.2">
      <c r="A118" s="1955" t="s">
        <v>1415</v>
      </c>
      <c r="B118" s="1956"/>
      <c r="C118" s="1330"/>
      <c r="D118" s="1330"/>
      <c r="E118" s="1330"/>
      <c r="F118" s="1330"/>
      <c r="G118" s="1330"/>
      <c r="H118" s="1330"/>
      <c r="I118" s="1331"/>
    </row>
    <row r="119" spans="1:9" ht="15.75" customHeight="1" thickBot="1" x14ac:dyDescent="0.25">
      <c r="A119" s="1958"/>
      <c r="B119" s="1959"/>
      <c r="C119" s="1332"/>
      <c r="D119" s="1332"/>
      <c r="E119" s="1332"/>
      <c r="F119" s="1332"/>
      <c r="G119" s="1332"/>
      <c r="H119" s="1332"/>
      <c r="I119" s="1333"/>
    </row>
    <row r="120" spans="1:9" ht="15.75" customHeight="1" thickBot="1" x14ac:dyDescent="0.25">
      <c r="A120" s="202"/>
      <c r="B120" s="203"/>
      <c r="C120" s="203"/>
      <c r="D120" s="203"/>
      <c r="E120" s="203"/>
      <c r="F120" s="203"/>
      <c r="G120" s="203"/>
      <c r="H120" s="203"/>
      <c r="I120" s="204"/>
    </row>
    <row r="121" spans="1:9" ht="15.75" customHeight="1" thickBot="1" x14ac:dyDescent="0.25">
      <c r="A121" s="1404" t="s">
        <v>553</v>
      </c>
      <c r="B121" s="1405"/>
      <c r="C121" s="1405"/>
      <c r="D121" s="1405"/>
      <c r="E121" s="1405"/>
      <c r="F121" s="1405"/>
      <c r="G121" s="1405"/>
      <c r="H121" s="1405"/>
      <c r="I121" s="1406"/>
    </row>
    <row r="122" spans="1:9" ht="15.75" customHeight="1" thickBot="1" x14ac:dyDescent="0.25">
      <c r="A122" s="1689" t="s">
        <v>554</v>
      </c>
      <c r="B122" s="1689" t="s">
        <v>555</v>
      </c>
      <c r="C122" s="1689" t="s">
        <v>41</v>
      </c>
      <c r="D122" s="1683" t="s">
        <v>511</v>
      </c>
      <c r="E122" s="1684"/>
      <c r="F122" s="1684"/>
      <c r="G122" s="1685"/>
      <c r="H122" s="1683" t="s">
        <v>556</v>
      </c>
      <c r="I122" s="1685"/>
    </row>
    <row r="123" spans="1:9" ht="15.75" customHeight="1" thickBot="1" x14ac:dyDescent="0.25">
      <c r="A123" s="1690"/>
      <c r="B123" s="1690"/>
      <c r="C123" s="1690"/>
      <c r="D123" s="321" t="s">
        <v>518</v>
      </c>
      <c r="E123" s="321" t="s">
        <v>41</v>
      </c>
      <c r="F123" s="321" t="s">
        <v>519</v>
      </c>
      <c r="G123" s="321" t="s">
        <v>520</v>
      </c>
      <c r="H123" s="321" t="s">
        <v>2422</v>
      </c>
      <c r="I123" s="323" t="s">
        <v>557</v>
      </c>
    </row>
    <row r="124" spans="1:9" ht="15.75" customHeight="1" thickBot="1" x14ac:dyDescent="0.25">
      <c r="A124" s="46" t="s">
        <v>2929</v>
      </c>
      <c r="B124" s="281">
        <f>CostCalc!B276</f>
        <v>202364.68401486988</v>
      </c>
      <c r="C124" s="41" t="s">
        <v>40</v>
      </c>
      <c r="D124" s="50">
        <v>0.17799999999999999</v>
      </c>
      <c r="E124" s="41" t="s">
        <v>378</v>
      </c>
      <c r="F124" s="41">
        <v>2024</v>
      </c>
      <c r="G124" s="34"/>
      <c r="H124" s="335">
        <f>CAPEX!N$3/389.544</f>
        <v>1.0332234612778017</v>
      </c>
      <c r="I124" s="87">
        <f t="shared" ref="I124:I129" si="2">B124*D124*H124</f>
        <v>37217.653187965385</v>
      </c>
    </row>
    <row r="125" spans="1:9" ht="15.75" customHeight="1" thickBot="1" x14ac:dyDescent="0.25">
      <c r="A125" s="46" t="s">
        <v>2416</v>
      </c>
      <c r="B125" s="281">
        <f>CostCalc!B277*Inputs!F3</f>
        <v>209.6083360897552</v>
      </c>
      <c r="C125" s="41" t="s">
        <v>40</v>
      </c>
      <c r="D125" s="50">
        <v>0.17799999999999999</v>
      </c>
      <c r="E125" s="41" t="s">
        <v>378</v>
      </c>
      <c r="F125" s="41">
        <v>2024</v>
      </c>
      <c r="G125" s="34"/>
      <c r="H125" s="335">
        <f>CAPEX!N$3/389.544</f>
        <v>1.0332234612778017</v>
      </c>
      <c r="I125" s="87">
        <f t="shared" si="2"/>
        <v>38.5498605938661</v>
      </c>
    </row>
    <row r="126" spans="1:9" ht="15.75" customHeight="1" thickBot="1" x14ac:dyDescent="0.25">
      <c r="A126" s="46" t="s">
        <v>2417</v>
      </c>
      <c r="B126" s="281">
        <f>CostCalc!B278*Inputs!F3</f>
        <v>106.92573746560744</v>
      </c>
      <c r="C126" s="41" t="s">
        <v>40</v>
      </c>
      <c r="D126" s="50">
        <v>0.17799999999999999</v>
      </c>
      <c r="E126" s="41" t="s">
        <v>378</v>
      </c>
      <c r="F126" s="41">
        <v>2024</v>
      </c>
      <c r="G126" s="34"/>
      <c r="H126" s="335">
        <f>CAPEX!N$3/389.544</f>
        <v>1.0332234612778017</v>
      </c>
      <c r="I126" s="87">
        <f t="shared" si="2"/>
        <v>19.665116140373566</v>
      </c>
    </row>
    <row r="127" spans="1:9" ht="15.75" customHeight="1" thickBot="1" x14ac:dyDescent="0.25">
      <c r="A127" s="46" t="s">
        <v>2418</v>
      </c>
      <c r="B127" s="281">
        <f>CostCalc!B279*Inputs!F3</f>
        <v>76.15486366151859</v>
      </c>
      <c r="C127" s="41" t="s">
        <v>40</v>
      </c>
      <c r="D127" s="50">
        <v>0.17799999999999999</v>
      </c>
      <c r="E127" s="41" t="s">
        <v>378</v>
      </c>
      <c r="F127" s="41">
        <v>2024</v>
      </c>
      <c r="G127" s="34"/>
      <c r="H127" s="335">
        <f>CAPEX!N$3/389.544</f>
        <v>1.0332234612778017</v>
      </c>
      <c r="I127" s="87">
        <f t="shared" si="2"/>
        <v>14.005928544937811</v>
      </c>
    </row>
    <row r="128" spans="1:9" ht="15.75" customHeight="1" thickBot="1" x14ac:dyDescent="0.25">
      <c r="A128" s="46" t="s">
        <v>2419</v>
      </c>
      <c r="B128" s="281">
        <f>CostCalc!B280*Inputs!F3</f>
        <v>11931.2</v>
      </c>
      <c r="C128" s="41" t="s">
        <v>40</v>
      </c>
      <c r="D128" s="50">
        <v>0.17799999999999999</v>
      </c>
      <c r="E128" s="41" t="s">
        <v>378</v>
      </c>
      <c r="F128" s="41">
        <v>2024</v>
      </c>
      <c r="G128" s="34"/>
      <c r="H128" s="335">
        <f>CAPEX!N$3/389.544</f>
        <v>1.0332234612778017</v>
      </c>
      <c r="I128" s="87">
        <f t="shared" si="2"/>
        <v>2194.3120454931918</v>
      </c>
    </row>
    <row r="129" spans="1:9" ht="15.75" customHeight="1" thickBot="1" x14ac:dyDescent="0.25">
      <c r="A129" s="46" t="s">
        <v>2420</v>
      </c>
      <c r="B129" s="281">
        <f>CostCalc!B281*Inputs!F3</f>
        <v>5965.6</v>
      </c>
      <c r="C129" s="41" t="s">
        <v>40</v>
      </c>
      <c r="D129" s="50">
        <v>0.17799999999999999</v>
      </c>
      <c r="E129" s="41" t="s">
        <v>378</v>
      </c>
      <c r="F129" s="41">
        <v>2024</v>
      </c>
      <c r="G129" s="34"/>
      <c r="H129" s="335">
        <f>CAPEX!N$3/389.544</f>
        <v>1.0332234612778017</v>
      </c>
      <c r="I129" s="87">
        <f t="shared" si="2"/>
        <v>1097.1560227465959</v>
      </c>
    </row>
    <row r="130" spans="1:9" ht="15.75" customHeight="1" thickBot="1" x14ac:dyDescent="0.25">
      <c r="A130" s="1677" t="s">
        <v>526</v>
      </c>
      <c r="B130" s="1678"/>
      <c r="C130" s="1678"/>
      <c r="D130" s="1678"/>
      <c r="E130" s="1678"/>
      <c r="F130" s="1678"/>
      <c r="G130" s="1678"/>
      <c r="H130" s="1679"/>
      <c r="I130" s="812">
        <f>SUM(I124:I129)</f>
        <v>40581.342161484346</v>
      </c>
    </row>
    <row r="131" spans="1:9" ht="15.75" customHeight="1" x14ac:dyDescent="0.2"/>
    <row r="132" spans="1:9" ht="15.75" customHeight="1" x14ac:dyDescent="0.2">
      <c r="A132" s="197"/>
      <c r="B132" s="197"/>
      <c r="C132" s="197"/>
      <c r="D132" s="197"/>
      <c r="E132" s="197"/>
      <c r="F132" s="197"/>
      <c r="G132" s="197"/>
      <c r="H132" s="197"/>
      <c r="I132" s="89"/>
    </row>
    <row r="133" spans="1:9" ht="15.75" customHeight="1" thickBot="1" x14ac:dyDescent="0.25">
      <c r="A133" s="197"/>
      <c r="B133" s="197"/>
      <c r="C133" s="197"/>
      <c r="D133" s="197"/>
      <c r="E133" s="197"/>
      <c r="F133" s="197"/>
      <c r="G133" s="197"/>
      <c r="H133" s="197"/>
      <c r="I133" s="89"/>
    </row>
    <row r="134" spans="1:9" ht="15.75" customHeight="1" x14ac:dyDescent="0.2">
      <c r="A134" s="1868" t="s">
        <v>1872</v>
      </c>
      <c r="B134" s="1869"/>
      <c r="C134" s="1334"/>
      <c r="D134" s="1334"/>
      <c r="E134" s="1334"/>
      <c r="F134" s="1334"/>
      <c r="G134" s="1334"/>
      <c r="H134" s="1334"/>
      <c r="I134" s="1335"/>
    </row>
    <row r="135" spans="1:9" ht="15.75" customHeight="1" thickBot="1" x14ac:dyDescent="0.25">
      <c r="A135" s="1898"/>
      <c r="B135" s="1899"/>
      <c r="C135" s="1336"/>
      <c r="D135" s="1336"/>
      <c r="E135" s="1336"/>
      <c r="F135" s="1336"/>
      <c r="G135" s="1336"/>
      <c r="H135" s="1336"/>
      <c r="I135" s="1337"/>
    </row>
    <row r="136" spans="1:9" ht="15.75" customHeight="1" thickBot="1" x14ac:dyDescent="0.25">
      <c r="A136" s="202"/>
      <c r="B136" s="203"/>
      <c r="C136" s="203"/>
      <c r="D136" s="203"/>
      <c r="E136" s="203"/>
      <c r="F136" s="203"/>
      <c r="G136" s="203"/>
      <c r="H136" s="203"/>
      <c r="I136" s="204"/>
    </row>
    <row r="137" spans="1:9" ht="15.75" customHeight="1" thickBot="1" x14ac:dyDescent="0.25">
      <c r="A137" s="1407" t="s">
        <v>553</v>
      </c>
      <c r="B137" s="1408"/>
      <c r="C137" s="1408"/>
      <c r="D137" s="1408"/>
      <c r="E137" s="1408"/>
      <c r="F137" s="1408"/>
      <c r="G137" s="1408"/>
      <c r="H137" s="1408"/>
      <c r="I137" s="1409"/>
    </row>
    <row r="138" spans="1:9" ht="15.75" customHeight="1" thickBot="1" x14ac:dyDescent="0.25">
      <c r="A138" s="1689" t="s">
        <v>554</v>
      </c>
      <c r="B138" s="1689" t="s">
        <v>555</v>
      </c>
      <c r="C138" s="1689" t="s">
        <v>41</v>
      </c>
      <c r="D138" s="1683" t="s">
        <v>511</v>
      </c>
      <c r="E138" s="1684"/>
      <c r="F138" s="1684"/>
      <c r="G138" s="1684"/>
      <c r="H138" s="1683" t="s">
        <v>556</v>
      </c>
      <c r="I138" s="1685"/>
    </row>
    <row r="139" spans="1:9" ht="15.75" customHeight="1" thickBot="1" x14ac:dyDescent="0.25">
      <c r="A139" s="1690"/>
      <c r="B139" s="1690"/>
      <c r="C139" s="1690"/>
      <c r="D139" s="321" t="s">
        <v>518</v>
      </c>
      <c r="E139" s="321" t="s">
        <v>41</v>
      </c>
      <c r="F139" s="321" t="s">
        <v>519</v>
      </c>
      <c r="G139" s="80" t="s">
        <v>520</v>
      </c>
      <c r="H139" s="321" t="s">
        <v>2422</v>
      </c>
      <c r="I139" s="323" t="s">
        <v>557</v>
      </c>
    </row>
    <row r="140" spans="1:9" ht="15.75" customHeight="1" thickBot="1" x14ac:dyDescent="0.25">
      <c r="A140" s="46" t="s">
        <v>2946</v>
      </c>
      <c r="B140" s="72">
        <f>CostCalc!B318*Inputs!F3</f>
        <v>1752.0524771504556</v>
      </c>
      <c r="C140" s="41"/>
      <c r="D140" s="50">
        <v>0.17799999999999999</v>
      </c>
      <c r="E140" s="41" t="s">
        <v>378</v>
      </c>
      <c r="F140" s="41">
        <v>2024</v>
      </c>
      <c r="G140" s="34"/>
      <c r="H140" s="335">
        <f>CAPEX!N$3/389.544</f>
        <v>1.0332234612778017</v>
      </c>
      <c r="I140" s="811">
        <f>H140*D140*B140</f>
        <v>322.22658701114977</v>
      </c>
    </row>
    <row r="141" spans="1:9" ht="15.75" customHeight="1" thickBot="1" x14ac:dyDescent="0.25">
      <c r="A141" s="1677" t="s">
        <v>526</v>
      </c>
      <c r="B141" s="1755"/>
      <c r="C141" s="1755"/>
      <c r="D141" s="1755"/>
      <c r="E141" s="1755"/>
      <c r="F141" s="1755"/>
      <c r="G141" s="1755"/>
      <c r="H141" s="1756"/>
      <c r="I141" s="812">
        <f>SUM(I140:I140)</f>
        <v>322.22658701114977</v>
      </c>
    </row>
    <row r="142" spans="1:9" ht="15.75" customHeight="1" thickBot="1" x14ac:dyDescent="0.25"/>
    <row r="143" spans="1:9" ht="15.75" customHeight="1" thickBot="1" x14ac:dyDescent="0.25">
      <c r="A143" s="1407" t="s">
        <v>558</v>
      </c>
      <c r="B143" s="1408"/>
      <c r="C143" s="1408"/>
      <c r="D143" s="1408"/>
      <c r="E143" s="1409"/>
    </row>
    <row r="144" spans="1:9" ht="15.75" customHeight="1" thickBot="1" x14ac:dyDescent="0.25">
      <c r="A144" s="322" t="s">
        <v>559</v>
      </c>
      <c r="B144" s="322" t="s">
        <v>516</v>
      </c>
      <c r="C144" s="322" t="s">
        <v>41</v>
      </c>
      <c r="D144" s="322" t="s">
        <v>2423</v>
      </c>
      <c r="E144" s="322" t="s">
        <v>557</v>
      </c>
    </row>
    <row r="145" spans="1:9" ht="15.75" customHeight="1" thickBot="1" x14ac:dyDescent="0.25">
      <c r="A145" s="35" t="s">
        <v>567</v>
      </c>
      <c r="B145" s="36">
        <v>3</v>
      </c>
      <c r="C145" s="36" t="s">
        <v>568</v>
      </c>
      <c r="D145" s="37">
        <v>150000</v>
      </c>
      <c r="E145" s="37">
        <f>D145*B145</f>
        <v>450000</v>
      </c>
    </row>
    <row r="146" spans="1:9" ht="15.75" customHeight="1" thickBot="1" x14ac:dyDescent="0.25">
      <c r="A146" s="35" t="s">
        <v>2468</v>
      </c>
      <c r="B146" s="36">
        <v>3</v>
      </c>
      <c r="C146" s="36" t="s">
        <v>568</v>
      </c>
      <c r="D146" s="37">
        <v>100000</v>
      </c>
      <c r="E146" s="37">
        <f>D146*B146</f>
        <v>300000</v>
      </c>
    </row>
    <row r="147" spans="1:9" ht="15.75" customHeight="1" thickBot="1" x14ac:dyDescent="0.25">
      <c r="A147" s="35" t="s">
        <v>570</v>
      </c>
      <c r="B147" s="36">
        <v>5</v>
      </c>
      <c r="C147" s="36" t="s">
        <v>568</v>
      </c>
      <c r="D147" s="37">
        <v>85000</v>
      </c>
      <c r="E147" s="37">
        <f>D147*B147</f>
        <v>425000</v>
      </c>
    </row>
    <row r="148" spans="1:9" ht="15.75" customHeight="1" thickBot="1" x14ac:dyDescent="0.25">
      <c r="A148" s="35" t="s">
        <v>571</v>
      </c>
      <c r="B148" s="36">
        <v>5</v>
      </c>
      <c r="C148" s="36" t="s">
        <v>568</v>
      </c>
      <c r="D148" s="37">
        <v>70000</v>
      </c>
      <c r="E148" s="37">
        <f>D148*B148</f>
        <v>350000</v>
      </c>
    </row>
    <row r="149" spans="1:9" ht="15.75" customHeight="1" thickBot="1" x14ac:dyDescent="0.25">
      <c r="A149" s="1757" t="s">
        <v>526</v>
      </c>
      <c r="B149" s="1758"/>
      <c r="C149" s="1758"/>
      <c r="D149" s="1759"/>
      <c r="E149" s="812">
        <f>SUM(E145:E148)</f>
        <v>1525000</v>
      </c>
    </row>
    <row r="150" spans="1:9" ht="15.75" customHeight="1" x14ac:dyDescent="0.2">
      <c r="A150" s="39"/>
      <c r="B150" s="39"/>
      <c r="C150" s="39"/>
      <c r="D150" s="81"/>
      <c r="E150" s="81"/>
    </row>
    <row r="151" spans="1:9" ht="15.75" customHeight="1" x14ac:dyDescent="0.2">
      <c r="A151" s="197"/>
      <c r="B151" s="197"/>
      <c r="C151" s="197"/>
      <c r="D151" s="197"/>
      <c r="E151" s="197"/>
      <c r="F151" s="197"/>
      <c r="G151" s="197"/>
      <c r="H151" s="197"/>
      <c r="I151" s="89"/>
    </row>
    <row r="152" spans="1:9" ht="15.75" customHeight="1" thickBot="1" x14ac:dyDescent="0.25"/>
    <row r="153" spans="1:9" ht="15.75" customHeight="1" x14ac:dyDescent="0.2">
      <c r="A153" s="1825" t="s">
        <v>1413</v>
      </c>
      <c r="B153" s="1826"/>
      <c r="C153" s="1826"/>
      <c r="D153" s="1338"/>
      <c r="E153" s="1338"/>
      <c r="F153" s="1338"/>
      <c r="G153" s="1338"/>
      <c r="H153" s="1338"/>
      <c r="I153" s="1339"/>
    </row>
    <row r="154" spans="1:9" ht="15.75" customHeight="1" thickBot="1" x14ac:dyDescent="0.25">
      <c r="A154" s="1828"/>
      <c r="B154" s="1829"/>
      <c r="C154" s="1829"/>
      <c r="D154" s="1340"/>
      <c r="E154" s="1340"/>
      <c r="F154" s="1340"/>
      <c r="G154" s="1340"/>
      <c r="H154" s="1340"/>
      <c r="I154" s="1341"/>
    </row>
    <row r="155" spans="1:9" ht="15.75" customHeight="1" thickBot="1" x14ac:dyDescent="0.25">
      <c r="A155" s="202"/>
      <c r="B155" s="203"/>
      <c r="C155" s="203"/>
      <c r="D155" s="203"/>
      <c r="E155" s="203"/>
      <c r="F155" s="203"/>
      <c r="G155" s="203"/>
      <c r="H155" s="203"/>
      <c r="I155" s="204"/>
    </row>
    <row r="156" spans="1:9" ht="15.75" customHeight="1" thickBot="1" x14ac:dyDescent="0.25">
      <c r="A156" s="1410" t="s">
        <v>553</v>
      </c>
      <c r="B156" s="1411"/>
      <c r="C156" s="1411"/>
      <c r="D156" s="1411"/>
      <c r="E156" s="1411"/>
      <c r="F156" s="1411"/>
      <c r="G156" s="1411"/>
      <c r="H156" s="1411"/>
      <c r="I156" s="1412"/>
    </row>
    <row r="157" spans="1:9" ht="15.75" customHeight="1" thickBot="1" x14ac:dyDescent="0.25">
      <c r="A157" s="1689" t="s">
        <v>554</v>
      </c>
      <c r="B157" s="1689" t="s">
        <v>555</v>
      </c>
      <c r="C157" s="1689" t="s">
        <v>41</v>
      </c>
      <c r="D157" s="1683" t="s">
        <v>511</v>
      </c>
      <c r="E157" s="1684"/>
      <c r="F157" s="1684"/>
      <c r="G157" s="1684"/>
      <c r="H157" s="1683" t="s">
        <v>556</v>
      </c>
      <c r="I157" s="1685"/>
    </row>
    <row r="158" spans="1:9" ht="15.75" customHeight="1" thickBot="1" x14ac:dyDescent="0.25">
      <c r="A158" s="1690"/>
      <c r="B158" s="1690"/>
      <c r="C158" s="1690"/>
      <c r="D158" s="321" t="s">
        <v>518</v>
      </c>
      <c r="E158" s="321" t="s">
        <v>41</v>
      </c>
      <c r="F158" s="321" t="s">
        <v>519</v>
      </c>
      <c r="G158" s="80" t="s">
        <v>520</v>
      </c>
      <c r="H158" s="321" t="s">
        <v>2422</v>
      </c>
      <c r="I158" s="323" t="s">
        <v>557</v>
      </c>
    </row>
    <row r="159" spans="1:9" ht="15.75" customHeight="1" thickBot="1" x14ac:dyDescent="0.25">
      <c r="A159" s="46" t="s">
        <v>2404</v>
      </c>
      <c r="B159" s="72">
        <f>CostCalc!B321*Inputs!F3</f>
        <v>436.04166666666669</v>
      </c>
      <c r="C159" s="41" t="s">
        <v>40</v>
      </c>
      <c r="D159" s="50">
        <v>0.17799999999999999</v>
      </c>
      <c r="E159" s="41" t="s">
        <v>378</v>
      </c>
      <c r="F159" s="41">
        <v>2024</v>
      </c>
      <c r="G159" s="34"/>
      <c r="H159" s="335">
        <f>CAPEX!N$3/389.544</f>
        <v>1.0332234612778017</v>
      </c>
      <c r="I159" s="811">
        <f>H159*D159*B159</f>
        <v>80.194069456852105</v>
      </c>
    </row>
    <row r="160" spans="1:9" ht="15.75" customHeight="1" thickBot="1" x14ac:dyDescent="0.25">
      <c r="A160" s="46" t="s">
        <v>2406</v>
      </c>
      <c r="B160" s="72">
        <f>CostCalc!B306*Inputs!F3</f>
        <v>377721.17039586912</v>
      </c>
      <c r="C160" s="41" t="s">
        <v>40</v>
      </c>
      <c r="D160" s="50">
        <v>0.17799999999999999</v>
      </c>
      <c r="E160" s="41" t="s">
        <v>378</v>
      </c>
      <c r="F160" s="41">
        <v>2024</v>
      </c>
      <c r="G160" s="34"/>
      <c r="H160" s="335">
        <f>CAPEX!N$3/389.544</f>
        <v>1.0332234612778017</v>
      </c>
      <c r="I160" s="811">
        <f>H160*D160*B160</f>
        <v>69468.126763229346</v>
      </c>
    </row>
    <row r="161" spans="1:9" ht="15.75" customHeight="1" thickBot="1" x14ac:dyDescent="0.25">
      <c r="A161" s="46" t="s">
        <v>2947</v>
      </c>
      <c r="B161" s="72">
        <f>CostCalc!B319*Inputs!F3</f>
        <v>1752.0524771504556</v>
      </c>
      <c r="C161" s="41" t="s">
        <v>566</v>
      </c>
      <c r="D161" s="50">
        <v>0.17799999999999999</v>
      </c>
      <c r="E161" s="41" t="s">
        <v>378</v>
      </c>
      <c r="F161" s="41">
        <v>2024</v>
      </c>
      <c r="G161" s="34"/>
      <c r="H161" s="335">
        <f>CAPEX!N$3/389.544</f>
        <v>1.0332234612778017</v>
      </c>
      <c r="I161" s="811">
        <f>H161*D161*B161</f>
        <v>322.22658701114977</v>
      </c>
    </row>
    <row r="162" spans="1:9" ht="15.75" customHeight="1" thickBot="1" x14ac:dyDescent="0.25">
      <c r="A162" s="1677" t="s">
        <v>526</v>
      </c>
      <c r="B162" s="1755"/>
      <c r="C162" s="1755"/>
      <c r="D162" s="1755"/>
      <c r="E162" s="1755"/>
      <c r="F162" s="1755"/>
      <c r="G162" s="1755"/>
      <c r="H162" s="1756"/>
      <c r="I162" s="812">
        <f>SUM(I159:I161)</f>
        <v>69870.547419697337</v>
      </c>
    </row>
    <row r="163" spans="1:9" ht="15.75" customHeight="1" thickBot="1" x14ac:dyDescent="0.25"/>
    <row r="164" spans="1:9" ht="15.75" customHeight="1" thickBot="1" x14ac:dyDescent="0.25">
      <c r="A164" s="1410" t="s">
        <v>558</v>
      </c>
      <c r="B164" s="1411"/>
      <c r="C164" s="1411"/>
      <c r="D164" s="1411"/>
      <c r="E164" s="1412"/>
    </row>
    <row r="165" spans="1:9" ht="15.75" customHeight="1" thickBot="1" x14ac:dyDescent="0.25">
      <c r="A165" s="322" t="s">
        <v>559</v>
      </c>
      <c r="B165" s="322" t="s">
        <v>516</v>
      </c>
      <c r="C165" s="322" t="s">
        <v>41</v>
      </c>
      <c r="D165" s="322" t="s">
        <v>2423</v>
      </c>
      <c r="E165" s="322" t="s">
        <v>557</v>
      </c>
    </row>
    <row r="166" spans="1:9" ht="15.75" customHeight="1" thickBot="1" x14ac:dyDescent="0.25">
      <c r="A166" s="35" t="s">
        <v>567</v>
      </c>
      <c r="B166" s="36">
        <v>3</v>
      </c>
      <c r="C166" s="36" t="s">
        <v>568</v>
      </c>
      <c r="D166" s="37">
        <v>150000</v>
      </c>
      <c r="E166" s="37">
        <f>D166*B166</f>
        <v>450000</v>
      </c>
    </row>
    <row r="167" spans="1:9" ht="15.75" customHeight="1" thickBot="1" x14ac:dyDescent="0.25">
      <c r="A167" s="35" t="s">
        <v>2468</v>
      </c>
      <c r="B167" s="36">
        <v>3</v>
      </c>
      <c r="C167" s="36" t="s">
        <v>568</v>
      </c>
      <c r="D167" s="37">
        <v>100000</v>
      </c>
      <c r="E167" s="37">
        <f>D167*B167</f>
        <v>300000</v>
      </c>
    </row>
    <row r="168" spans="1:9" ht="15.75" customHeight="1" thickBot="1" x14ac:dyDescent="0.25">
      <c r="A168" s="35" t="s">
        <v>570</v>
      </c>
      <c r="B168" s="36">
        <v>5</v>
      </c>
      <c r="C168" s="36" t="s">
        <v>568</v>
      </c>
      <c r="D168" s="37">
        <v>85000</v>
      </c>
      <c r="E168" s="37">
        <f>D168*B168</f>
        <v>425000</v>
      </c>
    </row>
    <row r="169" spans="1:9" ht="15.75" customHeight="1" thickBot="1" x14ac:dyDescent="0.25">
      <c r="A169" s="35" t="s">
        <v>571</v>
      </c>
      <c r="B169" s="36">
        <v>5</v>
      </c>
      <c r="C169" s="36" t="s">
        <v>568</v>
      </c>
      <c r="D169" s="37">
        <v>70000</v>
      </c>
      <c r="E169" s="37">
        <f>D169*B169</f>
        <v>350000</v>
      </c>
    </row>
    <row r="170" spans="1:9" ht="15.75" customHeight="1" thickBot="1" x14ac:dyDescent="0.25">
      <c r="A170" s="1757" t="s">
        <v>526</v>
      </c>
      <c r="B170" s="1758"/>
      <c r="C170" s="1758"/>
      <c r="D170" s="1759"/>
      <c r="E170" s="812">
        <f>SUM(E166:E169)</f>
        <v>1525000</v>
      </c>
    </row>
    <row r="171" spans="1:9" ht="15.75" customHeight="1" x14ac:dyDescent="0.2">
      <c r="A171" s="39"/>
      <c r="B171" s="39"/>
      <c r="C171" s="39"/>
      <c r="D171" s="81"/>
      <c r="E171" s="81"/>
    </row>
    <row r="172" spans="1:9" ht="15.75" customHeight="1" x14ac:dyDescent="0.2"/>
    <row r="173" spans="1:9" ht="15.75" customHeight="1" thickBot="1" x14ac:dyDescent="0.25"/>
    <row r="174" spans="1:9" ht="15.75" customHeight="1" x14ac:dyDescent="0.2">
      <c r="A174" s="1825" t="s">
        <v>1414</v>
      </c>
      <c r="B174" s="1826"/>
      <c r="C174" s="1826"/>
      <c r="D174" s="1338"/>
      <c r="E174" s="1338"/>
      <c r="F174" s="1338"/>
      <c r="G174" s="1338"/>
      <c r="H174" s="1338"/>
      <c r="I174" s="1339"/>
    </row>
    <row r="175" spans="1:9" ht="15.75" customHeight="1" thickBot="1" x14ac:dyDescent="0.25">
      <c r="A175" s="1828"/>
      <c r="B175" s="1829"/>
      <c r="C175" s="1829"/>
      <c r="D175" s="1340"/>
      <c r="E175" s="1340"/>
      <c r="F175" s="1340"/>
      <c r="G175" s="1340"/>
      <c r="H175" s="1340"/>
      <c r="I175" s="1341"/>
    </row>
    <row r="176" spans="1:9" ht="15.75" customHeight="1" thickBot="1" x14ac:dyDescent="0.25">
      <c r="A176" s="202"/>
      <c r="B176" s="203"/>
      <c r="C176" s="203"/>
      <c r="D176" s="203"/>
      <c r="E176" s="203"/>
      <c r="F176" s="203"/>
      <c r="G176" s="203"/>
      <c r="H176" s="203"/>
      <c r="I176" s="204"/>
    </row>
    <row r="177" spans="1:9" ht="15.75" customHeight="1" thickBot="1" x14ac:dyDescent="0.25">
      <c r="A177" s="1410" t="s">
        <v>553</v>
      </c>
      <c r="B177" s="1411"/>
      <c r="C177" s="1411"/>
      <c r="D177" s="1411"/>
      <c r="E177" s="1411"/>
      <c r="F177" s="1411"/>
      <c r="G177" s="1411"/>
      <c r="H177" s="1411"/>
      <c r="I177" s="1412"/>
    </row>
    <row r="178" spans="1:9" ht="15.75" customHeight="1" thickBot="1" x14ac:dyDescent="0.25">
      <c r="A178" s="1689" t="s">
        <v>554</v>
      </c>
      <c r="B178" s="1689" t="s">
        <v>555</v>
      </c>
      <c r="C178" s="1689" t="s">
        <v>41</v>
      </c>
      <c r="D178" s="1683" t="s">
        <v>511</v>
      </c>
      <c r="E178" s="1684"/>
      <c r="F178" s="1684"/>
      <c r="G178" s="1684"/>
      <c r="H178" s="1683" t="s">
        <v>556</v>
      </c>
      <c r="I178" s="1685"/>
    </row>
    <row r="179" spans="1:9" ht="15.75" customHeight="1" thickBot="1" x14ac:dyDescent="0.25">
      <c r="A179" s="1690"/>
      <c r="B179" s="1690"/>
      <c r="C179" s="1690"/>
      <c r="D179" s="321" t="s">
        <v>518</v>
      </c>
      <c r="E179" s="321" t="s">
        <v>41</v>
      </c>
      <c r="F179" s="321" t="s">
        <v>519</v>
      </c>
      <c r="G179" s="80" t="s">
        <v>520</v>
      </c>
      <c r="H179" s="321" t="s">
        <v>2422</v>
      </c>
      <c r="I179" s="323" t="s">
        <v>557</v>
      </c>
    </row>
    <row r="180" spans="1:9" ht="15.75" customHeight="1" thickBot="1" x14ac:dyDescent="0.25">
      <c r="A180" s="46" t="s">
        <v>2404</v>
      </c>
      <c r="B180" s="72">
        <f>CostCalc!B363*Inputs!F3</f>
        <v>3924.375</v>
      </c>
      <c r="C180" s="41" t="s">
        <v>40</v>
      </c>
      <c r="D180" s="50">
        <v>0.17799999999999999</v>
      </c>
      <c r="E180" s="41" t="s">
        <v>378</v>
      </c>
      <c r="F180" s="41">
        <v>2024</v>
      </c>
      <c r="G180" s="34"/>
      <c r="H180" s="335">
        <f>CAPEX!N$3/389.544</f>
        <v>1.0332234612778017</v>
      </c>
      <c r="I180" s="811">
        <f>H180*D180*B180</f>
        <v>721.746625111669</v>
      </c>
    </row>
    <row r="181" spans="1:9" ht="15.75" customHeight="1" thickBot="1" x14ac:dyDescent="0.25">
      <c r="A181" s="46" t="s">
        <v>2406</v>
      </c>
      <c r="B181" s="72">
        <f>CostCalc!B360*Inputs!F3</f>
        <v>3399490.5335628223</v>
      </c>
      <c r="C181" s="41" t="s">
        <v>40</v>
      </c>
      <c r="D181" s="50">
        <v>0.17799999999999999</v>
      </c>
      <c r="E181" s="41" t="s">
        <v>378</v>
      </c>
      <c r="F181" s="41">
        <v>2024</v>
      </c>
      <c r="G181" s="34"/>
      <c r="H181" s="335">
        <f>CAPEX!N$3/389.544</f>
        <v>1.0332234612778017</v>
      </c>
      <c r="I181" s="811">
        <f>H181*D181*B181</f>
        <v>625213.14086906414</v>
      </c>
    </row>
    <row r="182" spans="1:9" ht="15.75" customHeight="1" thickBot="1" x14ac:dyDescent="0.25">
      <c r="A182" s="46" t="s">
        <v>2387</v>
      </c>
      <c r="B182" s="72">
        <f>CostCalc!B361*Inputs!F3</f>
        <v>15768.472294354096</v>
      </c>
      <c r="C182" s="41" t="s">
        <v>40</v>
      </c>
      <c r="D182" s="50">
        <v>0.17799999999999999</v>
      </c>
      <c r="E182" s="41" t="s">
        <v>378</v>
      </c>
      <c r="F182" s="41">
        <v>2024</v>
      </c>
      <c r="G182" s="34"/>
      <c r="H182" s="335">
        <f>CAPEX!N$3/389.544</f>
        <v>1.0332234612778017</v>
      </c>
      <c r="I182" s="811">
        <f>H182*D182*B182</f>
        <v>2900.0392831003469</v>
      </c>
    </row>
    <row r="183" spans="1:9" ht="15.75" customHeight="1" thickBot="1" x14ac:dyDescent="0.25">
      <c r="A183" s="1677" t="s">
        <v>526</v>
      </c>
      <c r="B183" s="1755"/>
      <c r="C183" s="1755"/>
      <c r="D183" s="1755"/>
      <c r="E183" s="1755"/>
      <c r="F183" s="1755"/>
      <c r="G183" s="1755"/>
      <c r="H183" s="1756"/>
      <c r="I183" s="812">
        <f>SUM(I180:I182)</f>
        <v>628834.92677727621</v>
      </c>
    </row>
    <row r="184" spans="1:9" ht="15.75" customHeight="1" thickBot="1" x14ac:dyDescent="0.25"/>
    <row r="185" spans="1:9" ht="15.75" customHeight="1" thickBot="1" x14ac:dyDescent="0.25">
      <c r="A185" s="1410" t="s">
        <v>558</v>
      </c>
      <c r="B185" s="1411"/>
      <c r="C185" s="1411"/>
      <c r="D185" s="1411"/>
      <c r="E185" s="1412"/>
    </row>
    <row r="186" spans="1:9" ht="15.75" customHeight="1" thickBot="1" x14ac:dyDescent="0.25">
      <c r="A186" s="322" t="s">
        <v>559</v>
      </c>
      <c r="B186" s="322" t="s">
        <v>516</v>
      </c>
      <c r="C186" s="322" t="s">
        <v>41</v>
      </c>
      <c r="D186" s="322" t="s">
        <v>2423</v>
      </c>
      <c r="E186" s="322" t="s">
        <v>557</v>
      </c>
    </row>
    <row r="187" spans="1:9" ht="15.75" customHeight="1" thickBot="1" x14ac:dyDescent="0.25">
      <c r="A187" s="35" t="s">
        <v>567</v>
      </c>
      <c r="B187" s="36">
        <v>3</v>
      </c>
      <c r="C187" s="36" t="s">
        <v>568</v>
      </c>
      <c r="D187" s="37">
        <v>150000</v>
      </c>
      <c r="E187" s="37">
        <f>D187*B187</f>
        <v>450000</v>
      </c>
    </row>
    <row r="188" spans="1:9" ht="15.75" customHeight="1" thickBot="1" x14ac:dyDescent="0.25">
      <c r="A188" s="35" t="s">
        <v>2468</v>
      </c>
      <c r="B188" s="36">
        <v>3</v>
      </c>
      <c r="C188" s="36" t="s">
        <v>568</v>
      </c>
      <c r="D188" s="37">
        <v>100000</v>
      </c>
      <c r="E188" s="37">
        <f>D188*B188</f>
        <v>300000</v>
      </c>
    </row>
    <row r="189" spans="1:9" ht="15.75" customHeight="1" thickBot="1" x14ac:dyDescent="0.25">
      <c r="A189" s="35" t="s">
        <v>570</v>
      </c>
      <c r="B189" s="36">
        <v>5</v>
      </c>
      <c r="C189" s="36" t="s">
        <v>568</v>
      </c>
      <c r="D189" s="37">
        <v>85000</v>
      </c>
      <c r="E189" s="37">
        <f>D189*B189</f>
        <v>425000</v>
      </c>
    </row>
    <row r="190" spans="1:9" ht="15.75" customHeight="1" thickBot="1" x14ac:dyDescent="0.25">
      <c r="A190" s="35" t="s">
        <v>571</v>
      </c>
      <c r="B190" s="36">
        <v>5</v>
      </c>
      <c r="C190" s="36" t="s">
        <v>568</v>
      </c>
      <c r="D190" s="37">
        <v>70000</v>
      </c>
      <c r="E190" s="37">
        <f>D190*B190</f>
        <v>350000</v>
      </c>
    </row>
    <row r="191" spans="1:9" ht="15.75" customHeight="1" thickBot="1" x14ac:dyDescent="0.25">
      <c r="A191" s="1757" t="s">
        <v>526</v>
      </c>
      <c r="B191" s="1758"/>
      <c r="C191" s="1758"/>
      <c r="D191" s="1759"/>
      <c r="E191" s="812">
        <f>SUM(E187:E190)</f>
        <v>1525000</v>
      </c>
    </row>
    <row r="192" spans="1:9" ht="15.75" customHeight="1" x14ac:dyDescent="0.2">
      <c r="A192" s="39"/>
      <c r="B192" s="39"/>
      <c r="C192" s="39"/>
      <c r="D192" s="81"/>
      <c r="E192" s="81"/>
    </row>
    <row r="193" spans="1:9" ht="15.75" customHeight="1" x14ac:dyDescent="0.2">
      <c r="A193" s="208"/>
    </row>
    <row r="194" spans="1:9" ht="15.75" customHeight="1" thickBot="1" x14ac:dyDescent="0.25">
      <c r="A194" s="208"/>
    </row>
    <row r="195" spans="1:9" ht="15.75" customHeight="1" x14ac:dyDescent="0.2">
      <c r="A195" s="1763" t="s">
        <v>532</v>
      </c>
      <c r="B195" s="1764"/>
      <c r="C195" s="1764"/>
      <c r="D195" s="1413"/>
      <c r="E195" s="1413"/>
      <c r="F195" s="1413"/>
      <c r="G195" s="1413"/>
      <c r="H195" s="1413"/>
      <c r="I195" s="1414"/>
    </row>
    <row r="196" spans="1:9" ht="15.75" customHeight="1" thickBot="1" x14ac:dyDescent="0.25">
      <c r="A196" s="1766"/>
      <c r="B196" s="1767"/>
      <c r="C196" s="1767"/>
      <c r="D196" s="1415"/>
      <c r="E196" s="1415"/>
      <c r="F196" s="1415"/>
      <c r="G196" s="1415"/>
      <c r="H196" s="1415"/>
      <c r="I196" s="1416"/>
    </row>
    <row r="197" spans="1:9" ht="15.75" customHeight="1" thickBot="1" x14ac:dyDescent="0.25">
      <c r="A197" s="202"/>
      <c r="B197" s="203"/>
      <c r="C197" s="203"/>
      <c r="D197" s="203"/>
      <c r="E197" s="203"/>
      <c r="F197" s="203"/>
      <c r="G197" s="203"/>
      <c r="H197" s="203"/>
      <c r="I197" s="204"/>
    </row>
    <row r="198" spans="1:9" ht="15.75" customHeight="1" thickBot="1" x14ac:dyDescent="0.25">
      <c r="A198" s="1417" t="s">
        <v>553</v>
      </c>
      <c r="B198" s="1418"/>
      <c r="C198" s="1418"/>
      <c r="D198" s="1418"/>
      <c r="E198" s="1418"/>
      <c r="F198" s="1418"/>
      <c r="G198" s="1418"/>
      <c r="H198" s="1418"/>
      <c r="I198" s="1419"/>
    </row>
    <row r="199" spans="1:9" ht="15.75" customHeight="1" thickBot="1" x14ac:dyDescent="0.25">
      <c r="A199" s="1689" t="s">
        <v>554</v>
      </c>
      <c r="B199" s="1689" t="s">
        <v>555</v>
      </c>
      <c r="C199" s="1689" t="s">
        <v>41</v>
      </c>
      <c r="D199" s="1683" t="s">
        <v>511</v>
      </c>
      <c r="E199" s="1684"/>
      <c r="F199" s="1684"/>
      <c r="G199" s="1685"/>
      <c r="H199" s="1683" t="s">
        <v>556</v>
      </c>
      <c r="I199" s="1685"/>
    </row>
    <row r="200" spans="1:9" ht="15.75" customHeight="1" thickBot="1" x14ac:dyDescent="0.25">
      <c r="A200" s="1690"/>
      <c r="B200" s="1690"/>
      <c r="C200" s="1690"/>
      <c r="D200" s="321" t="s">
        <v>518</v>
      </c>
      <c r="E200" s="321" t="s">
        <v>41</v>
      </c>
      <c r="F200" s="321" t="s">
        <v>519</v>
      </c>
      <c r="G200" s="321" t="s">
        <v>520</v>
      </c>
      <c r="H200" s="321" t="s">
        <v>2422</v>
      </c>
      <c r="I200" s="323" t="s">
        <v>557</v>
      </c>
    </row>
    <row r="201" spans="1:9" ht="15.75" customHeight="1" thickBot="1" x14ac:dyDescent="0.25">
      <c r="A201" s="326" t="s">
        <v>2402</v>
      </c>
      <c r="B201" s="82">
        <f ca="1">CostCalc!B381*Inputs!F3</f>
        <v>381604.69667318981</v>
      </c>
      <c r="C201" s="40" t="s">
        <v>40</v>
      </c>
      <c r="D201" s="50">
        <v>0.17799999999999999</v>
      </c>
      <c r="E201" s="41" t="s">
        <v>378</v>
      </c>
      <c r="F201" s="41">
        <v>2024</v>
      </c>
      <c r="G201" s="34"/>
      <c r="H201" s="335">
        <f>CAPEX!N$3/389.544</f>
        <v>1.0332234612778017</v>
      </c>
      <c r="I201" s="814">
        <f ca="1">H201*D201*B201</f>
        <v>70182.360745503902</v>
      </c>
    </row>
    <row r="202" spans="1:9" ht="15.75" customHeight="1" thickBot="1" x14ac:dyDescent="0.25">
      <c r="A202" s="327" t="s">
        <v>2387</v>
      </c>
      <c r="B202" s="84">
        <f>CostCalc!B361*Inputs!F3</f>
        <v>15768.472294354096</v>
      </c>
      <c r="C202" s="85" t="s">
        <v>40</v>
      </c>
      <c r="D202" s="87">
        <v>0.17799999999999999</v>
      </c>
      <c r="E202" s="41" t="s">
        <v>378</v>
      </c>
      <c r="F202" s="41">
        <v>2024</v>
      </c>
      <c r="G202" s="34"/>
      <c r="H202" s="335">
        <f>CAPEX!N$3/389.544</f>
        <v>1.0332234612778017</v>
      </c>
      <c r="I202" s="815">
        <f>H202*D202*B202</f>
        <v>2900.0392831003469</v>
      </c>
    </row>
    <row r="203" spans="1:9" ht="15.75" customHeight="1" thickBot="1" x14ac:dyDescent="0.25">
      <c r="A203" s="327" t="s">
        <v>2401</v>
      </c>
      <c r="B203" s="84">
        <f ca="1">ExpBase!E388*Inputs!F3</f>
        <v>23157.303370786518</v>
      </c>
      <c r="C203" s="85" t="s">
        <v>1522</v>
      </c>
      <c r="D203" s="86">
        <f>3441.6/1000</f>
        <v>3.4415999999999998</v>
      </c>
      <c r="E203" s="320" t="s">
        <v>14</v>
      </c>
      <c r="F203" s="320">
        <v>2000</v>
      </c>
      <c r="G203" s="77"/>
      <c r="H203" s="335">
        <f>CAPEX!N$3/307.8</f>
        <v>1.3076218323586744</v>
      </c>
      <c r="I203" s="815">
        <f ca="1">H203*D203*B203</f>
        <v>104215.07399645179</v>
      </c>
    </row>
    <row r="204" spans="1:9" ht="15.75" customHeight="1" thickBot="1" x14ac:dyDescent="0.25">
      <c r="A204" s="1677" t="s">
        <v>526</v>
      </c>
      <c r="B204" s="1678"/>
      <c r="C204" s="1678"/>
      <c r="D204" s="1678"/>
      <c r="E204" s="1678"/>
      <c r="F204" s="1678"/>
      <c r="G204" s="1678"/>
      <c r="H204" s="1679"/>
      <c r="I204" s="812">
        <f ca="1">SUM(I201:I203)</f>
        <v>177297.47402505603</v>
      </c>
    </row>
    <row r="205" spans="1:9" ht="15.75" customHeight="1" x14ac:dyDescent="0.2"/>
    <row r="206" spans="1:9" ht="15.75" customHeight="1" x14ac:dyDescent="0.2">
      <c r="A206" s="208"/>
    </row>
    <row r="207" spans="1:9" ht="15.75" customHeight="1" thickBot="1" x14ac:dyDescent="0.25">
      <c r="A207" s="208"/>
    </row>
    <row r="208" spans="1:9" ht="15.75" customHeight="1" x14ac:dyDescent="0.2">
      <c r="A208" s="1819" t="s">
        <v>1561</v>
      </c>
      <c r="B208" s="1820"/>
      <c r="C208" s="1342"/>
      <c r="D208" s="1342"/>
      <c r="E208" s="1342"/>
      <c r="F208" s="1342"/>
      <c r="G208" s="1342"/>
      <c r="H208" s="1342"/>
      <c r="I208" s="1343"/>
    </row>
    <row r="209" spans="1:9" ht="15.75" customHeight="1" thickBot="1" x14ac:dyDescent="0.25">
      <c r="A209" s="1822"/>
      <c r="B209" s="1823"/>
      <c r="C209" s="1344"/>
      <c r="D209" s="1344"/>
      <c r="E209" s="1344"/>
      <c r="F209" s="1344"/>
      <c r="G209" s="1344"/>
      <c r="H209" s="1344"/>
      <c r="I209" s="1345"/>
    </row>
    <row r="210" spans="1:9" ht="15.75" customHeight="1" thickBot="1" x14ac:dyDescent="0.25">
      <c r="A210" s="202"/>
      <c r="B210" s="203"/>
      <c r="C210" s="203"/>
      <c r="D210" s="203"/>
      <c r="E210" s="203"/>
      <c r="F210" s="203"/>
      <c r="G210" s="203"/>
      <c r="H210" s="203"/>
      <c r="I210" s="204"/>
    </row>
    <row r="211" spans="1:9" ht="15.75" customHeight="1" thickBot="1" x14ac:dyDescent="0.25">
      <c r="A211" s="1420" t="s">
        <v>553</v>
      </c>
      <c r="B211" s="1421"/>
      <c r="C211" s="1421"/>
      <c r="D211" s="1421"/>
      <c r="E211" s="1421"/>
      <c r="F211" s="1421"/>
      <c r="G211" s="1421"/>
      <c r="H211" s="1421"/>
      <c r="I211" s="1422"/>
    </row>
    <row r="212" spans="1:9" ht="15.75" customHeight="1" thickBot="1" x14ac:dyDescent="0.25">
      <c r="A212" s="1689" t="s">
        <v>554</v>
      </c>
      <c r="B212" s="1689" t="s">
        <v>555</v>
      </c>
      <c r="C212" s="1689" t="s">
        <v>41</v>
      </c>
      <c r="D212" s="1683" t="s">
        <v>511</v>
      </c>
      <c r="E212" s="1684"/>
      <c r="F212" s="1684"/>
      <c r="G212" s="1684"/>
      <c r="H212" s="1683" t="s">
        <v>556</v>
      </c>
      <c r="I212" s="1685"/>
    </row>
    <row r="213" spans="1:9" ht="15.75" customHeight="1" thickBot="1" x14ac:dyDescent="0.25">
      <c r="A213" s="1690"/>
      <c r="B213" s="1690"/>
      <c r="C213" s="1690"/>
      <c r="D213" s="321" t="s">
        <v>518</v>
      </c>
      <c r="E213" s="321" t="s">
        <v>41</v>
      </c>
      <c r="F213" s="321" t="s">
        <v>519</v>
      </c>
      <c r="G213" s="80" t="s">
        <v>520</v>
      </c>
      <c r="H213" s="321" t="s">
        <v>2422</v>
      </c>
      <c r="I213" s="323" t="s">
        <v>557</v>
      </c>
    </row>
    <row r="214" spans="1:9" ht="15.75" customHeight="1" thickBot="1" x14ac:dyDescent="0.25">
      <c r="A214" s="46" t="s">
        <v>2410</v>
      </c>
      <c r="B214" s="72">
        <f ca="1">CostCalc!B399*Inputs!F3</f>
        <v>10283.136870231585</v>
      </c>
      <c r="C214" s="41" t="s">
        <v>40</v>
      </c>
      <c r="D214" s="50">
        <v>0.17799999999999999</v>
      </c>
      <c r="E214" s="41" t="s">
        <v>378</v>
      </c>
      <c r="F214" s="41">
        <v>2024</v>
      </c>
      <c r="G214" s="34"/>
      <c r="H214" s="335">
        <f>CAPEX!N$3/389.544</f>
        <v>1.0332234612778017</v>
      </c>
      <c r="I214" s="811">
        <f t="shared" ref="I214:I219" ca="1" si="3">H214*D214*B214</f>
        <v>1891.2105320340224</v>
      </c>
    </row>
    <row r="215" spans="1:9" ht="15.75" customHeight="1" thickBot="1" x14ac:dyDescent="0.25">
      <c r="A215" s="46" t="s">
        <v>2411</v>
      </c>
      <c r="B215" s="72">
        <f ca="1">CostCalc!B404*Inputs!F3</f>
        <v>825.8408383418265</v>
      </c>
      <c r="C215" s="41" t="s">
        <v>40</v>
      </c>
      <c r="D215" s="50">
        <v>0.17799999999999999</v>
      </c>
      <c r="E215" s="41" t="s">
        <v>378</v>
      </c>
      <c r="F215" s="41">
        <v>2024</v>
      </c>
      <c r="G215" s="34"/>
      <c r="H215" s="335">
        <f>CAPEX!N$3/389.544</f>
        <v>1.0332234612778017</v>
      </c>
      <c r="I215" s="811">
        <f t="shared" ca="1" si="3"/>
        <v>151.8835070431864</v>
      </c>
    </row>
    <row r="216" spans="1:9" ht="15.75" customHeight="1" thickBot="1" x14ac:dyDescent="0.25">
      <c r="A216" s="46" t="s">
        <v>2412</v>
      </c>
      <c r="B216" s="72">
        <f ca="1">CostCalc!B405*Inputs!F3</f>
        <v>30988.888454333082</v>
      </c>
      <c r="C216" s="41" t="s">
        <v>566</v>
      </c>
      <c r="D216" s="50">
        <v>0.17799999999999999</v>
      </c>
      <c r="E216" s="41" t="s">
        <v>378</v>
      </c>
      <c r="F216" s="41">
        <v>2024</v>
      </c>
      <c r="G216" s="34"/>
      <c r="H216" s="335">
        <f>CAPEX!N$3/389.544</f>
        <v>1.0332234612778017</v>
      </c>
      <c r="I216" s="811">
        <f t="shared" ca="1" si="3"/>
        <v>5699.2834930089166</v>
      </c>
    </row>
    <row r="217" spans="1:9" ht="15.75" customHeight="1" thickBot="1" x14ac:dyDescent="0.25">
      <c r="A217" s="46" t="s">
        <v>2413</v>
      </c>
      <c r="B217" s="72">
        <f ca="1">CostCalc!B406*Inputs!F3</f>
        <v>3626.2158309533625</v>
      </c>
      <c r="C217" s="41" t="s">
        <v>40</v>
      </c>
      <c r="D217" s="50">
        <v>0.17799999999999999</v>
      </c>
      <c r="E217" s="41" t="s">
        <v>378</v>
      </c>
      <c r="F217" s="41">
        <v>2024</v>
      </c>
      <c r="G217" s="34"/>
      <c r="H217" s="335">
        <f>CAPEX!N$3/389.544</f>
        <v>1.0332234612778017</v>
      </c>
      <c r="I217" s="811">
        <f t="shared" ca="1" si="3"/>
        <v>666.91104645124267</v>
      </c>
    </row>
    <row r="218" spans="1:9" ht="15.75" customHeight="1" thickBot="1" x14ac:dyDescent="0.25">
      <c r="A218" s="46" t="s">
        <v>2933</v>
      </c>
      <c r="B218" s="72">
        <f ca="1">CostCalc!B401*Inputs!F3</f>
        <v>4737.9866642273028</v>
      </c>
      <c r="C218" s="41" t="s">
        <v>40</v>
      </c>
      <c r="D218" s="50">
        <v>0.17799999999999999</v>
      </c>
      <c r="E218" s="41" t="s">
        <v>378</v>
      </c>
      <c r="F218" s="41">
        <v>2024</v>
      </c>
      <c r="G218" s="34"/>
      <c r="H218" s="335">
        <f>CAPEX!N$3/389.544</f>
        <v>1.0332234612778017</v>
      </c>
      <c r="I218" s="811">
        <f t="shared" ca="1" si="3"/>
        <v>871.38101856477783</v>
      </c>
    </row>
    <row r="219" spans="1:9" ht="15.75" customHeight="1" thickBot="1" x14ac:dyDescent="0.25">
      <c r="A219" s="46" t="s">
        <v>2415</v>
      </c>
      <c r="B219" s="72">
        <f ca="1">CostCalc!B407*Inputs!F3</f>
        <v>3626.2158309533625</v>
      </c>
      <c r="C219" s="41" t="s">
        <v>40</v>
      </c>
      <c r="D219" s="50">
        <v>0.17799999999999999</v>
      </c>
      <c r="E219" s="41" t="s">
        <v>378</v>
      </c>
      <c r="F219" s="41">
        <v>2024</v>
      </c>
      <c r="G219" s="34"/>
      <c r="H219" s="335">
        <f>CAPEX!N$3/389.544</f>
        <v>1.0332234612778017</v>
      </c>
      <c r="I219" s="811">
        <f t="shared" ca="1" si="3"/>
        <v>666.91104645124267</v>
      </c>
    </row>
    <row r="220" spans="1:9" ht="15.75" customHeight="1" thickBot="1" x14ac:dyDescent="0.25">
      <c r="A220" s="1677" t="s">
        <v>526</v>
      </c>
      <c r="B220" s="1755"/>
      <c r="C220" s="1755"/>
      <c r="D220" s="1755"/>
      <c r="E220" s="1755"/>
      <c r="F220" s="1755"/>
      <c r="G220" s="1755"/>
      <c r="H220" s="1756"/>
      <c r="I220" s="812">
        <f ca="1">SUM(I214:I219)</f>
        <v>9947.5806435533905</v>
      </c>
    </row>
    <row r="221" spans="1:9" ht="15.75" customHeight="1" thickBot="1" x14ac:dyDescent="0.25"/>
    <row r="222" spans="1:9" ht="15.75" customHeight="1" thickBot="1" x14ac:dyDescent="0.25">
      <c r="A222" s="1420" t="s">
        <v>558</v>
      </c>
      <c r="B222" s="1421"/>
      <c r="C222" s="1421"/>
      <c r="D222" s="1421"/>
      <c r="E222" s="1422"/>
    </row>
    <row r="223" spans="1:9" ht="15.75" customHeight="1" thickBot="1" x14ac:dyDescent="0.25">
      <c r="A223" s="322" t="s">
        <v>559</v>
      </c>
      <c r="B223" s="322" t="s">
        <v>516</v>
      </c>
      <c r="C223" s="322" t="s">
        <v>41</v>
      </c>
      <c r="D223" s="322" t="s">
        <v>2423</v>
      </c>
      <c r="E223" s="322" t="s">
        <v>557</v>
      </c>
    </row>
    <row r="224" spans="1:9" ht="15.75" customHeight="1" thickBot="1" x14ac:dyDescent="0.25">
      <c r="A224" s="35" t="s">
        <v>567</v>
      </c>
      <c r="B224" s="36">
        <v>1</v>
      </c>
      <c r="C224" s="36" t="s">
        <v>568</v>
      </c>
      <c r="D224" s="37">
        <v>150000</v>
      </c>
      <c r="E224" s="37">
        <f>D224*B224</f>
        <v>150000</v>
      </c>
    </row>
    <row r="225" spans="1:9" ht="15.75" customHeight="1" thickBot="1" x14ac:dyDescent="0.25">
      <c r="A225" s="35" t="s">
        <v>2468</v>
      </c>
      <c r="B225" s="36">
        <v>1</v>
      </c>
      <c r="C225" s="36" t="s">
        <v>568</v>
      </c>
      <c r="D225" s="37">
        <v>100000</v>
      </c>
      <c r="E225" s="37">
        <f>D225*B225</f>
        <v>100000</v>
      </c>
    </row>
    <row r="226" spans="1:9" ht="15.75" customHeight="1" thickBot="1" x14ac:dyDescent="0.25">
      <c r="A226" s="35" t="s">
        <v>570</v>
      </c>
      <c r="B226" s="36">
        <v>2</v>
      </c>
      <c r="C226" s="36" t="s">
        <v>568</v>
      </c>
      <c r="D226" s="37">
        <v>85000</v>
      </c>
      <c r="E226" s="37">
        <f>D226*B226</f>
        <v>170000</v>
      </c>
    </row>
    <row r="227" spans="1:9" ht="15.75" customHeight="1" thickBot="1" x14ac:dyDescent="0.25">
      <c r="A227" s="35" t="s">
        <v>571</v>
      </c>
      <c r="B227" s="36">
        <v>3</v>
      </c>
      <c r="C227" s="36" t="s">
        <v>568</v>
      </c>
      <c r="D227" s="37">
        <v>70000</v>
      </c>
      <c r="E227" s="37">
        <f>D227*B227</f>
        <v>210000</v>
      </c>
    </row>
    <row r="228" spans="1:9" ht="15.75" customHeight="1" thickBot="1" x14ac:dyDescent="0.25">
      <c r="A228" s="1757" t="s">
        <v>526</v>
      </c>
      <c r="B228" s="1758"/>
      <c r="C228" s="1758"/>
      <c r="D228" s="1759"/>
      <c r="E228" s="812">
        <f>SUM(E224:E227)</f>
        <v>630000</v>
      </c>
    </row>
    <row r="229" spans="1:9" ht="15.75" customHeight="1" x14ac:dyDescent="0.2">
      <c r="A229" s="39"/>
      <c r="B229" s="39"/>
      <c r="C229" s="39"/>
      <c r="D229" s="81"/>
      <c r="E229" s="81"/>
    </row>
    <row r="230" spans="1:9" ht="15.75" customHeight="1" x14ac:dyDescent="0.2"/>
    <row r="231" spans="1:9" ht="15.75" customHeight="1" thickBot="1" x14ac:dyDescent="0.25"/>
    <row r="232" spans="1:9" ht="15.75" customHeight="1" x14ac:dyDescent="0.2">
      <c r="A232" s="1831" t="s">
        <v>1874</v>
      </c>
      <c r="B232" s="1832"/>
      <c r="C232" s="1346"/>
      <c r="D232" s="1346"/>
      <c r="E232" s="1346"/>
      <c r="F232" s="1346"/>
      <c r="G232" s="1346"/>
      <c r="H232" s="1346"/>
      <c r="I232" s="1347"/>
    </row>
    <row r="233" spans="1:9" ht="15.75" customHeight="1" thickBot="1" x14ac:dyDescent="0.25">
      <c r="A233" s="1834"/>
      <c r="B233" s="1835"/>
      <c r="C233" s="1348"/>
      <c r="D233" s="1348"/>
      <c r="E233" s="1348"/>
      <c r="F233" s="1348"/>
      <c r="G233" s="1348"/>
      <c r="H233" s="1348"/>
      <c r="I233" s="1349"/>
    </row>
    <row r="234" spans="1:9" ht="15.75" customHeight="1" thickBot="1" x14ac:dyDescent="0.25">
      <c r="A234" s="202"/>
      <c r="B234" s="203"/>
      <c r="C234" s="203"/>
      <c r="D234" s="203"/>
      <c r="E234" s="203"/>
      <c r="F234" s="203"/>
      <c r="G234" s="203"/>
      <c r="H234" s="203"/>
      <c r="I234" s="204"/>
    </row>
    <row r="235" spans="1:9" ht="15.75" customHeight="1" thickBot="1" x14ac:dyDescent="0.25">
      <c r="A235" s="1423" t="s">
        <v>553</v>
      </c>
      <c r="B235" s="1424"/>
      <c r="C235" s="1424"/>
      <c r="D235" s="1424"/>
      <c r="E235" s="1424"/>
      <c r="F235" s="1424"/>
      <c r="G235" s="1424"/>
      <c r="H235" s="1424"/>
      <c r="I235" s="1425"/>
    </row>
    <row r="236" spans="1:9" ht="15.75" customHeight="1" thickBot="1" x14ac:dyDescent="0.25">
      <c r="A236" s="1689" t="s">
        <v>554</v>
      </c>
      <c r="B236" s="1689" t="s">
        <v>555</v>
      </c>
      <c r="C236" s="1689" t="s">
        <v>41</v>
      </c>
      <c r="D236" s="1683" t="s">
        <v>511</v>
      </c>
      <c r="E236" s="1684"/>
      <c r="F236" s="1685"/>
      <c r="G236" s="1683" t="s">
        <v>556</v>
      </c>
      <c r="H236" s="1684"/>
      <c r="I236" s="1685"/>
    </row>
    <row r="237" spans="1:9" ht="15.75" customHeight="1" thickBot="1" x14ac:dyDescent="0.25">
      <c r="A237" s="1690"/>
      <c r="B237" s="1690"/>
      <c r="C237" s="1690"/>
      <c r="D237" s="321" t="s">
        <v>518</v>
      </c>
      <c r="E237" s="321" t="s">
        <v>41</v>
      </c>
      <c r="F237" s="321" t="s">
        <v>519</v>
      </c>
      <c r="G237" s="321" t="s">
        <v>520</v>
      </c>
      <c r="H237" s="321" t="s">
        <v>2422</v>
      </c>
      <c r="I237" s="322" t="s">
        <v>557</v>
      </c>
    </row>
    <row r="238" spans="1:9" ht="15.75" customHeight="1" thickBot="1" x14ac:dyDescent="0.25">
      <c r="A238" s="46" t="s">
        <v>2407</v>
      </c>
      <c r="B238" s="72">
        <f ca="1">CostCalc!B446*Inputs!F3</f>
        <v>3351.7453421553146</v>
      </c>
      <c r="C238" s="41" t="s">
        <v>40</v>
      </c>
      <c r="D238" s="50">
        <v>0.17799999999999999</v>
      </c>
      <c r="E238" s="41" t="s">
        <v>378</v>
      </c>
      <c r="F238" s="41">
        <v>2024</v>
      </c>
      <c r="G238" s="34"/>
      <c r="H238" s="335">
        <f>CAPEX!N$3/389.544</f>
        <v>1.0332234612778017</v>
      </c>
      <c r="I238" s="816" cm="1">
        <f t="array" aca="1" ref="I238:I242" ca="1">H238:H242*D238:D242*B238:B242</f>
        <v>616.43214242633655</v>
      </c>
    </row>
    <row r="239" spans="1:9" ht="15.75" customHeight="1" thickBot="1" x14ac:dyDescent="0.25">
      <c r="A239" s="46" t="s">
        <v>2408</v>
      </c>
      <c r="B239" s="72">
        <f>CostCalc!B447*Inputs!F3</f>
        <v>1668.6214068099575</v>
      </c>
      <c r="C239" s="41" t="s">
        <v>40</v>
      </c>
      <c r="D239" s="50">
        <v>0.17799999999999999</v>
      </c>
      <c r="E239" s="41" t="s">
        <v>378</v>
      </c>
      <c r="F239" s="41">
        <v>2024</v>
      </c>
      <c r="G239" s="34"/>
      <c r="H239" s="335">
        <f>CAPEX!N$3/389.544</f>
        <v>1.0332234612778017</v>
      </c>
      <c r="I239" s="816">
        <f ca="1"/>
        <v>306.88246382014256</v>
      </c>
    </row>
    <row r="240" spans="1:9" ht="15.75" customHeight="1" thickBot="1" x14ac:dyDescent="0.25">
      <c r="A240" s="46" t="s">
        <v>2409</v>
      </c>
      <c r="B240" s="72">
        <f ca="1">CostCalc!B448*Inputs!F3</f>
        <v>29513.227099364842</v>
      </c>
      <c r="C240" s="41" t="s">
        <v>40</v>
      </c>
      <c r="D240" s="50">
        <v>0.17799999999999999</v>
      </c>
      <c r="E240" s="41" t="s">
        <v>378</v>
      </c>
      <c r="F240" s="41">
        <v>2024</v>
      </c>
      <c r="G240" s="34"/>
      <c r="H240" s="335">
        <f>CAPEX!N$3/389.544</f>
        <v>1.0332234612778017</v>
      </c>
      <c r="I240" s="816">
        <f ca="1"/>
        <v>5427.889040960873</v>
      </c>
    </row>
    <row r="241" spans="1:9" ht="15.75" customHeight="1" thickBot="1" x14ac:dyDescent="0.25">
      <c r="A241" s="46" t="s">
        <v>2406</v>
      </c>
      <c r="B241" s="72">
        <f ca="1">CostCalc!B434*Inputs!F3</f>
        <v>4644162.507031667</v>
      </c>
      <c r="C241" s="41" t="s">
        <v>40</v>
      </c>
      <c r="D241" s="50">
        <v>0.17799999999999999</v>
      </c>
      <c r="E241" s="41" t="s">
        <v>378</v>
      </c>
      <c r="F241" s="41">
        <v>2024</v>
      </c>
      <c r="G241" s="34"/>
      <c r="H241" s="335">
        <f>CAPEX!N$3/389.544</f>
        <v>1.0332234612778017</v>
      </c>
      <c r="I241" s="816">
        <f ca="1"/>
        <v>854125.4635248296</v>
      </c>
    </row>
    <row r="242" spans="1:9" ht="15.75" customHeight="1" thickBot="1" x14ac:dyDescent="0.25">
      <c r="A242" s="46" t="s">
        <v>2386</v>
      </c>
      <c r="B242" s="72">
        <f ca="1">CostCalc!B450*Inputs!F3</f>
        <v>2904.051944914218</v>
      </c>
      <c r="C242" s="41" t="s">
        <v>40</v>
      </c>
      <c r="D242" s="50">
        <v>0.17799999999999999</v>
      </c>
      <c r="E242" s="41" t="s">
        <v>378</v>
      </c>
      <c r="F242" s="41">
        <v>2024</v>
      </c>
      <c r="G242" s="34"/>
      <c r="H242" s="335">
        <f>CAPEX!N$3/389.544</f>
        <v>1.0332234612778017</v>
      </c>
      <c r="I242" s="816">
        <f ca="1"/>
        <v>534.09515920135436</v>
      </c>
    </row>
    <row r="243" spans="1:9" ht="15.75" customHeight="1" thickBot="1" x14ac:dyDescent="0.25">
      <c r="A243" s="1677" t="s">
        <v>526</v>
      </c>
      <c r="B243" s="1678"/>
      <c r="C243" s="1678"/>
      <c r="D243" s="1678"/>
      <c r="E243" s="1678"/>
      <c r="F243" s="1678"/>
      <c r="G243" s="1678"/>
      <c r="H243" s="1679"/>
      <c r="I243" s="817">
        <f ca="1">SUM(_xlfn.ANCHORARRAY(I238))</f>
        <v>861010.76233123825</v>
      </c>
    </row>
    <row r="244" spans="1:9" ht="15.75" customHeight="1" thickBot="1" x14ac:dyDescent="0.25"/>
    <row r="245" spans="1:9" ht="15.75" customHeight="1" thickBot="1" x14ac:dyDescent="0.25">
      <c r="A245" s="1423" t="s">
        <v>558</v>
      </c>
      <c r="B245" s="1424"/>
      <c r="C245" s="1424"/>
      <c r="D245" s="1424"/>
      <c r="E245" s="1425"/>
    </row>
    <row r="246" spans="1:9" ht="15.75" customHeight="1" thickBot="1" x14ac:dyDescent="0.25">
      <c r="A246" s="322" t="s">
        <v>559</v>
      </c>
      <c r="B246" s="322" t="s">
        <v>516</v>
      </c>
      <c r="C246" s="322" t="s">
        <v>41</v>
      </c>
      <c r="D246" s="322" t="s">
        <v>2423</v>
      </c>
      <c r="E246" s="322" t="s">
        <v>557</v>
      </c>
    </row>
    <row r="247" spans="1:9" ht="15.75" customHeight="1" thickBot="1" x14ac:dyDescent="0.25">
      <c r="A247" s="35" t="s">
        <v>567</v>
      </c>
      <c r="B247" s="36">
        <v>1</v>
      </c>
      <c r="C247" s="41" t="s">
        <v>568</v>
      </c>
      <c r="D247" s="37">
        <v>150000</v>
      </c>
      <c r="E247" s="43" cm="1">
        <f t="array" ref="E247:E250">D247:D250*B247:B250</f>
        <v>150000</v>
      </c>
    </row>
    <row r="248" spans="1:9" ht="15.75" customHeight="1" thickBot="1" x14ac:dyDescent="0.25">
      <c r="A248" s="35" t="s">
        <v>2468</v>
      </c>
      <c r="B248" s="36">
        <v>1</v>
      </c>
      <c r="C248" s="41" t="s">
        <v>568</v>
      </c>
      <c r="D248" s="37">
        <v>100000</v>
      </c>
      <c r="E248" s="43">
        <v>100000</v>
      </c>
    </row>
    <row r="249" spans="1:9" ht="15.75" customHeight="1" thickBot="1" x14ac:dyDescent="0.25">
      <c r="A249" s="35" t="s">
        <v>570</v>
      </c>
      <c r="B249" s="36">
        <v>2</v>
      </c>
      <c r="C249" s="41" t="s">
        <v>568</v>
      </c>
      <c r="D249" s="37">
        <v>85000</v>
      </c>
      <c r="E249" s="43">
        <v>170000</v>
      </c>
    </row>
    <row r="250" spans="1:9" ht="15.75" customHeight="1" thickBot="1" x14ac:dyDescent="0.25">
      <c r="A250" s="35" t="s">
        <v>571</v>
      </c>
      <c r="B250" s="36">
        <v>3</v>
      </c>
      <c r="C250" s="41" t="s">
        <v>568</v>
      </c>
      <c r="D250" s="37">
        <v>70000</v>
      </c>
      <c r="E250" s="43">
        <v>210000</v>
      </c>
    </row>
    <row r="251" spans="1:9" ht="15.75" customHeight="1" thickBot="1" x14ac:dyDescent="0.25">
      <c r="A251" s="1753" t="s">
        <v>526</v>
      </c>
      <c r="B251" s="1754"/>
      <c r="C251" s="1754"/>
      <c r="D251" s="1754"/>
      <c r="E251" s="78">
        <f>SUM(_xlfn.ANCHORARRAY(E247))</f>
        <v>630000</v>
      </c>
    </row>
    <row r="252" spans="1:9" ht="15.75" customHeight="1" x14ac:dyDescent="0.2"/>
    <row r="253" spans="1:9" ht="15.75" customHeight="1" x14ac:dyDescent="0.2">
      <c r="A253" s="197"/>
      <c r="B253" s="38"/>
      <c r="C253" s="38"/>
      <c r="D253" s="38"/>
      <c r="E253" s="38"/>
      <c r="F253" s="38"/>
      <c r="G253" s="38"/>
      <c r="H253" s="38"/>
      <c r="I253" s="89"/>
    </row>
    <row r="254" spans="1:9" ht="15.75" customHeight="1" thickBot="1" x14ac:dyDescent="0.25">
      <c r="A254" s="197"/>
      <c r="B254" s="38"/>
      <c r="C254" s="38"/>
      <c r="D254" s="38"/>
      <c r="E254" s="38"/>
      <c r="F254" s="38"/>
      <c r="G254" s="38"/>
      <c r="H254" s="38"/>
      <c r="I254" s="89"/>
    </row>
    <row r="255" spans="1:9" ht="15.75" customHeight="1" x14ac:dyDescent="0.2">
      <c r="A255" s="1763" t="s">
        <v>532</v>
      </c>
      <c r="B255" s="1764"/>
      <c r="C255" s="1413"/>
      <c r="D255" s="1413"/>
      <c r="E255" s="1413"/>
      <c r="F255" s="1413"/>
      <c r="G255" s="1413"/>
      <c r="H255" s="1413"/>
      <c r="I255" s="1414"/>
    </row>
    <row r="256" spans="1:9" ht="15.75" customHeight="1" thickBot="1" x14ac:dyDescent="0.25">
      <c r="A256" s="1766"/>
      <c r="B256" s="1767"/>
      <c r="C256" s="1415"/>
      <c r="D256" s="1415"/>
      <c r="E256" s="1415"/>
      <c r="F256" s="1415"/>
      <c r="G256" s="1415"/>
      <c r="H256" s="1415"/>
      <c r="I256" s="1416"/>
    </row>
    <row r="257" spans="1:9" ht="15.75" customHeight="1" thickBot="1" x14ac:dyDescent="0.25">
      <c r="A257" s="202"/>
      <c r="B257" s="203"/>
      <c r="C257" s="203"/>
      <c r="D257" s="203"/>
      <c r="E257" s="203"/>
      <c r="F257" s="203"/>
      <c r="G257" s="203"/>
      <c r="H257" s="203"/>
      <c r="I257" s="204"/>
    </row>
    <row r="258" spans="1:9" ht="15.75" customHeight="1" thickBot="1" x14ac:dyDescent="0.25">
      <c r="A258" s="1417" t="s">
        <v>553</v>
      </c>
      <c r="B258" s="1418"/>
      <c r="C258" s="1418"/>
      <c r="D258" s="1418"/>
      <c r="E258" s="1418"/>
      <c r="F258" s="1418"/>
      <c r="G258" s="1418"/>
      <c r="H258" s="1418"/>
      <c r="I258" s="1419"/>
    </row>
    <row r="259" spans="1:9" ht="15.75" customHeight="1" thickBot="1" x14ac:dyDescent="0.25">
      <c r="A259" s="1689" t="s">
        <v>554</v>
      </c>
      <c r="B259" s="1689" t="s">
        <v>555</v>
      </c>
      <c r="C259" s="1689" t="s">
        <v>41</v>
      </c>
      <c r="D259" s="1683" t="s">
        <v>511</v>
      </c>
      <c r="E259" s="1684"/>
      <c r="F259" s="1684"/>
      <c r="G259" s="1685"/>
      <c r="H259" s="1683" t="s">
        <v>556</v>
      </c>
      <c r="I259" s="1685"/>
    </row>
    <row r="260" spans="1:9" ht="15.75" customHeight="1" thickBot="1" x14ac:dyDescent="0.25">
      <c r="A260" s="1690"/>
      <c r="B260" s="1690"/>
      <c r="C260" s="1690"/>
      <c r="D260" s="321" t="s">
        <v>518</v>
      </c>
      <c r="E260" s="321" t="s">
        <v>41</v>
      </c>
      <c r="F260" s="321" t="s">
        <v>519</v>
      </c>
      <c r="G260" s="321" t="s">
        <v>520</v>
      </c>
      <c r="H260" s="321" t="s">
        <v>2422</v>
      </c>
      <c r="I260" s="323" t="s">
        <v>557</v>
      </c>
    </row>
    <row r="261" spans="1:9" ht="15.75" customHeight="1" thickBot="1" x14ac:dyDescent="0.25">
      <c r="A261" s="326" t="s">
        <v>2402</v>
      </c>
      <c r="B261" s="82">
        <f ca="1">CostCalc!B452*Inputs!F3</f>
        <v>618431.64754162577</v>
      </c>
      <c r="C261" s="40" t="s">
        <v>40</v>
      </c>
      <c r="D261" s="50">
        <v>0.17799999999999999</v>
      </c>
      <c r="E261" s="41" t="s">
        <v>378</v>
      </c>
      <c r="F261" s="41">
        <v>2024</v>
      </c>
      <c r="G261" s="34"/>
      <c r="H261" s="335">
        <f>CAPEX!N$3/389.544</f>
        <v>1.0332234612778017</v>
      </c>
      <c r="I261" s="814">
        <f ca="1">H261*D261*B261</f>
        <v>113738.09956373119</v>
      </c>
    </row>
    <row r="262" spans="1:9" ht="15.75" customHeight="1" thickBot="1" x14ac:dyDescent="0.25">
      <c r="A262" s="327" t="s">
        <v>2387</v>
      </c>
      <c r="B262" s="84">
        <f ca="1">CostCalc!B453*Inputs!F3</f>
        <v>33339.221539185935</v>
      </c>
      <c r="C262" s="77" t="s">
        <v>40</v>
      </c>
      <c r="D262" s="50">
        <v>0.17799999999999999</v>
      </c>
      <c r="E262" s="41" t="s">
        <v>378</v>
      </c>
      <c r="F262" s="41">
        <v>2024</v>
      </c>
      <c r="G262" s="34"/>
      <c r="H262" s="335">
        <f>CAPEX!N$3/389.544</f>
        <v>1.0332234612778017</v>
      </c>
      <c r="I262" s="815">
        <f ca="1">H262*D262*B262</f>
        <v>6131.5421257544731</v>
      </c>
    </row>
    <row r="263" spans="1:9" ht="15.75" customHeight="1" thickBot="1" x14ac:dyDescent="0.25">
      <c r="A263" s="327" t="s">
        <v>2421</v>
      </c>
      <c r="B263" s="84">
        <f ca="1">ExpBase!E729*Inputs!F3</f>
        <v>90965.576063287852</v>
      </c>
      <c r="C263" s="85" t="s">
        <v>1522</v>
      </c>
      <c r="D263" s="86">
        <f>3441.6/1000</f>
        <v>3.4415999999999998</v>
      </c>
      <c r="E263" s="320" t="s">
        <v>14</v>
      </c>
      <c r="F263" s="320">
        <v>2000</v>
      </c>
      <c r="G263" s="77"/>
      <c r="H263" s="335">
        <f>CAPEX!N$3/307.8</f>
        <v>1.3076218323586744</v>
      </c>
      <c r="I263" s="815">
        <f ca="1">H263*D263*B263</f>
        <v>409373.40970903501</v>
      </c>
    </row>
    <row r="264" spans="1:9" ht="15.75" customHeight="1" thickBot="1" x14ac:dyDescent="0.25">
      <c r="A264" s="1677" t="s">
        <v>526</v>
      </c>
      <c r="B264" s="1678"/>
      <c r="C264" s="1678"/>
      <c r="D264" s="1678"/>
      <c r="E264" s="1678"/>
      <c r="F264" s="1678"/>
      <c r="G264" s="1678"/>
      <c r="H264" s="1679"/>
      <c r="I264" s="812">
        <f ca="1">SUM(I261:I263)</f>
        <v>529243.05139852071</v>
      </c>
    </row>
    <row r="265" spans="1:9" ht="15.75" customHeight="1" x14ac:dyDescent="0.2"/>
    <row r="266" spans="1:9" ht="15.75" customHeight="1" x14ac:dyDescent="0.2"/>
    <row r="267" spans="1:9" ht="15.75" customHeight="1" x14ac:dyDescent="0.2"/>
    <row r="268" spans="1:9" ht="15.75" customHeight="1" x14ac:dyDescent="0.2">
      <c r="A268" s="1762" t="s">
        <v>1418</v>
      </c>
      <c r="B268" s="1762"/>
      <c r="C268" s="1762"/>
      <c r="D268" s="1762"/>
      <c r="E268" s="1762"/>
      <c r="F268" s="1762"/>
      <c r="G268" s="1762"/>
      <c r="H268" s="1762"/>
      <c r="I268" s="1762"/>
    </row>
    <row r="269" spans="1:9" ht="15.75" customHeight="1" x14ac:dyDescent="0.2">
      <c r="A269" s="1762"/>
      <c r="B269" s="1762"/>
      <c r="C269" s="1762"/>
      <c r="D269" s="1762"/>
      <c r="E269" s="1762"/>
      <c r="F269" s="1762"/>
      <c r="G269" s="1762"/>
      <c r="H269" s="1762"/>
      <c r="I269" s="1762"/>
    </row>
    <row r="270" spans="1:9" ht="15.75" customHeight="1" x14ac:dyDescent="0.2"/>
    <row r="271" spans="1:9" ht="15.75" customHeight="1" thickBot="1" x14ac:dyDescent="0.25">
      <c r="A271" s="83"/>
      <c r="B271" s="83"/>
      <c r="C271" s="88"/>
      <c r="D271" s="83"/>
      <c r="E271" s="83"/>
      <c r="F271" s="83"/>
      <c r="G271" s="83"/>
      <c r="H271" s="89"/>
    </row>
    <row r="272" spans="1:9" ht="15.75" customHeight="1" x14ac:dyDescent="0.2">
      <c r="A272" s="2067" t="s">
        <v>534</v>
      </c>
      <c r="B272" s="2068"/>
      <c r="C272" s="2068"/>
      <c r="D272" s="1376"/>
      <c r="E272" s="1376"/>
      <c r="F272" s="1376"/>
      <c r="G272" s="1376"/>
      <c r="H272" s="1376"/>
      <c r="I272" s="1377"/>
    </row>
    <row r="273" spans="1:9" ht="15.75" customHeight="1" thickBot="1" x14ac:dyDescent="0.25">
      <c r="A273" s="2069"/>
      <c r="B273" s="2070"/>
      <c r="C273" s="2070"/>
      <c r="D273" s="1378"/>
      <c r="E273" s="1378"/>
      <c r="F273" s="1378"/>
      <c r="G273" s="1378"/>
      <c r="H273" s="1378"/>
      <c r="I273" s="1379"/>
    </row>
    <row r="274" spans="1:9" ht="15.75" customHeight="1" thickBot="1" x14ac:dyDescent="0.25">
      <c r="A274" s="202"/>
      <c r="B274" s="203"/>
      <c r="C274" s="203"/>
      <c r="D274" s="203"/>
      <c r="E274" s="203"/>
      <c r="F274" s="203"/>
      <c r="G274" s="203"/>
      <c r="H274" s="203"/>
      <c r="I274" s="204"/>
    </row>
    <row r="275" spans="1:9" ht="15.75" customHeight="1" thickBot="1" x14ac:dyDescent="0.25">
      <c r="A275" s="1426" t="s">
        <v>553</v>
      </c>
      <c r="B275" s="1427"/>
      <c r="C275" s="1427"/>
      <c r="D275" s="1427"/>
      <c r="E275" s="1427"/>
      <c r="F275" s="1427"/>
      <c r="G275" s="1427"/>
      <c r="H275" s="1427"/>
      <c r="I275" s="1428"/>
    </row>
    <row r="276" spans="1:9" ht="15.75" customHeight="1" thickBot="1" x14ac:dyDescent="0.25">
      <c r="A276" s="1689" t="s">
        <v>554</v>
      </c>
      <c r="B276" s="1689" t="s">
        <v>555</v>
      </c>
      <c r="C276" s="1689" t="s">
        <v>41</v>
      </c>
      <c r="D276" s="1683" t="s">
        <v>511</v>
      </c>
      <c r="E276" s="1684"/>
      <c r="F276" s="1685"/>
      <c r="G276" s="1683" t="s">
        <v>556</v>
      </c>
      <c r="H276" s="1684"/>
      <c r="I276" s="1685"/>
    </row>
    <row r="277" spans="1:9" ht="15.75" customHeight="1" thickBot="1" x14ac:dyDescent="0.25">
      <c r="A277" s="1690"/>
      <c r="B277" s="1690"/>
      <c r="C277" s="1690"/>
      <c r="D277" s="321" t="s">
        <v>518</v>
      </c>
      <c r="E277" s="321" t="s">
        <v>41</v>
      </c>
      <c r="F277" s="321" t="s">
        <v>519</v>
      </c>
      <c r="G277" s="80" t="s">
        <v>520</v>
      </c>
      <c r="H277" s="321" t="s">
        <v>2422</v>
      </c>
      <c r="I277" s="323" t="s">
        <v>557</v>
      </c>
    </row>
    <row r="278" spans="1:9" ht="15.75" customHeight="1" thickBot="1" x14ac:dyDescent="0.25">
      <c r="A278" s="46" t="s">
        <v>2424</v>
      </c>
      <c r="B278" s="72">
        <f ca="1">CostCalc!B541*Inputs!F3</f>
        <v>769600</v>
      </c>
      <c r="C278" s="41" t="s">
        <v>40</v>
      </c>
      <c r="D278" s="50">
        <v>0.17799999999999999</v>
      </c>
      <c r="E278" s="41" t="s">
        <v>378</v>
      </c>
      <c r="F278" s="41">
        <v>2024</v>
      </c>
      <c r="G278" s="34"/>
      <c r="H278" s="335">
        <f>CAPEX!N$3/389.544</f>
        <v>1.0332234612778017</v>
      </c>
      <c r="I278" s="811">
        <f ca="1">B278*H278*D278</f>
        <v>141540.04209229251</v>
      </c>
    </row>
    <row r="279" spans="1:9" ht="15.75" customHeight="1" thickBot="1" x14ac:dyDescent="0.25">
      <c r="A279" s="46" t="s">
        <v>2425</v>
      </c>
      <c r="B279" s="72">
        <f ca="1">CostCalc!B542*Inputs!F3</f>
        <v>2833.7154315883849</v>
      </c>
      <c r="C279" s="41" t="s">
        <v>40</v>
      </c>
      <c r="D279" s="50">
        <v>0.17799999999999999</v>
      </c>
      <c r="E279" s="41" t="s">
        <v>378</v>
      </c>
      <c r="F279" s="41">
        <v>2024</v>
      </c>
      <c r="G279" s="34"/>
      <c r="H279" s="335">
        <f>CAPEX!N$3/389.544</f>
        <v>1.0332234612778017</v>
      </c>
      <c r="I279" s="811">
        <f ca="1">B279*D279</f>
        <v>504.40134682273248</v>
      </c>
    </row>
    <row r="280" spans="1:9" ht="15.75" customHeight="1" thickBot="1" x14ac:dyDescent="0.25">
      <c r="A280" s="328" t="s">
        <v>2426</v>
      </c>
      <c r="B280" s="90">
        <f ca="1">CostCalc!B543*Inputs!F3</f>
        <v>2833.7154315883849</v>
      </c>
      <c r="C280" s="41" t="s">
        <v>40</v>
      </c>
      <c r="D280" s="50">
        <v>0.17799999999999999</v>
      </c>
      <c r="E280" s="41" t="s">
        <v>378</v>
      </c>
      <c r="F280" s="41">
        <v>2024</v>
      </c>
      <c r="G280" s="34"/>
      <c r="H280" s="335">
        <f>CAPEX!N$3/389.544</f>
        <v>1.0332234612778017</v>
      </c>
      <c r="I280" s="818">
        <f t="shared" ref="I280:I285" ca="1" si="4">H280*D280*B280</f>
        <v>521.15930543736852</v>
      </c>
    </row>
    <row r="281" spans="1:9" ht="15.75" customHeight="1" thickBot="1" x14ac:dyDescent="0.25">
      <c r="A281" s="328" t="s">
        <v>2427</v>
      </c>
      <c r="B281" s="90">
        <f ca="1">CostCalc!B544*Inputs!F3</f>
        <v>2833.7154315883849</v>
      </c>
      <c r="C281" s="41" t="s">
        <v>40</v>
      </c>
      <c r="D281" s="50">
        <v>0.17799999999999999</v>
      </c>
      <c r="E281" s="41" t="s">
        <v>378</v>
      </c>
      <c r="F281" s="41">
        <v>2024</v>
      </c>
      <c r="G281" s="34"/>
      <c r="H281" s="335">
        <f>CAPEX!N$3/389.544</f>
        <v>1.0332234612778017</v>
      </c>
      <c r="I281" s="818">
        <f t="shared" ca="1" si="4"/>
        <v>521.15930543736852</v>
      </c>
    </row>
    <row r="282" spans="1:9" ht="15.75" customHeight="1" thickBot="1" x14ac:dyDescent="0.25">
      <c r="A282" s="328" t="s">
        <v>2428</v>
      </c>
      <c r="B282" s="90">
        <f ca="1">CostCalc!B545*Inputs!F3</f>
        <v>2833.7154315883849</v>
      </c>
      <c r="C282" s="41" t="s">
        <v>40</v>
      </c>
      <c r="D282" s="50">
        <v>0.17799999999999999</v>
      </c>
      <c r="E282" s="41" t="s">
        <v>378</v>
      </c>
      <c r="F282" s="41">
        <v>2024</v>
      </c>
      <c r="G282" s="34"/>
      <c r="H282" s="335">
        <f>CAPEX!N$3/389.544</f>
        <v>1.0332234612778017</v>
      </c>
      <c r="I282" s="818">
        <f t="shared" ca="1" si="4"/>
        <v>521.15930543736852</v>
      </c>
    </row>
    <row r="283" spans="1:9" ht="15.75" customHeight="1" thickBot="1" x14ac:dyDescent="0.25">
      <c r="A283" s="328" t="s">
        <v>2429</v>
      </c>
      <c r="B283" s="90">
        <f ca="1">CostCalc!B546*Inputs!F3</f>
        <v>2833.7154315883849</v>
      </c>
      <c r="C283" s="41" t="s">
        <v>40</v>
      </c>
      <c r="D283" s="50">
        <v>0.17799999999999999</v>
      </c>
      <c r="E283" s="41" t="s">
        <v>378</v>
      </c>
      <c r="F283" s="41">
        <v>2024</v>
      </c>
      <c r="G283" s="34"/>
      <c r="H283" s="335">
        <f>CAPEX!N$3/389.544</f>
        <v>1.0332234612778017</v>
      </c>
      <c r="I283" s="818">
        <f t="shared" ca="1" si="4"/>
        <v>521.15930543736852</v>
      </c>
    </row>
    <row r="284" spans="1:9" ht="15.75" customHeight="1" thickBot="1" x14ac:dyDescent="0.25">
      <c r="A284" s="328" t="s">
        <v>2387</v>
      </c>
      <c r="B284" s="90">
        <f ca="1">CostCalc!B547*Inputs!F3</f>
        <v>24227.926138713559</v>
      </c>
      <c r="C284" s="41" t="s">
        <v>40</v>
      </c>
      <c r="D284" s="50">
        <v>0.17799999999999999</v>
      </c>
      <c r="E284" s="41" t="s">
        <v>378</v>
      </c>
      <c r="F284" s="41">
        <v>2024</v>
      </c>
      <c r="G284" s="34"/>
      <c r="H284" s="335">
        <f>CAPEX!N$3/389.544</f>
        <v>1.0332234612778017</v>
      </c>
      <c r="I284" s="818">
        <f t="shared" ca="1" si="4"/>
        <v>4455.8493834231695</v>
      </c>
    </row>
    <row r="285" spans="1:9" ht="15.75" customHeight="1" thickBot="1" x14ac:dyDescent="0.25">
      <c r="A285" s="328" t="s">
        <v>2433</v>
      </c>
      <c r="B285" s="90">
        <f ca="1">CostCalc!B550*Inputs!F3</f>
        <v>174520125.44124013</v>
      </c>
      <c r="C285" s="91" t="s">
        <v>2959</v>
      </c>
      <c r="D285" s="329">
        <v>3.0000000000000001E-3</v>
      </c>
      <c r="E285" s="41" t="s">
        <v>29</v>
      </c>
      <c r="F285" s="41">
        <v>2011</v>
      </c>
      <c r="G285" s="56"/>
      <c r="H285" s="335">
        <f>CAPEX!N$3/295.3</f>
        <v>1.3629732475448695</v>
      </c>
      <c r="I285" s="818">
        <f t="shared" ca="1" si="4"/>
        <v>713598.78640375519</v>
      </c>
    </row>
    <row r="286" spans="1:9" ht="15.75" customHeight="1" thickBot="1" x14ac:dyDescent="0.25">
      <c r="A286" s="1677" t="s">
        <v>526</v>
      </c>
      <c r="B286" s="1678"/>
      <c r="C286" s="1678"/>
      <c r="D286" s="1678"/>
      <c r="E286" s="1678"/>
      <c r="F286" s="1678"/>
      <c r="G286" s="1678"/>
      <c r="H286" s="1679"/>
      <c r="I286" s="812">
        <f ca="1">SUM(I278:I285)</f>
        <v>862183.71644804312</v>
      </c>
    </row>
    <row r="287" spans="1:9" ht="15.75" customHeight="1" thickBot="1" x14ac:dyDescent="0.25"/>
    <row r="288" spans="1:9" ht="15.75" customHeight="1" thickBot="1" x14ac:dyDescent="0.25">
      <c r="A288" s="1426" t="s">
        <v>558</v>
      </c>
      <c r="B288" s="1427"/>
      <c r="C288" s="1427"/>
      <c r="D288" s="1427"/>
      <c r="E288" s="1428"/>
    </row>
    <row r="289" spans="1:9" ht="15.75" customHeight="1" thickBot="1" x14ac:dyDescent="0.25">
      <c r="A289" s="322" t="s">
        <v>559</v>
      </c>
      <c r="B289" s="322" t="s">
        <v>516</v>
      </c>
      <c r="C289" s="322" t="s">
        <v>41</v>
      </c>
      <c r="D289" s="322" t="s">
        <v>2423</v>
      </c>
      <c r="E289" s="322" t="s">
        <v>557</v>
      </c>
    </row>
    <row r="290" spans="1:9" ht="15.75" customHeight="1" thickBot="1" x14ac:dyDescent="0.25">
      <c r="A290" s="35" t="s">
        <v>567</v>
      </c>
      <c r="B290" s="47">
        <v>3</v>
      </c>
      <c r="C290" s="41" t="s">
        <v>568</v>
      </c>
      <c r="D290" s="37">
        <v>150000</v>
      </c>
      <c r="E290" s="49">
        <f>D290*B290</f>
        <v>450000</v>
      </c>
    </row>
    <row r="291" spans="1:9" ht="15.75" customHeight="1" thickBot="1" x14ac:dyDescent="0.25">
      <c r="A291" s="35" t="s">
        <v>2468</v>
      </c>
      <c r="B291" s="36">
        <v>2</v>
      </c>
      <c r="C291" s="41" t="s">
        <v>568</v>
      </c>
      <c r="D291" s="37">
        <v>100000</v>
      </c>
      <c r="E291" s="43" cm="1">
        <f t="array" ref="E291:E293">D291:D293*B291:B293</f>
        <v>200000</v>
      </c>
    </row>
    <row r="292" spans="1:9" ht="15.75" customHeight="1" thickBot="1" x14ac:dyDescent="0.25">
      <c r="A292" s="35" t="s">
        <v>570</v>
      </c>
      <c r="B292" s="36">
        <v>2</v>
      </c>
      <c r="C292" s="41" t="s">
        <v>568</v>
      </c>
      <c r="D292" s="37">
        <v>85000</v>
      </c>
      <c r="E292" s="43">
        <v>170000</v>
      </c>
    </row>
    <row r="293" spans="1:9" ht="15.75" customHeight="1" thickBot="1" x14ac:dyDescent="0.25">
      <c r="A293" s="35" t="s">
        <v>571</v>
      </c>
      <c r="B293" s="36">
        <v>2</v>
      </c>
      <c r="C293" s="41" t="s">
        <v>568</v>
      </c>
      <c r="D293" s="37">
        <v>70000</v>
      </c>
      <c r="E293" s="43">
        <v>140000</v>
      </c>
    </row>
    <row r="294" spans="1:9" ht="15.75" customHeight="1" thickBot="1" x14ac:dyDescent="0.25">
      <c r="A294" s="1677" t="s">
        <v>526</v>
      </c>
      <c r="B294" s="1755"/>
      <c r="C294" s="1755"/>
      <c r="D294" s="1756"/>
      <c r="E294" s="92">
        <f>SUM(E290:E293)</f>
        <v>960000</v>
      </c>
    </row>
    <row r="295" spans="1:9" ht="15.75" customHeight="1" x14ac:dyDescent="0.2"/>
    <row r="296" spans="1:9" ht="15.75" customHeight="1" x14ac:dyDescent="0.2"/>
    <row r="297" spans="1:9" ht="15.75" customHeight="1" thickBot="1" x14ac:dyDescent="0.25"/>
    <row r="298" spans="1:9" ht="15.75" customHeight="1" x14ac:dyDescent="0.2">
      <c r="A298" s="1934" t="s">
        <v>1566</v>
      </c>
      <c r="B298" s="1935"/>
      <c r="C298" s="1935"/>
      <c r="D298" s="1355"/>
      <c r="E298" s="1355"/>
      <c r="F298" s="1355"/>
      <c r="G298" s="1355"/>
      <c r="H298" s="1355"/>
      <c r="I298" s="1356"/>
    </row>
    <row r="299" spans="1:9" ht="15.75" customHeight="1" thickBot="1" x14ac:dyDescent="0.25">
      <c r="A299" s="1937"/>
      <c r="B299" s="1938"/>
      <c r="C299" s="1938"/>
      <c r="D299" s="1357"/>
      <c r="E299" s="1357"/>
      <c r="F299" s="1357"/>
      <c r="G299" s="1357"/>
      <c r="H299" s="1357"/>
      <c r="I299" s="1358"/>
    </row>
    <row r="300" spans="1:9" ht="15.75" customHeight="1" thickBot="1" x14ac:dyDescent="0.25">
      <c r="A300" s="202"/>
      <c r="B300" s="203"/>
      <c r="C300" s="203"/>
      <c r="D300" s="203"/>
      <c r="E300" s="203"/>
      <c r="F300" s="203"/>
      <c r="G300" s="203"/>
      <c r="H300" s="203"/>
      <c r="I300" s="204"/>
    </row>
    <row r="301" spans="1:9" ht="15.75" customHeight="1" thickBot="1" x14ac:dyDescent="0.25">
      <c r="A301" s="1429" t="s">
        <v>553</v>
      </c>
      <c r="B301" s="1430"/>
      <c r="C301" s="1430"/>
      <c r="D301" s="1430"/>
      <c r="E301" s="1430"/>
      <c r="F301" s="1430"/>
      <c r="G301" s="1430"/>
      <c r="H301" s="1430"/>
      <c r="I301" s="1431"/>
    </row>
    <row r="302" spans="1:9" ht="15.75" customHeight="1" thickBot="1" x14ac:dyDescent="0.25">
      <c r="A302" s="1689" t="s">
        <v>554</v>
      </c>
      <c r="B302" s="1689" t="s">
        <v>555</v>
      </c>
      <c r="C302" s="1689" t="s">
        <v>41</v>
      </c>
      <c r="D302" s="1683" t="s">
        <v>511</v>
      </c>
      <c r="E302" s="1684"/>
      <c r="F302" s="1685"/>
      <c r="G302" s="1683" t="s">
        <v>556</v>
      </c>
      <c r="H302" s="1684"/>
      <c r="I302" s="1685"/>
    </row>
    <row r="303" spans="1:9" ht="15.75" customHeight="1" thickBot="1" x14ac:dyDescent="0.25">
      <c r="A303" s="1690"/>
      <c r="B303" s="1690"/>
      <c r="C303" s="1690"/>
      <c r="D303" s="321" t="s">
        <v>518</v>
      </c>
      <c r="E303" s="321" t="s">
        <v>41</v>
      </c>
      <c r="F303" s="321" t="s">
        <v>519</v>
      </c>
      <c r="G303" s="321" t="s">
        <v>520</v>
      </c>
      <c r="H303" s="321" t="s">
        <v>2422</v>
      </c>
      <c r="I303" s="322" t="s">
        <v>557</v>
      </c>
    </row>
    <row r="304" spans="1:9" ht="15.75" customHeight="1" thickBot="1" x14ac:dyDescent="0.25">
      <c r="A304" s="46" t="s">
        <v>1567</v>
      </c>
      <c r="B304" s="72">
        <f ca="1">ExpBase!C967*Inputs!F3*0.1</f>
        <v>714948.47469291894</v>
      </c>
      <c r="C304" s="41" t="s">
        <v>566</v>
      </c>
      <c r="D304" s="49">
        <f>83/180</f>
        <v>0.46111111111111114</v>
      </c>
      <c r="E304" s="41" t="s">
        <v>2558</v>
      </c>
      <c r="F304" s="41">
        <v>2024</v>
      </c>
      <c r="G304" s="56"/>
      <c r="H304" s="335">
        <f>CAPEX!N$3/389.544</f>
        <v>1.0332234612778017</v>
      </c>
      <c r="I304" s="818">
        <f t="shared" ref="I304:I309" ca="1" si="5">H304*D304*B304</f>
        <v>340623.48680873733</v>
      </c>
    </row>
    <row r="305" spans="1:9" ht="15.75" customHeight="1" thickBot="1" x14ac:dyDescent="0.25">
      <c r="A305" s="46" t="s">
        <v>2430</v>
      </c>
      <c r="B305" s="72">
        <f ca="1">CostCalc!B577*Inputs!F3</f>
        <v>656.36215934491486</v>
      </c>
      <c r="C305" s="41" t="s">
        <v>40</v>
      </c>
      <c r="D305" s="50">
        <v>0.17799999999999999</v>
      </c>
      <c r="E305" s="41" t="s">
        <v>378</v>
      </c>
      <c r="F305" s="41">
        <v>2024</v>
      </c>
      <c r="G305" s="34"/>
      <c r="H305" s="335">
        <f>CAPEX!N$3/389.544</f>
        <v>1.0332234612778017</v>
      </c>
      <c r="I305" s="818">
        <f t="shared" ca="1" si="5"/>
        <v>120.71404321916224</v>
      </c>
    </row>
    <row r="306" spans="1:9" ht="15.75" customHeight="1" thickBot="1" x14ac:dyDescent="0.25">
      <c r="A306" s="46" t="s">
        <v>2387</v>
      </c>
      <c r="B306" s="72">
        <f ca="1">CostCalc!B583*Inputs!F3</f>
        <v>1805.934912273076</v>
      </c>
      <c r="C306" s="41" t="s">
        <v>40</v>
      </c>
      <c r="D306" s="50">
        <v>0.17799999999999999</v>
      </c>
      <c r="E306" s="41" t="s">
        <v>378</v>
      </c>
      <c r="F306" s="41">
        <v>2024</v>
      </c>
      <c r="G306" s="34"/>
      <c r="H306" s="335">
        <f>CAPEX!N$3/389.544</f>
        <v>1.0332234612778017</v>
      </c>
      <c r="I306" s="818">
        <f t="shared" ca="1" si="5"/>
        <v>332.13630912041549</v>
      </c>
    </row>
    <row r="307" spans="1:9" ht="15.75" customHeight="1" thickBot="1" x14ac:dyDescent="0.25">
      <c r="A307" s="46" t="s">
        <v>2431</v>
      </c>
      <c r="B307" s="72">
        <f ca="1">CostCalc!B584*Inputs!F3</f>
        <v>311.32031972684263</v>
      </c>
      <c r="C307" s="41" t="s">
        <v>40</v>
      </c>
      <c r="D307" s="50">
        <v>0.17799999999999999</v>
      </c>
      <c r="E307" s="41" t="s">
        <v>378</v>
      </c>
      <c r="F307" s="41">
        <v>2024</v>
      </c>
      <c r="G307" s="34"/>
      <c r="H307" s="335">
        <f>CAPEX!N$3/389.544</f>
        <v>1.0332234612778017</v>
      </c>
      <c r="I307" s="818">
        <f t="shared" ca="1" si="5"/>
        <v>57.256095579941878</v>
      </c>
    </row>
    <row r="308" spans="1:9" ht="15.75" customHeight="1" thickBot="1" x14ac:dyDescent="0.25">
      <c r="A308" s="46" t="s">
        <v>2432</v>
      </c>
      <c r="B308" s="72">
        <f ca="1">CostCalc!B585*Inputs!F3</f>
        <v>160.70143873056375</v>
      </c>
      <c r="C308" s="41" t="s">
        <v>40</v>
      </c>
      <c r="D308" s="50">
        <v>0.17799999999999999</v>
      </c>
      <c r="E308" s="41" t="s">
        <v>378</v>
      </c>
      <c r="F308" s="41">
        <v>2024</v>
      </c>
      <c r="G308" s="34"/>
      <c r="H308" s="335">
        <f>CAPEX!N$3/389.544</f>
        <v>1.0332234612778017</v>
      </c>
      <c r="I308" s="818">
        <f t="shared" ca="1" si="5"/>
        <v>29.555208422837786</v>
      </c>
    </row>
    <row r="309" spans="1:9" ht="15.75" customHeight="1" thickBot="1" x14ac:dyDescent="0.25">
      <c r="A309" s="46" t="s">
        <v>2433</v>
      </c>
      <c r="B309" s="72">
        <f ca="1">CostCalc!B580*Inputs!F3</f>
        <v>17449016.339183088</v>
      </c>
      <c r="C309" s="41" t="s">
        <v>2959</v>
      </c>
      <c r="D309" s="329">
        <v>3.0000000000000001E-3</v>
      </c>
      <c r="E309" s="41" t="s">
        <v>29</v>
      </c>
      <c r="F309" s="41">
        <v>2011</v>
      </c>
      <c r="G309" s="56"/>
      <c r="H309" s="335">
        <f>CAPEX!N$3/295.3</f>
        <v>1.3629732475448695</v>
      </c>
      <c r="I309" s="818">
        <f t="shared" ca="1" si="5"/>
        <v>71347.627398839584</v>
      </c>
    </row>
    <row r="310" spans="1:9" ht="15.75" customHeight="1" thickBot="1" x14ac:dyDescent="0.25">
      <c r="A310" s="1677" t="s">
        <v>526</v>
      </c>
      <c r="B310" s="1678"/>
      <c r="C310" s="1678"/>
      <c r="D310" s="1678"/>
      <c r="E310" s="1678"/>
      <c r="F310" s="1678"/>
      <c r="G310" s="1678"/>
      <c r="H310" s="1679"/>
      <c r="I310" s="817">
        <f ca="1">SUM(I304:I309)</f>
        <v>412510.77586391923</v>
      </c>
    </row>
    <row r="311" spans="1:9" ht="15.75" customHeight="1" thickBot="1" x14ac:dyDescent="0.25"/>
    <row r="312" spans="1:9" ht="15.75" customHeight="1" thickBot="1" x14ac:dyDescent="0.25">
      <c r="A312" s="1429" t="s">
        <v>558</v>
      </c>
      <c r="B312" s="1430"/>
      <c r="C312" s="1430"/>
      <c r="D312" s="1430"/>
      <c r="E312" s="1431"/>
    </row>
    <row r="313" spans="1:9" ht="15.75" customHeight="1" thickBot="1" x14ac:dyDescent="0.25">
      <c r="A313" s="322" t="s">
        <v>559</v>
      </c>
      <c r="B313" s="322" t="s">
        <v>516</v>
      </c>
      <c r="C313" s="322" t="s">
        <v>41</v>
      </c>
      <c r="D313" s="322" t="s">
        <v>2423</v>
      </c>
      <c r="E313" s="322" t="s">
        <v>557</v>
      </c>
    </row>
    <row r="314" spans="1:9" ht="15.75" customHeight="1" thickBot="1" x14ac:dyDescent="0.25">
      <c r="A314" s="35" t="s">
        <v>567</v>
      </c>
      <c r="B314" s="36">
        <v>1</v>
      </c>
      <c r="C314" s="41" t="s">
        <v>568</v>
      </c>
      <c r="D314" s="37">
        <v>150000</v>
      </c>
      <c r="E314" s="43" cm="1">
        <f t="array" ref="E314:E317">D314:D317*B314:B317</f>
        <v>150000</v>
      </c>
    </row>
    <row r="315" spans="1:9" ht="15.75" customHeight="1" thickBot="1" x14ac:dyDescent="0.25">
      <c r="A315" s="35" t="s">
        <v>2468</v>
      </c>
      <c r="B315" s="36">
        <v>1</v>
      </c>
      <c r="C315" s="41" t="s">
        <v>568</v>
      </c>
      <c r="D315" s="37">
        <v>100000</v>
      </c>
      <c r="E315" s="43">
        <v>100000</v>
      </c>
    </row>
    <row r="316" spans="1:9" ht="15.75" customHeight="1" thickBot="1" x14ac:dyDescent="0.25">
      <c r="A316" s="35" t="s">
        <v>570</v>
      </c>
      <c r="B316" s="36">
        <v>1</v>
      </c>
      <c r="C316" s="41" t="s">
        <v>568</v>
      </c>
      <c r="D316" s="37">
        <v>85000</v>
      </c>
      <c r="E316" s="43">
        <v>85000</v>
      </c>
    </row>
    <row r="317" spans="1:9" ht="15.75" customHeight="1" thickBot="1" x14ac:dyDescent="0.25">
      <c r="A317" s="35" t="s">
        <v>571</v>
      </c>
      <c r="B317" s="36">
        <v>2</v>
      </c>
      <c r="C317" s="41" t="s">
        <v>568</v>
      </c>
      <c r="D317" s="37">
        <v>70000</v>
      </c>
      <c r="E317" s="43">
        <v>140000</v>
      </c>
    </row>
    <row r="318" spans="1:9" ht="15.75" customHeight="1" thickBot="1" x14ac:dyDescent="0.25">
      <c r="A318" s="1753" t="s">
        <v>526</v>
      </c>
      <c r="B318" s="1754"/>
      <c r="C318" s="1754"/>
      <c r="D318" s="1754"/>
      <c r="E318" s="78">
        <f>SUM(_xlfn.ANCHORARRAY(E314))</f>
        <v>475000</v>
      </c>
    </row>
    <row r="319" spans="1:9" ht="15.75" customHeight="1" x14ac:dyDescent="0.2">
      <c r="A319" s="197"/>
    </row>
    <row r="320" spans="1:9" ht="15.75" customHeight="1" x14ac:dyDescent="0.2">
      <c r="B320" s="38"/>
      <c r="C320" s="38"/>
      <c r="D320" s="38"/>
      <c r="E320" s="38"/>
      <c r="F320" s="38"/>
      <c r="G320" s="38"/>
      <c r="H320" s="38"/>
      <c r="I320" s="89"/>
    </row>
    <row r="321" spans="1:9" ht="15.75" customHeight="1" thickBot="1" x14ac:dyDescent="0.25"/>
    <row r="322" spans="1:9" ht="15.75" customHeight="1" x14ac:dyDescent="0.2">
      <c r="A322" s="1789" t="s">
        <v>1416</v>
      </c>
      <c r="B322" s="1790"/>
      <c r="C322" s="1790"/>
      <c r="D322" s="1359"/>
      <c r="E322" s="1359"/>
      <c r="F322" s="1359"/>
      <c r="G322" s="1359"/>
      <c r="H322" s="1359"/>
      <c r="I322" s="1360"/>
    </row>
    <row r="323" spans="1:9" ht="15.75" customHeight="1" thickBot="1" x14ac:dyDescent="0.25">
      <c r="A323" s="1792"/>
      <c r="B323" s="1793"/>
      <c r="C323" s="1793"/>
      <c r="D323" s="1361"/>
      <c r="E323" s="1361"/>
      <c r="F323" s="1361"/>
      <c r="G323" s="1361"/>
      <c r="H323" s="1361"/>
      <c r="I323" s="1362"/>
    </row>
    <row r="324" spans="1:9" ht="15.75" customHeight="1" thickBot="1" x14ac:dyDescent="0.25">
      <c r="A324" s="202"/>
      <c r="B324" s="203"/>
      <c r="C324" s="203"/>
      <c r="D324" s="203"/>
      <c r="E324" s="203"/>
      <c r="F324" s="203"/>
      <c r="G324" s="203"/>
      <c r="H324" s="203"/>
      <c r="I324" s="204"/>
    </row>
    <row r="325" spans="1:9" ht="15.75" customHeight="1" thickBot="1" x14ac:dyDescent="0.25">
      <c r="A325" s="1432" t="s">
        <v>553</v>
      </c>
      <c r="B325" s="1433"/>
      <c r="C325" s="1433"/>
      <c r="D325" s="1433"/>
      <c r="E325" s="1433"/>
      <c r="F325" s="1433"/>
      <c r="G325" s="1433"/>
      <c r="H325" s="1433"/>
      <c r="I325" s="1434"/>
    </row>
    <row r="326" spans="1:9" ht="15.75" customHeight="1" thickBot="1" x14ac:dyDescent="0.25">
      <c r="A326" s="1689" t="s">
        <v>554</v>
      </c>
      <c r="B326" s="1689" t="s">
        <v>555</v>
      </c>
      <c r="C326" s="1689" t="s">
        <v>41</v>
      </c>
      <c r="D326" s="1683" t="s">
        <v>511</v>
      </c>
      <c r="E326" s="1684"/>
      <c r="F326" s="1685"/>
      <c r="G326" s="1683" t="s">
        <v>556</v>
      </c>
      <c r="H326" s="1684"/>
      <c r="I326" s="1685"/>
    </row>
    <row r="327" spans="1:9" ht="15.75" customHeight="1" thickBot="1" x14ac:dyDescent="0.25">
      <c r="A327" s="1690"/>
      <c r="B327" s="1690"/>
      <c r="C327" s="1690"/>
      <c r="D327" s="321" t="s">
        <v>518</v>
      </c>
      <c r="E327" s="321" t="s">
        <v>41</v>
      </c>
      <c r="F327" s="321" t="s">
        <v>519</v>
      </c>
      <c r="G327" s="321" t="s">
        <v>520</v>
      </c>
      <c r="H327" s="321" t="s">
        <v>2422</v>
      </c>
      <c r="I327" s="322" t="s">
        <v>557</v>
      </c>
    </row>
    <row r="328" spans="1:9" ht="15.75" customHeight="1" thickBot="1" x14ac:dyDescent="0.25">
      <c r="A328" s="46" t="s">
        <v>1568</v>
      </c>
      <c r="B328" s="847">
        <f ca="1">CostCalc!B605</f>
        <v>1.9522823307837004E-4</v>
      </c>
      <c r="C328" s="41" t="s">
        <v>566</v>
      </c>
      <c r="D328" s="49">
        <v>50</v>
      </c>
      <c r="E328" s="41" t="s">
        <v>15</v>
      </c>
      <c r="F328" s="41">
        <v>2021</v>
      </c>
      <c r="G328" s="56"/>
      <c r="H328" s="335">
        <f>CAPEX!N$3/316.8</f>
        <v>1.2704734848484849</v>
      </c>
      <c r="I328" s="818">
        <f t="shared" ref="I328:I334" ca="1" si="6">H328*D328*B328</f>
        <v>1.2401614680994452E-2</v>
      </c>
    </row>
    <row r="329" spans="1:9" ht="15.75" customHeight="1" thickBot="1" x14ac:dyDescent="0.25">
      <c r="A329" s="46" t="s">
        <v>2387</v>
      </c>
      <c r="B329" s="72">
        <f ca="1">CostCalc!B615*Inputs!F3</f>
        <v>59.220438048819112</v>
      </c>
      <c r="C329" s="41" t="s">
        <v>40</v>
      </c>
      <c r="D329" s="50">
        <v>0.17799999999999999</v>
      </c>
      <c r="E329" s="41" t="s">
        <v>378</v>
      </c>
      <c r="F329" s="41">
        <v>2024</v>
      </c>
      <c r="G329" s="34"/>
      <c r="H329" s="335">
        <f>CAPEX!N$3/389.544</f>
        <v>1.0332234612778017</v>
      </c>
      <c r="I329" s="818">
        <f t="shared" ca="1" si="6"/>
        <v>10.891454384295553</v>
      </c>
    </row>
    <row r="330" spans="1:9" ht="15.75" customHeight="1" thickBot="1" x14ac:dyDescent="0.25">
      <c r="A330" s="46" t="s">
        <v>2436</v>
      </c>
      <c r="B330" s="72">
        <f ca="1">CostCalc!B616*Inputs!F3</f>
        <v>5.9447267145515292</v>
      </c>
      <c r="C330" s="41" t="s">
        <v>40</v>
      </c>
      <c r="D330" s="50">
        <v>0.17799999999999999</v>
      </c>
      <c r="E330" s="41" t="s">
        <v>378</v>
      </c>
      <c r="F330" s="41">
        <v>2024</v>
      </c>
      <c r="G330" s="34"/>
      <c r="H330" s="335">
        <f>CAPEX!N$3/389.544</f>
        <v>1.0332234612778017</v>
      </c>
      <c r="I330" s="818">
        <f t="shared" ca="1" si="6"/>
        <v>1.0933171379999991</v>
      </c>
    </row>
    <row r="331" spans="1:9" ht="15.75" customHeight="1" thickBot="1" x14ac:dyDescent="0.25">
      <c r="A331" s="46" t="s">
        <v>2437</v>
      </c>
      <c r="B331" s="72">
        <f ca="1">CostCalc!B600*Inputs!F3</f>
        <v>2299.5519453806796</v>
      </c>
      <c r="C331" s="41" t="s">
        <v>40</v>
      </c>
      <c r="D331" s="50">
        <v>0.17799999999999999</v>
      </c>
      <c r="E331" s="41" t="s">
        <v>378</v>
      </c>
      <c r="F331" s="41">
        <v>2024</v>
      </c>
      <c r="G331" s="34"/>
      <c r="H331" s="335">
        <f>CAPEX!N$3/389.544</f>
        <v>1.0332234612778017</v>
      </c>
      <c r="I331" s="818">
        <f t="shared" ca="1" si="6"/>
        <v>422.91928163019037</v>
      </c>
    </row>
    <row r="332" spans="1:9" ht="15.75" customHeight="1" thickBot="1" x14ac:dyDescent="0.25">
      <c r="A332" s="46" t="s">
        <v>2438</v>
      </c>
      <c r="B332" s="72">
        <f>CostCalc!B617*Inputs!F3</f>
        <v>4515.6568000000007</v>
      </c>
      <c r="C332" s="41" t="s">
        <v>40</v>
      </c>
      <c r="D332" s="50">
        <v>0.17799999999999999</v>
      </c>
      <c r="E332" s="41" t="s">
        <v>378</v>
      </c>
      <c r="F332" s="41">
        <v>2024</v>
      </c>
      <c r="G332" s="34"/>
      <c r="H332" s="335">
        <f>CAPEX!N$3/389.544</f>
        <v>1.0332234612778017</v>
      </c>
      <c r="I332" s="818">
        <f t="shared" si="6"/>
        <v>830.49149369327836</v>
      </c>
    </row>
    <row r="333" spans="1:9" ht="15.75" customHeight="1" thickBot="1" x14ac:dyDescent="0.25">
      <c r="A333" s="46" t="s">
        <v>2439</v>
      </c>
      <c r="B333" s="72">
        <f ca="1">CostCalc!B612*Inputs!F3</f>
        <v>1857.3304174228567</v>
      </c>
      <c r="C333" s="41" t="s">
        <v>40</v>
      </c>
      <c r="D333" s="50">
        <v>0.17799999999999999</v>
      </c>
      <c r="E333" s="41" t="s">
        <v>378</v>
      </c>
      <c r="F333" s="41">
        <v>2024</v>
      </c>
      <c r="G333" s="34"/>
      <c r="H333" s="335">
        <f>CAPEX!N$3/389.544</f>
        <v>1.0332234612778017</v>
      </c>
      <c r="I333" s="818">
        <f t="shared" ca="1" si="6"/>
        <v>341.5886505474615</v>
      </c>
    </row>
    <row r="334" spans="1:9" ht="15.75" customHeight="1" thickBot="1" x14ac:dyDescent="0.25">
      <c r="A334" s="46" t="s">
        <v>2433</v>
      </c>
      <c r="B334" s="72">
        <f ca="1">CostCalc!B608*Inputs!F3</f>
        <v>346337.17143622204</v>
      </c>
      <c r="C334" s="41" t="s">
        <v>2959</v>
      </c>
      <c r="D334" s="329">
        <v>3.0000000000000001E-3</v>
      </c>
      <c r="E334" s="41" t="s">
        <v>29</v>
      </c>
      <c r="F334" s="41">
        <v>2011</v>
      </c>
      <c r="G334" s="56"/>
      <c r="H334" s="335">
        <f>CAPEX!N$3/295.3</f>
        <v>1.3629732475448695</v>
      </c>
      <c r="I334" s="818">
        <f t="shared" ca="1" si="6"/>
        <v>1416.1448978937951</v>
      </c>
    </row>
    <row r="335" spans="1:9" ht="15.75" customHeight="1" thickBot="1" x14ac:dyDescent="0.25">
      <c r="A335" s="1677" t="s">
        <v>526</v>
      </c>
      <c r="B335" s="1678"/>
      <c r="C335" s="1678"/>
      <c r="D335" s="1678"/>
      <c r="E335" s="1678"/>
      <c r="F335" s="1678"/>
      <c r="G335" s="1678"/>
      <c r="H335" s="1679"/>
      <c r="I335" s="817">
        <f ca="1">SUM(I328:I334)</f>
        <v>3023.1414969017019</v>
      </c>
    </row>
    <row r="336" spans="1:9" ht="15.75" customHeight="1" thickBot="1" x14ac:dyDescent="0.25"/>
    <row r="337" spans="1:9" ht="15.75" customHeight="1" thickBot="1" x14ac:dyDescent="0.25">
      <c r="A337" s="1432" t="s">
        <v>558</v>
      </c>
      <c r="B337" s="1433"/>
      <c r="C337" s="1433"/>
      <c r="D337" s="1433"/>
      <c r="E337" s="1434"/>
    </row>
    <row r="338" spans="1:9" ht="15.75" customHeight="1" thickBot="1" x14ac:dyDescent="0.25">
      <c r="A338" s="322" t="s">
        <v>559</v>
      </c>
      <c r="B338" s="322" t="s">
        <v>516</v>
      </c>
      <c r="C338" s="322" t="s">
        <v>41</v>
      </c>
      <c r="D338" s="322" t="s">
        <v>2423</v>
      </c>
      <c r="E338" s="322" t="s">
        <v>557</v>
      </c>
    </row>
    <row r="339" spans="1:9" ht="15.75" customHeight="1" thickBot="1" x14ac:dyDescent="0.25">
      <c r="A339" s="35" t="s">
        <v>567</v>
      </c>
      <c r="B339" s="36">
        <v>1</v>
      </c>
      <c r="C339" s="41" t="s">
        <v>568</v>
      </c>
      <c r="D339" s="37">
        <v>150000</v>
      </c>
      <c r="E339" s="43" cm="1">
        <f t="array" ref="E339:E342">D339:D342*B339:B342</f>
        <v>150000</v>
      </c>
    </row>
    <row r="340" spans="1:9" ht="15.75" customHeight="1" thickBot="1" x14ac:dyDescent="0.25">
      <c r="A340" s="35" t="s">
        <v>2468</v>
      </c>
      <c r="B340" s="36">
        <v>1</v>
      </c>
      <c r="C340" s="41" t="s">
        <v>568</v>
      </c>
      <c r="D340" s="37">
        <v>100000</v>
      </c>
      <c r="E340" s="43">
        <v>100000</v>
      </c>
    </row>
    <row r="341" spans="1:9" ht="15.75" customHeight="1" thickBot="1" x14ac:dyDescent="0.25">
      <c r="A341" s="35" t="s">
        <v>570</v>
      </c>
      <c r="B341" s="36">
        <v>1</v>
      </c>
      <c r="C341" s="41" t="s">
        <v>568</v>
      </c>
      <c r="D341" s="37">
        <v>85000</v>
      </c>
      <c r="E341" s="43">
        <v>85000</v>
      </c>
    </row>
    <row r="342" spans="1:9" ht="15.75" customHeight="1" thickBot="1" x14ac:dyDescent="0.25">
      <c r="A342" s="35" t="s">
        <v>571</v>
      </c>
      <c r="B342" s="36">
        <v>2</v>
      </c>
      <c r="C342" s="41" t="s">
        <v>568</v>
      </c>
      <c r="D342" s="37">
        <v>70000</v>
      </c>
      <c r="E342" s="43">
        <v>140000</v>
      </c>
    </row>
    <row r="343" spans="1:9" ht="15.75" customHeight="1" thickBot="1" x14ac:dyDescent="0.25">
      <c r="A343" s="1753" t="s">
        <v>526</v>
      </c>
      <c r="B343" s="1754"/>
      <c r="C343" s="1754"/>
      <c r="D343" s="1754"/>
      <c r="E343" s="78">
        <f>SUM(_xlfn.ANCHORARRAY(E339))</f>
        <v>475000</v>
      </c>
    </row>
    <row r="344" spans="1:9" ht="15.75" customHeight="1" x14ac:dyDescent="0.2"/>
    <row r="345" spans="1:9" ht="15.75" customHeight="1" x14ac:dyDescent="0.2">
      <c r="A345" s="197"/>
      <c r="B345" s="38"/>
      <c r="C345" s="38"/>
      <c r="D345" s="38"/>
      <c r="E345" s="38"/>
      <c r="F345" s="38"/>
      <c r="G345" s="38"/>
      <c r="H345" s="38"/>
      <c r="I345" s="89"/>
    </row>
    <row r="346" spans="1:9" ht="15.75" customHeight="1" x14ac:dyDescent="0.2"/>
    <row r="347" spans="1:9" ht="15.75" customHeight="1" thickBot="1" x14ac:dyDescent="0.25"/>
    <row r="348" spans="1:9" ht="15.75" customHeight="1" x14ac:dyDescent="0.2">
      <c r="A348" s="1999" t="s">
        <v>1417</v>
      </c>
      <c r="B348" s="2000"/>
      <c r="C348" s="1435"/>
      <c r="D348" s="1435"/>
      <c r="E348" s="1435"/>
      <c r="F348" s="1435"/>
      <c r="G348" s="1435"/>
      <c r="H348" s="1435"/>
      <c r="I348" s="1436"/>
    </row>
    <row r="349" spans="1:9" ht="15.75" customHeight="1" thickBot="1" x14ac:dyDescent="0.25">
      <c r="A349" s="2002"/>
      <c r="B349" s="2003"/>
      <c r="C349" s="1437"/>
      <c r="D349" s="1437"/>
      <c r="E349" s="1437"/>
      <c r="F349" s="1437"/>
      <c r="G349" s="1437"/>
      <c r="H349" s="1437"/>
      <c r="I349" s="1438"/>
    </row>
    <row r="350" spans="1:9" ht="15.75" customHeight="1" thickBot="1" x14ac:dyDescent="0.25">
      <c r="A350" s="202"/>
      <c r="B350" s="203"/>
      <c r="C350" s="203"/>
      <c r="D350" s="203"/>
      <c r="E350" s="203"/>
      <c r="F350" s="203"/>
      <c r="G350" s="203"/>
      <c r="H350" s="203"/>
      <c r="I350" s="204"/>
    </row>
    <row r="351" spans="1:9" ht="15.75" customHeight="1" thickBot="1" x14ac:dyDescent="0.25">
      <c r="A351" s="1439" t="s">
        <v>553</v>
      </c>
      <c r="B351" s="1440"/>
      <c r="C351" s="1440"/>
      <c r="D351" s="1440"/>
      <c r="E351" s="1440"/>
      <c r="F351" s="1440"/>
      <c r="G351" s="1440"/>
      <c r="H351" s="1440"/>
      <c r="I351" s="1441"/>
    </row>
    <row r="352" spans="1:9" ht="15.75" customHeight="1" thickBot="1" x14ac:dyDescent="0.25">
      <c r="A352" s="1689" t="s">
        <v>554</v>
      </c>
      <c r="B352" s="1689" t="s">
        <v>555</v>
      </c>
      <c r="C352" s="1689" t="s">
        <v>41</v>
      </c>
      <c r="D352" s="1683" t="s">
        <v>511</v>
      </c>
      <c r="E352" s="1684"/>
      <c r="F352" s="1685"/>
      <c r="G352" s="1683" t="s">
        <v>556</v>
      </c>
      <c r="H352" s="1684"/>
      <c r="I352" s="1685"/>
    </row>
    <row r="353" spans="1:9" ht="15.75" customHeight="1" thickBot="1" x14ac:dyDescent="0.25">
      <c r="A353" s="1690"/>
      <c r="B353" s="1690"/>
      <c r="C353" s="1690"/>
      <c r="D353" s="321" t="s">
        <v>518</v>
      </c>
      <c r="E353" s="321" t="s">
        <v>41</v>
      </c>
      <c r="F353" s="321" t="s">
        <v>519</v>
      </c>
      <c r="G353" s="321" t="s">
        <v>520</v>
      </c>
      <c r="H353" s="321" t="s">
        <v>2422</v>
      </c>
      <c r="I353" s="322" t="s">
        <v>557</v>
      </c>
    </row>
    <row r="354" spans="1:9" ht="15.75" customHeight="1" thickBot="1" x14ac:dyDescent="0.25">
      <c r="A354" s="46" t="s">
        <v>1569</v>
      </c>
      <c r="B354" s="847">
        <f ca="1">CostCalc!B665</f>
        <v>3.3131810566816285E-4</v>
      </c>
      <c r="C354" s="41" t="s">
        <v>566</v>
      </c>
      <c r="D354" s="49">
        <v>1436</v>
      </c>
      <c r="E354" s="41" t="s">
        <v>15</v>
      </c>
      <c r="F354" s="41">
        <v>2021</v>
      </c>
      <c r="G354" s="56"/>
      <c r="H354" s="335">
        <f>CAPEX!N$3/389.544</f>
        <v>1.0332234612778017</v>
      </c>
      <c r="I354" s="818">
        <f t="shared" ref="I354:I360" ca="1" si="7">H354*D354*B354</f>
        <v>0.49157961892865787</v>
      </c>
    </row>
    <row r="355" spans="1:9" ht="15.75" customHeight="1" thickBot="1" x14ac:dyDescent="0.25">
      <c r="A355" s="46" t="s">
        <v>2440</v>
      </c>
      <c r="B355" s="72">
        <f ca="1">CostCalc!B672</f>
        <v>1.6631098367132221E-4</v>
      </c>
      <c r="C355" s="41" t="s">
        <v>40</v>
      </c>
      <c r="D355" s="50">
        <v>0.17799999999999999</v>
      </c>
      <c r="E355" s="41" t="s">
        <v>378</v>
      </c>
      <c r="F355" s="41">
        <v>2024</v>
      </c>
      <c r="G355" s="34"/>
      <c r="H355" s="335">
        <f>CAPEX!N$3/389.544</f>
        <v>1.0332234612778017</v>
      </c>
      <c r="I355" s="818">
        <f t="shared" ca="1" si="7"/>
        <v>3.0586881015137107E-5</v>
      </c>
    </row>
    <row r="356" spans="1:9" ht="15.75" customHeight="1" thickBot="1" x14ac:dyDescent="0.25">
      <c r="A356" s="46" t="s">
        <v>2387</v>
      </c>
      <c r="B356" s="72">
        <f ca="1">B329</f>
        <v>59.220438048819112</v>
      </c>
      <c r="C356" s="41" t="s">
        <v>40</v>
      </c>
      <c r="D356" s="50">
        <v>0.17799999999999999</v>
      </c>
      <c r="E356" s="41" t="s">
        <v>378</v>
      </c>
      <c r="F356" s="41">
        <v>2024</v>
      </c>
      <c r="G356" s="34"/>
      <c r="H356" s="335">
        <f>CAPEX!N$3/389.544</f>
        <v>1.0332234612778017</v>
      </c>
      <c r="I356" s="818">
        <f t="shared" ca="1" si="7"/>
        <v>10.891454384295553</v>
      </c>
    </row>
    <row r="357" spans="1:9" ht="15.75" customHeight="1" thickBot="1" x14ac:dyDescent="0.25">
      <c r="A357" s="46" t="s">
        <v>2441</v>
      </c>
      <c r="B357" s="72">
        <f ca="1">B330</f>
        <v>5.9447267145515292</v>
      </c>
      <c r="C357" s="41" t="s">
        <v>40</v>
      </c>
      <c r="D357" s="50">
        <v>0.17799999999999999</v>
      </c>
      <c r="E357" s="41" t="s">
        <v>378</v>
      </c>
      <c r="F357" s="41">
        <v>2024</v>
      </c>
      <c r="G357" s="34"/>
      <c r="H357" s="335">
        <f>CAPEX!N$3/389.544</f>
        <v>1.0332234612778017</v>
      </c>
      <c r="I357" s="818">
        <f t="shared" ca="1" si="7"/>
        <v>1.0933171379999991</v>
      </c>
    </row>
    <row r="358" spans="1:9" ht="15.75" customHeight="1" thickBot="1" x14ac:dyDescent="0.25">
      <c r="A358" s="46" t="s">
        <v>2438</v>
      </c>
      <c r="B358" s="72">
        <f>B332</f>
        <v>4515.6568000000007</v>
      </c>
      <c r="C358" s="41" t="s">
        <v>40</v>
      </c>
      <c r="D358" s="50">
        <v>0.17799999999999999</v>
      </c>
      <c r="E358" s="41" t="s">
        <v>378</v>
      </c>
      <c r="F358" s="41">
        <v>2024</v>
      </c>
      <c r="G358" s="34"/>
      <c r="H358" s="335">
        <f>CAPEX!N$3/389.544</f>
        <v>1.0332234612778017</v>
      </c>
      <c r="I358" s="818">
        <f t="shared" si="7"/>
        <v>830.49149369327836</v>
      </c>
    </row>
    <row r="359" spans="1:9" ht="15.75" customHeight="1" thickBot="1" x14ac:dyDescent="0.25">
      <c r="A359" s="46" t="s">
        <v>2439</v>
      </c>
      <c r="B359" s="72">
        <f ca="1">B333</f>
        <v>1857.3304174228567</v>
      </c>
      <c r="C359" s="41" t="s">
        <v>40</v>
      </c>
      <c r="D359" s="50">
        <v>0.17799999999999999</v>
      </c>
      <c r="E359" s="41" t="s">
        <v>378</v>
      </c>
      <c r="F359" s="41">
        <v>2024</v>
      </c>
      <c r="G359" s="34"/>
      <c r="H359" s="335">
        <f>CAPEX!N$3/389.544</f>
        <v>1.0332234612778017</v>
      </c>
      <c r="I359" s="818">
        <f t="shared" ca="1" si="7"/>
        <v>341.5886505474615</v>
      </c>
    </row>
    <row r="360" spans="1:9" ht="15.75" customHeight="1" thickBot="1" x14ac:dyDescent="0.25">
      <c r="A360" s="46" t="s">
        <v>2433</v>
      </c>
      <c r="B360" s="72">
        <f ca="1">CostCalc!B668*Inputs!F3</f>
        <v>3257949.1270459564</v>
      </c>
      <c r="C360" s="41" t="s">
        <v>2959</v>
      </c>
      <c r="D360" s="329">
        <v>3.0000000000000001E-3</v>
      </c>
      <c r="E360" s="41" t="s">
        <v>29</v>
      </c>
      <c r="F360" s="41">
        <v>2011</v>
      </c>
      <c r="G360" s="56"/>
      <c r="H360" s="335">
        <f>CAPEX!N$3/295.3</f>
        <v>1.3629732475448695</v>
      </c>
      <c r="I360" s="818">
        <f t="shared" ca="1" si="7"/>
        <v>13321.492506077399</v>
      </c>
    </row>
    <row r="361" spans="1:9" ht="15.75" customHeight="1" thickBot="1" x14ac:dyDescent="0.25">
      <c r="A361" s="1677" t="s">
        <v>526</v>
      </c>
      <c r="B361" s="1678"/>
      <c r="C361" s="1678"/>
      <c r="D361" s="1678"/>
      <c r="E361" s="1678"/>
      <c r="F361" s="1678"/>
      <c r="G361" s="1678"/>
      <c r="H361" s="1679"/>
      <c r="I361" s="817">
        <f ca="1">SUM(I354:I360)</f>
        <v>14506.049032046243</v>
      </c>
    </row>
    <row r="362" spans="1:9" ht="15.75" customHeight="1" thickBot="1" x14ac:dyDescent="0.25"/>
    <row r="363" spans="1:9" ht="15.75" customHeight="1" thickBot="1" x14ac:dyDescent="0.25">
      <c r="A363" s="1439" t="s">
        <v>558</v>
      </c>
      <c r="B363" s="1440"/>
      <c r="C363" s="1440"/>
      <c r="D363" s="1440"/>
      <c r="E363" s="1441"/>
    </row>
    <row r="364" spans="1:9" ht="15.75" customHeight="1" thickBot="1" x14ac:dyDescent="0.25">
      <c r="A364" s="322" t="s">
        <v>559</v>
      </c>
      <c r="B364" s="322" t="s">
        <v>516</v>
      </c>
      <c r="C364" s="322" t="s">
        <v>41</v>
      </c>
      <c r="D364" s="322" t="s">
        <v>2423</v>
      </c>
      <c r="E364" s="322" t="s">
        <v>557</v>
      </c>
    </row>
    <row r="365" spans="1:9" ht="15.75" customHeight="1" thickBot="1" x14ac:dyDescent="0.25">
      <c r="A365" s="35" t="s">
        <v>567</v>
      </c>
      <c r="B365" s="36">
        <v>0</v>
      </c>
      <c r="C365" s="41" t="s">
        <v>568</v>
      </c>
      <c r="D365" s="37">
        <v>150000</v>
      </c>
      <c r="E365" s="43" cm="1">
        <f t="array" ref="E365:E368">D365:D368*B365:B368</f>
        <v>0</v>
      </c>
    </row>
    <row r="366" spans="1:9" ht="15.75" customHeight="1" thickBot="1" x14ac:dyDescent="0.25">
      <c r="A366" s="35" t="s">
        <v>2468</v>
      </c>
      <c r="B366" s="36">
        <v>1</v>
      </c>
      <c r="C366" s="41" t="s">
        <v>568</v>
      </c>
      <c r="D366" s="37">
        <v>100000</v>
      </c>
      <c r="E366" s="43">
        <v>100000</v>
      </c>
    </row>
    <row r="367" spans="1:9" ht="15.75" customHeight="1" thickBot="1" x14ac:dyDescent="0.25">
      <c r="A367" s="35" t="s">
        <v>570</v>
      </c>
      <c r="B367" s="36">
        <v>1</v>
      </c>
      <c r="C367" s="41" t="s">
        <v>568</v>
      </c>
      <c r="D367" s="37">
        <v>85000</v>
      </c>
      <c r="E367" s="43">
        <v>85000</v>
      </c>
    </row>
    <row r="368" spans="1:9" ht="15.75" customHeight="1" thickBot="1" x14ac:dyDescent="0.25">
      <c r="A368" s="35" t="s">
        <v>571</v>
      </c>
      <c r="B368" s="36">
        <v>2</v>
      </c>
      <c r="C368" s="41" t="s">
        <v>568</v>
      </c>
      <c r="D368" s="37">
        <v>70000</v>
      </c>
      <c r="E368" s="43">
        <v>140000</v>
      </c>
    </row>
    <row r="369" spans="1:9" ht="15.75" customHeight="1" thickBot="1" x14ac:dyDescent="0.25">
      <c r="A369" s="1753" t="s">
        <v>526</v>
      </c>
      <c r="B369" s="1754"/>
      <c r="C369" s="1754"/>
      <c r="D369" s="1754"/>
      <c r="E369" s="78">
        <f>SUM(_xlfn.ANCHORARRAY(E365))</f>
        <v>325000</v>
      </c>
    </row>
    <row r="370" spans="1:9" ht="15.75" customHeight="1" x14ac:dyDescent="0.2"/>
    <row r="371" spans="1:9" ht="15.75" customHeight="1" x14ac:dyDescent="0.2"/>
    <row r="372" spans="1:9" ht="15.75" customHeight="1" x14ac:dyDescent="0.2">
      <c r="A372" s="197"/>
      <c r="B372" s="38"/>
      <c r="C372" s="38"/>
      <c r="D372" s="38"/>
      <c r="E372" s="38"/>
      <c r="F372" s="38"/>
      <c r="G372" s="38"/>
      <c r="H372" s="38"/>
      <c r="I372" s="89"/>
    </row>
    <row r="373" spans="1:9" ht="15.75" customHeight="1" thickBot="1" x14ac:dyDescent="0.25"/>
    <row r="374" spans="1:9" ht="15.75" customHeight="1" x14ac:dyDescent="0.2">
      <c r="A374" s="1949" t="s">
        <v>1011</v>
      </c>
      <c r="B374" s="1950"/>
      <c r="C374" s="1950"/>
      <c r="D374" s="1367"/>
      <c r="E374" s="1367"/>
      <c r="F374" s="1367"/>
      <c r="G374" s="1367"/>
      <c r="H374" s="1367"/>
      <c r="I374" s="1368"/>
    </row>
    <row r="375" spans="1:9" ht="15.75" customHeight="1" thickBot="1" x14ac:dyDescent="0.25">
      <c r="A375" s="1952"/>
      <c r="B375" s="1953"/>
      <c r="C375" s="1953"/>
      <c r="D375" s="1369"/>
      <c r="E375" s="1369"/>
      <c r="F375" s="1369"/>
      <c r="G375" s="1369"/>
      <c r="H375" s="1369"/>
      <c r="I375" s="1370"/>
    </row>
    <row r="376" spans="1:9" ht="15.75" customHeight="1" thickBot="1" x14ac:dyDescent="0.25">
      <c r="A376" s="202"/>
      <c r="B376" s="203"/>
      <c r="C376" s="203"/>
      <c r="D376" s="203"/>
      <c r="E376" s="203"/>
      <c r="F376" s="203"/>
      <c r="G376" s="203"/>
      <c r="H376" s="203"/>
      <c r="I376" s="204"/>
    </row>
    <row r="377" spans="1:9" ht="15.75" customHeight="1" thickBot="1" x14ac:dyDescent="0.25">
      <c r="A377" s="1442" t="s">
        <v>553</v>
      </c>
      <c r="B377" s="1443"/>
      <c r="C377" s="1443"/>
      <c r="D377" s="1443"/>
      <c r="E377" s="1443"/>
      <c r="F377" s="1443"/>
      <c r="G377" s="1443"/>
      <c r="H377" s="1443"/>
      <c r="I377" s="1444"/>
    </row>
    <row r="378" spans="1:9" ht="15.75" customHeight="1" thickBot="1" x14ac:dyDescent="0.25">
      <c r="A378" s="1689" t="s">
        <v>554</v>
      </c>
      <c r="B378" s="1689" t="s">
        <v>555</v>
      </c>
      <c r="C378" s="1689" t="s">
        <v>41</v>
      </c>
      <c r="D378" s="1683" t="s">
        <v>511</v>
      </c>
      <c r="E378" s="1684"/>
      <c r="F378" s="1685"/>
      <c r="G378" s="1683" t="s">
        <v>556</v>
      </c>
      <c r="H378" s="1684"/>
      <c r="I378" s="1685"/>
    </row>
    <row r="379" spans="1:9" ht="15.75" customHeight="1" thickBot="1" x14ac:dyDescent="0.25">
      <c r="A379" s="1690"/>
      <c r="B379" s="1690"/>
      <c r="C379" s="1690"/>
      <c r="D379" s="321" t="s">
        <v>518</v>
      </c>
      <c r="E379" s="321" t="s">
        <v>41</v>
      </c>
      <c r="F379" s="321" t="s">
        <v>519</v>
      </c>
      <c r="G379" s="321" t="s">
        <v>520</v>
      </c>
      <c r="H379" s="321" t="s">
        <v>2422</v>
      </c>
      <c r="I379" s="322" t="s">
        <v>557</v>
      </c>
    </row>
    <row r="380" spans="1:9" ht="15.75" customHeight="1" thickBot="1" x14ac:dyDescent="0.25">
      <c r="A380" s="46" t="s">
        <v>2387</v>
      </c>
      <c r="B380" s="72">
        <f ca="1">B329</f>
        <v>59.220438048819112</v>
      </c>
      <c r="C380" s="41" t="s">
        <v>40</v>
      </c>
      <c r="D380" s="50">
        <v>0.17799999999999999</v>
      </c>
      <c r="E380" s="41" t="s">
        <v>378</v>
      </c>
      <c r="F380" s="41">
        <v>2024</v>
      </c>
      <c r="G380" s="34"/>
      <c r="H380" s="335">
        <f>CAPEX!N$3/389.544</f>
        <v>1.0332234612778017</v>
      </c>
      <c r="I380" s="818">
        <f ca="1">H380*D380*B380</f>
        <v>10.891454384295553</v>
      </c>
    </row>
    <row r="381" spans="1:9" ht="15.75" customHeight="1" thickBot="1" x14ac:dyDescent="0.25">
      <c r="A381" s="46" t="s">
        <v>2430</v>
      </c>
      <c r="B381" s="72">
        <f ca="1">B305</f>
        <v>656.36215934491486</v>
      </c>
      <c r="C381" s="41" t="s">
        <v>40</v>
      </c>
      <c r="D381" s="50">
        <v>0.17799999999999999</v>
      </c>
      <c r="E381" s="41" t="s">
        <v>378</v>
      </c>
      <c r="F381" s="41">
        <v>2024</v>
      </c>
      <c r="G381" s="34"/>
      <c r="H381" s="335">
        <f>CAPEX!N$3/389.544</f>
        <v>1.0332234612778017</v>
      </c>
      <c r="I381" s="818">
        <f ca="1">H381*D381*B381</f>
        <v>120.71404321916224</v>
      </c>
    </row>
    <row r="382" spans="1:9" ht="15.75" customHeight="1" thickBot="1" x14ac:dyDescent="0.25">
      <c r="A382" s="46" t="s">
        <v>2442</v>
      </c>
      <c r="B382" s="72">
        <f ca="1">B380*0.9</f>
        <v>53.298394243937203</v>
      </c>
      <c r="C382" s="41" t="s">
        <v>40</v>
      </c>
      <c r="D382" s="50">
        <v>0.17799999999999999</v>
      </c>
      <c r="E382" s="41" t="s">
        <v>378</v>
      </c>
      <c r="F382" s="41">
        <v>2024</v>
      </c>
      <c r="G382" s="34"/>
      <c r="H382" s="335">
        <f>CAPEX!N$3/389.544</f>
        <v>1.0332234612778017</v>
      </c>
      <c r="I382" s="818">
        <f ca="1">H382*D382*B382</f>
        <v>9.8023089458659989</v>
      </c>
    </row>
    <row r="383" spans="1:9" ht="15.75" customHeight="1" thickBot="1" x14ac:dyDescent="0.25">
      <c r="A383" s="46" t="s">
        <v>2443</v>
      </c>
      <c r="B383" s="72">
        <f ca="1">B380*0.1</f>
        <v>5.9220438048819117</v>
      </c>
      <c r="C383" s="41" t="s">
        <v>40</v>
      </c>
      <c r="D383" s="50">
        <v>0.17799999999999999</v>
      </c>
      <c r="E383" s="41" t="s">
        <v>378</v>
      </c>
      <c r="F383" s="41">
        <v>2024</v>
      </c>
      <c r="G383" s="34"/>
      <c r="H383" s="335">
        <f>CAPEX!N$3/389.544</f>
        <v>1.0332234612778017</v>
      </c>
      <c r="I383" s="818">
        <f ca="1">H383*D383*B383</f>
        <v>1.0891454384295556</v>
      </c>
    </row>
    <row r="384" spans="1:9" ht="15.75" customHeight="1" thickBot="1" x14ac:dyDescent="0.25">
      <c r="A384" s="1677" t="s">
        <v>526</v>
      </c>
      <c r="B384" s="1678"/>
      <c r="C384" s="1678"/>
      <c r="D384" s="1678"/>
      <c r="E384" s="1678"/>
      <c r="F384" s="1678"/>
      <c r="G384" s="1678"/>
      <c r="H384" s="1679"/>
      <c r="I384" s="817">
        <f ca="1">SUM(I380:I383)</f>
        <v>142.49695198775336</v>
      </c>
    </row>
    <row r="385" spans="1:9" ht="15.75" customHeight="1" thickBot="1" x14ac:dyDescent="0.25"/>
    <row r="386" spans="1:9" ht="15.75" customHeight="1" thickBot="1" x14ac:dyDescent="0.25">
      <c r="A386" s="1442" t="s">
        <v>558</v>
      </c>
      <c r="B386" s="1443"/>
      <c r="C386" s="1443"/>
      <c r="D386" s="1443"/>
      <c r="E386" s="1444"/>
    </row>
    <row r="387" spans="1:9" ht="15.75" customHeight="1" thickBot="1" x14ac:dyDescent="0.25">
      <c r="A387" s="322" t="s">
        <v>559</v>
      </c>
      <c r="B387" s="322" t="s">
        <v>516</v>
      </c>
      <c r="C387" s="322" t="s">
        <v>41</v>
      </c>
      <c r="D387" s="322" t="s">
        <v>2423</v>
      </c>
      <c r="E387" s="322" t="s">
        <v>557</v>
      </c>
    </row>
    <row r="388" spans="1:9" ht="15.75" customHeight="1" thickBot="1" x14ac:dyDescent="0.25">
      <c r="A388" s="35" t="s">
        <v>567</v>
      </c>
      <c r="B388" s="36">
        <v>0</v>
      </c>
      <c r="C388" s="41" t="s">
        <v>568</v>
      </c>
      <c r="D388" s="37">
        <v>150000</v>
      </c>
      <c r="E388" s="43" cm="1">
        <f t="array" ref="E388:E391">D388:D391*B388:B391</f>
        <v>0</v>
      </c>
    </row>
    <row r="389" spans="1:9" ht="15.75" customHeight="1" thickBot="1" x14ac:dyDescent="0.25">
      <c r="A389" s="35" t="s">
        <v>2468</v>
      </c>
      <c r="B389" s="36">
        <v>1</v>
      </c>
      <c r="C389" s="41" t="s">
        <v>568</v>
      </c>
      <c r="D389" s="37">
        <v>100000</v>
      </c>
      <c r="E389" s="43">
        <v>100000</v>
      </c>
    </row>
    <row r="390" spans="1:9" ht="15.75" customHeight="1" thickBot="1" x14ac:dyDescent="0.25">
      <c r="A390" s="35" t="s">
        <v>570</v>
      </c>
      <c r="B390" s="36">
        <v>1</v>
      </c>
      <c r="C390" s="41" t="s">
        <v>568</v>
      </c>
      <c r="D390" s="37">
        <v>85000</v>
      </c>
      <c r="E390" s="43">
        <v>85000</v>
      </c>
    </row>
    <row r="391" spans="1:9" ht="15.75" customHeight="1" thickBot="1" x14ac:dyDescent="0.25">
      <c r="A391" s="35" t="s">
        <v>571</v>
      </c>
      <c r="B391" s="36">
        <v>2</v>
      </c>
      <c r="C391" s="41" t="s">
        <v>568</v>
      </c>
      <c r="D391" s="37">
        <v>70000</v>
      </c>
      <c r="E391" s="43">
        <v>140000</v>
      </c>
    </row>
    <row r="392" spans="1:9" ht="15.75" customHeight="1" thickBot="1" x14ac:dyDescent="0.25">
      <c r="A392" s="1753" t="s">
        <v>526</v>
      </c>
      <c r="B392" s="1754"/>
      <c r="C392" s="1754"/>
      <c r="D392" s="1754"/>
      <c r="E392" s="78">
        <f>SUM(_xlfn.ANCHORARRAY(E388))</f>
        <v>325000</v>
      </c>
    </row>
    <row r="393" spans="1:9" ht="15.75" customHeight="1" x14ac:dyDescent="0.2"/>
    <row r="394" spans="1:9" ht="15.75" customHeight="1" x14ac:dyDescent="0.2">
      <c r="A394" s="197"/>
      <c r="B394" s="38"/>
      <c r="C394" s="38"/>
      <c r="D394" s="38"/>
      <c r="E394" s="38"/>
      <c r="F394" s="38"/>
      <c r="G394" s="38"/>
      <c r="H394" s="38"/>
      <c r="I394" s="89"/>
    </row>
    <row r="395" spans="1:9" ht="15.75" customHeight="1" x14ac:dyDescent="0.2">
      <c r="A395" s="197"/>
      <c r="B395" s="38"/>
      <c r="C395" s="38"/>
      <c r="D395" s="38"/>
      <c r="E395" s="38"/>
      <c r="F395" s="38"/>
      <c r="G395" s="38"/>
      <c r="H395" s="38"/>
      <c r="I395" s="89"/>
    </row>
    <row r="396" spans="1:9" ht="15.75" customHeight="1" x14ac:dyDescent="0.2">
      <c r="A396" s="1725" t="s">
        <v>1419</v>
      </c>
      <c r="B396" s="1725"/>
      <c r="C396" s="1725"/>
      <c r="D396" s="1725"/>
      <c r="E396" s="1725"/>
      <c r="F396" s="1725"/>
      <c r="G396" s="1725"/>
      <c r="H396" s="1725"/>
      <c r="I396" s="1725"/>
    </row>
    <row r="397" spans="1:9" ht="15.75" customHeight="1" x14ac:dyDescent="0.2">
      <c r="A397" s="1725"/>
      <c r="B397" s="1725"/>
      <c r="C397" s="1725"/>
      <c r="D397" s="1725"/>
      <c r="E397" s="1725"/>
      <c r="F397" s="1725"/>
      <c r="G397" s="1725"/>
      <c r="H397" s="1725"/>
      <c r="I397" s="1725"/>
    </row>
    <row r="398" spans="1:9" ht="15.75" customHeight="1" thickBot="1" x14ac:dyDescent="0.25">
      <c r="A398" s="97"/>
      <c r="B398" s="97"/>
      <c r="C398" s="97"/>
      <c r="D398" s="97"/>
      <c r="E398" s="97"/>
      <c r="F398" s="97"/>
      <c r="G398" s="97"/>
      <c r="H398" s="97"/>
      <c r="I398" s="97"/>
    </row>
    <row r="399" spans="1:9" ht="15.75" customHeight="1" x14ac:dyDescent="0.2">
      <c r="A399" s="2073" t="s">
        <v>2451</v>
      </c>
      <c r="B399" s="2074"/>
      <c r="C399" s="1445"/>
      <c r="D399" s="1445"/>
      <c r="E399" s="1445"/>
      <c r="F399" s="1445"/>
      <c r="G399" s="1445"/>
      <c r="H399" s="1445"/>
      <c r="I399" s="1446"/>
    </row>
    <row r="400" spans="1:9" ht="15.75" customHeight="1" thickBot="1" x14ac:dyDescent="0.25">
      <c r="A400" s="2075"/>
      <c r="B400" s="2076"/>
      <c r="C400" s="1447"/>
      <c r="D400" s="1447"/>
      <c r="E400" s="1447"/>
      <c r="F400" s="1447"/>
      <c r="G400" s="1447"/>
      <c r="H400" s="1447"/>
      <c r="I400" s="1448"/>
    </row>
    <row r="401" spans="1:9" ht="15.75" customHeight="1" thickBot="1" x14ac:dyDescent="0.25">
      <c r="A401" s="202"/>
      <c r="B401" s="203"/>
      <c r="C401" s="203"/>
      <c r="D401" s="203"/>
      <c r="E401" s="203"/>
      <c r="F401" s="203"/>
      <c r="G401" s="203"/>
      <c r="H401" s="203"/>
      <c r="I401" s="204"/>
    </row>
    <row r="402" spans="1:9" ht="15.75" customHeight="1" thickBot="1" x14ac:dyDescent="0.25">
      <c r="A402" s="1449" t="s">
        <v>553</v>
      </c>
      <c r="B402" s="1450"/>
      <c r="C402" s="1450"/>
      <c r="D402" s="1450"/>
      <c r="E402" s="1450"/>
      <c r="F402" s="1450"/>
      <c r="G402" s="1450"/>
      <c r="H402" s="1450"/>
      <c r="I402" s="1451"/>
    </row>
    <row r="403" spans="1:9" ht="15.75" customHeight="1" thickBot="1" x14ac:dyDescent="0.25">
      <c r="A403" s="1709" t="s">
        <v>554</v>
      </c>
      <c r="B403" s="1709" t="s">
        <v>555</v>
      </c>
      <c r="C403" s="1709" t="s">
        <v>41</v>
      </c>
      <c r="D403" s="1721" t="s">
        <v>511</v>
      </c>
      <c r="E403" s="1722"/>
      <c r="F403" s="1723"/>
      <c r="G403" s="1721" t="s">
        <v>556</v>
      </c>
      <c r="H403" s="1722"/>
      <c r="I403" s="1723"/>
    </row>
    <row r="404" spans="1:9" ht="15.75" customHeight="1" thickBot="1" x14ac:dyDescent="0.25">
      <c r="A404" s="1710"/>
      <c r="B404" s="1710"/>
      <c r="C404" s="1710"/>
      <c r="D404" s="41" t="s">
        <v>518</v>
      </c>
      <c r="E404" s="41" t="s">
        <v>41</v>
      </c>
      <c r="F404" s="41" t="s">
        <v>519</v>
      </c>
      <c r="G404" s="41" t="s">
        <v>520</v>
      </c>
      <c r="H404" s="41" t="s">
        <v>2422</v>
      </c>
      <c r="I404" s="77" t="s">
        <v>557</v>
      </c>
    </row>
    <row r="405" spans="1:9" ht="15.75" customHeight="1" thickBot="1" x14ac:dyDescent="0.25">
      <c r="A405" s="46" t="s">
        <v>2452</v>
      </c>
      <c r="B405" s="281">
        <f ca="1">0.1*ExpBase!E1201/1000*Inputs!F3</f>
        <v>38475.107589180894</v>
      </c>
      <c r="C405" s="41" t="s">
        <v>566</v>
      </c>
      <c r="D405" s="50">
        <v>106</v>
      </c>
      <c r="E405" s="41" t="s">
        <v>15</v>
      </c>
      <c r="F405" s="41">
        <v>2024</v>
      </c>
      <c r="G405" s="77"/>
      <c r="H405" s="335">
        <f>CAPEX!N$3/389.544</f>
        <v>1.0332234612778017</v>
      </c>
      <c r="I405" s="818">
        <f t="shared" ref="I405:I425" ca="1" si="8">H405*D405*B405</f>
        <v>4213858.6866509058</v>
      </c>
    </row>
    <row r="406" spans="1:9" ht="15.75" customHeight="1" thickBot="1" x14ac:dyDescent="0.25">
      <c r="A406" s="46" t="s">
        <v>2564</v>
      </c>
      <c r="B406" s="281">
        <f ca="1">ExpBase!E1201/50</f>
        <v>961.87768972952222</v>
      </c>
      <c r="C406" s="41" t="s">
        <v>3009</v>
      </c>
      <c r="D406" s="50">
        <v>78.25</v>
      </c>
      <c r="E406" s="41" t="s">
        <v>2</v>
      </c>
      <c r="F406" s="41">
        <v>2024</v>
      </c>
      <c r="G406" s="34"/>
      <c r="H406" s="335">
        <f>CAPEX!N$3/389.544</f>
        <v>1.0332234612778017</v>
      </c>
      <c r="I406" s="818">
        <f t="shared" ca="1" si="8"/>
        <v>77767.557129819194</v>
      </c>
    </row>
    <row r="407" spans="1:9" ht="15.75" customHeight="1" thickBot="1" x14ac:dyDescent="0.25">
      <c r="A407" s="46" t="s">
        <v>2460</v>
      </c>
      <c r="B407" s="281">
        <f ca="1">B444*0.08</f>
        <v>371533.00056253339</v>
      </c>
      <c r="C407" s="41" t="s">
        <v>40</v>
      </c>
      <c r="D407" s="50">
        <v>0.17799999999999999</v>
      </c>
      <c r="E407" s="41" t="s">
        <v>378</v>
      </c>
      <c r="F407" s="41">
        <v>2024</v>
      </c>
      <c r="G407" s="34"/>
      <c r="H407" s="335">
        <f>CAPEX!N$3/389.544</f>
        <v>1.0332234612778017</v>
      </c>
      <c r="I407" s="818">
        <f t="shared" ca="1" si="8"/>
        <v>68330.037081986375</v>
      </c>
    </row>
    <row r="408" spans="1:9" ht="15.75" customHeight="1" thickBot="1" x14ac:dyDescent="0.25">
      <c r="A408" s="46" t="s">
        <v>2387</v>
      </c>
      <c r="B408" s="281">
        <f ca="1">B407*(CAPEX!B362/CAPEX!B361)</f>
        <v>185766.50028126669</v>
      </c>
      <c r="C408" s="41" t="s">
        <v>40</v>
      </c>
      <c r="D408" s="50">
        <v>0.17799999999999999</v>
      </c>
      <c r="E408" s="41" t="s">
        <v>378</v>
      </c>
      <c r="F408" s="41">
        <v>2024</v>
      </c>
      <c r="G408" s="34"/>
      <c r="H408" s="335">
        <f>CAPEX!N$3/389.544</f>
        <v>1.0332234612778017</v>
      </c>
      <c r="I408" s="818">
        <f t="shared" ca="1" si="8"/>
        <v>34165.018540993187</v>
      </c>
    </row>
    <row r="409" spans="1:9" ht="15.75" customHeight="1" thickBot="1" x14ac:dyDescent="0.25">
      <c r="A409" s="46" t="s">
        <v>2453</v>
      </c>
      <c r="B409" s="281">
        <f ca="1">B408+B407</f>
        <v>557299.50084380014</v>
      </c>
      <c r="C409" s="41" t="s">
        <v>40</v>
      </c>
      <c r="D409" s="50">
        <v>0.17799999999999999</v>
      </c>
      <c r="E409" s="41" t="s">
        <v>378</v>
      </c>
      <c r="F409" s="41">
        <v>2024</v>
      </c>
      <c r="G409" s="34"/>
      <c r="H409" s="335">
        <f>CAPEX!N$3/389.544</f>
        <v>1.0332234612778017</v>
      </c>
      <c r="I409" s="818">
        <f t="shared" ca="1" si="8"/>
        <v>102495.05562297958</v>
      </c>
    </row>
    <row r="410" spans="1:9" ht="15.75" customHeight="1" thickBot="1" x14ac:dyDescent="0.25">
      <c r="A410" s="46" t="s">
        <v>2459</v>
      </c>
      <c r="B410" s="281">
        <f ca="1">B443*0.08</f>
        <v>232.32415559313745</v>
      </c>
      <c r="C410" s="41" t="s">
        <v>40</v>
      </c>
      <c r="D410" s="50">
        <v>0.17799999999999999</v>
      </c>
      <c r="E410" s="41" t="s">
        <v>378</v>
      </c>
      <c r="F410" s="41">
        <v>2024</v>
      </c>
      <c r="G410" s="34"/>
      <c r="H410" s="335">
        <f>CAPEX!N$3/389.544</f>
        <v>1.0332234612778017</v>
      </c>
      <c r="I410" s="818">
        <f t="shared" ca="1" si="8"/>
        <v>42.727612736108355</v>
      </c>
    </row>
    <row r="411" spans="1:9" ht="15.75" customHeight="1" thickBot="1" x14ac:dyDescent="0.25">
      <c r="A411" s="46" t="s">
        <v>2456</v>
      </c>
      <c r="B411" s="281">
        <f ca="1">B408</f>
        <v>185766.50028126669</v>
      </c>
      <c r="C411" s="41" t="s">
        <v>40</v>
      </c>
      <c r="D411" s="50">
        <v>0.17799999999999999</v>
      </c>
      <c r="E411" s="41" t="s">
        <v>378</v>
      </c>
      <c r="F411" s="41">
        <v>2024</v>
      </c>
      <c r="G411" s="34"/>
      <c r="H411" s="335">
        <f>CAPEX!N$3/389.544</f>
        <v>1.0332234612778017</v>
      </c>
      <c r="I411" s="818">
        <f t="shared" ca="1" si="8"/>
        <v>34165.018540993187</v>
      </c>
    </row>
    <row r="412" spans="1:9" ht="15.75" customHeight="1" thickBot="1" x14ac:dyDescent="0.25">
      <c r="A412" s="46" t="s">
        <v>2454</v>
      </c>
      <c r="B412" s="281">
        <f ca="1">CAPEX!B367/1000*Inputs!F3</f>
        <v>22123.186863779014</v>
      </c>
      <c r="C412" s="77" t="s">
        <v>3010</v>
      </c>
      <c r="D412" s="50">
        <f>508/2500</f>
        <v>0.20319999999999999</v>
      </c>
      <c r="E412" s="41" t="s">
        <v>2565</v>
      </c>
      <c r="F412" s="41">
        <v>2024</v>
      </c>
      <c r="G412" s="34"/>
      <c r="H412" s="335">
        <f>CAPEX!N$3/389.544</f>
        <v>1.0332234612778017</v>
      </c>
      <c r="I412" s="818">
        <f ca="1">H412*D412*B412</f>
        <v>4644.7853674367152</v>
      </c>
    </row>
    <row r="413" spans="1:9" ht="15.75" customHeight="1" thickBot="1" x14ac:dyDescent="0.25">
      <c r="A413" s="46" t="s">
        <v>2452</v>
      </c>
      <c r="B413" s="281">
        <f ca="1">B405/50</f>
        <v>769.50215178361793</v>
      </c>
      <c r="C413" s="85" t="s">
        <v>566</v>
      </c>
      <c r="D413" s="87">
        <v>106</v>
      </c>
      <c r="E413" s="41" t="s">
        <v>15</v>
      </c>
      <c r="F413" s="41">
        <v>2024</v>
      </c>
      <c r="G413" s="77"/>
      <c r="H413" s="335">
        <f>CAPEX!N$3/389.544</f>
        <v>1.0332234612778017</v>
      </c>
      <c r="I413" s="818">
        <f ca="1">H413*D413*B413</f>
        <v>84277.173733018135</v>
      </c>
    </row>
    <row r="414" spans="1:9" ht="15.75" customHeight="1" thickBot="1" x14ac:dyDescent="0.25">
      <c r="A414" s="46" t="s">
        <v>2564</v>
      </c>
      <c r="B414" s="281">
        <f ca="1">B406/50</f>
        <v>19.237553794590443</v>
      </c>
      <c r="C414" s="77" t="s">
        <v>3009</v>
      </c>
      <c r="D414" s="87">
        <v>78.25</v>
      </c>
      <c r="E414" s="41" t="s">
        <v>2</v>
      </c>
      <c r="F414" s="41">
        <v>2024</v>
      </c>
      <c r="G414" s="34"/>
      <c r="H414" s="335">
        <f>CAPEX!N$3/389.544</f>
        <v>1.0332234612778017</v>
      </c>
      <c r="I414" s="818">
        <f t="shared" ca="1" si="8"/>
        <v>1555.3511425963836</v>
      </c>
    </row>
    <row r="415" spans="1:9" ht="15.75" customHeight="1" thickBot="1" x14ac:dyDescent="0.25">
      <c r="A415" s="46" t="s">
        <v>2458</v>
      </c>
      <c r="B415" s="281">
        <f ca="1">B408*2.5</f>
        <v>464416.2507031667</v>
      </c>
      <c r="C415" s="41" t="s">
        <v>40</v>
      </c>
      <c r="D415" s="87">
        <v>0.17799999999999999</v>
      </c>
      <c r="E415" s="41" t="s">
        <v>378</v>
      </c>
      <c r="F415" s="41">
        <v>2024</v>
      </c>
      <c r="G415" s="34"/>
      <c r="H415" s="335">
        <f>CAPEX!N$3/389.544</f>
        <v>1.0332234612778017</v>
      </c>
      <c r="I415" s="818">
        <f t="shared" ca="1" si="8"/>
        <v>85412.546352482968</v>
      </c>
    </row>
    <row r="416" spans="1:9" ht="15.75" customHeight="1" thickBot="1" x14ac:dyDescent="0.25">
      <c r="A416" s="46" t="s">
        <v>2457</v>
      </c>
      <c r="B416" s="281">
        <f ca="1">B408</f>
        <v>185766.50028126669</v>
      </c>
      <c r="C416" s="41" t="s">
        <v>40</v>
      </c>
      <c r="D416" s="87">
        <v>0.17799999999999999</v>
      </c>
      <c r="E416" s="41" t="s">
        <v>378</v>
      </c>
      <c r="F416" s="41">
        <v>2024</v>
      </c>
      <c r="G416" s="34"/>
      <c r="H416" s="335">
        <f>CAPEX!N$3/389.544</f>
        <v>1.0332234612778017</v>
      </c>
      <c r="I416" s="818">
        <f t="shared" ca="1" si="8"/>
        <v>34165.018540993187</v>
      </c>
    </row>
    <row r="417" spans="1:9" ht="15.75" customHeight="1" thickBot="1" x14ac:dyDescent="0.25">
      <c r="A417" s="46" t="s">
        <v>2455</v>
      </c>
      <c r="B417" s="281">
        <f ca="1">B412*10</f>
        <v>221231.86863779015</v>
      </c>
      <c r="C417" s="77" t="s">
        <v>3010</v>
      </c>
      <c r="D417" s="87">
        <f>215/5000</f>
        <v>4.2999999999999997E-2</v>
      </c>
      <c r="E417" s="41" t="s">
        <v>2566</v>
      </c>
      <c r="F417" s="41">
        <v>2024</v>
      </c>
      <c r="G417" s="34"/>
      <c r="H417" s="335">
        <f>CAPEX!N$3/389.544</f>
        <v>1.0332234612778017</v>
      </c>
      <c r="I417" s="818">
        <f t="shared" ca="1" si="8"/>
        <v>9829.0241535324185</v>
      </c>
    </row>
    <row r="418" spans="1:9" ht="15.75" customHeight="1" thickBot="1" x14ac:dyDescent="0.25">
      <c r="A418" s="46" t="s">
        <v>2461</v>
      </c>
      <c r="B418" s="281">
        <f ca="1">B408</f>
        <v>185766.50028126669</v>
      </c>
      <c r="C418" s="41" t="s">
        <v>40</v>
      </c>
      <c r="D418" s="87">
        <v>0.17799999999999999</v>
      </c>
      <c r="E418" s="41" t="s">
        <v>378</v>
      </c>
      <c r="F418" s="41">
        <v>2024</v>
      </c>
      <c r="G418" s="34"/>
      <c r="H418" s="335">
        <f>CAPEX!N$3/389.544</f>
        <v>1.0332234612778017</v>
      </c>
      <c r="I418" s="818">
        <f ca="1">H418*D418*B418</f>
        <v>34165.018540993187</v>
      </c>
    </row>
    <row r="419" spans="1:9" ht="15.75" customHeight="1" thickBot="1" x14ac:dyDescent="0.25">
      <c r="A419" s="46" t="s">
        <v>2462</v>
      </c>
      <c r="B419" s="281">
        <f ca="1">B410</f>
        <v>232.32415559313745</v>
      </c>
      <c r="C419" s="41" t="s">
        <v>40</v>
      </c>
      <c r="D419" s="87">
        <v>0.17799999999999999</v>
      </c>
      <c r="E419" s="41" t="s">
        <v>378</v>
      </c>
      <c r="F419" s="41">
        <v>2024</v>
      </c>
      <c r="G419" s="34"/>
      <c r="H419" s="335">
        <f>CAPEX!N$3/389.544</f>
        <v>1.0332234612778017</v>
      </c>
      <c r="I419" s="818">
        <f t="shared" ca="1" si="8"/>
        <v>42.727612736108355</v>
      </c>
    </row>
    <row r="420" spans="1:9" ht="15.75" customHeight="1" thickBot="1" x14ac:dyDescent="0.25">
      <c r="A420" s="46" t="s">
        <v>2463</v>
      </c>
      <c r="B420" s="281">
        <f ca="1">B408*0.2</f>
        <v>37153.300056253342</v>
      </c>
      <c r="C420" s="41" t="s">
        <v>40</v>
      </c>
      <c r="D420" s="87">
        <v>0.17799999999999999</v>
      </c>
      <c r="E420" s="41" t="s">
        <v>378</v>
      </c>
      <c r="F420" s="41">
        <v>2024</v>
      </c>
      <c r="G420" s="34"/>
      <c r="H420" s="335">
        <f>CAPEX!N$3/389.544</f>
        <v>1.0332234612778017</v>
      </c>
      <c r="I420" s="818">
        <f t="shared" ca="1" si="8"/>
        <v>6833.0037081986375</v>
      </c>
    </row>
    <row r="421" spans="1:9" ht="15.75" customHeight="1" thickBot="1" x14ac:dyDescent="0.25">
      <c r="A421" s="46" t="s">
        <v>2431</v>
      </c>
      <c r="B421" s="281">
        <f ca="1">B408</f>
        <v>185766.50028126669</v>
      </c>
      <c r="C421" s="41" t="s">
        <v>40</v>
      </c>
      <c r="D421" s="87">
        <v>0.17799999999999999</v>
      </c>
      <c r="E421" s="41" t="s">
        <v>378</v>
      </c>
      <c r="F421" s="41">
        <v>2024</v>
      </c>
      <c r="G421" s="34"/>
      <c r="H421" s="335">
        <f>CAPEX!N$3/389.544</f>
        <v>1.0332234612778017</v>
      </c>
      <c r="I421" s="818">
        <f t="shared" ca="1" si="8"/>
        <v>34165.018540993187</v>
      </c>
    </row>
    <row r="422" spans="1:9" ht="15.75" customHeight="1" thickBot="1" x14ac:dyDescent="0.25">
      <c r="A422" s="327" t="s">
        <v>2567</v>
      </c>
      <c r="B422" s="281">
        <f ca="1">CAPEX!B371*800</f>
        <v>2019943.1484319973</v>
      </c>
      <c r="C422" s="77" t="s">
        <v>3011</v>
      </c>
      <c r="D422" s="87">
        <f>244/6000</f>
        <v>4.0666666666666663E-2</v>
      </c>
      <c r="E422" s="41" t="s">
        <v>2568</v>
      </c>
      <c r="F422" s="41">
        <v>2024</v>
      </c>
      <c r="G422" s="34"/>
      <c r="H422" s="335">
        <f>CAPEX!N$3/389.544</f>
        <v>1.0332234612778017</v>
      </c>
      <c r="I422" s="818">
        <f t="shared" ca="1" si="8"/>
        <v>84873.474490563065</v>
      </c>
    </row>
    <row r="423" spans="1:9" ht="15.75" customHeight="1" thickBot="1" x14ac:dyDescent="0.25">
      <c r="A423" s="327" t="s">
        <v>2464</v>
      </c>
      <c r="B423" s="281">
        <f ca="1">B408*(CAPEX!B371/CAPEX!B361)</f>
        <v>97527.412647665013</v>
      </c>
      <c r="C423" s="41" t="s">
        <v>40</v>
      </c>
      <c r="D423" s="87">
        <v>0.17799999999999999</v>
      </c>
      <c r="E423" s="41" t="s">
        <v>378</v>
      </c>
      <c r="F423" s="41">
        <v>2024</v>
      </c>
      <c r="G423" s="34"/>
      <c r="H423" s="335">
        <f>CAPEX!N$3/389.544</f>
        <v>1.0332234612778017</v>
      </c>
      <c r="I423" s="818">
        <f t="shared" ca="1" si="8"/>
        <v>17936.634734021423</v>
      </c>
    </row>
    <row r="424" spans="1:9" ht="15.75" customHeight="1" thickBot="1" x14ac:dyDescent="0.25">
      <c r="A424" s="327" t="s">
        <v>2465</v>
      </c>
      <c r="B424" s="281">
        <f ca="1">B409</f>
        <v>557299.50084380014</v>
      </c>
      <c r="C424" s="41" t="s">
        <v>40</v>
      </c>
      <c r="D424" s="87">
        <v>0.17799999999999999</v>
      </c>
      <c r="E424" s="41" t="s">
        <v>378</v>
      </c>
      <c r="F424" s="41">
        <v>2024</v>
      </c>
      <c r="G424" s="34"/>
      <c r="H424" s="335">
        <f>CAPEX!N$3/389.544</f>
        <v>1.0332234612778017</v>
      </c>
      <c r="I424" s="818">
        <f t="shared" ca="1" si="8"/>
        <v>102495.05562297958</v>
      </c>
    </row>
    <row r="425" spans="1:9" ht="15.75" customHeight="1" thickBot="1" x14ac:dyDescent="0.25">
      <c r="A425" s="326" t="s">
        <v>2433</v>
      </c>
      <c r="B425" s="281">
        <f ca="1">B309</f>
        <v>17449016.339183088</v>
      </c>
      <c r="C425" s="85" t="s">
        <v>2959</v>
      </c>
      <c r="D425" s="825">
        <v>3.0000000000000001E-3</v>
      </c>
      <c r="E425" s="41" t="s">
        <v>29</v>
      </c>
      <c r="F425" s="41">
        <v>2011</v>
      </c>
      <c r="G425" s="56"/>
      <c r="H425" s="335">
        <f>CAPEX!N$3/295.3</f>
        <v>1.3629732475448695</v>
      </c>
      <c r="I425" s="818">
        <f t="shared" ca="1" si="8"/>
        <v>71347.627398839584</v>
      </c>
    </row>
    <row r="426" spans="1:9" ht="15.75" customHeight="1" thickBot="1" x14ac:dyDescent="0.25">
      <c r="A426" s="1677" t="s">
        <v>526</v>
      </c>
      <c r="B426" s="1678"/>
      <c r="C426" s="1678"/>
      <c r="D426" s="1678"/>
      <c r="E426" s="1678"/>
      <c r="F426" s="1678"/>
      <c r="G426" s="1678"/>
      <c r="H426" s="1679"/>
      <c r="I426" s="817">
        <f ca="1">SUM(I405:I425)</f>
        <v>5102566.5611197995</v>
      </c>
    </row>
    <row r="427" spans="1:9" ht="15.75" customHeight="1" thickBot="1" x14ac:dyDescent="0.25"/>
    <row r="428" spans="1:9" ht="15.75" customHeight="1" thickBot="1" x14ac:dyDescent="0.25">
      <c r="A428" s="1449" t="s">
        <v>558</v>
      </c>
      <c r="B428" s="1450"/>
      <c r="C428" s="1450"/>
      <c r="D428" s="1450"/>
      <c r="E428" s="1451"/>
    </row>
    <row r="429" spans="1:9" ht="15.75" customHeight="1" thickBot="1" x14ac:dyDescent="0.25">
      <c r="A429" s="322" t="s">
        <v>559</v>
      </c>
      <c r="B429" s="322" t="s">
        <v>516</v>
      </c>
      <c r="C429" s="322" t="s">
        <v>41</v>
      </c>
      <c r="D429" s="322" t="s">
        <v>560</v>
      </c>
      <c r="E429" s="322" t="s">
        <v>557</v>
      </c>
    </row>
    <row r="430" spans="1:9" ht="15.75" customHeight="1" thickBot="1" x14ac:dyDescent="0.25">
      <c r="A430" s="35" t="s">
        <v>567</v>
      </c>
      <c r="B430" s="36">
        <v>1</v>
      </c>
      <c r="C430" s="41" t="s">
        <v>568</v>
      </c>
      <c r="D430" s="37">
        <v>150000</v>
      </c>
      <c r="E430" s="43" cm="1">
        <f t="array" ref="E430:E433">D430:D433*B430:B433</f>
        <v>150000</v>
      </c>
    </row>
    <row r="431" spans="1:9" ht="15.75" customHeight="1" thickBot="1" x14ac:dyDescent="0.25">
      <c r="A431" s="35" t="s">
        <v>2468</v>
      </c>
      <c r="B431" s="36">
        <v>1</v>
      </c>
      <c r="C431" s="41" t="s">
        <v>568</v>
      </c>
      <c r="D431" s="37">
        <v>100000</v>
      </c>
      <c r="E431" s="43">
        <v>100000</v>
      </c>
    </row>
    <row r="432" spans="1:9" ht="15.75" customHeight="1" thickBot="1" x14ac:dyDescent="0.25">
      <c r="A432" s="35" t="s">
        <v>570</v>
      </c>
      <c r="B432" s="36">
        <v>2</v>
      </c>
      <c r="C432" s="41" t="s">
        <v>568</v>
      </c>
      <c r="D432" s="37">
        <v>85000</v>
      </c>
      <c r="E432" s="43">
        <v>170000</v>
      </c>
    </row>
    <row r="433" spans="1:9" ht="15.75" customHeight="1" thickBot="1" x14ac:dyDescent="0.25">
      <c r="A433" s="35" t="s">
        <v>571</v>
      </c>
      <c r="B433" s="36">
        <v>3</v>
      </c>
      <c r="C433" s="41" t="s">
        <v>568</v>
      </c>
      <c r="D433" s="37">
        <v>70000</v>
      </c>
      <c r="E433" s="43">
        <v>210000</v>
      </c>
    </row>
    <row r="434" spans="1:9" ht="15.75" customHeight="1" thickBot="1" x14ac:dyDescent="0.25">
      <c r="A434" s="1753" t="s">
        <v>526</v>
      </c>
      <c r="B434" s="1754"/>
      <c r="C434" s="1754"/>
      <c r="D434" s="1754"/>
      <c r="E434" s="78">
        <f>SUM(_xlfn.ANCHORARRAY(E430))</f>
        <v>630000</v>
      </c>
    </row>
    <row r="435" spans="1:9" ht="15.75" customHeight="1" x14ac:dyDescent="0.2">
      <c r="A435" s="97"/>
      <c r="B435" s="97"/>
      <c r="C435" s="97"/>
      <c r="D435" s="97"/>
      <c r="E435" s="97"/>
      <c r="F435" s="97"/>
      <c r="G435" s="97"/>
      <c r="H435" s="97"/>
      <c r="I435" s="97"/>
    </row>
    <row r="436" spans="1:9" ht="15.75" customHeight="1" thickBot="1" x14ac:dyDescent="0.25">
      <c r="A436" s="97"/>
      <c r="B436" s="97"/>
      <c r="C436" s="97"/>
      <c r="D436" s="97"/>
      <c r="E436" s="97"/>
      <c r="F436" s="97"/>
      <c r="G436" s="97"/>
      <c r="H436" s="97"/>
      <c r="I436" s="97"/>
    </row>
    <row r="437" spans="1:9" ht="15.75" customHeight="1" x14ac:dyDescent="0.2">
      <c r="A437" s="1795" t="s">
        <v>754</v>
      </c>
      <c r="B437" s="1796"/>
      <c r="C437" s="1796"/>
      <c r="D437" s="1372"/>
      <c r="E437" s="1372"/>
      <c r="F437" s="1372"/>
      <c r="G437" s="1372"/>
      <c r="H437" s="1372"/>
      <c r="I437" s="1373"/>
    </row>
    <row r="438" spans="1:9" ht="15.75" customHeight="1" thickBot="1" x14ac:dyDescent="0.25">
      <c r="A438" s="1798"/>
      <c r="B438" s="1799"/>
      <c r="C438" s="1799"/>
      <c r="D438" s="1374"/>
      <c r="E438" s="1374"/>
      <c r="F438" s="1374"/>
      <c r="G438" s="1374"/>
      <c r="H438" s="1374"/>
      <c r="I438" s="1375"/>
    </row>
    <row r="439" spans="1:9" ht="15.75" customHeight="1" thickBot="1" x14ac:dyDescent="0.25">
      <c r="A439" s="202"/>
      <c r="B439" s="203"/>
      <c r="C439" s="203"/>
      <c r="D439" s="203"/>
      <c r="E439" s="203"/>
      <c r="F439" s="203"/>
      <c r="G439" s="203"/>
      <c r="H439" s="203"/>
      <c r="I439" s="204"/>
    </row>
    <row r="440" spans="1:9" ht="15.75" customHeight="1" thickBot="1" x14ac:dyDescent="0.25">
      <c r="A440" s="1452" t="s">
        <v>553</v>
      </c>
      <c r="B440" s="1453"/>
      <c r="C440" s="1453"/>
      <c r="D440" s="1453"/>
      <c r="E440" s="1453"/>
      <c r="F440" s="1453"/>
      <c r="G440" s="1453"/>
      <c r="H440" s="1453"/>
      <c r="I440" s="1454"/>
    </row>
    <row r="441" spans="1:9" ht="15.75" customHeight="1" thickBot="1" x14ac:dyDescent="0.25">
      <c r="A441" s="1689" t="s">
        <v>554</v>
      </c>
      <c r="B441" s="1689" t="s">
        <v>555</v>
      </c>
      <c r="C441" s="1689" t="s">
        <v>41</v>
      </c>
      <c r="D441" s="1683" t="s">
        <v>511</v>
      </c>
      <c r="E441" s="1684"/>
      <c r="F441" s="1685"/>
      <c r="G441" s="1683" t="s">
        <v>556</v>
      </c>
      <c r="H441" s="1684"/>
      <c r="I441" s="1685"/>
    </row>
    <row r="442" spans="1:9" ht="15.75" customHeight="1" thickBot="1" x14ac:dyDescent="0.25">
      <c r="A442" s="1690"/>
      <c r="B442" s="1690"/>
      <c r="C442" s="1690"/>
      <c r="D442" s="321" t="s">
        <v>518</v>
      </c>
      <c r="E442" s="321" t="s">
        <v>41</v>
      </c>
      <c r="F442" s="321" t="s">
        <v>519</v>
      </c>
      <c r="G442" s="321" t="s">
        <v>520</v>
      </c>
      <c r="H442" s="321" t="s">
        <v>2422</v>
      </c>
      <c r="I442" s="322" t="s">
        <v>557</v>
      </c>
    </row>
    <row r="443" spans="1:9" ht="15.75" customHeight="1" thickBot="1" x14ac:dyDescent="0.25">
      <c r="A443" s="46" t="s">
        <v>2386</v>
      </c>
      <c r="B443" s="72">
        <f ca="1">B242</f>
        <v>2904.051944914218</v>
      </c>
      <c r="C443" s="41" t="s">
        <v>40</v>
      </c>
      <c r="D443" s="50">
        <v>0.17799999999999999</v>
      </c>
      <c r="E443" s="41" t="s">
        <v>378</v>
      </c>
      <c r="F443" s="41">
        <v>2024</v>
      </c>
      <c r="G443" s="34"/>
      <c r="H443" s="335">
        <f>CAPEX!N$3/389.544</f>
        <v>1.0332234612778017</v>
      </c>
      <c r="I443" s="818">
        <f ca="1">H443*D443*B443</f>
        <v>534.09515920135436</v>
      </c>
    </row>
    <row r="444" spans="1:9" ht="15.75" customHeight="1" thickBot="1" x14ac:dyDescent="0.25">
      <c r="A444" s="46" t="s">
        <v>2406</v>
      </c>
      <c r="B444" s="72">
        <f ca="1">B241</f>
        <v>4644162.507031667</v>
      </c>
      <c r="C444" s="41" t="str">
        <f>C443</f>
        <v>kWh/yr</v>
      </c>
      <c r="D444" s="50">
        <v>0.17799999999999999</v>
      </c>
      <c r="E444" s="41" t="s">
        <v>378</v>
      </c>
      <c r="F444" s="41">
        <v>2024</v>
      </c>
      <c r="G444" s="34"/>
      <c r="H444" s="335">
        <f>CAPEX!N$3/389.544</f>
        <v>1.0332234612778017</v>
      </c>
      <c r="I444" s="818">
        <f ca="1">H444*D444*B444</f>
        <v>854125.4635248296</v>
      </c>
    </row>
    <row r="445" spans="1:9" ht="15.75" customHeight="1" thickBot="1" x14ac:dyDescent="0.25">
      <c r="A445" s="46" t="s">
        <v>2387</v>
      </c>
      <c r="B445" s="72">
        <f>B239</f>
        <v>1668.6214068099575</v>
      </c>
      <c r="C445" s="41" t="str">
        <f>C444</f>
        <v>kWh/yr</v>
      </c>
      <c r="D445" s="50">
        <v>0.17799999999999999</v>
      </c>
      <c r="E445" s="41" t="s">
        <v>378</v>
      </c>
      <c r="F445" s="41">
        <v>2024</v>
      </c>
      <c r="G445" s="34"/>
      <c r="H445" s="335">
        <f>CAPEX!N$3/389.544</f>
        <v>1.0332234612778017</v>
      </c>
      <c r="I445" s="818">
        <f>H445*D445*B445</f>
        <v>306.88246382014256</v>
      </c>
    </row>
    <row r="446" spans="1:9" ht="15.75" customHeight="1" thickBot="1" x14ac:dyDescent="0.25">
      <c r="A446" s="46" t="s">
        <v>2403</v>
      </c>
      <c r="B446" s="72">
        <f ca="1">B262</f>
        <v>33339.221539185935</v>
      </c>
      <c r="C446" s="41" t="str">
        <f>C445</f>
        <v>kWh/yr</v>
      </c>
      <c r="D446" s="50">
        <v>0.17799999999999999</v>
      </c>
      <c r="E446" s="41" t="s">
        <v>378</v>
      </c>
      <c r="F446" s="41">
        <v>2024</v>
      </c>
      <c r="G446" s="34"/>
      <c r="H446" s="335">
        <f>CAPEX!N$3/389.544</f>
        <v>1.0332234612778017</v>
      </c>
      <c r="I446" s="818">
        <f ca="1">H446*D446*B446</f>
        <v>6131.5421257544731</v>
      </c>
    </row>
    <row r="447" spans="1:9" ht="15.75" customHeight="1" thickBot="1" x14ac:dyDescent="0.25">
      <c r="A447" s="327" t="s">
        <v>2401</v>
      </c>
      <c r="B447" s="72">
        <f ca="1">B263*0.08</f>
        <v>7277.2460850630287</v>
      </c>
      <c r="C447" s="85" t="s">
        <v>1522</v>
      </c>
      <c r="D447" s="86">
        <f>3441.6/1000</f>
        <v>3.4415999999999998</v>
      </c>
      <c r="E447" s="320" t="s">
        <v>14</v>
      </c>
      <c r="F447" s="320">
        <v>2000</v>
      </c>
      <c r="G447" s="77"/>
      <c r="H447" s="335">
        <f>CAPEX!N$3/307.8</f>
        <v>1.3076218323586744</v>
      </c>
      <c r="I447" s="818">
        <f ca="1">H447*D447*B447</f>
        <v>32749.872776722805</v>
      </c>
    </row>
    <row r="448" spans="1:9" ht="15.75" customHeight="1" thickBot="1" x14ac:dyDescent="0.25">
      <c r="A448" s="1677" t="s">
        <v>526</v>
      </c>
      <c r="B448" s="1678"/>
      <c r="C448" s="1678"/>
      <c r="D448" s="1678"/>
      <c r="E448" s="1678"/>
      <c r="F448" s="1678"/>
      <c r="G448" s="1678"/>
      <c r="H448" s="1679"/>
      <c r="I448" s="817">
        <f ca="1">SUM(I443:I447)</f>
        <v>893847.85605032835</v>
      </c>
    </row>
    <row r="449" spans="1:9" ht="15.75" customHeight="1" thickBot="1" x14ac:dyDescent="0.25"/>
    <row r="450" spans="1:9" ht="15.75" customHeight="1" thickBot="1" x14ac:dyDescent="0.25">
      <c r="A450" s="1452" t="s">
        <v>558</v>
      </c>
      <c r="B450" s="1453"/>
      <c r="C450" s="1453"/>
      <c r="D450" s="1453"/>
      <c r="E450" s="1454"/>
    </row>
    <row r="451" spans="1:9" ht="15.75" customHeight="1" thickBot="1" x14ac:dyDescent="0.25">
      <c r="A451" s="322" t="s">
        <v>559</v>
      </c>
      <c r="B451" s="322" t="s">
        <v>516</v>
      </c>
      <c r="C451" s="322" t="s">
        <v>41</v>
      </c>
      <c r="D451" s="322" t="s">
        <v>2423</v>
      </c>
      <c r="E451" s="322" t="s">
        <v>557</v>
      </c>
    </row>
    <row r="452" spans="1:9" ht="15.75" customHeight="1" thickBot="1" x14ac:dyDescent="0.25">
      <c r="A452" s="35" t="s">
        <v>567</v>
      </c>
      <c r="B452" s="36">
        <v>1</v>
      </c>
      <c r="C452" s="41" t="s">
        <v>568</v>
      </c>
      <c r="D452" s="37">
        <v>150000</v>
      </c>
      <c r="E452" s="43" cm="1">
        <f t="array" ref="E452:E455">D452:D455*B452:B455</f>
        <v>150000</v>
      </c>
    </row>
    <row r="453" spans="1:9" ht="15.75" customHeight="1" thickBot="1" x14ac:dyDescent="0.25">
      <c r="A453" s="35" t="s">
        <v>2468</v>
      </c>
      <c r="B453" s="36">
        <v>1</v>
      </c>
      <c r="C453" s="41" t="s">
        <v>568</v>
      </c>
      <c r="D453" s="37">
        <v>100000</v>
      </c>
      <c r="E453" s="43">
        <v>100000</v>
      </c>
    </row>
    <row r="454" spans="1:9" ht="15.75" customHeight="1" thickBot="1" x14ac:dyDescent="0.25">
      <c r="A454" s="35" t="s">
        <v>570</v>
      </c>
      <c r="B454" s="36">
        <v>2</v>
      </c>
      <c r="C454" s="41" t="s">
        <v>568</v>
      </c>
      <c r="D454" s="37">
        <v>85000</v>
      </c>
      <c r="E454" s="43">
        <v>170000</v>
      </c>
    </row>
    <row r="455" spans="1:9" ht="15.75" customHeight="1" thickBot="1" x14ac:dyDescent="0.25">
      <c r="A455" s="35" t="s">
        <v>571</v>
      </c>
      <c r="B455" s="36">
        <v>2</v>
      </c>
      <c r="C455" s="41" t="s">
        <v>568</v>
      </c>
      <c r="D455" s="37">
        <v>70000</v>
      </c>
      <c r="E455" s="43">
        <v>140000</v>
      </c>
    </row>
    <row r="456" spans="1:9" ht="15.75" customHeight="1" thickBot="1" x14ac:dyDescent="0.25">
      <c r="A456" s="1753" t="s">
        <v>526</v>
      </c>
      <c r="B456" s="1754"/>
      <c r="C456" s="1754"/>
      <c r="D456" s="1754"/>
      <c r="E456" s="78">
        <f>SUM(_xlfn.ANCHORARRAY(E452))</f>
        <v>560000</v>
      </c>
    </row>
    <row r="457" spans="1:9" ht="15.75" customHeight="1" x14ac:dyDescent="0.2"/>
    <row r="458" spans="1:9" ht="15.75" customHeight="1" thickBot="1" x14ac:dyDescent="0.25"/>
    <row r="459" spans="1:9" ht="15.75" customHeight="1" x14ac:dyDescent="0.2">
      <c r="A459" s="2067" t="s">
        <v>534</v>
      </c>
      <c r="B459" s="2068"/>
      <c r="C459" s="2068"/>
      <c r="D459" s="1376"/>
      <c r="E459" s="1376"/>
      <c r="F459" s="1376"/>
      <c r="G459" s="1376"/>
      <c r="H459" s="1376"/>
      <c r="I459" s="1377"/>
    </row>
    <row r="460" spans="1:9" ht="15.75" customHeight="1" thickBot="1" x14ac:dyDescent="0.25">
      <c r="A460" s="2069"/>
      <c r="B460" s="2070"/>
      <c r="C460" s="2070"/>
      <c r="D460" s="1378"/>
      <c r="E460" s="1378"/>
      <c r="F460" s="1378"/>
      <c r="G460" s="1378"/>
      <c r="H460" s="1378"/>
      <c r="I460" s="1379"/>
    </row>
    <row r="461" spans="1:9" ht="15.75" customHeight="1" thickBot="1" x14ac:dyDescent="0.25">
      <c r="A461" s="202"/>
      <c r="B461" s="203"/>
      <c r="C461" s="203"/>
      <c r="D461" s="203"/>
      <c r="E461" s="203"/>
      <c r="F461" s="203"/>
      <c r="G461" s="203"/>
      <c r="H461" s="203"/>
      <c r="I461" s="204"/>
    </row>
    <row r="462" spans="1:9" ht="15.75" customHeight="1" thickBot="1" x14ac:dyDescent="0.25">
      <c r="A462" s="1426" t="s">
        <v>553</v>
      </c>
      <c r="B462" s="1427"/>
      <c r="C462" s="1427"/>
      <c r="D462" s="1427"/>
      <c r="E462" s="1427"/>
      <c r="F462" s="1427"/>
      <c r="G462" s="1427"/>
      <c r="H462" s="1427"/>
      <c r="I462" s="1428"/>
    </row>
    <row r="463" spans="1:9" ht="15.75" customHeight="1" thickBot="1" x14ac:dyDescent="0.25">
      <c r="A463" s="1689" t="s">
        <v>554</v>
      </c>
      <c r="B463" s="1689" t="s">
        <v>555</v>
      </c>
      <c r="C463" s="1689" t="s">
        <v>41</v>
      </c>
      <c r="D463" s="1683" t="s">
        <v>511</v>
      </c>
      <c r="E463" s="1684"/>
      <c r="F463" s="1685"/>
      <c r="G463" s="1683" t="s">
        <v>556</v>
      </c>
      <c r="H463" s="1684"/>
      <c r="I463" s="1685"/>
    </row>
    <row r="464" spans="1:9" ht="15.75" customHeight="1" thickBot="1" x14ac:dyDescent="0.25">
      <c r="A464" s="1690"/>
      <c r="B464" s="1690"/>
      <c r="C464" s="1690"/>
      <c r="D464" s="321" t="s">
        <v>518</v>
      </c>
      <c r="E464" s="321" t="s">
        <v>41</v>
      </c>
      <c r="F464" s="321" t="s">
        <v>519</v>
      </c>
      <c r="G464" s="80" t="s">
        <v>520</v>
      </c>
      <c r="H464" s="321" t="s">
        <v>2422</v>
      </c>
      <c r="I464" s="323" t="s">
        <v>557</v>
      </c>
    </row>
    <row r="465" spans="1:9" ht="15.75" customHeight="1" thickBot="1" x14ac:dyDescent="0.25">
      <c r="A465" s="46" t="s">
        <v>2424</v>
      </c>
      <c r="B465" s="72">
        <f ca="1">B278*1.5</f>
        <v>1154400</v>
      </c>
      <c r="C465" s="41" t="s">
        <v>40</v>
      </c>
      <c r="D465" s="50">
        <v>0.17799999999999999</v>
      </c>
      <c r="E465" s="41" t="s">
        <v>378</v>
      </c>
      <c r="F465" s="41">
        <v>2024</v>
      </c>
      <c r="G465" s="34"/>
      <c r="H465" s="335">
        <f>CAPEX!N$3/389.544</f>
        <v>1.0332234612778017</v>
      </c>
      <c r="I465" s="818">
        <f t="shared" ref="I465:I472" ca="1" si="9">H465*D465*B465</f>
        <v>212310.06313843877</v>
      </c>
    </row>
    <row r="466" spans="1:9" ht="15.75" customHeight="1" thickBot="1" x14ac:dyDescent="0.25">
      <c r="A466" s="46" t="s">
        <v>2425</v>
      </c>
      <c r="B466" s="72">
        <f t="shared" ref="B466:B472" ca="1" si="10">B279*1.5</f>
        <v>4250.5731473825772</v>
      </c>
      <c r="C466" s="41" t="s">
        <v>40</v>
      </c>
      <c r="D466" s="50">
        <v>0.17799999999999999</v>
      </c>
      <c r="E466" s="41" t="s">
        <v>378</v>
      </c>
      <c r="F466" s="41">
        <v>2024</v>
      </c>
      <c r="G466" s="34"/>
      <c r="H466" s="335">
        <f>CAPEX!N$3/389.544</f>
        <v>1.0332234612778017</v>
      </c>
      <c r="I466" s="818">
        <f t="shared" ca="1" si="9"/>
        <v>781.73895815605283</v>
      </c>
    </row>
    <row r="467" spans="1:9" ht="15.75" customHeight="1" thickBot="1" x14ac:dyDescent="0.25">
      <c r="A467" s="328" t="s">
        <v>2426</v>
      </c>
      <c r="B467" s="72">
        <f t="shared" ca="1" si="10"/>
        <v>4250.5731473825772</v>
      </c>
      <c r="C467" s="41" t="s">
        <v>40</v>
      </c>
      <c r="D467" s="50">
        <v>0.17799999999999999</v>
      </c>
      <c r="E467" s="41" t="s">
        <v>378</v>
      </c>
      <c r="F467" s="41">
        <v>2024</v>
      </c>
      <c r="G467" s="34"/>
      <c r="H467" s="335">
        <f>CAPEX!N$3/389.544</f>
        <v>1.0332234612778017</v>
      </c>
      <c r="I467" s="818">
        <f t="shared" ca="1" si="9"/>
        <v>781.73895815605283</v>
      </c>
    </row>
    <row r="468" spans="1:9" ht="15.75" customHeight="1" thickBot="1" x14ac:dyDescent="0.25">
      <c r="A468" s="328" t="s">
        <v>2427</v>
      </c>
      <c r="B468" s="72">
        <f t="shared" ca="1" si="10"/>
        <v>4250.5731473825772</v>
      </c>
      <c r="C468" s="41" t="s">
        <v>40</v>
      </c>
      <c r="D468" s="50">
        <v>0.17799999999999999</v>
      </c>
      <c r="E468" s="41" t="s">
        <v>378</v>
      </c>
      <c r="F468" s="41">
        <v>2024</v>
      </c>
      <c r="G468" s="34"/>
      <c r="H468" s="335">
        <f>CAPEX!N$3/389.544</f>
        <v>1.0332234612778017</v>
      </c>
      <c r="I468" s="818">
        <f t="shared" ca="1" si="9"/>
        <v>781.73895815605283</v>
      </c>
    </row>
    <row r="469" spans="1:9" ht="15.75" customHeight="1" thickBot="1" x14ac:dyDescent="0.25">
      <c r="A469" s="328" t="s">
        <v>2428</v>
      </c>
      <c r="B469" s="72">
        <f t="shared" ca="1" si="10"/>
        <v>4250.5731473825772</v>
      </c>
      <c r="C469" s="41" t="s">
        <v>40</v>
      </c>
      <c r="D469" s="50">
        <v>0.17799999999999999</v>
      </c>
      <c r="E469" s="41" t="s">
        <v>378</v>
      </c>
      <c r="F469" s="41">
        <v>2024</v>
      </c>
      <c r="G469" s="34"/>
      <c r="H469" s="335">
        <f>CAPEX!N$3/389.544</f>
        <v>1.0332234612778017</v>
      </c>
      <c r="I469" s="818">
        <f t="shared" ca="1" si="9"/>
        <v>781.73895815605283</v>
      </c>
    </row>
    <row r="470" spans="1:9" ht="15.75" customHeight="1" thickBot="1" x14ac:dyDescent="0.25">
      <c r="A470" s="328" t="s">
        <v>2429</v>
      </c>
      <c r="B470" s="72">
        <f t="shared" ca="1" si="10"/>
        <v>4250.5731473825772</v>
      </c>
      <c r="C470" s="41" t="s">
        <v>40</v>
      </c>
      <c r="D470" s="50">
        <v>0.17799999999999999</v>
      </c>
      <c r="E470" s="41" t="s">
        <v>378</v>
      </c>
      <c r="F470" s="41">
        <v>2024</v>
      </c>
      <c r="G470" s="34"/>
      <c r="H470" s="335">
        <f>CAPEX!N$3/389.544</f>
        <v>1.0332234612778017</v>
      </c>
      <c r="I470" s="818">
        <f t="shared" ca="1" si="9"/>
        <v>781.73895815605283</v>
      </c>
    </row>
    <row r="471" spans="1:9" ht="15.75" customHeight="1" thickBot="1" x14ac:dyDescent="0.25">
      <c r="A471" s="328" t="s">
        <v>2387</v>
      </c>
      <c r="B471" s="72">
        <f t="shared" ca="1" si="10"/>
        <v>36341.889208070337</v>
      </c>
      <c r="C471" s="41" t="s">
        <v>40</v>
      </c>
      <c r="D471" s="50">
        <v>0.17799999999999999</v>
      </c>
      <c r="E471" s="41" t="s">
        <v>378</v>
      </c>
      <c r="F471" s="41">
        <v>2024</v>
      </c>
      <c r="G471" s="34"/>
      <c r="H471" s="335">
        <f>CAPEX!N$3/389.544</f>
        <v>1.0332234612778017</v>
      </c>
      <c r="I471" s="818">
        <f t="shared" ca="1" si="9"/>
        <v>6683.7740751347537</v>
      </c>
    </row>
    <row r="472" spans="1:9" ht="15.75" customHeight="1" thickBot="1" x14ac:dyDescent="0.25">
      <c r="A472" s="328" t="s">
        <v>2433</v>
      </c>
      <c r="B472" s="72">
        <f t="shared" ca="1" si="10"/>
        <v>261780188.1618602</v>
      </c>
      <c r="C472" s="91" t="s">
        <v>2959</v>
      </c>
      <c r="D472" s="329">
        <v>3.0000000000000001E-3</v>
      </c>
      <c r="E472" s="41" t="s">
        <v>29</v>
      </c>
      <c r="F472" s="41">
        <v>2011</v>
      </c>
      <c r="G472" s="56"/>
      <c r="H472" s="335">
        <f>CAPEX!N$3/295.3</f>
        <v>1.3629732475448695</v>
      </c>
      <c r="I472" s="818">
        <f t="shared" ca="1" si="9"/>
        <v>1070398.1796056328</v>
      </c>
    </row>
    <row r="473" spans="1:9" ht="15.75" customHeight="1" thickBot="1" x14ac:dyDescent="0.25">
      <c r="A473" s="1677" t="s">
        <v>526</v>
      </c>
      <c r="B473" s="1678"/>
      <c r="C473" s="1678"/>
      <c r="D473" s="1678"/>
      <c r="E473" s="1678"/>
      <c r="F473" s="1678"/>
      <c r="G473" s="1678"/>
      <c r="H473" s="1679"/>
      <c r="I473" s="812">
        <f ca="1">SUM(I465:I472)</f>
        <v>1293300.7116099866</v>
      </c>
    </row>
    <row r="474" spans="1:9" ht="15.75" customHeight="1" thickBot="1" x14ac:dyDescent="0.25"/>
    <row r="475" spans="1:9" ht="15.75" customHeight="1" thickBot="1" x14ac:dyDescent="0.25">
      <c r="A475" s="1426" t="s">
        <v>558</v>
      </c>
      <c r="B475" s="1427"/>
      <c r="C475" s="1427"/>
      <c r="D475" s="1427"/>
      <c r="E475" s="1428"/>
    </row>
    <row r="476" spans="1:9" ht="15.75" customHeight="1" thickBot="1" x14ac:dyDescent="0.25">
      <c r="A476" s="322" t="s">
        <v>559</v>
      </c>
      <c r="B476" s="322" t="s">
        <v>516</v>
      </c>
      <c r="C476" s="322" t="s">
        <v>41</v>
      </c>
      <c r="D476" s="322" t="s">
        <v>2423</v>
      </c>
      <c r="E476" s="322" t="s">
        <v>557</v>
      </c>
    </row>
    <row r="477" spans="1:9" ht="15.75" customHeight="1" thickBot="1" x14ac:dyDescent="0.25">
      <c r="A477" s="35" t="s">
        <v>567</v>
      </c>
      <c r="B477" s="47">
        <v>3</v>
      </c>
      <c r="C477" s="41" t="s">
        <v>568</v>
      </c>
      <c r="D477" s="37">
        <v>150000</v>
      </c>
      <c r="E477" s="49">
        <f>D477*B477</f>
        <v>450000</v>
      </c>
    </row>
    <row r="478" spans="1:9" ht="15.75" customHeight="1" thickBot="1" x14ac:dyDescent="0.25">
      <c r="A478" s="35" t="s">
        <v>2468</v>
      </c>
      <c r="B478" s="36">
        <v>3</v>
      </c>
      <c r="C478" s="41" t="s">
        <v>568</v>
      </c>
      <c r="D478" s="37">
        <v>100000</v>
      </c>
      <c r="E478" s="43" cm="1">
        <f t="array" ref="E478:E480">D478:D480*B478:B480</f>
        <v>300000</v>
      </c>
    </row>
    <row r="479" spans="1:9" ht="15.75" customHeight="1" thickBot="1" x14ac:dyDescent="0.25">
      <c r="A479" s="35" t="s">
        <v>570</v>
      </c>
      <c r="B479" s="36">
        <v>3</v>
      </c>
      <c r="C479" s="41" t="s">
        <v>568</v>
      </c>
      <c r="D479" s="37">
        <v>85000</v>
      </c>
      <c r="E479" s="43">
        <v>255000</v>
      </c>
    </row>
    <row r="480" spans="1:9" ht="15.75" customHeight="1" thickBot="1" x14ac:dyDescent="0.25">
      <c r="A480" s="35" t="s">
        <v>571</v>
      </c>
      <c r="B480" s="36">
        <v>2</v>
      </c>
      <c r="C480" s="41" t="s">
        <v>568</v>
      </c>
      <c r="D480" s="37">
        <v>70000</v>
      </c>
      <c r="E480" s="43">
        <v>140000</v>
      </c>
    </row>
    <row r="481" spans="1:9" ht="15.75" customHeight="1" thickBot="1" x14ac:dyDescent="0.25">
      <c r="A481" s="1677" t="s">
        <v>526</v>
      </c>
      <c r="B481" s="1755"/>
      <c r="C481" s="1755"/>
      <c r="D481" s="1756"/>
      <c r="E481" s="92">
        <f>SUM(E477:E480)</f>
        <v>1145000</v>
      </c>
    </row>
    <row r="482" spans="1:9" ht="15.75" customHeight="1" x14ac:dyDescent="0.2"/>
    <row r="483" spans="1:9" ht="15.75" customHeight="1" thickBot="1" x14ac:dyDescent="0.25"/>
    <row r="484" spans="1:9" ht="15.75" customHeight="1" x14ac:dyDescent="0.2">
      <c r="A484" s="1801" t="s">
        <v>2319</v>
      </c>
      <c r="B484" s="1802"/>
      <c r="C484" s="1802"/>
      <c r="D484" s="1380"/>
      <c r="E484" s="1380"/>
      <c r="F484" s="1380"/>
      <c r="G484" s="1380"/>
      <c r="H484" s="1380"/>
      <c r="I484" s="1381"/>
    </row>
    <row r="485" spans="1:9" ht="15.75" customHeight="1" thickBot="1" x14ac:dyDescent="0.25">
      <c r="A485" s="1804"/>
      <c r="B485" s="1805"/>
      <c r="C485" s="1805"/>
      <c r="D485" s="1382"/>
      <c r="E485" s="1382"/>
      <c r="F485" s="1382"/>
      <c r="G485" s="1382"/>
      <c r="H485" s="1382"/>
      <c r="I485" s="1383"/>
    </row>
    <row r="486" spans="1:9" ht="15.75" customHeight="1" thickBot="1" x14ac:dyDescent="0.25">
      <c r="A486" s="202"/>
      <c r="B486" s="203"/>
      <c r="C486" s="203"/>
      <c r="D486" s="203"/>
      <c r="E486" s="203"/>
      <c r="F486" s="203"/>
      <c r="G486" s="203"/>
      <c r="H486" s="203"/>
      <c r="I486" s="204"/>
    </row>
    <row r="487" spans="1:9" ht="15.75" customHeight="1" thickBot="1" x14ac:dyDescent="0.25">
      <c r="A487" s="1455" t="s">
        <v>553</v>
      </c>
      <c r="B487" s="1456"/>
      <c r="C487" s="1456"/>
      <c r="D487" s="1456"/>
      <c r="E487" s="1456"/>
      <c r="F487" s="1456"/>
      <c r="G487" s="1456"/>
      <c r="H487" s="1456"/>
      <c r="I487" s="1457"/>
    </row>
    <row r="488" spans="1:9" ht="15.75" customHeight="1" thickBot="1" x14ac:dyDescent="0.25">
      <c r="A488" s="1689" t="s">
        <v>554</v>
      </c>
      <c r="B488" s="1689" t="s">
        <v>555</v>
      </c>
      <c r="C488" s="1689" t="s">
        <v>41</v>
      </c>
      <c r="D488" s="1683" t="s">
        <v>511</v>
      </c>
      <c r="E488" s="1684"/>
      <c r="F488" s="1685"/>
      <c r="G488" s="1683" t="s">
        <v>556</v>
      </c>
      <c r="H488" s="1684"/>
      <c r="I488" s="1685"/>
    </row>
    <row r="489" spans="1:9" ht="15.75" customHeight="1" thickBot="1" x14ac:dyDescent="0.25">
      <c r="A489" s="1690"/>
      <c r="B489" s="1690"/>
      <c r="C489" s="1690"/>
      <c r="D489" s="321" t="s">
        <v>518</v>
      </c>
      <c r="E489" s="321" t="s">
        <v>41</v>
      </c>
      <c r="F489" s="321" t="s">
        <v>519</v>
      </c>
      <c r="G489" s="321" t="s">
        <v>520</v>
      </c>
      <c r="H489" s="321" t="s">
        <v>2422</v>
      </c>
      <c r="I489" s="322" t="s">
        <v>557</v>
      </c>
    </row>
    <row r="490" spans="1:9" ht="15.75" customHeight="1" thickBot="1" x14ac:dyDescent="0.25">
      <c r="A490" s="46" t="s">
        <v>2446</v>
      </c>
      <c r="B490" s="72">
        <f ca="1">ExpBase!C1577/ExpBase!C1558/1000</f>
        <v>38.475107589180887</v>
      </c>
      <c r="C490" s="41" t="s">
        <v>1522</v>
      </c>
      <c r="D490" s="49">
        <v>670</v>
      </c>
      <c r="E490" s="41" t="s">
        <v>14</v>
      </c>
      <c r="F490" s="41">
        <v>2024</v>
      </c>
      <c r="G490" s="56"/>
      <c r="H490" s="335">
        <f>CAPEX!N$3/389.544</f>
        <v>1.0332234612778017</v>
      </c>
      <c r="I490" s="818">
        <f t="shared" ref="I490:I496" ca="1" si="11">H490*D490*B490</f>
        <v>26634.767170340627</v>
      </c>
    </row>
    <row r="491" spans="1:9" ht="15.75" customHeight="1" thickBot="1" x14ac:dyDescent="0.25">
      <c r="A491" s="46" t="s">
        <v>2447</v>
      </c>
      <c r="B491" s="72">
        <f ca="1">B305</f>
        <v>656.36215934491486</v>
      </c>
      <c r="C491" s="41" t="s">
        <v>40</v>
      </c>
      <c r="D491" s="50">
        <v>0.17799999999999999</v>
      </c>
      <c r="E491" s="41" t="s">
        <v>378</v>
      </c>
      <c r="F491" s="41">
        <v>2024</v>
      </c>
      <c r="G491" s="34"/>
      <c r="H491" s="335">
        <f>CAPEX!N$3/389.544</f>
        <v>1.0332234612778017</v>
      </c>
      <c r="I491" s="818">
        <f t="shared" ca="1" si="11"/>
        <v>120.71404321916224</v>
      </c>
    </row>
    <row r="492" spans="1:9" ht="15.75" customHeight="1" thickBot="1" x14ac:dyDescent="0.25">
      <c r="A492" s="46" t="s">
        <v>2387</v>
      </c>
      <c r="B492" s="72">
        <f ca="1">B306</f>
        <v>1805.934912273076</v>
      </c>
      <c r="C492" s="41" t="s">
        <v>40</v>
      </c>
      <c r="D492" s="50">
        <v>0.17799999999999999</v>
      </c>
      <c r="E492" s="41" t="s">
        <v>378</v>
      </c>
      <c r="F492" s="41">
        <v>2024</v>
      </c>
      <c r="G492" s="34"/>
      <c r="H492" s="335">
        <f>CAPEX!N$3/389.544</f>
        <v>1.0332234612778017</v>
      </c>
      <c r="I492" s="818">
        <f t="shared" ca="1" si="11"/>
        <v>332.13630912041549</v>
      </c>
    </row>
    <row r="493" spans="1:9" ht="17" thickBot="1" x14ac:dyDescent="0.25">
      <c r="A493" s="819" t="s">
        <v>2449</v>
      </c>
      <c r="B493" s="72">
        <f ca="1">B308</f>
        <v>160.70143873056375</v>
      </c>
      <c r="C493" s="41" t="s">
        <v>40</v>
      </c>
      <c r="D493" s="50">
        <v>0.17799999999999999</v>
      </c>
      <c r="E493" s="41" t="s">
        <v>378</v>
      </c>
      <c r="F493" s="41">
        <v>2024</v>
      </c>
      <c r="G493" s="34"/>
      <c r="H493" s="335">
        <f>CAPEX!N$3/389.544</f>
        <v>1.0332234612778017</v>
      </c>
      <c r="I493" s="818">
        <f t="shared" ca="1" si="11"/>
        <v>29.555208422837786</v>
      </c>
    </row>
    <row r="494" spans="1:9" ht="17" thickBot="1" x14ac:dyDescent="0.25">
      <c r="A494" s="820" t="s">
        <v>2450</v>
      </c>
      <c r="B494" s="72">
        <f ca="1">B308</f>
        <v>160.70143873056375</v>
      </c>
      <c r="C494" s="41" t="s">
        <v>40</v>
      </c>
      <c r="D494" s="50">
        <v>0.17799999999999999</v>
      </c>
      <c r="E494" s="41" t="s">
        <v>378</v>
      </c>
      <c r="F494" s="41">
        <v>2024</v>
      </c>
      <c r="G494" s="34"/>
      <c r="H494" s="335">
        <f>CAPEX!N$3/389.544</f>
        <v>1.0332234612778017</v>
      </c>
      <c r="I494" s="818">
        <f t="shared" ca="1" si="11"/>
        <v>29.555208422837786</v>
      </c>
    </row>
    <row r="495" spans="1:9" ht="17" thickBot="1" x14ac:dyDescent="0.25">
      <c r="A495" s="820" t="s">
        <v>2448</v>
      </c>
      <c r="B495" s="72">
        <f ca="1">B307</f>
        <v>311.32031972684263</v>
      </c>
      <c r="C495" s="41" t="s">
        <v>40</v>
      </c>
      <c r="D495" s="50">
        <v>0.17799999999999999</v>
      </c>
      <c r="E495" s="41" t="s">
        <v>378</v>
      </c>
      <c r="F495" s="41">
        <v>2024</v>
      </c>
      <c r="G495" s="34"/>
      <c r="H495" s="335">
        <f>CAPEX!N$3/389.544</f>
        <v>1.0332234612778017</v>
      </c>
      <c r="I495" s="818">
        <f t="shared" ca="1" si="11"/>
        <v>57.256095579941878</v>
      </c>
    </row>
    <row r="496" spans="1:9" ht="17" thickBot="1" x14ac:dyDescent="0.25">
      <c r="A496" s="820" t="s">
        <v>2433</v>
      </c>
      <c r="B496" s="72">
        <f ca="1">B309</f>
        <v>17449016.339183088</v>
      </c>
      <c r="C496" s="881" t="s">
        <v>2959</v>
      </c>
      <c r="D496" s="329">
        <v>3.0000000000000001E-3</v>
      </c>
      <c r="E496" s="41" t="s">
        <v>29</v>
      </c>
      <c r="F496" s="41">
        <v>2011</v>
      </c>
      <c r="G496" s="56"/>
      <c r="H496" s="335">
        <f>CAPEX!N$3/295.3</f>
        <v>1.3629732475448695</v>
      </c>
      <c r="I496" s="818">
        <f t="shared" ca="1" si="11"/>
        <v>71347.627398839584</v>
      </c>
    </row>
    <row r="497" spans="1:9" ht="15.75" customHeight="1" thickBot="1" x14ac:dyDescent="0.25">
      <c r="A497" s="46"/>
      <c r="B497" s="72"/>
      <c r="C497" s="41"/>
      <c r="E497" s="77"/>
      <c r="F497" s="41"/>
      <c r="G497" s="56"/>
      <c r="H497" s="819"/>
      <c r="I497" s="816"/>
    </row>
    <row r="498" spans="1:9" ht="15.75" customHeight="1" thickBot="1" x14ac:dyDescent="0.25">
      <c r="A498" s="1677" t="s">
        <v>526</v>
      </c>
      <c r="B498" s="1678"/>
      <c r="C498" s="1678"/>
      <c r="D498" s="1678"/>
      <c r="E498" s="1678"/>
      <c r="F498" s="1678"/>
      <c r="G498" s="1678"/>
      <c r="H498" s="1679"/>
      <c r="I498" s="817">
        <f ca="1">SUM(I490:I496)</f>
        <v>98551.611433945407</v>
      </c>
    </row>
    <row r="499" spans="1:9" ht="15.75" customHeight="1" thickBot="1" x14ac:dyDescent="0.25"/>
    <row r="500" spans="1:9" ht="15.75" customHeight="1" thickBot="1" x14ac:dyDescent="0.25">
      <c r="A500" s="1455" t="s">
        <v>558</v>
      </c>
      <c r="B500" s="1456"/>
      <c r="C500" s="1456"/>
      <c r="D500" s="1456"/>
      <c r="E500" s="1457"/>
    </row>
    <row r="501" spans="1:9" ht="15.75" customHeight="1" thickBot="1" x14ac:dyDescent="0.25">
      <c r="A501" s="322" t="s">
        <v>559</v>
      </c>
      <c r="B501" s="322" t="s">
        <v>516</v>
      </c>
      <c r="C501" s="322" t="s">
        <v>41</v>
      </c>
      <c r="D501" s="322" t="s">
        <v>2423</v>
      </c>
      <c r="E501" s="322" t="s">
        <v>557</v>
      </c>
    </row>
    <row r="502" spans="1:9" ht="15.75" customHeight="1" thickBot="1" x14ac:dyDescent="0.25">
      <c r="A502" s="35" t="s">
        <v>567</v>
      </c>
      <c r="B502" s="36">
        <v>1</v>
      </c>
      <c r="C502" s="41" t="s">
        <v>568</v>
      </c>
      <c r="D502" s="37">
        <v>150000</v>
      </c>
      <c r="E502" s="43" cm="1">
        <f t="array" ref="E502:E505">D502:D505*B502:B505</f>
        <v>150000</v>
      </c>
    </row>
    <row r="503" spans="1:9" ht="15.75" customHeight="1" thickBot="1" x14ac:dyDescent="0.25">
      <c r="A503" s="35" t="s">
        <v>2468</v>
      </c>
      <c r="B503" s="36">
        <v>2</v>
      </c>
      <c r="C503" s="41" t="s">
        <v>568</v>
      </c>
      <c r="D503" s="37">
        <v>100000</v>
      </c>
      <c r="E503" s="43">
        <v>200000</v>
      </c>
    </row>
    <row r="504" spans="1:9" ht="15.75" customHeight="1" thickBot="1" x14ac:dyDescent="0.25">
      <c r="A504" s="35" t="s">
        <v>570</v>
      </c>
      <c r="B504" s="36">
        <v>2</v>
      </c>
      <c r="C504" s="41" t="s">
        <v>568</v>
      </c>
      <c r="D504" s="37">
        <v>85000</v>
      </c>
      <c r="E504" s="43">
        <v>170000</v>
      </c>
    </row>
    <row r="505" spans="1:9" ht="15.75" customHeight="1" thickBot="1" x14ac:dyDescent="0.25">
      <c r="A505" s="35" t="s">
        <v>571</v>
      </c>
      <c r="B505" s="36">
        <v>2</v>
      </c>
      <c r="C505" s="41" t="s">
        <v>568</v>
      </c>
      <c r="D505" s="37">
        <v>70000</v>
      </c>
      <c r="E505" s="43">
        <v>140000</v>
      </c>
    </row>
    <row r="506" spans="1:9" ht="15.75" customHeight="1" thickBot="1" x14ac:dyDescent="0.25">
      <c r="A506" s="1753" t="s">
        <v>526</v>
      </c>
      <c r="B506" s="1754"/>
      <c r="C506" s="1754"/>
      <c r="D506" s="1754"/>
      <c r="E506" s="78">
        <f>SUM(_xlfn.ANCHORARRAY(E502))</f>
        <v>660000</v>
      </c>
    </row>
    <row r="507" spans="1:9" ht="15.75" customHeight="1" x14ac:dyDescent="0.2"/>
    <row r="508" spans="1:9" ht="15.75" customHeight="1" thickBot="1" x14ac:dyDescent="0.25"/>
    <row r="509" spans="1:9" ht="15.75" customHeight="1" x14ac:dyDescent="0.2">
      <c r="A509" s="1934" t="s">
        <v>1566</v>
      </c>
      <c r="B509" s="1935"/>
      <c r="C509" s="1935"/>
      <c r="D509" s="1355"/>
      <c r="E509" s="1355"/>
      <c r="F509" s="1355"/>
      <c r="G509" s="1355"/>
      <c r="H509" s="1355"/>
      <c r="I509" s="1356"/>
    </row>
    <row r="510" spans="1:9" ht="15.75" customHeight="1" thickBot="1" x14ac:dyDescent="0.25">
      <c r="A510" s="1937"/>
      <c r="B510" s="1938"/>
      <c r="C510" s="1938"/>
      <c r="D510" s="1357"/>
      <c r="E510" s="1357"/>
      <c r="F510" s="1357"/>
      <c r="G510" s="1357"/>
      <c r="H510" s="1357"/>
      <c r="I510" s="1358"/>
    </row>
    <row r="511" spans="1:9" ht="15.75" customHeight="1" thickBot="1" x14ac:dyDescent="0.25">
      <c r="A511" s="202"/>
      <c r="B511" s="203"/>
      <c r="C511" s="203"/>
      <c r="D511" s="203"/>
      <c r="E511" s="203"/>
      <c r="F511" s="203"/>
      <c r="G511" s="203"/>
      <c r="H511" s="203"/>
      <c r="I511" s="204"/>
    </row>
    <row r="512" spans="1:9" ht="15.75" customHeight="1" thickBot="1" x14ac:dyDescent="0.25">
      <c r="A512" s="1429" t="s">
        <v>553</v>
      </c>
      <c r="B512" s="1430"/>
      <c r="C512" s="1430"/>
      <c r="D512" s="1430"/>
      <c r="E512" s="1430"/>
      <c r="F512" s="1430"/>
      <c r="G512" s="1430"/>
      <c r="H512" s="1430"/>
      <c r="I512" s="1431"/>
    </row>
    <row r="513" spans="1:9" ht="15.75" customHeight="1" thickBot="1" x14ac:dyDescent="0.25">
      <c r="A513" s="1689" t="s">
        <v>554</v>
      </c>
      <c r="B513" s="1689" t="s">
        <v>555</v>
      </c>
      <c r="C513" s="1689" t="s">
        <v>41</v>
      </c>
      <c r="D513" s="1683" t="s">
        <v>511</v>
      </c>
      <c r="E513" s="1684"/>
      <c r="F513" s="1685"/>
      <c r="G513" s="1683" t="s">
        <v>556</v>
      </c>
      <c r="H513" s="1684"/>
      <c r="I513" s="1685"/>
    </row>
    <row r="514" spans="1:9" ht="15.75" customHeight="1" thickBot="1" x14ac:dyDescent="0.25">
      <c r="A514" s="1690"/>
      <c r="B514" s="1690"/>
      <c r="C514" s="1690"/>
      <c r="D514" s="321" t="s">
        <v>518</v>
      </c>
      <c r="E514" s="321" t="s">
        <v>41</v>
      </c>
      <c r="F514" s="321" t="s">
        <v>519</v>
      </c>
      <c r="G514" s="321" t="s">
        <v>520</v>
      </c>
      <c r="H514" s="321" t="s">
        <v>2422</v>
      </c>
      <c r="I514" s="322" t="s">
        <v>557</v>
      </c>
    </row>
    <row r="515" spans="1:9" ht="15.75" customHeight="1" thickBot="1" x14ac:dyDescent="0.25">
      <c r="A515" s="46" t="s">
        <v>1567</v>
      </c>
      <c r="B515" s="72">
        <f t="shared" ref="B515:B520" ca="1" si="12">B304*0.5</f>
        <v>357474.23734645947</v>
      </c>
      <c r="C515" s="41" t="str">
        <f t="shared" ref="C515:C520" si="13">C304</f>
        <v>kg/yr</v>
      </c>
      <c r="D515" s="49">
        <f>83/180</f>
        <v>0.46111111111111114</v>
      </c>
      <c r="E515" s="41" t="s">
        <v>2558</v>
      </c>
      <c r="F515" s="41">
        <v>2024</v>
      </c>
      <c r="G515" s="56"/>
      <c r="H515" s="335">
        <f>CAPEX!N$3/389.544</f>
        <v>1.0332234612778017</v>
      </c>
      <c r="I515" s="818">
        <f t="shared" ref="I515:I520" ca="1" si="14">H515*D515*B515</f>
        <v>170311.74340436867</v>
      </c>
    </row>
    <row r="516" spans="1:9" ht="15.75" customHeight="1" thickBot="1" x14ac:dyDescent="0.25">
      <c r="A516" s="46" t="s">
        <v>2430</v>
      </c>
      <c r="B516" s="72">
        <f t="shared" ca="1" si="12"/>
        <v>328.18107967245743</v>
      </c>
      <c r="C516" s="41" t="str">
        <f t="shared" si="13"/>
        <v>kWh/yr</v>
      </c>
      <c r="D516" s="50">
        <v>0.17799999999999999</v>
      </c>
      <c r="E516" s="41" t="s">
        <v>378</v>
      </c>
      <c r="F516" s="41">
        <v>2024</v>
      </c>
      <c r="G516" s="34"/>
      <c r="H516" s="335">
        <f>CAPEX!N$3/389.544</f>
        <v>1.0332234612778017</v>
      </c>
      <c r="I516" s="818">
        <f t="shared" ca="1" si="14"/>
        <v>60.357021609581118</v>
      </c>
    </row>
    <row r="517" spans="1:9" ht="15.75" customHeight="1" thickBot="1" x14ac:dyDescent="0.25">
      <c r="A517" s="46" t="s">
        <v>2387</v>
      </c>
      <c r="B517" s="72">
        <f t="shared" ca="1" si="12"/>
        <v>902.96745613653798</v>
      </c>
      <c r="C517" s="41" t="str">
        <f t="shared" si="13"/>
        <v>kWh/yr</v>
      </c>
      <c r="D517" s="50">
        <v>0.17799999999999999</v>
      </c>
      <c r="E517" s="41" t="s">
        <v>378</v>
      </c>
      <c r="F517" s="41">
        <v>2024</v>
      </c>
      <c r="G517" s="34"/>
      <c r="H517" s="335">
        <f>CAPEX!N$3/389.544</f>
        <v>1.0332234612778017</v>
      </c>
      <c r="I517" s="818">
        <f t="shared" ca="1" si="14"/>
        <v>166.06815456020774</v>
      </c>
    </row>
    <row r="518" spans="1:9" ht="15.75" customHeight="1" thickBot="1" x14ac:dyDescent="0.25">
      <c r="A518" s="46" t="s">
        <v>2431</v>
      </c>
      <c r="B518" s="72">
        <f t="shared" ca="1" si="12"/>
        <v>155.66015986342131</v>
      </c>
      <c r="C518" s="41" t="str">
        <f t="shared" si="13"/>
        <v>kWh/yr</v>
      </c>
      <c r="D518" s="50">
        <v>0.17799999999999999</v>
      </c>
      <c r="E518" s="41" t="s">
        <v>378</v>
      </c>
      <c r="F518" s="41">
        <v>2024</v>
      </c>
      <c r="G518" s="34"/>
      <c r="H518" s="335">
        <f>CAPEX!N$3/389.544</f>
        <v>1.0332234612778017</v>
      </c>
      <c r="I518" s="818">
        <f t="shared" ca="1" si="14"/>
        <v>28.628047789970939</v>
      </c>
    </row>
    <row r="519" spans="1:9" ht="15.75" customHeight="1" thickBot="1" x14ac:dyDescent="0.25">
      <c r="A519" s="46" t="s">
        <v>2432</v>
      </c>
      <c r="B519" s="72">
        <f t="shared" ca="1" si="12"/>
        <v>80.350719365281876</v>
      </c>
      <c r="C519" s="41" t="str">
        <f t="shared" si="13"/>
        <v>kWh/yr</v>
      </c>
      <c r="D519" s="50">
        <v>0.17799999999999999</v>
      </c>
      <c r="E519" s="41" t="s">
        <v>378</v>
      </c>
      <c r="F519" s="41">
        <v>2024</v>
      </c>
      <c r="G519" s="34"/>
      <c r="H519" s="335">
        <f>CAPEX!N$3/389.544</f>
        <v>1.0332234612778017</v>
      </c>
      <c r="I519" s="818">
        <f t="shared" ca="1" si="14"/>
        <v>14.777604211418893</v>
      </c>
    </row>
    <row r="520" spans="1:9" ht="15.75" customHeight="1" thickBot="1" x14ac:dyDescent="0.25">
      <c r="A520" s="46" t="s">
        <v>2433</v>
      </c>
      <c r="B520" s="72">
        <f t="shared" ca="1" si="12"/>
        <v>8724508.1695915442</v>
      </c>
      <c r="C520" s="41" t="str">
        <f t="shared" si="13"/>
        <v>lb/yr</v>
      </c>
      <c r="D520" s="329">
        <v>3.0000000000000001E-3</v>
      </c>
      <c r="E520" s="41" t="s">
        <v>29</v>
      </c>
      <c r="F520" s="41">
        <v>2011</v>
      </c>
      <c r="G520" s="56"/>
      <c r="H520" s="335">
        <f>CAPEX!N$3/295.3</f>
        <v>1.3629732475448695</v>
      </c>
      <c r="I520" s="818">
        <f t="shared" ca="1" si="14"/>
        <v>35673.813699419792</v>
      </c>
    </row>
    <row r="521" spans="1:9" ht="15.75" customHeight="1" thickBot="1" x14ac:dyDescent="0.25">
      <c r="A521" s="46"/>
      <c r="B521" s="72"/>
      <c r="C521" s="41"/>
      <c r="D521" s="329"/>
      <c r="E521" s="41"/>
      <c r="F521" s="41"/>
      <c r="G521" s="56"/>
      <c r="H521" s="335"/>
      <c r="I521" s="816"/>
    </row>
    <row r="522" spans="1:9" ht="15.75" customHeight="1" thickBot="1" x14ac:dyDescent="0.25">
      <c r="A522" s="1677" t="s">
        <v>526</v>
      </c>
      <c r="B522" s="1678"/>
      <c r="C522" s="1678"/>
      <c r="D522" s="1678"/>
      <c r="E522" s="1678"/>
      <c r="F522" s="1678"/>
      <c r="G522" s="1678"/>
      <c r="H522" s="1679"/>
      <c r="I522" s="817">
        <f ca="1">SUM(I515:I520)</f>
        <v>206255.38793195962</v>
      </c>
    </row>
    <row r="523" spans="1:9" ht="15.75" customHeight="1" thickBot="1" x14ac:dyDescent="0.25"/>
    <row r="524" spans="1:9" ht="15.75" customHeight="1" thickBot="1" x14ac:dyDescent="0.25">
      <c r="A524" s="1429" t="s">
        <v>558</v>
      </c>
      <c r="B524" s="1430"/>
      <c r="C524" s="1430"/>
      <c r="D524" s="1430"/>
      <c r="E524" s="1431"/>
    </row>
    <row r="525" spans="1:9" ht="15.75" customHeight="1" thickBot="1" x14ac:dyDescent="0.25">
      <c r="A525" s="322" t="s">
        <v>559</v>
      </c>
      <c r="B525" s="322" t="s">
        <v>516</v>
      </c>
      <c r="C525" s="322" t="s">
        <v>41</v>
      </c>
      <c r="D525" s="322" t="s">
        <v>2423</v>
      </c>
      <c r="E525" s="322" t="s">
        <v>557</v>
      </c>
    </row>
    <row r="526" spans="1:9" ht="15.75" customHeight="1" thickBot="1" x14ac:dyDescent="0.25">
      <c r="A526" s="35" t="s">
        <v>567</v>
      </c>
      <c r="B526" s="36">
        <v>1</v>
      </c>
      <c r="C526" s="41" t="s">
        <v>568</v>
      </c>
      <c r="D526" s="37">
        <v>150000</v>
      </c>
      <c r="E526" s="43" cm="1">
        <f t="array" ref="E526:E529">D526:D529*B526:B529</f>
        <v>150000</v>
      </c>
    </row>
    <row r="527" spans="1:9" ht="15.75" customHeight="1" thickBot="1" x14ac:dyDescent="0.25">
      <c r="A527" s="35" t="s">
        <v>2468</v>
      </c>
      <c r="B527" s="36">
        <v>1</v>
      </c>
      <c r="C527" s="41" t="s">
        <v>568</v>
      </c>
      <c r="D527" s="37">
        <v>100000</v>
      </c>
      <c r="E527" s="43">
        <v>100000</v>
      </c>
    </row>
    <row r="528" spans="1:9" ht="15.75" customHeight="1" thickBot="1" x14ac:dyDescent="0.25">
      <c r="A528" s="35" t="s">
        <v>570</v>
      </c>
      <c r="B528" s="36">
        <v>1</v>
      </c>
      <c r="C528" s="41" t="s">
        <v>568</v>
      </c>
      <c r="D528" s="37">
        <v>85000</v>
      </c>
      <c r="E528" s="43">
        <v>85000</v>
      </c>
    </row>
    <row r="529" spans="1:9" ht="15.75" customHeight="1" thickBot="1" x14ac:dyDescent="0.25">
      <c r="A529" s="35" t="s">
        <v>571</v>
      </c>
      <c r="B529" s="36">
        <v>2</v>
      </c>
      <c r="C529" s="41" t="s">
        <v>568</v>
      </c>
      <c r="D529" s="37">
        <v>70000</v>
      </c>
      <c r="E529" s="43">
        <v>140000</v>
      </c>
    </row>
    <row r="530" spans="1:9" ht="15.75" customHeight="1" thickBot="1" x14ac:dyDescent="0.25">
      <c r="A530" s="1753" t="s">
        <v>526</v>
      </c>
      <c r="B530" s="1754"/>
      <c r="C530" s="1754"/>
      <c r="D530" s="1754"/>
      <c r="E530" s="78">
        <f>SUM(_xlfn.ANCHORARRAY(E526))</f>
        <v>475000</v>
      </c>
    </row>
    <row r="531" spans="1:9" ht="15.75" customHeight="1" x14ac:dyDescent="0.2"/>
    <row r="532" spans="1:9" ht="16" thickBot="1" x14ac:dyDescent="0.25"/>
    <row r="533" spans="1:9" ht="15" customHeight="1" x14ac:dyDescent="0.2">
      <c r="A533" s="1789" t="s">
        <v>755</v>
      </c>
      <c r="B533" s="1790"/>
      <c r="C533" s="1359"/>
      <c r="D533" s="1359"/>
      <c r="E533" s="1359"/>
      <c r="F533" s="1359"/>
      <c r="G533" s="1359"/>
      <c r="H533" s="1359"/>
      <c r="I533" s="1360"/>
    </row>
    <row r="534" spans="1:9" ht="16" customHeight="1" thickBot="1" x14ac:dyDescent="0.25">
      <c r="A534" s="1792"/>
      <c r="B534" s="1793"/>
      <c r="C534" s="1361"/>
      <c r="D534" s="1361"/>
      <c r="E534" s="1361"/>
      <c r="F534" s="1361"/>
      <c r="G534" s="1361"/>
      <c r="H534" s="1361"/>
      <c r="I534" s="1362"/>
    </row>
    <row r="535" spans="1:9" ht="23" thickBot="1" x14ac:dyDescent="0.25">
      <c r="A535" s="202"/>
      <c r="B535" s="203"/>
      <c r="C535" s="203"/>
      <c r="D535" s="203"/>
      <c r="E535" s="203"/>
      <c r="F535" s="203"/>
      <c r="G535" s="203"/>
      <c r="H535" s="203"/>
      <c r="I535" s="204"/>
    </row>
    <row r="536" spans="1:9" ht="16" customHeight="1" thickBot="1" x14ac:dyDescent="0.25">
      <c r="A536" s="1432" t="s">
        <v>553</v>
      </c>
      <c r="B536" s="1433"/>
      <c r="C536" s="1433"/>
      <c r="D536" s="1433"/>
      <c r="E536" s="1433"/>
      <c r="F536" s="1433"/>
      <c r="G536" s="1433"/>
      <c r="H536" s="1433"/>
      <c r="I536" s="1434"/>
    </row>
    <row r="537" spans="1:9" ht="16" thickBot="1" x14ac:dyDescent="0.25">
      <c r="A537" s="1689" t="s">
        <v>554</v>
      </c>
      <c r="B537" s="1689" t="s">
        <v>555</v>
      </c>
      <c r="C537" s="1689" t="s">
        <v>41</v>
      </c>
      <c r="D537" s="1683" t="s">
        <v>511</v>
      </c>
      <c r="E537" s="1684"/>
      <c r="F537" s="1685"/>
      <c r="G537" s="1683" t="s">
        <v>556</v>
      </c>
      <c r="H537" s="1684"/>
      <c r="I537" s="1685"/>
    </row>
    <row r="538" spans="1:9" ht="17" thickBot="1" x14ac:dyDescent="0.25">
      <c r="A538" s="1690"/>
      <c r="B538" s="1690"/>
      <c r="C538" s="1690"/>
      <c r="D538" s="321" t="s">
        <v>518</v>
      </c>
      <c r="E538" s="321" t="s">
        <v>41</v>
      </c>
      <c r="F538" s="321" t="s">
        <v>519</v>
      </c>
      <c r="G538" s="321" t="s">
        <v>520</v>
      </c>
      <c r="H538" s="321" t="s">
        <v>2422</v>
      </c>
      <c r="I538" s="322" t="s">
        <v>557</v>
      </c>
    </row>
    <row r="539" spans="1:9" ht="17" thickBot="1" x14ac:dyDescent="0.25">
      <c r="A539" s="46" t="s">
        <v>1164</v>
      </c>
      <c r="B539" s="72">
        <f ca="1">B328*1000</f>
        <v>0.19522823307837003</v>
      </c>
      <c r="C539" s="41" t="s">
        <v>1522</v>
      </c>
      <c r="D539" s="49">
        <f>2500/100</f>
        <v>25</v>
      </c>
      <c r="E539" s="41" t="s">
        <v>14</v>
      </c>
      <c r="F539" s="41">
        <v>2001</v>
      </c>
      <c r="G539" s="56"/>
      <c r="H539" s="335">
        <f>CAPEX!N$3/389.544</f>
        <v>1.0332234612778017</v>
      </c>
      <c r="I539" s="818">
        <f t="shared" ref="I539:I545" ca="1" si="15">H539*D539*B539</f>
        <v>5.0428597680095733</v>
      </c>
    </row>
    <row r="540" spans="1:9" ht="17" thickBot="1" x14ac:dyDescent="0.25">
      <c r="A540" s="46" t="s">
        <v>2440</v>
      </c>
      <c r="B540" s="72">
        <f t="shared" ref="B540:B545" ca="1" si="16">B329*0.9</f>
        <v>53.298394243937203</v>
      </c>
      <c r="C540" s="41" t="s">
        <v>40</v>
      </c>
      <c r="D540" s="50">
        <v>0.17799999999999999</v>
      </c>
      <c r="E540" s="41" t="s">
        <v>378</v>
      </c>
      <c r="F540" s="41">
        <v>2024</v>
      </c>
      <c r="G540" s="34"/>
      <c r="H540" s="335">
        <f>CAPEX!N$3/389.544</f>
        <v>1.0332234612778017</v>
      </c>
      <c r="I540" s="818">
        <f t="shared" ca="1" si="15"/>
        <v>9.8023089458659989</v>
      </c>
    </row>
    <row r="541" spans="1:9" ht="17" thickBot="1" x14ac:dyDescent="0.25">
      <c r="A541" s="46" t="s">
        <v>2387</v>
      </c>
      <c r="B541" s="72">
        <f t="shared" ca="1" si="16"/>
        <v>5.3502540430963768</v>
      </c>
      <c r="C541" s="41" t="s">
        <v>40</v>
      </c>
      <c r="D541" s="50">
        <v>0.17799999999999999</v>
      </c>
      <c r="E541" s="41" t="s">
        <v>378</v>
      </c>
      <c r="F541" s="41">
        <v>2024</v>
      </c>
      <c r="G541" s="34"/>
      <c r="H541" s="335">
        <f>CAPEX!N$3/389.544</f>
        <v>1.0332234612778017</v>
      </c>
      <c r="I541" s="818">
        <f t="shared" ca="1" si="15"/>
        <v>0.98398542419999913</v>
      </c>
    </row>
    <row r="542" spans="1:9" ht="17" thickBot="1" x14ac:dyDescent="0.25">
      <c r="A542" s="46" t="s">
        <v>2441</v>
      </c>
      <c r="B542" s="72">
        <f t="shared" ca="1" si="16"/>
        <v>2069.5967508426115</v>
      </c>
      <c r="C542" s="41" t="s">
        <v>40</v>
      </c>
      <c r="D542" s="50">
        <v>0.17799999999999999</v>
      </c>
      <c r="E542" s="41" t="s">
        <v>378</v>
      </c>
      <c r="F542" s="41">
        <v>2024</v>
      </c>
      <c r="G542" s="34"/>
      <c r="H542" s="335">
        <f>CAPEX!N$3/389.544</f>
        <v>1.0332234612778017</v>
      </c>
      <c r="I542" s="818">
        <f t="shared" ca="1" si="15"/>
        <v>380.6273534671713</v>
      </c>
    </row>
    <row r="543" spans="1:9" ht="17" thickBot="1" x14ac:dyDescent="0.25">
      <c r="A543" s="46" t="s">
        <v>2438</v>
      </c>
      <c r="B543" s="72">
        <f t="shared" si="16"/>
        <v>4064.0911200000005</v>
      </c>
      <c r="C543" s="41" t="s">
        <v>40</v>
      </c>
      <c r="D543" s="50">
        <v>0.17799999999999999</v>
      </c>
      <c r="E543" s="41" t="s">
        <v>378</v>
      </c>
      <c r="F543" s="41">
        <v>2024</v>
      </c>
      <c r="G543" s="34"/>
      <c r="H543" s="335">
        <f>CAPEX!N$3/389.544</f>
        <v>1.0332234612778017</v>
      </c>
      <c r="I543" s="818">
        <f t="shared" si="15"/>
        <v>747.44234432395046</v>
      </c>
    </row>
    <row r="544" spans="1:9" ht="17" thickBot="1" x14ac:dyDescent="0.25">
      <c r="A544" s="46" t="s">
        <v>2437</v>
      </c>
      <c r="B544" s="72">
        <f t="shared" ca="1" si="16"/>
        <v>1671.5973756805711</v>
      </c>
      <c r="C544" s="41" t="s">
        <v>40</v>
      </c>
      <c r="D544" s="50">
        <v>0.17799999999999999</v>
      </c>
      <c r="E544" s="41" t="s">
        <v>378</v>
      </c>
      <c r="F544" s="41">
        <v>2024</v>
      </c>
      <c r="G544" s="34"/>
      <c r="H544" s="335">
        <f>CAPEX!N$3/389.544</f>
        <v>1.0332234612778017</v>
      </c>
      <c r="I544" s="818">
        <f t="shared" ca="1" si="15"/>
        <v>307.42978549271533</v>
      </c>
    </row>
    <row r="545" spans="1:9" ht="17" thickBot="1" x14ac:dyDescent="0.25">
      <c r="A545" s="46" t="s">
        <v>2433</v>
      </c>
      <c r="B545" s="72">
        <f t="shared" ca="1" si="16"/>
        <v>311703.45429259987</v>
      </c>
      <c r="C545" s="41" t="s">
        <v>2959</v>
      </c>
      <c r="D545" s="329">
        <v>3.0000000000000001E-3</v>
      </c>
      <c r="E545" s="41" t="s">
        <v>29</v>
      </c>
      <c r="F545" s="41">
        <v>2011</v>
      </c>
      <c r="G545" s="56"/>
      <c r="H545" s="335">
        <f>CAPEX!N$3/295.3</f>
        <v>1.3629732475448695</v>
      </c>
      <c r="I545" s="818">
        <f t="shared" ca="1" si="15"/>
        <v>1274.5304081044158</v>
      </c>
    </row>
    <row r="546" spans="1:9" ht="16" thickBot="1" x14ac:dyDescent="0.25">
      <c r="A546" s="34"/>
      <c r="B546" s="72"/>
      <c r="C546" s="41"/>
      <c r="D546" s="49"/>
      <c r="E546" s="41"/>
      <c r="F546" s="41"/>
      <c r="G546" s="56"/>
      <c r="H546" s="819"/>
      <c r="I546" s="816"/>
    </row>
    <row r="547" spans="1:9" ht="16" thickBot="1" x14ac:dyDescent="0.25">
      <c r="A547" s="1677" t="s">
        <v>526</v>
      </c>
      <c r="B547" s="1678"/>
      <c r="C547" s="1678"/>
      <c r="D547" s="1678"/>
      <c r="E547" s="1678"/>
      <c r="F547" s="1678"/>
      <c r="G547" s="1678"/>
      <c r="H547" s="1679"/>
      <c r="I547" s="817">
        <f ca="1">SUM(I539:I545)</f>
        <v>2725.8590455263284</v>
      </c>
    </row>
    <row r="548" spans="1:9" ht="16" thickBot="1" x14ac:dyDescent="0.25"/>
    <row r="549" spans="1:9" ht="16" customHeight="1" thickBot="1" x14ac:dyDescent="0.25">
      <c r="A549" s="1432" t="s">
        <v>558</v>
      </c>
      <c r="B549" s="1433"/>
      <c r="C549" s="1433"/>
      <c r="D549" s="1433"/>
      <c r="E549" s="1434"/>
    </row>
    <row r="550" spans="1:9" ht="17" thickBot="1" x14ac:dyDescent="0.25">
      <c r="A550" s="322" t="s">
        <v>559</v>
      </c>
      <c r="B550" s="322" t="s">
        <v>516</v>
      </c>
      <c r="C550" s="322" t="s">
        <v>41</v>
      </c>
      <c r="D550" s="322" t="s">
        <v>2423</v>
      </c>
      <c r="E550" s="322" t="s">
        <v>557</v>
      </c>
    </row>
    <row r="551" spans="1:9" ht="17" thickBot="1" x14ac:dyDescent="0.25">
      <c r="A551" s="35" t="s">
        <v>567</v>
      </c>
      <c r="B551" s="36">
        <v>0</v>
      </c>
      <c r="C551" s="41" t="s">
        <v>568</v>
      </c>
      <c r="D551" s="37">
        <v>150000</v>
      </c>
      <c r="E551" s="43" cm="1">
        <f t="array" ref="E551:E554">D551:D554*B551:B554</f>
        <v>0</v>
      </c>
    </row>
    <row r="552" spans="1:9" ht="17" thickBot="1" x14ac:dyDescent="0.25">
      <c r="A552" s="35" t="s">
        <v>2468</v>
      </c>
      <c r="B552" s="36">
        <v>1</v>
      </c>
      <c r="C552" s="41" t="s">
        <v>568</v>
      </c>
      <c r="D552" s="37">
        <v>100000</v>
      </c>
      <c r="E552" s="43">
        <v>100000</v>
      </c>
    </row>
    <row r="553" spans="1:9" ht="17" thickBot="1" x14ac:dyDescent="0.25">
      <c r="A553" s="35" t="s">
        <v>570</v>
      </c>
      <c r="B553" s="36">
        <v>1</v>
      </c>
      <c r="C553" s="41" t="s">
        <v>568</v>
      </c>
      <c r="D553" s="37">
        <v>85000</v>
      </c>
      <c r="E553" s="43">
        <v>85000</v>
      </c>
    </row>
    <row r="554" spans="1:9" ht="17" thickBot="1" x14ac:dyDescent="0.25">
      <c r="A554" s="35" t="s">
        <v>571</v>
      </c>
      <c r="B554" s="36">
        <v>2</v>
      </c>
      <c r="C554" s="41" t="s">
        <v>568</v>
      </c>
      <c r="D554" s="37">
        <v>70000</v>
      </c>
      <c r="E554" s="43">
        <v>140000</v>
      </c>
    </row>
    <row r="555" spans="1:9" ht="16" thickBot="1" x14ac:dyDescent="0.25">
      <c r="A555" s="1753" t="s">
        <v>526</v>
      </c>
      <c r="B555" s="1754"/>
      <c r="C555" s="1754"/>
      <c r="D555" s="1754"/>
      <c r="E555" s="78">
        <f>SUM(_xlfn.ANCHORARRAY(E551))</f>
        <v>325000</v>
      </c>
    </row>
    <row r="557" spans="1:9" ht="16" thickBot="1" x14ac:dyDescent="0.25"/>
    <row r="558" spans="1:9" ht="15" customHeight="1" x14ac:dyDescent="0.2">
      <c r="A558" s="1923" t="s">
        <v>2320</v>
      </c>
      <c r="B558" s="1924"/>
      <c r="C558" s="1458"/>
      <c r="D558" s="1458"/>
      <c r="E558" s="1458"/>
      <c r="F558" s="1458"/>
      <c r="G558" s="1458"/>
      <c r="H558" s="1458"/>
      <c r="I558" s="1459"/>
    </row>
    <row r="559" spans="1:9" ht="16" customHeight="1" thickBot="1" x14ac:dyDescent="0.25">
      <c r="A559" s="1926"/>
      <c r="B559" s="1927"/>
      <c r="C559" s="1460"/>
      <c r="D559" s="1460"/>
      <c r="E559" s="1460"/>
      <c r="F559" s="1460"/>
      <c r="G559" s="1460"/>
      <c r="H559" s="1460"/>
      <c r="I559" s="1461"/>
    </row>
    <row r="560" spans="1:9" ht="23" thickBot="1" x14ac:dyDescent="0.25">
      <c r="A560" s="202"/>
      <c r="B560" s="203"/>
      <c r="C560" s="203"/>
      <c r="D560" s="203"/>
      <c r="E560" s="203"/>
      <c r="F560" s="203"/>
      <c r="G560" s="203"/>
      <c r="H560" s="203"/>
      <c r="I560" s="204"/>
    </row>
    <row r="561" spans="1:9" ht="16" customHeight="1" thickBot="1" x14ac:dyDescent="0.25">
      <c r="A561" s="1462" t="s">
        <v>553</v>
      </c>
      <c r="B561" s="1463"/>
      <c r="C561" s="1463"/>
      <c r="D561" s="1463"/>
      <c r="E561" s="1463"/>
      <c r="F561" s="1463"/>
      <c r="G561" s="1463"/>
      <c r="H561" s="1463"/>
      <c r="I561" s="1464"/>
    </row>
    <row r="562" spans="1:9" ht="16" thickBot="1" x14ac:dyDescent="0.25">
      <c r="A562" s="1689" t="s">
        <v>554</v>
      </c>
      <c r="B562" s="1689" t="s">
        <v>555</v>
      </c>
      <c r="C562" s="1689" t="s">
        <v>41</v>
      </c>
      <c r="D562" s="1683" t="s">
        <v>511</v>
      </c>
      <c r="E562" s="1684"/>
      <c r="F562" s="1685"/>
      <c r="G562" s="1683" t="s">
        <v>556</v>
      </c>
      <c r="H562" s="1684"/>
      <c r="I562" s="1685"/>
    </row>
    <row r="563" spans="1:9" ht="17" thickBot="1" x14ac:dyDescent="0.25">
      <c r="A563" s="1690"/>
      <c r="B563" s="1690"/>
      <c r="C563" s="1690"/>
      <c r="D563" s="321" t="s">
        <v>518</v>
      </c>
      <c r="E563" s="321" t="s">
        <v>41</v>
      </c>
      <c r="F563" s="321" t="s">
        <v>519</v>
      </c>
      <c r="G563" s="321" t="s">
        <v>520</v>
      </c>
      <c r="H563" s="321" t="s">
        <v>2422</v>
      </c>
      <c r="I563" s="322" t="s">
        <v>557</v>
      </c>
    </row>
    <row r="564" spans="1:9" ht="17" thickBot="1" x14ac:dyDescent="0.25">
      <c r="A564" s="35" t="s">
        <v>2472</v>
      </c>
      <c r="B564" s="72">
        <f ca="1">B380*10</f>
        <v>592.20438048819108</v>
      </c>
      <c r="C564" s="41" t="s">
        <v>40</v>
      </c>
      <c r="D564" s="50">
        <v>0.17799999999999999</v>
      </c>
      <c r="E564" s="41" t="s">
        <v>378</v>
      </c>
      <c r="F564" s="41">
        <v>2024</v>
      </c>
      <c r="G564" s="34"/>
      <c r="H564" s="335">
        <f>CAPEX!N$3/389.544</f>
        <v>1.0332234612778017</v>
      </c>
      <c r="I564" s="818">
        <f ca="1">H564*D564*B564</f>
        <v>108.91454384295552</v>
      </c>
    </row>
    <row r="565" spans="1:9" ht="17" thickBot="1" x14ac:dyDescent="0.25">
      <c r="A565" s="35" t="s">
        <v>2430</v>
      </c>
      <c r="B565" s="72">
        <f ca="1">B381*100</f>
        <v>65636.215934491483</v>
      </c>
      <c r="C565" s="41" t="s">
        <v>40</v>
      </c>
      <c r="D565" s="50">
        <v>0.17799999999999999</v>
      </c>
      <c r="E565" s="41" t="s">
        <v>378</v>
      </c>
      <c r="F565" s="41">
        <v>2024</v>
      </c>
      <c r="G565" s="34"/>
      <c r="H565" s="335">
        <f>CAPEX!N$3/389.544</f>
        <v>1.0332234612778017</v>
      </c>
      <c r="I565" s="818">
        <f ca="1">H565*D565*B565</f>
        <v>12071.404321916223</v>
      </c>
    </row>
    <row r="566" spans="1:9" ht="17" thickBot="1" x14ac:dyDescent="0.25">
      <c r="A566" s="35" t="s">
        <v>2470</v>
      </c>
      <c r="B566" s="72">
        <f ca="1">B380*10</f>
        <v>592.20438048819108</v>
      </c>
      <c r="C566" s="41" t="s">
        <v>40</v>
      </c>
      <c r="D566" s="50">
        <v>0.17799999999999999</v>
      </c>
      <c r="E566" s="41" t="s">
        <v>378</v>
      </c>
      <c r="F566" s="41">
        <v>2024</v>
      </c>
      <c r="G566" s="34"/>
      <c r="H566" s="335">
        <f>CAPEX!N$3/389.544</f>
        <v>1.0332234612778017</v>
      </c>
      <c r="I566" s="818">
        <f ca="1">H566*D566*B566</f>
        <v>108.91454384295552</v>
      </c>
    </row>
    <row r="567" spans="1:9" ht="17" thickBot="1" x14ac:dyDescent="0.25">
      <c r="A567" s="35" t="s">
        <v>2471</v>
      </c>
      <c r="B567" s="72">
        <f ca="1">B380*10</f>
        <v>592.20438048819108</v>
      </c>
      <c r="C567" s="41" t="s">
        <v>40</v>
      </c>
      <c r="D567" s="50">
        <v>0.17799999999999999</v>
      </c>
      <c r="E567" s="41" t="s">
        <v>378</v>
      </c>
      <c r="F567" s="41">
        <v>2024</v>
      </c>
      <c r="G567" s="34"/>
      <c r="H567" s="335">
        <f>CAPEX!N$3/389.544</f>
        <v>1.0332234612778017</v>
      </c>
      <c r="I567" s="818">
        <f ca="1">H567*D567*B567</f>
        <v>108.91454384295552</v>
      </c>
    </row>
    <row r="568" spans="1:9" ht="17" thickBot="1" x14ac:dyDescent="0.25">
      <c r="A568" s="35" t="s">
        <v>2469</v>
      </c>
      <c r="B568" s="72">
        <f ca="1">B381*10</f>
        <v>6563.6215934491483</v>
      </c>
      <c r="C568" s="41" t="s">
        <v>40</v>
      </c>
      <c r="D568" s="50">
        <v>0.17799999999999999</v>
      </c>
      <c r="E568" s="41" t="s">
        <v>378</v>
      </c>
      <c r="F568" s="41">
        <v>2024</v>
      </c>
      <c r="G568" s="34"/>
      <c r="H568" s="335">
        <f>CAPEX!N$3/389.544</f>
        <v>1.0332234612778017</v>
      </c>
      <c r="I568" s="818">
        <f ca="1">H568*D568*B568</f>
        <v>1207.1404321916223</v>
      </c>
    </row>
    <row r="569" spans="1:9" ht="16" thickBot="1" x14ac:dyDescent="0.25">
      <c r="A569" s="35"/>
      <c r="B569" s="72"/>
      <c r="C569" s="41"/>
      <c r="D569" s="50"/>
      <c r="E569" s="41"/>
      <c r="F569" s="41"/>
      <c r="G569" s="34"/>
      <c r="H569" s="335"/>
      <c r="I569" s="816"/>
    </row>
    <row r="570" spans="1:9" ht="16" thickBot="1" x14ac:dyDescent="0.25">
      <c r="A570" s="1677" t="s">
        <v>526</v>
      </c>
      <c r="B570" s="1678"/>
      <c r="C570" s="1678"/>
      <c r="D570" s="1678"/>
      <c r="E570" s="1678"/>
      <c r="F570" s="1678"/>
      <c r="G570" s="1678"/>
      <c r="H570" s="1679"/>
      <c r="I570" s="817">
        <f ca="1">SUM(I564:I568)</f>
        <v>13605.28838563671</v>
      </c>
    </row>
    <row r="571" spans="1:9" ht="16" thickBot="1" x14ac:dyDescent="0.25"/>
    <row r="572" spans="1:9" ht="16" customHeight="1" thickBot="1" x14ac:dyDescent="0.25">
      <c r="A572" s="1462" t="s">
        <v>558</v>
      </c>
      <c r="B572" s="1463"/>
      <c r="C572" s="1463"/>
      <c r="D572" s="1463"/>
      <c r="E572" s="1464"/>
    </row>
    <row r="573" spans="1:9" ht="17" thickBot="1" x14ac:dyDescent="0.25">
      <c r="A573" s="322" t="s">
        <v>559</v>
      </c>
      <c r="B573" s="322" t="s">
        <v>516</v>
      </c>
      <c r="C573" s="322" t="s">
        <v>41</v>
      </c>
      <c r="D573" s="322" t="s">
        <v>2423</v>
      </c>
      <c r="E573" s="322" t="s">
        <v>557</v>
      </c>
    </row>
    <row r="574" spans="1:9" ht="17" thickBot="1" x14ac:dyDescent="0.25">
      <c r="A574" s="35" t="s">
        <v>567</v>
      </c>
      <c r="B574" s="36">
        <v>1</v>
      </c>
      <c r="C574" s="41" t="s">
        <v>568</v>
      </c>
      <c r="D574" s="37">
        <v>150000</v>
      </c>
      <c r="E574" s="43" cm="1">
        <f t="array" ref="E574:E577">D574:D577*B574:B577</f>
        <v>150000</v>
      </c>
    </row>
    <row r="575" spans="1:9" ht="17" thickBot="1" x14ac:dyDescent="0.25">
      <c r="A575" s="35" t="s">
        <v>2468</v>
      </c>
      <c r="B575" s="36">
        <v>1</v>
      </c>
      <c r="C575" s="41" t="s">
        <v>568</v>
      </c>
      <c r="D575" s="37">
        <v>100000</v>
      </c>
      <c r="E575" s="43">
        <v>100000</v>
      </c>
    </row>
    <row r="576" spans="1:9" ht="17" thickBot="1" x14ac:dyDescent="0.25">
      <c r="A576" s="35" t="s">
        <v>570</v>
      </c>
      <c r="B576" s="36">
        <v>1</v>
      </c>
      <c r="C576" s="41" t="s">
        <v>568</v>
      </c>
      <c r="D576" s="37">
        <v>85000</v>
      </c>
      <c r="E576" s="43">
        <v>85000</v>
      </c>
    </row>
    <row r="577" spans="1:9" ht="17" thickBot="1" x14ac:dyDescent="0.25">
      <c r="A577" s="35" t="s">
        <v>571</v>
      </c>
      <c r="B577" s="36">
        <v>2</v>
      </c>
      <c r="C577" s="41" t="s">
        <v>568</v>
      </c>
      <c r="D577" s="37">
        <v>70000</v>
      </c>
      <c r="E577" s="43">
        <v>140000</v>
      </c>
    </row>
    <row r="578" spans="1:9" ht="16" thickBot="1" x14ac:dyDescent="0.25">
      <c r="A578" s="1753" t="s">
        <v>526</v>
      </c>
      <c r="B578" s="1754"/>
      <c r="C578" s="1754"/>
      <c r="D578" s="1754"/>
      <c r="E578" s="78">
        <f>SUM(_xlfn.ANCHORARRAY(E574))</f>
        <v>475000</v>
      </c>
    </row>
    <row r="582" spans="1:9" x14ac:dyDescent="0.2">
      <c r="A582" s="1762" t="s">
        <v>1875</v>
      </c>
      <c r="B582" s="1762"/>
      <c r="C582" s="1762"/>
      <c r="D582" s="1762"/>
      <c r="E582" s="1762"/>
      <c r="F582" s="1762"/>
      <c r="G582" s="1762"/>
      <c r="H582" s="1762"/>
      <c r="I582" s="1762"/>
    </row>
    <row r="583" spans="1:9" x14ac:dyDescent="0.2">
      <c r="A583" s="1762"/>
      <c r="B583" s="1762"/>
      <c r="C583" s="1762"/>
      <c r="D583" s="1762"/>
      <c r="E583" s="1762"/>
      <c r="F583" s="1762"/>
      <c r="G583" s="1762"/>
      <c r="H583" s="1762"/>
      <c r="I583" s="1762"/>
    </row>
    <row r="585" spans="1:9" ht="16" thickBot="1" x14ac:dyDescent="0.25"/>
    <row r="586" spans="1:9" ht="15.75" customHeight="1" x14ac:dyDescent="0.2">
      <c r="A586" s="2077" t="s">
        <v>1876</v>
      </c>
      <c r="B586" s="2078"/>
      <c r="C586" s="1465"/>
      <c r="D586" s="1465"/>
      <c r="E586" s="1465"/>
      <c r="F586" s="1465"/>
      <c r="G586" s="1465"/>
      <c r="H586" s="1465"/>
      <c r="I586" s="1466"/>
    </row>
    <row r="587" spans="1:9" ht="16" customHeight="1" thickBot="1" x14ac:dyDescent="0.25">
      <c r="A587" s="2079"/>
      <c r="B587" s="2080"/>
      <c r="C587" s="1467"/>
      <c r="D587" s="1467"/>
      <c r="E587" s="1467"/>
      <c r="F587" s="1467"/>
      <c r="G587" s="1467"/>
      <c r="H587" s="1467"/>
      <c r="I587" s="1468"/>
    </row>
    <row r="588" spans="1:9" ht="24.75" customHeight="1" thickBot="1" x14ac:dyDescent="0.25"/>
    <row r="589" spans="1:9" ht="16" customHeight="1" thickBot="1" x14ac:dyDescent="0.25">
      <c r="A589" s="1469" t="s">
        <v>558</v>
      </c>
      <c r="B589" s="1470"/>
      <c r="C589" s="1470"/>
      <c r="D589" s="1470"/>
      <c r="E589" s="1471"/>
    </row>
    <row r="590" spans="1:9" ht="17" thickBot="1" x14ac:dyDescent="0.25">
      <c r="A590" s="322" t="s">
        <v>559</v>
      </c>
      <c r="B590" s="322" t="s">
        <v>516</v>
      </c>
      <c r="C590" s="322" t="s">
        <v>41</v>
      </c>
      <c r="D590" s="322" t="s">
        <v>2423</v>
      </c>
      <c r="E590" s="322" t="s">
        <v>557</v>
      </c>
    </row>
    <row r="591" spans="1:9" ht="17" thickBot="1" x14ac:dyDescent="0.25">
      <c r="A591" s="46" t="s">
        <v>2478</v>
      </c>
      <c r="B591" s="47">
        <v>5</v>
      </c>
      <c r="C591" s="41" t="s">
        <v>568</v>
      </c>
      <c r="D591" s="50">
        <v>250000</v>
      </c>
      <c r="E591" s="43">
        <f>B591*D591</f>
        <v>1250000</v>
      </c>
    </row>
    <row r="592" spans="1:9" ht="17" thickBot="1" x14ac:dyDescent="0.25">
      <c r="A592" s="35" t="s">
        <v>567</v>
      </c>
      <c r="B592" s="36">
        <v>5</v>
      </c>
      <c r="C592" s="41" t="s">
        <v>568</v>
      </c>
      <c r="D592" s="37">
        <v>150000</v>
      </c>
      <c r="E592" s="43" cm="1">
        <f t="array" ref="E592:E596">D592:D596*B592:B596</f>
        <v>750000</v>
      </c>
    </row>
    <row r="593" spans="1:9" ht="17" thickBot="1" x14ac:dyDescent="0.25">
      <c r="A593" s="35" t="s">
        <v>2468</v>
      </c>
      <c r="B593" s="36">
        <v>5</v>
      </c>
      <c r="C593" s="41" t="s">
        <v>568</v>
      </c>
      <c r="D593" s="37">
        <v>100000</v>
      </c>
      <c r="E593" s="43">
        <v>500000</v>
      </c>
    </row>
    <row r="594" spans="1:9" ht="17" thickBot="1" x14ac:dyDescent="0.25">
      <c r="A594" s="35" t="s">
        <v>2476</v>
      </c>
      <c r="B594" s="36">
        <v>5</v>
      </c>
      <c r="C594" s="41" t="s">
        <v>568</v>
      </c>
      <c r="D594" s="37">
        <v>90000</v>
      </c>
      <c r="E594" s="43">
        <v>450000</v>
      </c>
    </row>
    <row r="595" spans="1:9" ht="17" thickBot="1" x14ac:dyDescent="0.25">
      <c r="A595" s="35" t="s">
        <v>2477</v>
      </c>
      <c r="B595" s="36">
        <v>5</v>
      </c>
      <c r="C595" s="41" t="s">
        <v>568</v>
      </c>
      <c r="D595" s="37">
        <v>85000</v>
      </c>
      <c r="E595" s="43">
        <v>425000</v>
      </c>
    </row>
    <row r="596" spans="1:9" ht="17" thickBot="1" x14ac:dyDescent="0.25">
      <c r="A596" s="35" t="s">
        <v>571</v>
      </c>
      <c r="B596" s="36">
        <v>10</v>
      </c>
      <c r="C596" s="41" t="s">
        <v>568</v>
      </c>
      <c r="D596" s="37">
        <v>70000</v>
      </c>
      <c r="E596" s="43">
        <v>700000</v>
      </c>
    </row>
    <row r="597" spans="1:9" ht="16" thickBot="1" x14ac:dyDescent="0.25">
      <c r="A597" s="1753" t="s">
        <v>526</v>
      </c>
      <c r="B597" s="1754"/>
      <c r="C597" s="1754"/>
      <c r="D597" s="1754"/>
      <c r="E597" s="78">
        <f>SUM(E591:E596)</f>
        <v>4075000</v>
      </c>
    </row>
    <row r="600" spans="1:9" ht="16" thickBot="1" x14ac:dyDescent="0.25"/>
    <row r="601" spans="1:9" x14ac:dyDescent="0.2">
      <c r="A601" s="1715" t="s">
        <v>541</v>
      </c>
      <c r="B601" s="1716"/>
      <c r="C601" s="1716"/>
      <c r="D601" s="1716"/>
      <c r="E601" s="1716"/>
      <c r="F601" s="1716"/>
      <c r="G601" s="1716"/>
      <c r="H601" s="1716"/>
      <c r="I601" s="1717"/>
    </row>
    <row r="602" spans="1:9" ht="16" thickBot="1" x14ac:dyDescent="0.25">
      <c r="A602" s="1718"/>
      <c r="B602" s="1719"/>
      <c r="C602" s="1719"/>
      <c r="D602" s="1719"/>
      <c r="E602" s="1719"/>
      <c r="F602" s="1719"/>
      <c r="G602" s="1719"/>
      <c r="H602" s="1719"/>
      <c r="I602" s="1720"/>
    </row>
    <row r="603" spans="1:9" ht="23" thickBot="1" x14ac:dyDescent="0.25">
      <c r="A603" s="202"/>
      <c r="B603" s="203"/>
      <c r="C603" s="203"/>
      <c r="D603" s="203"/>
      <c r="E603" s="203"/>
      <c r="F603" s="203"/>
      <c r="G603" s="203"/>
      <c r="H603" s="203"/>
      <c r="I603" s="204"/>
    </row>
    <row r="604" spans="1:9" ht="16" thickBot="1" x14ac:dyDescent="0.25">
      <c r="A604" s="1772" t="s">
        <v>553</v>
      </c>
      <c r="B604" s="1773"/>
      <c r="C604" s="1773"/>
      <c r="D604" s="1773"/>
      <c r="E604" s="1773"/>
      <c r="F604" s="1773"/>
      <c r="G604" s="1773"/>
      <c r="H604" s="1773"/>
      <c r="I604" s="1774"/>
    </row>
    <row r="605" spans="1:9" ht="16" thickBot="1" x14ac:dyDescent="0.25">
      <c r="A605" s="1689" t="s">
        <v>554</v>
      </c>
      <c r="B605" s="1689" t="s">
        <v>555</v>
      </c>
      <c r="C605" s="1689" t="s">
        <v>41</v>
      </c>
      <c r="D605" s="1683" t="s">
        <v>511</v>
      </c>
      <c r="E605" s="1684"/>
      <c r="F605" s="1685"/>
      <c r="G605" s="1683" t="s">
        <v>556</v>
      </c>
      <c r="H605" s="1684"/>
      <c r="I605" s="1685"/>
    </row>
    <row r="606" spans="1:9" ht="17" thickBot="1" x14ac:dyDescent="0.25">
      <c r="A606" s="1690"/>
      <c r="B606" s="1690"/>
      <c r="C606" s="1690"/>
      <c r="D606" s="321" t="s">
        <v>518</v>
      </c>
      <c r="E606" s="321" t="s">
        <v>41</v>
      </c>
      <c r="F606" s="321" t="s">
        <v>519</v>
      </c>
      <c r="G606" s="321" t="s">
        <v>520</v>
      </c>
      <c r="H606" s="321" t="s">
        <v>2422</v>
      </c>
      <c r="I606" s="322" t="s">
        <v>557</v>
      </c>
    </row>
    <row r="607" spans="1:9" ht="16" thickBot="1" x14ac:dyDescent="0.25">
      <c r="A607" s="34"/>
      <c r="B607" s="72"/>
      <c r="C607" s="41"/>
      <c r="D607" s="49"/>
      <c r="E607" s="41"/>
      <c r="F607" s="41"/>
      <c r="G607" s="56"/>
      <c r="H607" s="335">
        <f>CAPEX!N$3/389.544</f>
        <v>1.0332234612778017</v>
      </c>
      <c r="I607" s="816"/>
    </row>
    <row r="608" spans="1:9" ht="16" thickBot="1" x14ac:dyDescent="0.25">
      <c r="A608" s="34"/>
      <c r="B608" s="72"/>
      <c r="C608" s="41"/>
      <c r="D608" s="49"/>
      <c r="E608" s="41"/>
      <c r="F608" s="41"/>
      <c r="G608" s="56"/>
      <c r="H608" s="335">
        <f>CAPEX!N$3/389.544</f>
        <v>1.0332234612778017</v>
      </c>
      <c r="I608" s="816"/>
    </row>
    <row r="609" spans="1:9" ht="16" thickBot="1" x14ac:dyDescent="0.25">
      <c r="A609" s="34"/>
      <c r="B609" s="72"/>
      <c r="C609" s="41"/>
      <c r="D609" s="49"/>
      <c r="E609" s="41"/>
      <c r="F609" s="41"/>
      <c r="G609" s="56"/>
      <c r="H609" s="335">
        <f>CAPEX!N$3/389.544</f>
        <v>1.0332234612778017</v>
      </c>
      <c r="I609" s="816"/>
    </row>
    <row r="610" spans="1:9" ht="16" thickBot="1" x14ac:dyDescent="0.25">
      <c r="A610" s="1677" t="s">
        <v>526</v>
      </c>
      <c r="B610" s="1678"/>
      <c r="C610" s="1678"/>
      <c r="D610" s="1678"/>
      <c r="E610" s="1678"/>
      <c r="F610" s="1678"/>
      <c r="G610" s="1678"/>
      <c r="H610" s="1679"/>
      <c r="I610" s="817"/>
    </row>
    <row r="611" spans="1:9" ht="16" thickBot="1" x14ac:dyDescent="0.25"/>
    <row r="612" spans="1:9" ht="16" thickBot="1" x14ac:dyDescent="0.25">
      <c r="A612" s="1772" t="s">
        <v>558</v>
      </c>
      <c r="B612" s="1773"/>
      <c r="C612" s="1773"/>
      <c r="D612" s="1773"/>
      <c r="E612" s="1774"/>
    </row>
    <row r="613" spans="1:9" ht="17" thickBot="1" x14ac:dyDescent="0.25">
      <c r="A613" s="322" t="s">
        <v>559</v>
      </c>
      <c r="B613" s="322" t="s">
        <v>516</v>
      </c>
      <c r="C613" s="322" t="s">
        <v>41</v>
      </c>
      <c r="D613" s="322" t="s">
        <v>2423</v>
      </c>
      <c r="E613" s="322" t="s">
        <v>557</v>
      </c>
    </row>
    <row r="614" spans="1:9" ht="17" thickBot="1" x14ac:dyDescent="0.25">
      <c r="A614" s="35" t="s">
        <v>567</v>
      </c>
      <c r="B614" s="36">
        <v>3</v>
      </c>
      <c r="C614" s="41" t="s">
        <v>568</v>
      </c>
      <c r="D614" s="37">
        <v>150000</v>
      </c>
      <c r="E614" s="43" cm="1">
        <f t="array" ref="E614:E617">D614:D617*B614:B617</f>
        <v>450000</v>
      </c>
    </row>
    <row r="615" spans="1:9" ht="17" thickBot="1" x14ac:dyDescent="0.25">
      <c r="A615" s="35" t="s">
        <v>2468</v>
      </c>
      <c r="B615" s="36">
        <v>3</v>
      </c>
      <c r="C615" s="41" t="s">
        <v>568</v>
      </c>
      <c r="D615" s="37">
        <v>100000</v>
      </c>
      <c r="E615" s="43">
        <v>300000</v>
      </c>
    </row>
    <row r="616" spans="1:9" ht="17" thickBot="1" x14ac:dyDescent="0.25">
      <c r="A616" s="35" t="s">
        <v>570</v>
      </c>
      <c r="B616" s="36">
        <v>3</v>
      </c>
      <c r="C616" s="41" t="s">
        <v>568</v>
      </c>
      <c r="D616" s="37">
        <v>85000</v>
      </c>
      <c r="E616" s="43">
        <v>255000</v>
      </c>
    </row>
    <row r="617" spans="1:9" ht="17" thickBot="1" x14ac:dyDescent="0.25">
      <c r="A617" s="35" t="s">
        <v>571</v>
      </c>
      <c r="B617" s="36">
        <v>5</v>
      </c>
      <c r="C617" s="41" t="s">
        <v>568</v>
      </c>
      <c r="D617" s="37">
        <v>70000</v>
      </c>
      <c r="E617" s="43">
        <v>350000</v>
      </c>
    </row>
    <row r="618" spans="1:9" ht="16" thickBot="1" x14ac:dyDescent="0.25">
      <c r="A618" s="1753" t="s">
        <v>526</v>
      </c>
      <c r="B618" s="1754"/>
      <c r="C618" s="1754"/>
      <c r="D618" s="1754"/>
      <c r="E618" s="78">
        <f>SUM(_xlfn.ANCHORARRAY(E614))</f>
        <v>1355000</v>
      </c>
    </row>
    <row r="620" spans="1:9" ht="16" thickBot="1" x14ac:dyDescent="0.25"/>
    <row r="621" spans="1:9" x14ac:dyDescent="0.2">
      <c r="A621" s="1763" t="s">
        <v>2394</v>
      </c>
      <c r="B621" s="1764"/>
      <c r="C621" s="1764"/>
      <c r="D621" s="1764"/>
      <c r="E621" s="1764"/>
      <c r="F621" s="1764"/>
      <c r="G621" s="1764"/>
      <c r="H621" s="1764"/>
      <c r="I621" s="1765"/>
    </row>
    <row r="622" spans="1:9" ht="16" thickBot="1" x14ac:dyDescent="0.25">
      <c r="A622" s="1766"/>
      <c r="B622" s="1767"/>
      <c r="C622" s="1767"/>
      <c r="D622" s="1767"/>
      <c r="E622" s="1767"/>
      <c r="F622" s="1767"/>
      <c r="G622" s="1767"/>
      <c r="H622" s="1767"/>
      <c r="I622" s="1768"/>
    </row>
    <row r="623" spans="1:9" ht="23" thickBot="1" x14ac:dyDescent="0.25">
      <c r="A623" s="202"/>
      <c r="B623" s="203"/>
      <c r="C623" s="203"/>
      <c r="D623" s="203"/>
      <c r="E623" s="203"/>
      <c r="F623" s="203"/>
      <c r="G623" s="203"/>
      <c r="H623" s="203"/>
      <c r="I623" s="204"/>
    </row>
    <row r="624" spans="1:9" ht="16" thickBot="1" x14ac:dyDescent="0.25">
      <c r="A624" s="1769" t="s">
        <v>2400</v>
      </c>
      <c r="B624" s="1770"/>
      <c r="C624" s="1770"/>
      <c r="D624" s="1770"/>
      <c r="E624" s="1770"/>
      <c r="F624" s="1770"/>
      <c r="G624" s="1770"/>
      <c r="H624" s="1770"/>
      <c r="I624" s="1771"/>
    </row>
    <row r="625" spans="1:9" ht="16" thickBot="1" x14ac:dyDescent="0.25">
      <c r="A625" s="1689" t="s">
        <v>554</v>
      </c>
      <c r="B625" s="1689" t="s">
        <v>555</v>
      </c>
      <c r="C625" s="1689" t="s">
        <v>41</v>
      </c>
      <c r="D625" s="1683" t="s">
        <v>511</v>
      </c>
      <c r="E625" s="1684"/>
      <c r="F625" s="1685"/>
      <c r="G625" s="1683" t="s">
        <v>556</v>
      </c>
      <c r="H625" s="1684"/>
      <c r="I625" s="1685"/>
    </row>
    <row r="626" spans="1:9" ht="17" thickBot="1" x14ac:dyDescent="0.25">
      <c r="A626" s="1690"/>
      <c r="B626" s="1690"/>
      <c r="C626" s="1690"/>
      <c r="D626" s="321" t="s">
        <v>518</v>
      </c>
      <c r="E626" s="321" t="s">
        <v>41</v>
      </c>
      <c r="F626" s="321" t="s">
        <v>519</v>
      </c>
      <c r="G626" s="321" t="s">
        <v>520</v>
      </c>
      <c r="H626" s="321" t="s">
        <v>2422</v>
      </c>
      <c r="I626" s="322" t="s">
        <v>557</v>
      </c>
    </row>
    <row r="627" spans="1:9" ht="17" thickBot="1" x14ac:dyDescent="0.25">
      <c r="A627" s="46" t="s">
        <v>714</v>
      </c>
      <c r="B627" s="72"/>
      <c r="C627" s="41"/>
      <c r="D627" s="87">
        <v>0.17799999999999999</v>
      </c>
      <c r="E627" s="41" t="s">
        <v>378</v>
      </c>
      <c r="F627" s="41">
        <v>2024</v>
      </c>
      <c r="G627" s="34"/>
      <c r="H627" s="335">
        <f>CAPEX!N$3/389.544</f>
        <v>1.0332234612778017</v>
      </c>
      <c r="I627" s="816"/>
    </row>
    <row r="628" spans="1:9" ht="17" thickBot="1" x14ac:dyDescent="0.25">
      <c r="A628" s="46" t="s">
        <v>2479</v>
      </c>
      <c r="B628" s="330"/>
      <c r="C628" s="331"/>
      <c r="D628" s="332"/>
      <c r="E628" s="331"/>
      <c r="F628" s="331"/>
      <c r="G628" s="333"/>
      <c r="H628" s="821"/>
      <c r="I628" s="816"/>
    </row>
    <row r="629" spans="1:9" ht="17" thickBot="1" x14ac:dyDescent="0.25">
      <c r="A629" s="46" t="s">
        <v>2480</v>
      </c>
      <c r="B629" s="330"/>
      <c r="C629" s="331"/>
      <c r="D629" s="334"/>
      <c r="E629" s="331"/>
      <c r="F629" s="331"/>
      <c r="G629" s="333"/>
      <c r="H629" s="821"/>
      <c r="I629" s="816"/>
    </row>
    <row r="630" spans="1:9" ht="17" thickBot="1" x14ac:dyDescent="0.25">
      <c r="A630" s="46" t="s">
        <v>2481</v>
      </c>
      <c r="B630" s="330"/>
      <c r="C630" s="331"/>
      <c r="D630" s="334"/>
      <c r="E630" s="331"/>
      <c r="F630" s="331"/>
      <c r="G630" s="333"/>
      <c r="H630" s="821"/>
      <c r="I630" s="816"/>
    </row>
    <row r="631" spans="1:9" ht="17" thickBot="1" x14ac:dyDescent="0.25">
      <c r="A631" s="46" t="s">
        <v>2395</v>
      </c>
      <c r="B631" s="72">
        <f>SUM(E20,E60,E84,E113,E149,E170,E191,E228,E294,,E318,E343,E369,E392)</f>
        <v>24005000</v>
      </c>
      <c r="C631" s="41" t="s">
        <v>989</v>
      </c>
      <c r="D631" s="324">
        <v>0.9</v>
      </c>
      <c r="E631" s="41" t="s">
        <v>2396</v>
      </c>
      <c r="F631" s="331"/>
      <c r="G631" s="333"/>
      <c r="H631" s="821"/>
      <c r="I631" s="816">
        <f>B631*D631</f>
        <v>21604500</v>
      </c>
    </row>
    <row r="632" spans="1:9" ht="17" thickBot="1" x14ac:dyDescent="0.25">
      <c r="A632" s="46" t="s">
        <v>2397</v>
      </c>
      <c r="B632" s="72">
        <f ca="1">SUM(CAPEX!B545:B558)</f>
        <v>388266136.83550143</v>
      </c>
      <c r="C632" s="41" t="s">
        <v>2980</v>
      </c>
      <c r="D632" s="324">
        <v>0.03</v>
      </c>
      <c r="E632" s="41" t="s">
        <v>2398</v>
      </c>
      <c r="F632" s="331"/>
      <c r="G632" s="333"/>
      <c r="H632" s="821"/>
      <c r="I632" s="816">
        <f ca="1">B632*D632</f>
        <v>11647984.105065042</v>
      </c>
    </row>
    <row r="633" spans="1:9" ht="17" thickBot="1" x14ac:dyDescent="0.25">
      <c r="A633" s="46" t="s">
        <v>2399</v>
      </c>
      <c r="B633" s="72">
        <f ca="1">B632</f>
        <v>388266136.83550143</v>
      </c>
      <c r="C633" s="41" t="s">
        <v>2980</v>
      </c>
      <c r="D633" s="325">
        <v>7.0000000000000001E-3</v>
      </c>
      <c r="E633" s="41" t="s">
        <v>2398</v>
      </c>
      <c r="F633" s="331"/>
      <c r="G633" s="333"/>
      <c r="H633" s="821"/>
      <c r="I633" s="816">
        <f ca="1">B633*D633</f>
        <v>2717862.9578485102</v>
      </c>
    </row>
    <row r="634" spans="1:9" ht="16" thickBot="1" x14ac:dyDescent="0.25">
      <c r="A634" s="1677" t="s">
        <v>526</v>
      </c>
      <c r="B634" s="1678"/>
      <c r="C634" s="1678"/>
      <c r="D634" s="1678"/>
      <c r="E634" s="1678"/>
      <c r="F634" s="1678"/>
      <c r="G634" s="1678"/>
      <c r="H634" s="1679"/>
      <c r="I634" s="817"/>
    </row>
    <row r="637" spans="1:9" ht="16" thickBot="1" x14ac:dyDescent="0.25"/>
    <row r="638" spans="1:9" x14ac:dyDescent="0.2">
      <c r="A638" s="1744" t="s">
        <v>1888</v>
      </c>
      <c r="B638" s="1745"/>
      <c r="C638" s="1745"/>
      <c r="D638" s="1745"/>
      <c r="E638" s="1745"/>
      <c r="F638" s="1745"/>
      <c r="G638" s="1745"/>
      <c r="H638" s="1746"/>
      <c r="I638" s="1742"/>
    </row>
    <row r="639" spans="1:9" ht="16" thickBot="1" x14ac:dyDescent="0.25">
      <c r="A639" s="1747"/>
      <c r="B639" s="1748"/>
      <c r="C639" s="1748"/>
      <c r="D639" s="1748"/>
      <c r="E639" s="1748"/>
      <c r="F639" s="1748"/>
      <c r="G639" s="1748"/>
      <c r="H639" s="1749"/>
      <c r="I639" s="1743"/>
    </row>
    <row r="640" spans="1:9" ht="16" thickBot="1" x14ac:dyDescent="0.25"/>
    <row r="641" spans="1:9" x14ac:dyDescent="0.2">
      <c r="A641" s="1744" t="s">
        <v>1889</v>
      </c>
      <c r="B641" s="1745"/>
      <c r="C641" s="1745"/>
      <c r="D641" s="1745"/>
      <c r="E641" s="1745"/>
      <c r="F641" s="1745"/>
      <c r="G641" s="1745"/>
      <c r="H641" s="1746"/>
      <c r="I641" s="1742"/>
    </row>
    <row r="642" spans="1:9" ht="16" thickBot="1" x14ac:dyDescent="0.25">
      <c r="A642" s="1747"/>
      <c r="B642" s="1748"/>
      <c r="C642" s="1748"/>
      <c r="D642" s="1748"/>
      <c r="E642" s="1748"/>
      <c r="F642" s="1748"/>
      <c r="G642" s="1748"/>
      <c r="H642" s="1749"/>
      <c r="I642" s="1743"/>
    </row>
    <row r="643" spans="1:9" ht="16" thickBot="1" x14ac:dyDescent="0.25"/>
    <row r="644" spans="1:9" x14ac:dyDescent="0.2">
      <c r="A644" s="1775" t="s">
        <v>1890</v>
      </c>
      <c r="B644" s="1776"/>
      <c r="C644" s="1776"/>
      <c r="D644" s="1776"/>
      <c r="E644" s="1776"/>
      <c r="F644" s="1776"/>
      <c r="G644" s="1776"/>
      <c r="H644" s="1777"/>
      <c r="I644" s="1781"/>
    </row>
    <row r="645" spans="1:9" ht="16" thickBot="1" x14ac:dyDescent="0.25">
      <c r="A645" s="1778"/>
      <c r="B645" s="1779"/>
      <c r="C645" s="1779"/>
      <c r="D645" s="1779"/>
      <c r="E645" s="1779"/>
      <c r="F645" s="1779"/>
      <c r="G645" s="1779"/>
      <c r="H645" s="1780"/>
      <c r="I645" s="1782"/>
    </row>
    <row r="646" spans="1:9" ht="16" thickBot="1" x14ac:dyDescent="0.25"/>
    <row r="647" spans="1:9" x14ac:dyDescent="0.2">
      <c r="A647" s="1775" t="s">
        <v>1891</v>
      </c>
      <c r="B647" s="1776"/>
      <c r="C647" s="1776"/>
      <c r="D647" s="1776"/>
      <c r="E647" s="1776"/>
      <c r="F647" s="1776"/>
      <c r="G647" s="1776"/>
      <c r="H647" s="1777"/>
      <c r="I647" s="1781"/>
    </row>
    <row r="648" spans="1:9" ht="16" thickBot="1" x14ac:dyDescent="0.25">
      <c r="A648" s="1778"/>
      <c r="B648" s="1779"/>
      <c r="C648" s="1779"/>
      <c r="D648" s="1779"/>
      <c r="E648" s="1779"/>
      <c r="F648" s="1779"/>
      <c r="G648" s="1779"/>
      <c r="H648" s="1780"/>
      <c r="I648" s="1782"/>
    </row>
    <row r="649" spans="1:9" ht="16" thickBot="1" x14ac:dyDescent="0.25"/>
    <row r="650" spans="1:9" x14ac:dyDescent="0.2">
      <c r="A650" s="1744" t="s">
        <v>1892</v>
      </c>
      <c r="B650" s="1745"/>
      <c r="C650" s="1745"/>
      <c r="D650" s="1745"/>
      <c r="E650" s="1745"/>
      <c r="F650" s="1745"/>
      <c r="G650" s="1745"/>
      <c r="H650" s="1746"/>
      <c r="I650" s="1742"/>
    </row>
    <row r="651" spans="1:9" ht="16" thickBot="1" x14ac:dyDescent="0.25">
      <c r="A651" s="1747"/>
      <c r="B651" s="1748"/>
      <c r="C651" s="1748"/>
      <c r="D651" s="1748"/>
      <c r="E651" s="1748"/>
      <c r="F651" s="1748"/>
      <c r="G651" s="1748"/>
      <c r="H651" s="1749"/>
      <c r="I651" s="1743"/>
    </row>
    <row r="652" spans="1:9" ht="16" thickBot="1" x14ac:dyDescent="0.25"/>
    <row r="653" spans="1:9" x14ac:dyDescent="0.2">
      <c r="A653" s="1744" t="s">
        <v>1893</v>
      </c>
      <c r="B653" s="1745"/>
      <c r="C653" s="1745"/>
      <c r="D653" s="1745"/>
      <c r="E653" s="1745"/>
      <c r="F653" s="1745"/>
      <c r="G653" s="1745"/>
      <c r="H653" s="1746"/>
      <c r="I653" s="1742"/>
    </row>
    <row r="654" spans="1:9" ht="16" thickBot="1" x14ac:dyDescent="0.25">
      <c r="A654" s="1747"/>
      <c r="B654" s="1748"/>
      <c r="C654" s="1748"/>
      <c r="D654" s="1748"/>
      <c r="E654" s="1748"/>
      <c r="F654" s="1748"/>
      <c r="G654" s="1748"/>
      <c r="H654" s="1749"/>
      <c r="I654" s="1743"/>
    </row>
    <row r="655" spans="1:9" ht="16" thickBot="1" x14ac:dyDescent="0.25"/>
    <row r="656" spans="1:9" x14ac:dyDescent="0.2">
      <c r="A656" s="1775" t="s">
        <v>1894</v>
      </c>
      <c r="B656" s="1776"/>
      <c r="C656" s="1776"/>
      <c r="D656" s="1776"/>
      <c r="E656" s="1776"/>
      <c r="F656" s="1776"/>
      <c r="G656" s="1776"/>
      <c r="H656" s="1777"/>
      <c r="I656" s="1781"/>
    </row>
    <row r="657" spans="1:9" ht="16" thickBot="1" x14ac:dyDescent="0.25">
      <c r="A657" s="1778"/>
      <c r="B657" s="1779"/>
      <c r="C657" s="1779"/>
      <c r="D657" s="1779"/>
      <c r="E657" s="1779"/>
      <c r="F657" s="1779"/>
      <c r="G657" s="1779"/>
      <c r="H657" s="1780"/>
      <c r="I657" s="1782"/>
    </row>
    <row r="658" spans="1:9" ht="16" thickBot="1" x14ac:dyDescent="0.25"/>
    <row r="659" spans="1:9" x14ac:dyDescent="0.2">
      <c r="A659" s="1775" t="s">
        <v>1895</v>
      </c>
      <c r="B659" s="1776"/>
      <c r="C659" s="1776"/>
      <c r="D659" s="1776"/>
      <c r="E659" s="1776"/>
      <c r="F659" s="1776"/>
      <c r="G659" s="1776"/>
      <c r="H659" s="1777"/>
      <c r="I659" s="1781"/>
    </row>
    <row r="660" spans="1:9" ht="16" thickBot="1" x14ac:dyDescent="0.25">
      <c r="A660" s="1778"/>
      <c r="B660" s="1779"/>
      <c r="C660" s="1779"/>
      <c r="D660" s="1779"/>
      <c r="E660" s="1779"/>
      <c r="F660" s="1779"/>
      <c r="G660" s="1779"/>
      <c r="H660" s="1780"/>
      <c r="I660" s="1782"/>
    </row>
    <row r="664" spans="1:9" x14ac:dyDescent="0.2">
      <c r="A664" s="1750" t="s">
        <v>3276</v>
      </c>
      <c r="B664" s="1750"/>
      <c r="C664" s="1750"/>
    </row>
    <row r="665" spans="1:9" x14ac:dyDescent="0.2">
      <c r="A665" s="1750"/>
      <c r="B665" s="1750"/>
      <c r="C665" s="1750"/>
    </row>
    <row r="666" spans="1:9" x14ac:dyDescent="0.2">
      <c r="A666" s="377" t="s">
        <v>753</v>
      </c>
      <c r="B666" s="1020">
        <f>I13+E20</f>
        <v>19038577.790099878</v>
      </c>
      <c r="C666" s="76">
        <f ca="1">B666/B$684</f>
        <v>0.27276694385611822</v>
      </c>
    </row>
    <row r="667" spans="1:9" x14ac:dyDescent="0.2">
      <c r="A667" s="377" t="s">
        <v>2317</v>
      </c>
      <c r="B667" s="1020">
        <f ca="1">I76+E84</f>
        <v>938729.3860583338</v>
      </c>
      <c r="C667" s="76">
        <f t="shared" ref="C667:C682" ca="1" si="17">B667/B$684</f>
        <v>1.3449237047328763E-2</v>
      </c>
    </row>
    <row r="668" spans="1:9" x14ac:dyDescent="0.2">
      <c r="A668" s="377" t="s">
        <v>2318</v>
      </c>
      <c r="B668" s="1020">
        <f ca="1">I105+E113</f>
        <v>2187000.5136251934</v>
      </c>
      <c r="C668" s="76">
        <f t="shared" ca="1" si="17"/>
        <v>3.1333298783667987E-2</v>
      </c>
    </row>
    <row r="669" spans="1:9" x14ac:dyDescent="0.2">
      <c r="A669" s="377" t="s">
        <v>1415</v>
      </c>
      <c r="B669" s="1020">
        <f>I130</f>
        <v>40581.342161484346</v>
      </c>
      <c r="C669" s="76">
        <f t="shared" ca="1" si="17"/>
        <v>5.8141153194350313E-4</v>
      </c>
    </row>
    <row r="670" spans="1:9" x14ac:dyDescent="0.2">
      <c r="A670" s="377" t="s">
        <v>2978</v>
      </c>
      <c r="B670" s="1020">
        <f>I141+E149</f>
        <v>1525322.2265870112</v>
      </c>
      <c r="C670" s="76">
        <f t="shared" ca="1" si="17"/>
        <v>2.1853390874516886E-2</v>
      </c>
    </row>
    <row r="671" spans="1:9" x14ac:dyDescent="0.2">
      <c r="A671" s="377" t="s">
        <v>2792</v>
      </c>
      <c r="B671" s="1020">
        <f>I162+E170</f>
        <v>1594870.5474196973</v>
      </c>
      <c r="C671" s="76">
        <f t="shared" ca="1" si="17"/>
        <v>2.2849814196311505E-2</v>
      </c>
    </row>
    <row r="672" spans="1:9" x14ac:dyDescent="0.2">
      <c r="A672" s="377" t="s">
        <v>2979</v>
      </c>
      <c r="B672" s="1020">
        <f>I183+E191</f>
        <v>2153834.9267772762</v>
      </c>
      <c r="C672" s="76">
        <f t="shared" ca="1" si="17"/>
        <v>3.085813326104133E-2</v>
      </c>
    </row>
    <row r="673" spans="1:3" x14ac:dyDescent="0.2">
      <c r="A673" s="377" t="s">
        <v>1561</v>
      </c>
      <c r="B673" s="1020">
        <f ca="1">I204+I220+E228</f>
        <v>817245.0546686094</v>
      </c>
      <c r="C673" s="76">
        <f t="shared" ca="1" si="17"/>
        <v>1.1708723120032665E-2</v>
      </c>
    </row>
    <row r="674" spans="1:3" x14ac:dyDescent="0.2">
      <c r="A674" s="377" t="s">
        <v>537</v>
      </c>
      <c r="B674" s="1020">
        <f ca="1">I243+E251+I264</f>
        <v>2020253.8137297588</v>
      </c>
      <c r="C674" s="76">
        <f t="shared" ca="1" si="17"/>
        <v>2.8944307955150204E-2</v>
      </c>
    </row>
    <row r="675" spans="1:3" x14ac:dyDescent="0.2">
      <c r="A675" s="377" t="s">
        <v>534</v>
      </c>
      <c r="B675" s="1020">
        <f ca="1">I286+E294</f>
        <v>1822183.716448043</v>
      </c>
      <c r="C675" s="76">
        <f t="shared" ca="1" si="17"/>
        <v>2.6106544772392305E-2</v>
      </c>
    </row>
    <row r="676" spans="1:3" x14ac:dyDescent="0.2">
      <c r="A676" s="377" t="s">
        <v>910</v>
      </c>
      <c r="B676" s="1020">
        <f ca="1">I309+E318</f>
        <v>546347.62739883957</v>
      </c>
      <c r="C676" s="76">
        <f t="shared" ca="1" si="17"/>
        <v>7.8275580377708907E-3</v>
      </c>
    </row>
    <row r="677" spans="1:3" x14ac:dyDescent="0.2">
      <c r="A677" s="377" t="s">
        <v>1416</v>
      </c>
      <c r="B677" s="1020">
        <f ca="1">I335+E343</f>
        <v>478023.14149690169</v>
      </c>
      <c r="C677" s="76">
        <f t="shared" ca="1" si="17"/>
        <v>6.8486686787294221E-3</v>
      </c>
    </row>
    <row r="678" spans="1:3" x14ac:dyDescent="0.2">
      <c r="A678" s="377" t="s">
        <v>1417</v>
      </c>
      <c r="B678" s="1020">
        <f ca="1">I361+E369</f>
        <v>339506.04903204623</v>
      </c>
      <c r="C678" s="76">
        <f t="shared" ca="1" si="17"/>
        <v>4.8641252742782134E-3</v>
      </c>
    </row>
    <row r="679" spans="1:3" x14ac:dyDescent="0.2">
      <c r="A679" s="377" t="s">
        <v>1011</v>
      </c>
      <c r="B679" s="1020">
        <f ca="1">I384+E392</f>
        <v>325142.49695198773</v>
      </c>
      <c r="C679" s="76">
        <f t="shared" ca="1" si="17"/>
        <v>4.6583377282235355E-3</v>
      </c>
    </row>
    <row r="680" spans="1:3" x14ac:dyDescent="0.2">
      <c r="A680" s="377" t="str">
        <f>A631</f>
        <v>Overhead and Benefits</v>
      </c>
      <c r="B680" s="1020">
        <f>I631</f>
        <v>21604500</v>
      </c>
      <c r="C680" s="76">
        <f t="shared" ca="1" si="17"/>
        <v>0.30952907845899508</v>
      </c>
    </row>
    <row r="681" spans="1:3" x14ac:dyDescent="0.2">
      <c r="A681" s="377" t="str">
        <f>A632</f>
        <v>Plant Maintenance</v>
      </c>
      <c r="B681" s="1020">
        <f ca="1">I632</f>
        <v>11647984.105065042</v>
      </c>
      <c r="C681" s="76">
        <f t="shared" ca="1" si="17"/>
        <v>0.16688142682986437</v>
      </c>
    </row>
    <row r="682" spans="1:3" x14ac:dyDescent="0.2">
      <c r="A682" s="377" t="s">
        <v>2981</v>
      </c>
      <c r="B682" s="1020">
        <f ca="1">I633</f>
        <v>2717862.9578485102</v>
      </c>
      <c r="C682" s="76">
        <f t="shared" ca="1" si="17"/>
        <v>3.8938999593635025E-2</v>
      </c>
    </row>
    <row r="683" spans="1:3" x14ac:dyDescent="0.2">
      <c r="A683" s="377"/>
      <c r="B683" s="377"/>
    </row>
    <row r="684" spans="1:3" x14ac:dyDescent="0.2">
      <c r="A684" s="377" t="s">
        <v>577</v>
      </c>
      <c r="B684" s="1020">
        <f ca="1">SUM(B666:B682)</f>
        <v>69797965.695368618</v>
      </c>
    </row>
    <row r="692" spans="1:3" x14ac:dyDescent="0.2">
      <c r="A692" s="1751" t="s">
        <v>3277</v>
      </c>
      <c r="B692" s="1751"/>
      <c r="C692" s="1751"/>
    </row>
    <row r="693" spans="1:3" x14ac:dyDescent="0.2">
      <c r="A693" s="1751"/>
      <c r="B693" s="1751"/>
      <c r="C693" s="1751"/>
    </row>
    <row r="694" spans="1:3" x14ac:dyDescent="0.2">
      <c r="A694" s="377" t="s">
        <v>753</v>
      </c>
      <c r="B694" s="1020">
        <f t="shared" ref="B694:B702" si="18">B666</f>
        <v>19038577.790099878</v>
      </c>
      <c r="C694" s="76">
        <f ca="1">B694/B$713</f>
        <v>0.13483489100578414</v>
      </c>
    </row>
    <row r="695" spans="1:3" x14ac:dyDescent="0.2">
      <c r="A695" s="377" t="s">
        <v>2317</v>
      </c>
      <c r="B695" s="1020">
        <f t="shared" ca="1" si="18"/>
        <v>938729.3860583338</v>
      </c>
      <c r="C695" s="76">
        <f t="shared" ref="C695:C711" ca="1" si="19">B695/B$713</f>
        <v>6.6482631133781807E-3</v>
      </c>
    </row>
    <row r="696" spans="1:3" x14ac:dyDescent="0.2">
      <c r="A696" s="377" t="s">
        <v>2318</v>
      </c>
      <c r="B696" s="1020">
        <f t="shared" ca="1" si="18"/>
        <v>2187000.5136251934</v>
      </c>
      <c r="C696" s="76">
        <f t="shared" ca="1" si="19"/>
        <v>1.5488760722325988E-2</v>
      </c>
    </row>
    <row r="697" spans="1:3" x14ac:dyDescent="0.2">
      <c r="A697" s="377" t="s">
        <v>1415</v>
      </c>
      <c r="B697" s="1020">
        <f t="shared" si="18"/>
        <v>40581.342161484346</v>
      </c>
      <c r="C697" s="76">
        <f t="shared" ca="1" si="19"/>
        <v>2.8740491582609275E-4</v>
      </c>
    </row>
    <row r="698" spans="1:3" x14ac:dyDescent="0.2">
      <c r="A698" s="377" t="s">
        <v>2978</v>
      </c>
      <c r="B698" s="1020">
        <f t="shared" si="18"/>
        <v>1525322.2265870112</v>
      </c>
      <c r="C698" s="76">
        <f t="shared" ca="1" si="19"/>
        <v>1.0802627088957609E-2</v>
      </c>
    </row>
    <row r="699" spans="1:3" x14ac:dyDescent="0.2">
      <c r="A699" s="377" t="s">
        <v>2792</v>
      </c>
      <c r="B699" s="1020">
        <f t="shared" si="18"/>
        <v>1594870.5474196973</v>
      </c>
      <c r="C699" s="76">
        <f t="shared" ca="1" si="19"/>
        <v>1.1295181751522105E-2</v>
      </c>
    </row>
    <row r="700" spans="1:3" x14ac:dyDescent="0.2">
      <c r="A700" s="377" t="s">
        <v>2979</v>
      </c>
      <c r="B700" s="1020">
        <f t="shared" si="18"/>
        <v>2153834.9267772762</v>
      </c>
      <c r="C700" s="76">
        <f t="shared" ca="1" si="19"/>
        <v>1.5253875620240937E-2</v>
      </c>
    </row>
    <row r="701" spans="1:3" x14ac:dyDescent="0.2">
      <c r="A701" s="377" t="s">
        <v>1561</v>
      </c>
      <c r="B701" s="1020">
        <f t="shared" ca="1" si="18"/>
        <v>817245.0546686094</v>
      </c>
      <c r="C701" s="76">
        <f t="shared" ca="1" si="19"/>
        <v>5.7878875767999249E-3</v>
      </c>
    </row>
    <row r="702" spans="1:3" x14ac:dyDescent="0.2">
      <c r="A702" s="377" t="s">
        <v>537</v>
      </c>
      <c r="B702" s="1020">
        <f t="shared" ca="1" si="18"/>
        <v>2020253.8137297588</v>
      </c>
      <c r="C702" s="76">
        <f t="shared" ca="1" si="19"/>
        <v>1.4307828335786773E-2</v>
      </c>
    </row>
    <row r="703" spans="1:3" x14ac:dyDescent="0.2">
      <c r="A703" s="377" t="s">
        <v>754</v>
      </c>
      <c r="B703" s="1020">
        <f ca="1">I426+I448+E434+E456</f>
        <v>7186414.4171701279</v>
      </c>
      <c r="C703" s="76">
        <f t="shared" ca="1" si="19"/>
        <v>5.0895577145757306E-2</v>
      </c>
    </row>
    <row r="704" spans="1:3" x14ac:dyDescent="0.2">
      <c r="A704" s="377" t="s">
        <v>534</v>
      </c>
      <c r="B704" s="1020">
        <f ca="1">I473+E481</f>
        <v>2438300.7116099866</v>
      </c>
      <c r="C704" s="76">
        <f t="shared" ca="1" si="19"/>
        <v>1.7268517339578741E-2</v>
      </c>
    </row>
    <row r="705" spans="1:3" x14ac:dyDescent="0.2">
      <c r="A705" s="377" t="s">
        <v>2319</v>
      </c>
      <c r="B705" s="1020">
        <f ca="1">I498+E506</f>
        <v>758551.61143394536</v>
      </c>
      <c r="C705" s="76">
        <f t="shared" ca="1" si="19"/>
        <v>5.3722092573082574E-3</v>
      </c>
    </row>
    <row r="706" spans="1:3" x14ac:dyDescent="0.2">
      <c r="A706" s="377" t="s">
        <v>910</v>
      </c>
      <c r="B706" s="1020">
        <f ca="1">I522+E530</f>
        <v>681255.38793195959</v>
      </c>
      <c r="C706" s="76">
        <f t="shared" ca="1" si="19"/>
        <v>4.8247824491740605E-3</v>
      </c>
    </row>
    <row r="707" spans="1:3" x14ac:dyDescent="0.2">
      <c r="A707" s="377" t="s">
        <v>755</v>
      </c>
      <c r="B707" s="1020">
        <f ca="1">I547+E555</f>
        <v>327725.8590455263</v>
      </c>
      <c r="C707" s="76">
        <f t="shared" ca="1" si="19"/>
        <v>2.3210179337638799E-3</v>
      </c>
    </row>
    <row r="708" spans="1:3" x14ac:dyDescent="0.2">
      <c r="A708" s="377" t="s">
        <v>2320</v>
      </c>
      <c r="B708" s="1020">
        <f ca="1">I570+E578</f>
        <v>488605.2883856367</v>
      </c>
      <c r="C708" s="76">
        <f t="shared" ca="1" si="19"/>
        <v>3.4603971751810897E-3</v>
      </c>
    </row>
    <row r="709" spans="1:3" x14ac:dyDescent="0.2">
      <c r="A709" s="377" t="s">
        <v>2395</v>
      </c>
      <c r="B709" s="1020">
        <f>I631</f>
        <v>21604500</v>
      </c>
      <c r="C709" s="76">
        <f t="shared" ca="1" si="19"/>
        <v>0.15300724848519168</v>
      </c>
    </row>
    <row r="710" spans="1:3" x14ac:dyDescent="0.2">
      <c r="A710" s="377" t="s">
        <v>2397</v>
      </c>
      <c r="B710" s="1020">
        <f ca="1">D632*SUM(CAPEX!B578:B592)</f>
        <v>62754668.15900965</v>
      </c>
      <c r="C710" s="76">
        <f t="shared" ca="1" si="19"/>
        <v>0.44444070006764036</v>
      </c>
    </row>
    <row r="711" spans="1:3" x14ac:dyDescent="0.2">
      <c r="A711" s="377" t="s">
        <v>2981</v>
      </c>
      <c r="B711" s="1020">
        <f ca="1">D633*SUM(CAPEX!B578:B592)</f>
        <v>14642755.903768919</v>
      </c>
      <c r="C711" s="76">
        <f t="shared" ca="1" si="19"/>
        <v>0.10370283001578275</v>
      </c>
    </row>
    <row r="713" spans="1:3" x14ac:dyDescent="0.2">
      <c r="A713" s="377" t="s">
        <v>577</v>
      </c>
      <c r="B713" s="1020">
        <f ca="1">SUM(B694:B711)</f>
        <v>141199192.93948302</v>
      </c>
    </row>
    <row r="716" spans="1:3" x14ac:dyDescent="0.2">
      <c r="A716" s="1752" t="s">
        <v>3278</v>
      </c>
      <c r="B716" s="1752"/>
      <c r="C716" s="1752"/>
    </row>
    <row r="717" spans="1:3" x14ac:dyDescent="0.2">
      <c r="A717" s="1752"/>
      <c r="B717" s="1752"/>
      <c r="C717" s="1752"/>
    </row>
    <row r="718" spans="1:3" x14ac:dyDescent="0.2">
      <c r="A718" s="377" t="s">
        <v>753</v>
      </c>
      <c r="B718" s="849">
        <f>B666+B694</f>
        <v>38077155.580199756</v>
      </c>
      <c r="C718" s="76">
        <f ca="1">B718/B$742</f>
        <v>0.18046288313339556</v>
      </c>
    </row>
    <row r="719" spans="1:3" x14ac:dyDescent="0.2">
      <c r="A719" s="377" t="s">
        <v>2317</v>
      </c>
      <c r="B719" s="849">
        <f t="shared" ref="B719:B726" ca="1" si="20">B667+B695</f>
        <v>1877458.7721166676</v>
      </c>
      <c r="C719" s="76">
        <f t="shared" ref="C719:C740" ca="1" si="21">B719/B$742</f>
        <v>8.8980286950961652E-3</v>
      </c>
    </row>
    <row r="720" spans="1:3" x14ac:dyDescent="0.2">
      <c r="A720" s="377" t="s">
        <v>2318</v>
      </c>
      <c r="B720" s="849">
        <f t="shared" ca="1" si="20"/>
        <v>4374001.0272503868</v>
      </c>
      <c r="C720" s="76">
        <f t="shared" ca="1" si="21"/>
        <v>2.0730141844326748E-2</v>
      </c>
    </row>
    <row r="721" spans="1:3" x14ac:dyDescent="0.2">
      <c r="A721" s="377" t="s">
        <v>1415</v>
      </c>
      <c r="B721" s="849">
        <f t="shared" si="20"/>
        <v>81162.684322968693</v>
      </c>
      <c r="C721" s="76">
        <f t="shared" ca="1" si="21"/>
        <v>3.8466245160878002E-4</v>
      </c>
    </row>
    <row r="722" spans="1:3" x14ac:dyDescent="0.2">
      <c r="A722" s="377" t="s">
        <v>2978</v>
      </c>
      <c r="B722" s="849">
        <f t="shared" si="20"/>
        <v>3050644.4531740225</v>
      </c>
      <c r="C722" s="76">
        <f t="shared" ca="1" si="21"/>
        <v>1.4458225280907313E-2</v>
      </c>
    </row>
    <row r="723" spans="1:3" x14ac:dyDescent="0.2">
      <c r="A723" s="377" t="s">
        <v>2792</v>
      </c>
      <c r="B723" s="849">
        <f t="shared" si="20"/>
        <v>3189741.0948393946</v>
      </c>
      <c r="C723" s="76">
        <f t="shared" ca="1" si="21"/>
        <v>1.5117459948166934E-2</v>
      </c>
    </row>
    <row r="724" spans="1:3" x14ac:dyDescent="0.2">
      <c r="A724" s="377" t="s">
        <v>2979</v>
      </c>
      <c r="B724" s="849">
        <f t="shared" si="20"/>
        <v>4307669.8535545524</v>
      </c>
      <c r="C724" s="76">
        <f t="shared" ca="1" si="21"/>
        <v>2.0415771858849237E-2</v>
      </c>
    </row>
    <row r="725" spans="1:3" x14ac:dyDescent="0.2">
      <c r="A725" s="377" t="s">
        <v>1561</v>
      </c>
      <c r="B725" s="849">
        <f t="shared" ca="1" si="20"/>
        <v>1634490.1093372188</v>
      </c>
      <c r="C725" s="76">
        <f t="shared" ca="1" si="21"/>
        <v>7.7465029382971064E-3</v>
      </c>
    </row>
    <row r="726" spans="1:3" x14ac:dyDescent="0.2">
      <c r="A726" s="377" t="s">
        <v>537</v>
      </c>
      <c r="B726" s="849">
        <f t="shared" ca="1" si="20"/>
        <v>4040507.6274595177</v>
      </c>
      <c r="C726" s="76">
        <f t="shared" ca="1" si="21"/>
        <v>1.9149583120462568E-2</v>
      </c>
    </row>
    <row r="727" spans="1:3" x14ac:dyDescent="0.2">
      <c r="A727" s="377" t="s">
        <v>534</v>
      </c>
      <c r="B727" s="849">
        <f ca="1">B675</f>
        <v>1822183.716448043</v>
      </c>
      <c r="C727" s="76">
        <f t="shared" ca="1" si="21"/>
        <v>8.6360580788743483E-3</v>
      </c>
    </row>
    <row r="728" spans="1:3" x14ac:dyDescent="0.2">
      <c r="A728" s="377" t="s">
        <v>910</v>
      </c>
      <c r="B728" s="849">
        <f ca="1">B676</f>
        <v>546347.62739883957</v>
      </c>
      <c r="C728" s="76">
        <f t="shared" ca="1" si="21"/>
        <v>2.5893601171394927E-3</v>
      </c>
    </row>
    <row r="729" spans="1:3" x14ac:dyDescent="0.2">
      <c r="A729" s="377" t="s">
        <v>1416</v>
      </c>
      <c r="B729" s="849">
        <f ca="1">B677</f>
        <v>478023.14149690169</v>
      </c>
      <c r="C729" s="76">
        <f t="shared" ca="1" si="21"/>
        <v>2.2655430271654084E-3</v>
      </c>
    </row>
    <row r="730" spans="1:3" x14ac:dyDescent="0.2">
      <c r="A730" s="377" t="s">
        <v>1417</v>
      </c>
      <c r="B730" s="849">
        <f ca="1">B678</f>
        <v>339506.04903204623</v>
      </c>
      <c r="C730" s="76">
        <f t="shared" ca="1" si="21"/>
        <v>1.6090550755690036E-3</v>
      </c>
    </row>
    <row r="731" spans="1:3" x14ac:dyDescent="0.2">
      <c r="A731" s="377" t="s">
        <v>1011</v>
      </c>
      <c r="B731" s="849">
        <f ca="1">B679</f>
        <v>325142.49695198773</v>
      </c>
      <c r="C731" s="76">
        <f t="shared" ca="1" si="21"/>
        <v>1.5409804523229349E-3</v>
      </c>
    </row>
    <row r="732" spans="1:3" x14ac:dyDescent="0.2">
      <c r="A732" s="377" t="s">
        <v>754</v>
      </c>
      <c r="B732" s="849">
        <f t="shared" ref="B732:B737" ca="1" si="22">B703</f>
        <v>7186414.4171701279</v>
      </c>
      <c r="C732" s="76">
        <f t="shared" ca="1" si="21"/>
        <v>3.4059294749114719E-2</v>
      </c>
    </row>
    <row r="733" spans="1:3" x14ac:dyDescent="0.2">
      <c r="A733" s="377" t="s">
        <v>534</v>
      </c>
      <c r="B733" s="849">
        <f t="shared" ca="1" si="22"/>
        <v>2438300.7116099866</v>
      </c>
      <c r="C733" s="76">
        <f t="shared" ca="1" si="21"/>
        <v>1.1556083159535203E-2</v>
      </c>
    </row>
    <row r="734" spans="1:3" x14ac:dyDescent="0.2">
      <c r="A734" s="377" t="s">
        <v>2319</v>
      </c>
      <c r="B734" s="849">
        <f t="shared" ca="1" si="22"/>
        <v>758551.61143394536</v>
      </c>
      <c r="C734" s="76">
        <f t="shared" ca="1" si="21"/>
        <v>3.5950797458210461E-3</v>
      </c>
    </row>
    <row r="735" spans="1:3" x14ac:dyDescent="0.2">
      <c r="A735" s="377" t="s">
        <v>910</v>
      </c>
      <c r="B735" s="849">
        <f t="shared" ca="1" si="22"/>
        <v>681255.38793195959</v>
      </c>
      <c r="C735" s="76">
        <f t="shared" ca="1" si="21"/>
        <v>3.2287419998433698E-3</v>
      </c>
    </row>
    <row r="736" spans="1:3" x14ac:dyDescent="0.2">
      <c r="A736" s="377" t="s">
        <v>755</v>
      </c>
      <c r="B736" s="849">
        <f t="shared" ca="1" si="22"/>
        <v>327725.8590455263</v>
      </c>
      <c r="C736" s="76">
        <f t="shared" ca="1" si="21"/>
        <v>1.5532240394416095E-3</v>
      </c>
    </row>
    <row r="737" spans="1:3" x14ac:dyDescent="0.2">
      <c r="A737" s="377" t="s">
        <v>2320</v>
      </c>
      <c r="B737" s="849">
        <f t="shared" ca="1" si="22"/>
        <v>488605.2883856367</v>
      </c>
      <c r="C737" s="76">
        <f t="shared" ca="1" si="21"/>
        <v>2.3156960574583344E-3</v>
      </c>
    </row>
    <row r="738" spans="1:3" x14ac:dyDescent="0.2">
      <c r="A738" s="377" t="s">
        <v>2395</v>
      </c>
      <c r="B738" s="849">
        <f>B680+B709</f>
        <v>43209000</v>
      </c>
      <c r="C738" s="76">
        <f t="shared" ca="1" si="21"/>
        <v>0.20478474819074136</v>
      </c>
    </row>
    <row r="739" spans="1:3" x14ac:dyDescent="0.2">
      <c r="A739" s="377" t="s">
        <v>2397</v>
      </c>
      <c r="B739" s="849">
        <f ca="1">B681+B710</f>
        <v>74402652.264074698</v>
      </c>
      <c r="C739" s="76">
        <f t="shared" ca="1" si="21"/>
        <v>0.35262395354259135</v>
      </c>
    </row>
    <row r="740" spans="1:3" x14ac:dyDescent="0.2">
      <c r="A740" s="377" t="s">
        <v>2981</v>
      </c>
      <c r="B740" s="849">
        <f ca="1">B682+B711</f>
        <v>17360618.861617431</v>
      </c>
      <c r="C740" s="76">
        <f t="shared" ca="1" si="21"/>
        <v>8.2278922493271317E-2</v>
      </c>
    </row>
    <row r="742" spans="1:3" x14ac:dyDescent="0.2">
      <c r="A742" s="377" t="s">
        <v>577</v>
      </c>
      <c r="B742" s="1020">
        <f ca="1">SUM(B718:B740)</f>
        <v>210997158.63485163</v>
      </c>
    </row>
  </sheetData>
  <mergeCells count="232">
    <mergeCell ref="A437:C438"/>
    <mergeCell ref="A459:C460"/>
    <mergeCell ref="A484:C485"/>
    <mergeCell ref="A509:C510"/>
    <mergeCell ref="A533:B534"/>
    <mergeCell ref="A558:B559"/>
    <mergeCell ref="A586:B587"/>
    <mergeCell ref="A255:B256"/>
    <mergeCell ref="A268:I269"/>
    <mergeCell ref="A272:C273"/>
    <mergeCell ref="A298:C299"/>
    <mergeCell ref="A322:C323"/>
    <mergeCell ref="A348:B349"/>
    <mergeCell ref="A374:C375"/>
    <mergeCell ref="A396:I397"/>
    <mergeCell ref="A399:B400"/>
    <mergeCell ref="A4:B5"/>
    <mergeCell ref="A24:B25"/>
    <mergeCell ref="A63:B64"/>
    <mergeCell ref="A89:B90"/>
    <mergeCell ref="A118:B119"/>
    <mergeCell ref="A134:B135"/>
    <mergeCell ref="A153:C154"/>
    <mergeCell ref="A174:C175"/>
    <mergeCell ref="A195:C196"/>
    <mergeCell ref="A659:H660"/>
    <mergeCell ref="I659:I660"/>
    <mergeCell ref="A641:H642"/>
    <mergeCell ref="I641:I642"/>
    <mergeCell ref="A644:H645"/>
    <mergeCell ref="I644:I645"/>
    <mergeCell ref="A647:H648"/>
    <mergeCell ref="I647:I648"/>
    <mergeCell ref="A650:H651"/>
    <mergeCell ref="I650:I651"/>
    <mergeCell ref="A653:H654"/>
    <mergeCell ref="I653:I654"/>
    <mergeCell ref="A656:H657"/>
    <mergeCell ref="I656:I657"/>
    <mergeCell ref="A555:D555"/>
    <mergeCell ref="A570:H570"/>
    <mergeCell ref="A578:D578"/>
    <mergeCell ref="A582:I583"/>
    <mergeCell ref="A621:I622"/>
    <mergeCell ref="A624:I624"/>
    <mergeCell ref="A625:A626"/>
    <mergeCell ref="B625:B626"/>
    <mergeCell ref="C625:C626"/>
    <mergeCell ref="D625:F625"/>
    <mergeCell ref="G625:I625"/>
    <mergeCell ref="A610:H610"/>
    <mergeCell ref="A612:E612"/>
    <mergeCell ref="A618:D618"/>
    <mergeCell ref="A597:D597"/>
    <mergeCell ref="A601:I602"/>
    <mergeCell ref="A604:I604"/>
    <mergeCell ref="A605:A606"/>
    <mergeCell ref="B605:B606"/>
    <mergeCell ref="C605:C606"/>
    <mergeCell ref="D605:F605"/>
    <mergeCell ref="G605:I605"/>
    <mergeCell ref="A204:H204"/>
    <mergeCell ref="A199:A200"/>
    <mergeCell ref="B199:B200"/>
    <mergeCell ref="C199:C200"/>
    <mergeCell ref="A236:A237"/>
    <mergeCell ref="B236:B237"/>
    <mergeCell ref="C236:C237"/>
    <mergeCell ref="D236:F236"/>
    <mergeCell ref="G236:I236"/>
    <mergeCell ref="A220:H220"/>
    <mergeCell ref="A208:B209"/>
    <mergeCell ref="A232:B233"/>
    <mergeCell ref="A130:H130"/>
    <mergeCell ref="A122:A123"/>
    <mergeCell ref="B122:B123"/>
    <mergeCell ref="C122:C123"/>
    <mergeCell ref="D122:G122"/>
    <mergeCell ref="H122:I122"/>
    <mergeCell ref="A1:I2"/>
    <mergeCell ref="A28:A29"/>
    <mergeCell ref="B28:B29"/>
    <mergeCell ref="C28:C29"/>
    <mergeCell ref="D28:G28"/>
    <mergeCell ref="H28:I28"/>
    <mergeCell ref="A8:A9"/>
    <mergeCell ref="B8:B9"/>
    <mergeCell ref="C8:C9"/>
    <mergeCell ref="D8:G8"/>
    <mergeCell ref="H8:I8"/>
    <mergeCell ref="A13:H13"/>
    <mergeCell ref="A20:D20"/>
    <mergeCell ref="A105:H105"/>
    <mergeCell ref="A113:D113"/>
    <mergeCell ref="A52:H52"/>
    <mergeCell ref="A93:A94"/>
    <mergeCell ref="B93:B94"/>
    <mergeCell ref="C93:C94"/>
    <mergeCell ref="D93:G93"/>
    <mergeCell ref="H93:I93"/>
    <mergeCell ref="A67:A68"/>
    <mergeCell ref="B67:B68"/>
    <mergeCell ref="C67:C68"/>
    <mergeCell ref="D67:G67"/>
    <mergeCell ref="H67:I67"/>
    <mergeCell ref="A76:H76"/>
    <mergeCell ref="A60:D60"/>
    <mergeCell ref="A84:D84"/>
    <mergeCell ref="A456:D456"/>
    <mergeCell ref="A441:A442"/>
    <mergeCell ref="B441:B442"/>
    <mergeCell ref="C441:C442"/>
    <mergeCell ref="D441:F441"/>
    <mergeCell ref="A361:H361"/>
    <mergeCell ref="A343:D343"/>
    <mergeCell ref="A378:A379"/>
    <mergeCell ref="B378:B379"/>
    <mergeCell ref="C378:C379"/>
    <mergeCell ref="D378:F378"/>
    <mergeCell ref="G378:I378"/>
    <mergeCell ref="G352:I352"/>
    <mergeCell ref="G441:I441"/>
    <mergeCell ref="A448:H448"/>
    <mergeCell ref="G403:I403"/>
    <mergeCell ref="A434:D434"/>
    <mergeCell ref="A384:H384"/>
    <mergeCell ref="A392:D392"/>
    <mergeCell ref="A426:H426"/>
    <mergeCell ref="D276:F276"/>
    <mergeCell ref="G276:I276"/>
    <mergeCell ref="A369:D369"/>
    <mergeCell ref="A302:A303"/>
    <mergeCell ref="B302:B303"/>
    <mergeCell ref="C302:C303"/>
    <mergeCell ref="D302:F302"/>
    <mergeCell ref="G302:I302"/>
    <mergeCell ref="A310:H310"/>
    <mergeCell ref="A318:D318"/>
    <mergeCell ref="C352:C353"/>
    <mergeCell ref="D352:F352"/>
    <mergeCell ref="A326:A327"/>
    <mergeCell ref="B326:B327"/>
    <mergeCell ref="C326:C327"/>
    <mergeCell ref="D326:F326"/>
    <mergeCell ref="G326:I326"/>
    <mergeCell ref="A335:H335"/>
    <mergeCell ref="H138:I138"/>
    <mergeCell ref="A141:H141"/>
    <mergeCell ref="A149:D149"/>
    <mergeCell ref="B212:B213"/>
    <mergeCell ref="C212:C213"/>
    <mergeCell ref="D212:G212"/>
    <mergeCell ref="H212:I212"/>
    <mergeCell ref="A157:A158"/>
    <mergeCell ref="B157:B158"/>
    <mergeCell ref="C157:C158"/>
    <mergeCell ref="D157:G157"/>
    <mergeCell ref="H157:I157"/>
    <mergeCell ref="D199:G199"/>
    <mergeCell ref="H199:I199"/>
    <mergeCell ref="A212:A213"/>
    <mergeCell ref="A162:H162"/>
    <mergeCell ref="A170:D170"/>
    <mergeCell ref="A183:H183"/>
    <mergeCell ref="A191:D191"/>
    <mergeCell ref="A178:A179"/>
    <mergeCell ref="B178:B179"/>
    <mergeCell ref="C178:C179"/>
    <mergeCell ref="D178:G178"/>
    <mergeCell ref="H178:I178"/>
    <mergeCell ref="A403:A404"/>
    <mergeCell ref="B403:B404"/>
    <mergeCell ref="C403:C404"/>
    <mergeCell ref="D403:F403"/>
    <mergeCell ref="A352:A353"/>
    <mergeCell ref="B352:B353"/>
    <mergeCell ref="A138:A139"/>
    <mergeCell ref="B138:B139"/>
    <mergeCell ref="C138:C139"/>
    <mergeCell ref="D138:G138"/>
    <mergeCell ref="A264:H264"/>
    <mergeCell ref="A259:A260"/>
    <mergeCell ref="B259:B260"/>
    <mergeCell ref="C259:C260"/>
    <mergeCell ref="D259:G259"/>
    <mergeCell ref="H259:I259"/>
    <mergeCell ref="A243:H243"/>
    <mergeCell ref="A251:D251"/>
    <mergeCell ref="A228:D228"/>
    <mergeCell ref="A286:H286"/>
    <mergeCell ref="A294:D294"/>
    <mergeCell ref="A276:A277"/>
    <mergeCell ref="B276:B277"/>
    <mergeCell ref="C276:C277"/>
    <mergeCell ref="A481:D481"/>
    <mergeCell ref="A498:H498"/>
    <mergeCell ref="A506:D506"/>
    <mergeCell ref="A488:A489"/>
    <mergeCell ref="B488:B489"/>
    <mergeCell ref="C488:C489"/>
    <mergeCell ref="D488:F488"/>
    <mergeCell ref="G488:I488"/>
    <mergeCell ref="A463:A464"/>
    <mergeCell ref="B463:B464"/>
    <mergeCell ref="C463:C464"/>
    <mergeCell ref="D463:F463"/>
    <mergeCell ref="G463:I463"/>
    <mergeCell ref="A473:H473"/>
    <mergeCell ref="I638:I639"/>
    <mergeCell ref="A638:H639"/>
    <mergeCell ref="A664:C665"/>
    <mergeCell ref="A692:C693"/>
    <mergeCell ref="A716:C717"/>
    <mergeCell ref="A530:D530"/>
    <mergeCell ref="A513:A514"/>
    <mergeCell ref="B513:B514"/>
    <mergeCell ref="C513:C514"/>
    <mergeCell ref="D513:F513"/>
    <mergeCell ref="G513:I513"/>
    <mergeCell ref="A522:H522"/>
    <mergeCell ref="A537:A538"/>
    <mergeCell ref="B537:B538"/>
    <mergeCell ref="C537:C538"/>
    <mergeCell ref="D537:F537"/>
    <mergeCell ref="G537:I537"/>
    <mergeCell ref="A562:A563"/>
    <mergeCell ref="B562:B563"/>
    <mergeCell ref="C562:C563"/>
    <mergeCell ref="D562:F562"/>
    <mergeCell ref="G562:I562"/>
    <mergeCell ref="A634:H634"/>
    <mergeCell ref="A547:H547"/>
  </mergeCells>
  <pageMargins left="0.7" right="0.7" top="0.75" bottom="0.75" header="0.3" footer="0.3"/>
  <pageSetup orientation="portrait" horizontalDpi="0" verticalDpi="0"/>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DB768-3924-431D-BE56-8C9F7A2D9E3B}">
  <sheetPr codeName="Sheet9"/>
  <dimension ref="A1:O457"/>
  <sheetViews>
    <sheetView workbookViewId="0">
      <selection activeCell="AE20" sqref="AE20"/>
    </sheetView>
  </sheetViews>
  <sheetFormatPr baseColWidth="10" defaultColWidth="8.83203125" defaultRowHeight="15" x14ac:dyDescent="0.2"/>
  <cols>
    <col min="1" max="1" width="45.1640625" customWidth="1"/>
    <col min="2" max="2" width="21.5" customWidth="1"/>
    <col min="3" max="3" width="19.6640625" customWidth="1"/>
    <col min="4" max="4" width="19.33203125" customWidth="1"/>
    <col min="5" max="5" width="17.5" customWidth="1"/>
  </cols>
  <sheetData>
    <row r="1" spans="1:15" x14ac:dyDescent="0.2">
      <c r="A1" s="1813" t="s">
        <v>753</v>
      </c>
      <c r="B1" s="1814"/>
      <c r="C1" s="1814"/>
      <c r="D1" s="1814"/>
      <c r="E1" s="1814"/>
      <c r="F1" s="1814"/>
      <c r="G1" s="1814"/>
      <c r="H1" s="1814"/>
      <c r="I1" s="1814"/>
      <c r="J1" s="1814"/>
      <c r="K1" s="1814"/>
      <c r="L1" s="1814"/>
      <c r="M1" s="1814"/>
      <c r="N1" s="1814"/>
      <c r="O1" s="1815"/>
    </row>
    <row r="2" spans="1:15" ht="16" thickBot="1" x14ac:dyDescent="0.25">
      <c r="A2" s="1816"/>
      <c r="B2" s="1817"/>
      <c r="C2" s="1817"/>
      <c r="D2" s="1817"/>
      <c r="E2" s="1817"/>
      <c r="F2" s="1817"/>
      <c r="G2" s="1817"/>
      <c r="H2" s="1817"/>
      <c r="I2" s="1817"/>
      <c r="J2" s="1817"/>
      <c r="K2" s="1817"/>
      <c r="L2" s="1817"/>
      <c r="M2" s="1817"/>
      <c r="N2" s="1817"/>
      <c r="O2" s="1818"/>
    </row>
    <row r="3" spans="1:15" ht="16" thickBot="1" x14ac:dyDescent="0.25">
      <c r="B3" s="5" t="s">
        <v>1214</v>
      </c>
      <c r="C3" s="5" t="s">
        <v>1215</v>
      </c>
    </row>
    <row r="4" spans="1:15" ht="16" x14ac:dyDescent="0.2">
      <c r="A4" s="1130" t="s">
        <v>2482</v>
      </c>
      <c r="B4" s="61">
        <f>CAPEX!O11</f>
        <v>40000000</v>
      </c>
    </row>
    <row r="5" spans="1:15" ht="16" x14ac:dyDescent="0.2">
      <c r="A5" s="326" t="s">
        <v>2483</v>
      </c>
      <c r="B5" s="345">
        <f ca="1">CAPEX!O12</f>
        <v>14555000</v>
      </c>
    </row>
    <row r="6" spans="1:15" ht="16" x14ac:dyDescent="0.2">
      <c r="A6" s="326" t="s">
        <v>2325</v>
      </c>
      <c r="B6" s="345">
        <f>CAPEX!O13</f>
        <v>12425000</v>
      </c>
    </row>
    <row r="7" spans="1:15" ht="16" x14ac:dyDescent="0.2">
      <c r="A7" s="326" t="s">
        <v>2321</v>
      </c>
      <c r="B7" s="345">
        <f>CAPEX!O14</f>
        <v>15265000</v>
      </c>
    </row>
    <row r="8" spans="1:15" ht="17" thickBot="1" x14ac:dyDescent="0.25">
      <c r="A8" s="326" t="s">
        <v>2496</v>
      </c>
      <c r="B8" s="68">
        <f ca="1">CAPEX!O15</f>
        <v>17889360.397732001</v>
      </c>
    </row>
    <row r="9" spans="1:15" ht="16" x14ac:dyDescent="0.2">
      <c r="A9" s="326" t="s">
        <v>2323</v>
      </c>
      <c r="C9" s="1070">
        <f>OPEX!I10</f>
        <v>1340894.4475249692</v>
      </c>
    </row>
    <row r="10" spans="1:15" ht="16" x14ac:dyDescent="0.2">
      <c r="A10" s="326" t="s">
        <v>2389</v>
      </c>
      <c r="C10" s="1131">
        <f>OPEX!I11</f>
        <v>1340894.4475249695</v>
      </c>
    </row>
    <row r="11" spans="1:15" ht="16" x14ac:dyDescent="0.2">
      <c r="A11" s="326" t="s">
        <v>2789</v>
      </c>
      <c r="C11" s="1131">
        <f>OPEX!I12</f>
        <v>2681788.895049938</v>
      </c>
    </row>
    <row r="12" spans="1:15" ht="17" thickBot="1" x14ac:dyDescent="0.25">
      <c r="A12" s="46" t="s">
        <v>2481</v>
      </c>
      <c r="C12" s="68">
        <f>OPEX!E20</f>
        <v>13675000</v>
      </c>
    </row>
    <row r="31" spans="1:15" ht="16" thickBot="1" x14ac:dyDescent="0.25"/>
    <row r="32" spans="1:15" x14ac:dyDescent="0.2">
      <c r="A32" s="1837" t="s">
        <v>2317</v>
      </c>
      <c r="B32" s="1838"/>
      <c r="C32" s="1838"/>
      <c r="D32" s="1838"/>
      <c r="E32" s="1838"/>
      <c r="F32" s="1838"/>
      <c r="G32" s="1838"/>
      <c r="H32" s="1838"/>
      <c r="I32" s="1838"/>
      <c r="J32" s="1838"/>
      <c r="K32" s="1838"/>
      <c r="L32" s="1838"/>
      <c r="M32" s="1838"/>
      <c r="N32" s="1838"/>
      <c r="O32" s="1839"/>
    </row>
    <row r="33" spans="1:15" ht="16" thickBot="1" x14ac:dyDescent="0.25">
      <c r="A33" s="1840"/>
      <c r="B33" s="1841"/>
      <c r="C33" s="1841"/>
      <c r="D33" s="1841"/>
      <c r="E33" s="1841"/>
      <c r="F33" s="1841"/>
      <c r="G33" s="1841"/>
      <c r="H33" s="1841"/>
      <c r="I33" s="1841"/>
      <c r="J33" s="1841"/>
      <c r="K33" s="1841"/>
      <c r="L33" s="1841"/>
      <c r="M33" s="1841"/>
      <c r="N33" s="1841"/>
      <c r="O33" s="1842"/>
    </row>
    <row r="34" spans="1:15" ht="14.25" customHeight="1" thickBot="1" x14ac:dyDescent="0.25">
      <c r="A34" s="809" t="s">
        <v>514</v>
      </c>
      <c r="B34" s="810" t="s">
        <v>1214</v>
      </c>
      <c r="C34" s="810" t="s">
        <v>1215</v>
      </c>
    </row>
    <row r="35" spans="1:15" ht="17" thickBot="1" x14ac:dyDescent="0.25">
      <c r="A35" s="327" t="s">
        <v>1027</v>
      </c>
      <c r="B35" s="137">
        <f ca="1">CAPEX!O62</f>
        <v>52655.971643071593</v>
      </c>
    </row>
    <row r="36" spans="1:15" ht="17" thickBot="1" x14ac:dyDescent="0.25">
      <c r="A36" s="35" t="s">
        <v>2889</v>
      </c>
      <c r="B36" s="137">
        <f ca="1">CAPEX!O63</f>
        <v>3588586.3965848275</v>
      </c>
    </row>
    <row r="37" spans="1:15" ht="17" thickBot="1" x14ac:dyDescent="0.25">
      <c r="A37" s="35" t="s">
        <v>533</v>
      </c>
      <c r="B37" s="137">
        <f ca="1">CAPEX!O64</f>
        <v>3774.824465194702</v>
      </c>
    </row>
    <row r="38" spans="1:15" ht="17" thickBot="1" x14ac:dyDescent="0.25">
      <c r="A38" s="46" t="s">
        <v>799</v>
      </c>
      <c r="B38" s="137">
        <f ca="1">CAPEX!O65</f>
        <v>14013.799971072551</v>
      </c>
    </row>
    <row r="39" spans="1:15" ht="17" thickBot="1" x14ac:dyDescent="0.25">
      <c r="A39" s="46" t="s">
        <v>800</v>
      </c>
      <c r="B39" s="137">
        <f ca="1">CAPEX!O66</f>
        <v>15327.5937183606</v>
      </c>
    </row>
    <row r="40" spans="1:15" ht="17" thickBot="1" x14ac:dyDescent="0.25">
      <c r="A40" s="35" t="s">
        <v>2812</v>
      </c>
      <c r="B40" s="137">
        <f ca="1">CAPEX!O67</f>
        <v>65029.472745150662</v>
      </c>
    </row>
    <row r="41" spans="1:15" ht="17" thickBot="1" x14ac:dyDescent="0.25">
      <c r="A41" s="35" t="s">
        <v>812</v>
      </c>
      <c r="B41" s="137">
        <f ca="1">CAPEX!O68</f>
        <v>173415.15643031165</v>
      </c>
    </row>
    <row r="42" spans="1:15" ht="17" thickBot="1" x14ac:dyDescent="0.25">
      <c r="A42" s="35" t="s">
        <v>2815</v>
      </c>
      <c r="B42" s="137">
        <f ca="1">CAPEX!O69</f>
        <v>23242.010608853096</v>
      </c>
    </row>
    <row r="43" spans="1:15" ht="17" thickBot="1" x14ac:dyDescent="0.25">
      <c r="A43" s="35" t="s">
        <v>835</v>
      </c>
      <c r="B43" s="137">
        <f ca="1">CAPEX!O70</f>
        <v>6000.8819963682799</v>
      </c>
    </row>
    <row r="44" spans="1:15" ht="17" thickBot="1" x14ac:dyDescent="0.25">
      <c r="A44" s="35" t="s">
        <v>836</v>
      </c>
      <c r="B44" s="137">
        <f ca="1">CAPEX!O71</f>
        <v>6000.8819963682799</v>
      </c>
    </row>
    <row r="45" spans="1:15" ht="17" thickBot="1" x14ac:dyDescent="0.25">
      <c r="A45" s="35" t="s">
        <v>837</v>
      </c>
      <c r="B45" s="137">
        <f ca="1">CAPEX!O72</f>
        <v>6000.8819963682799</v>
      </c>
    </row>
    <row r="46" spans="1:15" ht="17" thickBot="1" x14ac:dyDescent="0.25">
      <c r="A46" s="35" t="s">
        <v>745</v>
      </c>
      <c r="B46" s="137">
        <f ca="1">CAPEX!O73</f>
        <v>242949.55662343631</v>
      </c>
    </row>
    <row r="47" spans="1:15" ht="17" thickBot="1" x14ac:dyDescent="0.25">
      <c r="A47" s="35" t="s">
        <v>2326</v>
      </c>
      <c r="B47" s="137">
        <f>CAPEX!O74</f>
        <v>0</v>
      </c>
    </row>
    <row r="48" spans="1:15" ht="17" thickBot="1" x14ac:dyDescent="0.25">
      <c r="A48" s="35" t="s">
        <v>1088</v>
      </c>
      <c r="B48" s="137">
        <f>CAPEX!O75</f>
        <v>0</v>
      </c>
    </row>
    <row r="49" spans="1:15" ht="17" thickBot="1" x14ac:dyDescent="0.25">
      <c r="A49" s="35" t="s">
        <v>2380</v>
      </c>
      <c r="B49" s="137">
        <f ca="1">CAPEX!O76</f>
        <v>27408.182778858714</v>
      </c>
    </row>
    <row r="50" spans="1:15" ht="17" thickBot="1" x14ac:dyDescent="0.25">
      <c r="A50" s="35" t="s">
        <v>2381</v>
      </c>
      <c r="B50" s="137">
        <f ca="1">CAPEX!O77</f>
        <v>27408.182778858714</v>
      </c>
    </row>
    <row r="51" spans="1:15" ht="17" thickBot="1" x14ac:dyDescent="0.25">
      <c r="A51" s="35" t="s">
        <v>2382</v>
      </c>
      <c r="B51" s="137">
        <f ca="1">CAPEX!O78</f>
        <v>10116.462301534108</v>
      </c>
    </row>
    <row r="52" spans="1:15" ht="17" thickBot="1" x14ac:dyDescent="0.25">
      <c r="A52" s="35" t="s">
        <v>2383</v>
      </c>
      <c r="B52" s="346">
        <f ca="1">CAPEX!O79</f>
        <v>239743.35559020899</v>
      </c>
    </row>
    <row r="53" spans="1:15" ht="17" thickBot="1" x14ac:dyDescent="0.25">
      <c r="A53" s="46" t="s">
        <v>2387</v>
      </c>
      <c r="C53" s="61">
        <f ca="1">OPEX!I69</f>
        <v>2801.335860221574</v>
      </c>
    </row>
    <row r="54" spans="1:15" ht="17" thickBot="1" x14ac:dyDescent="0.25">
      <c r="A54" s="46" t="s">
        <v>2434</v>
      </c>
      <c r="C54" s="345">
        <f ca="1">OPEX!I70</f>
        <v>327.64622983918719</v>
      </c>
    </row>
    <row r="55" spans="1:15" ht="17" thickBot="1" x14ac:dyDescent="0.25">
      <c r="A55" s="46" t="s">
        <v>2435</v>
      </c>
      <c r="C55" s="345">
        <f ca="1">OPEX!I71</f>
        <v>327.64622983918719</v>
      </c>
    </row>
    <row r="56" spans="1:15" ht="17" thickBot="1" x14ac:dyDescent="0.25">
      <c r="A56" s="46" t="s">
        <v>2425</v>
      </c>
      <c r="C56" s="345">
        <f ca="1">OPEX!I72</f>
        <v>327.64622983918719</v>
      </c>
    </row>
    <row r="57" spans="1:15" ht="17" thickBot="1" x14ac:dyDescent="0.25">
      <c r="A57" s="46" t="s">
        <v>2388</v>
      </c>
      <c r="C57" s="345">
        <f>OPEX!I73</f>
        <v>0</v>
      </c>
    </row>
    <row r="58" spans="1:15" ht="17" thickBot="1" x14ac:dyDescent="0.25">
      <c r="A58" s="46" t="s">
        <v>2424</v>
      </c>
      <c r="C58" s="345">
        <f ca="1">OPEX!I74</f>
        <v>79945.111508594651</v>
      </c>
    </row>
    <row r="59" spans="1:15" ht="17" thickBot="1" x14ac:dyDescent="0.25">
      <c r="A59" s="327" t="s">
        <v>2481</v>
      </c>
      <c r="C59" s="68">
        <f>OPEX!E84</f>
        <v>855000</v>
      </c>
    </row>
    <row r="62" spans="1:15" ht="16" thickBot="1" x14ac:dyDescent="0.25"/>
    <row r="63" spans="1:15" x14ac:dyDescent="0.2">
      <c r="A63" s="1843" t="s">
        <v>2318</v>
      </c>
      <c r="B63" s="1844"/>
      <c r="C63" s="1844"/>
      <c r="D63" s="1844"/>
      <c r="E63" s="1844"/>
      <c r="F63" s="1844"/>
      <c r="G63" s="1844"/>
      <c r="H63" s="1844"/>
      <c r="I63" s="1844"/>
      <c r="J63" s="1844"/>
      <c r="K63" s="1844"/>
      <c r="L63" s="1844"/>
      <c r="M63" s="1844"/>
      <c r="N63" s="1844"/>
      <c r="O63" s="1845"/>
    </row>
    <row r="64" spans="1:15" ht="16" thickBot="1" x14ac:dyDescent="0.25">
      <c r="A64" s="1846"/>
      <c r="B64" s="1847"/>
      <c r="C64" s="1847"/>
      <c r="D64" s="1847"/>
      <c r="E64" s="1847"/>
      <c r="F64" s="1847"/>
      <c r="G64" s="1847"/>
      <c r="H64" s="1847"/>
      <c r="I64" s="1847"/>
      <c r="J64" s="1847"/>
      <c r="K64" s="1847"/>
      <c r="L64" s="1847"/>
      <c r="M64" s="1847"/>
      <c r="N64" s="1847"/>
      <c r="O64" s="1848"/>
    </row>
    <row r="65" spans="1:3" ht="16" thickBot="1" x14ac:dyDescent="0.25">
      <c r="B65" s="5" t="s">
        <v>1214</v>
      </c>
      <c r="C65" s="338" t="s">
        <v>1215</v>
      </c>
    </row>
    <row r="66" spans="1:3" ht="17" thickBot="1" x14ac:dyDescent="0.25">
      <c r="A66" s="46" t="s">
        <v>2840</v>
      </c>
      <c r="B66" s="61">
        <f ca="1">CAPEX!O91</f>
        <v>23020.810819827049</v>
      </c>
    </row>
    <row r="67" spans="1:3" ht="17" thickBot="1" x14ac:dyDescent="0.25">
      <c r="A67" s="46" t="s">
        <v>2842</v>
      </c>
      <c r="B67" s="345">
        <f ca="1">CAPEX!O92</f>
        <v>8786.5345219425817</v>
      </c>
    </row>
    <row r="68" spans="1:3" ht="17" thickBot="1" x14ac:dyDescent="0.25">
      <c r="A68" s="35" t="s">
        <v>2852</v>
      </c>
      <c r="B68" s="345">
        <f ca="1">CAPEX!O93</f>
        <v>35026.317611926228</v>
      </c>
    </row>
    <row r="69" spans="1:3" ht="17" thickBot="1" x14ac:dyDescent="0.25">
      <c r="A69" s="35" t="s">
        <v>2853</v>
      </c>
      <c r="B69" s="345">
        <f ca="1">CAPEX!O94</f>
        <v>168558.97679191359</v>
      </c>
    </row>
    <row r="70" spans="1:3" ht="17" thickBot="1" x14ac:dyDescent="0.25">
      <c r="A70" s="35" t="s">
        <v>2854</v>
      </c>
      <c r="B70" s="345">
        <f ca="1">CAPEX!O95</f>
        <v>31865.126822698283</v>
      </c>
    </row>
    <row r="71" spans="1:3" ht="17" thickBot="1" x14ac:dyDescent="0.25">
      <c r="A71" s="46" t="s">
        <v>2841</v>
      </c>
      <c r="B71" s="345">
        <f ca="1">CAPEX!O96</f>
        <v>14198.592728867774</v>
      </c>
    </row>
    <row r="72" spans="1:3" ht="17" thickBot="1" x14ac:dyDescent="0.25">
      <c r="A72" s="35" t="s">
        <v>2855</v>
      </c>
      <c r="B72" s="345">
        <f ca="1">CAPEX!O97</f>
        <v>35026.317611926228</v>
      </c>
    </row>
    <row r="73" spans="1:3" ht="17" thickBot="1" x14ac:dyDescent="0.25">
      <c r="A73" s="35" t="s">
        <v>2856</v>
      </c>
      <c r="B73" s="345">
        <f ca="1">CAPEX!O98</f>
        <v>68336.747736949226</v>
      </c>
    </row>
    <row r="74" spans="1:3" ht="17" thickBot="1" x14ac:dyDescent="0.25">
      <c r="A74" s="35" t="s">
        <v>2857</v>
      </c>
      <c r="B74" s="345">
        <f ca="1">CAPEX!O99</f>
        <v>31865.126822698283</v>
      </c>
    </row>
    <row r="75" spans="1:3" ht="17" thickBot="1" x14ac:dyDescent="0.25">
      <c r="A75" s="46" t="s">
        <v>1027</v>
      </c>
      <c r="B75" s="345">
        <f ca="1">CAPEX!O100</f>
        <v>14198.592728867774</v>
      </c>
    </row>
    <row r="76" spans="1:3" ht="17" thickBot="1" x14ac:dyDescent="0.25">
      <c r="A76" s="35" t="s">
        <v>2889</v>
      </c>
      <c r="B76" s="345">
        <f ca="1">CAPEX!O101</f>
        <v>583156.23398006905</v>
      </c>
    </row>
    <row r="77" spans="1:3" ht="17" thickBot="1" x14ac:dyDescent="0.25">
      <c r="A77" s="35" t="s">
        <v>533</v>
      </c>
      <c r="B77" s="345">
        <f ca="1">CAPEX!O102</f>
        <v>255678.63093127412</v>
      </c>
    </row>
    <row r="78" spans="1:3" ht="17" thickBot="1" x14ac:dyDescent="0.25">
      <c r="A78" s="46" t="s">
        <v>1027</v>
      </c>
      <c r="B78" s="345">
        <f ca="1">CAPEX!O103</f>
        <v>14198.665594143926</v>
      </c>
    </row>
    <row r="79" spans="1:3" ht="17" thickBot="1" x14ac:dyDescent="0.25">
      <c r="A79" s="35" t="s">
        <v>2327</v>
      </c>
      <c r="B79" s="345">
        <f ca="1">CAPEX!O104</f>
        <v>2219.3064424607728</v>
      </c>
    </row>
    <row r="80" spans="1:3" ht="17" thickBot="1" x14ac:dyDescent="0.25">
      <c r="A80" s="35" t="s">
        <v>2328</v>
      </c>
      <c r="B80" s="345">
        <f ca="1">CAPEX!O105</f>
        <v>661.07646306880076</v>
      </c>
    </row>
    <row r="81" spans="1:3" ht="17" thickBot="1" x14ac:dyDescent="0.25">
      <c r="A81" s="35" t="s">
        <v>2329</v>
      </c>
      <c r="B81" s="345">
        <f ca="1">CAPEX!O106</f>
        <v>31865.229027326746</v>
      </c>
    </row>
    <row r="82" spans="1:3" ht="17" thickBot="1" x14ac:dyDescent="0.25">
      <c r="A82" s="46" t="s">
        <v>2493</v>
      </c>
      <c r="B82" s="345">
        <f ca="1">CAPEX!O107</f>
        <v>153808.30812384267</v>
      </c>
    </row>
    <row r="83" spans="1:3" ht="17" thickBot="1" x14ac:dyDescent="0.25">
      <c r="A83" s="35" t="s">
        <v>2384</v>
      </c>
      <c r="B83" s="345">
        <f ca="1">CAPEX!O108</f>
        <v>4083.7856890326061</v>
      </c>
    </row>
    <row r="84" spans="1:3" ht="17" thickBot="1" x14ac:dyDescent="0.25">
      <c r="A84" s="35" t="s">
        <v>2890</v>
      </c>
      <c r="B84" s="68">
        <f ca="1">CAPEX!O109</f>
        <v>169411.24658644092</v>
      </c>
    </row>
    <row r="85" spans="1:3" ht="17" thickBot="1" x14ac:dyDescent="0.25">
      <c r="A85" s="46" t="s">
        <v>2387</v>
      </c>
      <c r="C85" s="61">
        <f ca="1">OPEX!I95</f>
        <v>2556.7849924424809</v>
      </c>
    </row>
    <row r="86" spans="1:3" ht="17" thickBot="1" x14ac:dyDescent="0.25">
      <c r="A86" s="46" t="s">
        <v>2885</v>
      </c>
      <c r="C86" s="345">
        <f ca="1">OPEX!I96</f>
        <v>812057.98391340917</v>
      </c>
    </row>
    <row r="87" spans="1:3" ht="17" thickBot="1" x14ac:dyDescent="0.25">
      <c r="A87" s="46" t="s">
        <v>2843</v>
      </c>
      <c r="C87" s="345">
        <f ca="1">OPEX!I97</f>
        <v>590.02730594826471</v>
      </c>
    </row>
    <row r="88" spans="1:3" ht="17" thickBot="1" x14ac:dyDescent="0.25">
      <c r="A88" s="46" t="s">
        <v>2880</v>
      </c>
      <c r="C88" s="345">
        <f ca="1">OPEX!I98</f>
        <v>939.65723944322349</v>
      </c>
    </row>
    <row r="89" spans="1:3" ht="17" thickBot="1" x14ac:dyDescent="0.25">
      <c r="A89" s="46" t="s">
        <v>2888</v>
      </c>
      <c r="C89" s="345">
        <f ca="1">OPEX!I99</f>
        <v>171677.07722947147</v>
      </c>
    </row>
    <row r="90" spans="1:3" ht="17" thickBot="1" x14ac:dyDescent="0.25">
      <c r="A90" s="46" t="s">
        <v>2387</v>
      </c>
      <c r="C90" s="345">
        <f ca="1">OPEX!I100</f>
        <v>463.3702663581717</v>
      </c>
    </row>
    <row r="91" spans="1:3" ht="17" thickBot="1" x14ac:dyDescent="0.25">
      <c r="A91" s="46" t="s">
        <v>2881</v>
      </c>
      <c r="C91" s="345">
        <f ca="1">OPEX!I101</f>
        <v>26.847349698377819</v>
      </c>
    </row>
    <row r="92" spans="1:3" ht="17" thickBot="1" x14ac:dyDescent="0.25">
      <c r="A92" s="46" t="s">
        <v>2887</v>
      </c>
      <c r="C92" s="345">
        <f ca="1">OPEX!I102</f>
        <v>171677.07722947147</v>
      </c>
    </row>
    <row r="93" spans="1:3" ht="17" thickBot="1" x14ac:dyDescent="0.25">
      <c r="A93" s="46" t="s">
        <v>2886</v>
      </c>
      <c r="C93" s="345">
        <f ca="1">OPEX!I103</f>
        <v>171678.17850988568</v>
      </c>
    </row>
    <row r="94" spans="1:3" ht="17" thickBot="1" x14ac:dyDescent="0.25">
      <c r="A94" s="46" t="s">
        <v>2847</v>
      </c>
      <c r="C94" s="345">
        <f ca="1">OPEX!I104</f>
        <v>333.50958906511488</v>
      </c>
    </row>
    <row r="95" spans="1:3" ht="17" thickBot="1" x14ac:dyDescent="0.25">
      <c r="A95" s="327" t="s">
        <v>2481</v>
      </c>
      <c r="C95" s="68">
        <f>OPEX!E113</f>
        <v>855000</v>
      </c>
    </row>
    <row r="103" spans="1:15" ht="16" thickBot="1" x14ac:dyDescent="0.25"/>
    <row r="104" spans="1:15" x14ac:dyDescent="0.2">
      <c r="A104" s="1819" t="s">
        <v>2791</v>
      </c>
      <c r="B104" s="1820"/>
      <c r="C104" s="1820"/>
      <c r="D104" s="1820"/>
      <c r="E104" s="1820"/>
      <c r="F104" s="1820"/>
      <c r="G104" s="1820"/>
      <c r="H104" s="1820"/>
      <c r="I104" s="1820"/>
      <c r="J104" s="1820"/>
      <c r="K104" s="1820"/>
      <c r="L104" s="1820"/>
      <c r="M104" s="1820"/>
      <c r="N104" s="1820"/>
      <c r="O104" s="1821"/>
    </row>
    <row r="105" spans="1:15" ht="16" thickBot="1" x14ac:dyDescent="0.25">
      <c r="A105" s="1822"/>
      <c r="B105" s="1823"/>
      <c r="C105" s="1823"/>
      <c r="D105" s="1823"/>
      <c r="E105" s="1823"/>
      <c r="F105" s="1823"/>
      <c r="G105" s="1823"/>
      <c r="H105" s="1823"/>
      <c r="I105" s="1823"/>
      <c r="J105" s="1823"/>
      <c r="K105" s="1823"/>
      <c r="L105" s="1823"/>
      <c r="M105" s="1823"/>
      <c r="N105" s="1823"/>
      <c r="O105" s="1824"/>
    </row>
    <row r="106" spans="1:15" ht="33" thickBot="1" x14ac:dyDescent="0.25">
      <c r="B106" s="835" t="s">
        <v>2938</v>
      </c>
      <c r="C106" s="836" t="s">
        <v>2939</v>
      </c>
      <c r="D106" s="837" t="s">
        <v>2891</v>
      </c>
      <c r="E106" s="837" t="s">
        <v>2892</v>
      </c>
    </row>
    <row r="107" spans="1:15" ht="17" thickBot="1" x14ac:dyDescent="0.25">
      <c r="A107" s="51" t="s">
        <v>2936</v>
      </c>
      <c r="B107" s="61">
        <f>CAPEX!O121</f>
        <v>23197006.827362787</v>
      </c>
    </row>
    <row r="108" spans="1:15" ht="17" thickBot="1" x14ac:dyDescent="0.25">
      <c r="A108" s="35" t="s">
        <v>2505</v>
      </c>
      <c r="B108" s="345">
        <f>CAPEX!O122</f>
        <v>2322.4683230366713</v>
      </c>
    </row>
    <row r="109" spans="1:15" ht="17" thickBot="1" x14ac:dyDescent="0.25">
      <c r="A109" s="35" t="s">
        <v>2506</v>
      </c>
      <c r="B109" s="345">
        <f>CAPEX!O123</f>
        <v>576.50486176214054</v>
      </c>
    </row>
    <row r="110" spans="1:15" ht="17" thickBot="1" x14ac:dyDescent="0.25">
      <c r="A110" s="35" t="s">
        <v>2507</v>
      </c>
      <c r="B110" s="345">
        <f>CAPEX!O124</f>
        <v>1733319.9702759301</v>
      </c>
    </row>
    <row r="111" spans="1:15" ht="17" thickBot="1" x14ac:dyDescent="0.25">
      <c r="A111" s="46" t="s">
        <v>2486</v>
      </c>
      <c r="B111" s="345">
        <f>CAPEX!$O$128</f>
        <v>3921621.2219733256</v>
      </c>
    </row>
    <row r="112" spans="1:15" ht="17" thickBot="1" x14ac:dyDescent="0.25">
      <c r="A112" s="46" t="s">
        <v>2488</v>
      </c>
      <c r="B112" s="345">
        <f>CAPEX!O130</f>
        <v>135958.67096339058</v>
      </c>
    </row>
    <row r="113" spans="1:3" ht="17" thickBot="1" x14ac:dyDescent="0.25">
      <c r="A113" s="35" t="s">
        <v>1564</v>
      </c>
      <c r="B113" s="345">
        <f>CAPEX!O131</f>
        <v>9382.8608914528777</v>
      </c>
    </row>
    <row r="114" spans="1:3" ht="17" thickBot="1" x14ac:dyDescent="0.25">
      <c r="A114" s="46" t="s">
        <v>1027</v>
      </c>
      <c r="B114" s="345">
        <f>CAPEX!O176</f>
        <v>45288.607151800468</v>
      </c>
    </row>
    <row r="115" spans="1:3" ht="17" thickBot="1" x14ac:dyDescent="0.25">
      <c r="A115" s="46" t="s">
        <v>1574</v>
      </c>
      <c r="B115" s="345">
        <f>CAPEX!O177</f>
        <v>112340.63789839575</v>
      </c>
    </row>
    <row r="116" spans="1:3" ht="17" thickBot="1" x14ac:dyDescent="0.25">
      <c r="A116" s="46" t="s">
        <v>1575</v>
      </c>
      <c r="B116" s="345">
        <f>CAPEX!O178</f>
        <v>2539.7795703260531</v>
      </c>
    </row>
    <row r="117" spans="1:3" ht="17" thickBot="1" x14ac:dyDescent="0.25">
      <c r="A117" s="35" t="s">
        <v>838</v>
      </c>
      <c r="B117" s="345">
        <f>CAPEX!O179</f>
        <v>2132518.4113270217</v>
      </c>
    </row>
    <row r="118" spans="1:3" ht="17" thickBot="1" x14ac:dyDescent="0.25">
      <c r="A118" s="35" t="s">
        <v>839</v>
      </c>
      <c r="B118" s="345">
        <f>CAPEX!O180</f>
        <v>2217819.526434883</v>
      </c>
    </row>
    <row r="119" spans="1:3" ht="17" thickBot="1" x14ac:dyDescent="0.25">
      <c r="A119" s="35" t="s">
        <v>840</v>
      </c>
      <c r="B119" s="345">
        <f>CAPEX!O181</f>
        <v>16000.981867361199</v>
      </c>
    </row>
    <row r="120" spans="1:3" ht="17" thickBot="1" x14ac:dyDescent="0.25">
      <c r="A120" s="35" t="s">
        <v>833</v>
      </c>
      <c r="B120" s="345">
        <f>CAPEX!O182</f>
        <v>4402632.7245008629</v>
      </c>
    </row>
    <row r="121" spans="1:3" ht="17" thickBot="1" x14ac:dyDescent="0.25">
      <c r="A121" s="35" t="s">
        <v>812</v>
      </c>
      <c r="B121" s="345">
        <f>CAPEX!O183</f>
        <v>11155251.365313325</v>
      </c>
    </row>
    <row r="122" spans="1:3" ht="17" thickBot="1" x14ac:dyDescent="0.25">
      <c r="A122" s="46" t="s">
        <v>1027</v>
      </c>
      <c r="C122" s="61">
        <f>CAPEX!O193</f>
        <v>45288.607151800468</v>
      </c>
    </row>
    <row r="123" spans="1:3" ht="17" thickBot="1" x14ac:dyDescent="0.25">
      <c r="A123" s="35" t="s">
        <v>2937</v>
      </c>
      <c r="C123" s="345">
        <f>CAPEX!O194</f>
        <v>25022970.382616952</v>
      </c>
    </row>
    <row r="124" spans="1:3" ht="17" thickBot="1" x14ac:dyDescent="0.25">
      <c r="A124" s="35" t="s">
        <v>2515</v>
      </c>
      <c r="C124" s="345">
        <f ca="1">CAPEX!O195</f>
        <v>2426574.0534330667</v>
      </c>
    </row>
    <row r="125" spans="1:3" ht="17" thickBot="1" x14ac:dyDescent="0.25">
      <c r="A125" s="35" t="s">
        <v>533</v>
      </c>
      <c r="C125" s="345">
        <f ca="1">CAPEX!O196</f>
        <v>3760.7794176182269</v>
      </c>
    </row>
    <row r="126" spans="1:3" ht="17" thickBot="1" x14ac:dyDescent="0.25">
      <c r="A126" s="46" t="s">
        <v>1027</v>
      </c>
      <c r="C126" s="345">
        <f ca="1">CAPEX!O206</f>
        <v>52460.053757688722</v>
      </c>
    </row>
    <row r="127" spans="1:3" ht="17" thickBot="1" x14ac:dyDescent="0.25">
      <c r="A127" s="46" t="s">
        <v>1573</v>
      </c>
      <c r="C127" s="345">
        <f ca="1">CAPEX!O207</f>
        <v>18031375.115202356</v>
      </c>
    </row>
    <row r="128" spans="1:3" ht="17" thickBot="1" x14ac:dyDescent="0.25">
      <c r="A128" s="46" t="s">
        <v>2501</v>
      </c>
      <c r="C128" s="345">
        <f ca="1">CAPEX!O208</f>
        <v>5712.3661522272505</v>
      </c>
    </row>
    <row r="129" spans="1:4" ht="17" thickBot="1" x14ac:dyDescent="0.25">
      <c r="A129" s="46" t="s">
        <v>2520</v>
      </c>
      <c r="C129" s="345">
        <f ca="1">CAPEX!O209</f>
        <v>1798744.3322196491</v>
      </c>
    </row>
    <row r="130" spans="1:4" ht="17" thickBot="1" x14ac:dyDescent="0.25">
      <c r="A130" s="46" t="s">
        <v>2521</v>
      </c>
      <c r="C130" s="345">
        <f ca="1">CAPEX!O210</f>
        <v>4984205.3540569097</v>
      </c>
    </row>
    <row r="131" spans="1:4" ht="17" thickBot="1" x14ac:dyDescent="0.25">
      <c r="A131" s="46" t="s">
        <v>2523</v>
      </c>
      <c r="C131" s="345">
        <f ca="1">CAPEX!O211</f>
        <v>13341.264851021117</v>
      </c>
    </row>
    <row r="132" spans="1:4" ht="17" thickBot="1" x14ac:dyDescent="0.25">
      <c r="A132" s="46" t="s">
        <v>2524</v>
      </c>
      <c r="C132" s="345">
        <f ca="1">CAPEX!O212</f>
        <v>1665832.1894447983</v>
      </c>
    </row>
    <row r="133" spans="1:4" ht="17" thickBot="1" x14ac:dyDescent="0.25">
      <c r="A133" s="46" t="s">
        <v>2525</v>
      </c>
      <c r="C133" s="345">
        <f ca="1">CAPEX!O213</f>
        <v>1149690.0350024605</v>
      </c>
    </row>
    <row r="134" spans="1:4" ht="17" thickBot="1" x14ac:dyDescent="0.25">
      <c r="A134" s="35" t="s">
        <v>2526</v>
      </c>
      <c r="C134" s="345">
        <f ca="1">CAPEX!O214</f>
        <v>2441917.9636363443</v>
      </c>
    </row>
    <row r="135" spans="1:4" ht="17" thickBot="1" x14ac:dyDescent="0.25">
      <c r="A135" s="35" t="s">
        <v>2527</v>
      </c>
      <c r="C135" s="345">
        <f ca="1">CAPEX!O215</f>
        <v>986332.06674066349</v>
      </c>
    </row>
    <row r="136" spans="1:4" ht="17" thickBot="1" x14ac:dyDescent="0.25">
      <c r="A136" s="35" t="s">
        <v>2528</v>
      </c>
      <c r="C136" s="345">
        <f ca="1">CAPEX!O216</f>
        <v>5447232.2785764607</v>
      </c>
    </row>
    <row r="137" spans="1:4" ht="17" thickBot="1" x14ac:dyDescent="0.25">
      <c r="A137" s="35" t="s">
        <v>2529</v>
      </c>
      <c r="C137" s="345">
        <f ca="1">CAPEX!O217</f>
        <v>1801803.5459840987</v>
      </c>
    </row>
    <row r="138" spans="1:4" ht="17" thickBot="1" x14ac:dyDescent="0.25">
      <c r="A138" s="35" t="s">
        <v>2530</v>
      </c>
      <c r="C138" s="345">
        <f ca="1">CAPEX!O218</f>
        <v>4741588.278905523</v>
      </c>
    </row>
    <row r="139" spans="1:4" ht="17" thickBot="1" x14ac:dyDescent="0.25">
      <c r="A139" s="35" t="s">
        <v>2502</v>
      </c>
      <c r="C139" s="345">
        <f ca="1">CAPEX!O219</f>
        <v>503188.15835703519</v>
      </c>
    </row>
    <row r="140" spans="1:4" ht="17" thickBot="1" x14ac:dyDescent="0.25">
      <c r="A140" s="35" t="s">
        <v>2503</v>
      </c>
      <c r="C140" s="345">
        <f ca="1">CAPEX!O220</f>
        <v>19918.478400719705</v>
      </c>
    </row>
    <row r="141" spans="1:4" ht="17" thickBot="1" x14ac:dyDescent="0.25">
      <c r="A141" s="35" t="s">
        <v>2326</v>
      </c>
      <c r="C141" s="68">
        <f ca="1">CAPEX!O221</f>
        <v>30709654.192600388</v>
      </c>
    </row>
    <row r="142" spans="1:4" ht="17" thickBot="1" x14ac:dyDescent="0.25">
      <c r="A142" s="46" t="s">
        <v>2405</v>
      </c>
      <c r="D142" s="61">
        <f>OPEX!I124</f>
        <v>37217.653187965385</v>
      </c>
    </row>
    <row r="143" spans="1:4" ht="17" thickBot="1" x14ac:dyDescent="0.25">
      <c r="A143" s="46" t="s">
        <v>2416</v>
      </c>
      <c r="D143" s="345">
        <f>OPEX!I125</f>
        <v>38.5498605938661</v>
      </c>
    </row>
    <row r="144" spans="1:4" ht="17" thickBot="1" x14ac:dyDescent="0.25">
      <c r="A144" s="46" t="s">
        <v>2417</v>
      </c>
      <c r="D144" s="345">
        <f>OPEX!I126</f>
        <v>19.665116140373566</v>
      </c>
    </row>
    <row r="145" spans="1:5" ht="17" thickBot="1" x14ac:dyDescent="0.25">
      <c r="A145" s="46" t="s">
        <v>2419</v>
      </c>
      <c r="D145" s="345">
        <f>OPEX!$I$128</f>
        <v>2194.3120454931918</v>
      </c>
    </row>
    <row r="146" spans="1:5" ht="17" thickBot="1" x14ac:dyDescent="0.25">
      <c r="A146" s="46" t="s">
        <v>2404</v>
      </c>
      <c r="D146" s="822">
        <f>OPEX!I180</f>
        <v>721.746625111669</v>
      </c>
    </row>
    <row r="147" spans="1:5" ht="17" thickBot="1" x14ac:dyDescent="0.25">
      <c r="A147" s="46" t="s">
        <v>2406</v>
      </c>
      <c r="D147" s="822">
        <f>OPEX!I181</f>
        <v>625213.14086906414</v>
      </c>
    </row>
    <row r="148" spans="1:5" ht="17" thickBot="1" x14ac:dyDescent="0.25">
      <c r="A148" s="46" t="s">
        <v>2387</v>
      </c>
      <c r="D148" s="822">
        <f>OPEX!I182</f>
        <v>2900.0392831003469</v>
      </c>
    </row>
    <row r="149" spans="1:5" ht="17" thickBot="1" x14ac:dyDescent="0.25">
      <c r="A149" s="326" t="s">
        <v>2402</v>
      </c>
      <c r="D149" s="345">
        <f ca="1">OPEX!I201</f>
        <v>70182.360745503902</v>
      </c>
    </row>
    <row r="150" spans="1:5" ht="17" thickBot="1" x14ac:dyDescent="0.25">
      <c r="A150" s="327" t="s">
        <v>2403</v>
      </c>
      <c r="D150" s="345">
        <f>OPEX!I202</f>
        <v>2900.0392831003469</v>
      </c>
    </row>
    <row r="151" spans="1:5" ht="17" thickBot="1" x14ac:dyDescent="0.25">
      <c r="A151" s="327" t="s">
        <v>2479</v>
      </c>
      <c r="D151" s="345">
        <f ca="1">OPEX!I203</f>
        <v>104215.07399645179</v>
      </c>
    </row>
    <row r="152" spans="1:5" ht="17" thickBot="1" x14ac:dyDescent="0.25">
      <c r="A152" s="46" t="s">
        <v>2410</v>
      </c>
      <c r="D152" s="834"/>
      <c r="E152" s="61">
        <f ca="1">OPEX!I214</f>
        <v>1891.2105320340224</v>
      </c>
    </row>
    <row r="153" spans="1:5" ht="17" thickBot="1" x14ac:dyDescent="0.25">
      <c r="A153" s="46" t="s">
        <v>2411</v>
      </c>
      <c r="D153" s="834"/>
      <c r="E153" s="345">
        <f ca="1">OPEX!I215</f>
        <v>151.8835070431864</v>
      </c>
    </row>
    <row r="154" spans="1:5" ht="17" thickBot="1" x14ac:dyDescent="0.25">
      <c r="A154" s="46" t="s">
        <v>2412</v>
      </c>
      <c r="D154" s="834"/>
      <c r="E154" s="345">
        <f ca="1">OPEX!I216</f>
        <v>5699.2834930089166</v>
      </c>
    </row>
    <row r="155" spans="1:5" ht="17" thickBot="1" x14ac:dyDescent="0.25">
      <c r="A155" s="46" t="s">
        <v>2413</v>
      </c>
      <c r="D155" s="834"/>
      <c r="E155" s="345">
        <f ca="1">OPEX!I217</f>
        <v>666.91104645124267</v>
      </c>
    </row>
    <row r="156" spans="1:5" ht="17" thickBot="1" x14ac:dyDescent="0.25">
      <c r="A156" s="46" t="s">
        <v>2414</v>
      </c>
      <c r="D156" s="834"/>
      <c r="E156" s="345">
        <f ca="1">OPEX!I218</f>
        <v>871.38101856477783</v>
      </c>
    </row>
    <row r="157" spans="1:5" ht="17" thickBot="1" x14ac:dyDescent="0.25">
      <c r="A157" s="46" t="s">
        <v>2415</v>
      </c>
      <c r="D157" s="834"/>
      <c r="E157" s="345">
        <f ca="1">OPEX!I219</f>
        <v>666.91104645124267</v>
      </c>
    </row>
    <row r="158" spans="1:5" ht="17" thickBot="1" x14ac:dyDescent="0.25">
      <c r="A158" s="327" t="s">
        <v>2481</v>
      </c>
      <c r="D158" s="68">
        <f>OPEX!E191</f>
        <v>1525000</v>
      </c>
      <c r="E158" s="68">
        <f>OPEX!E228</f>
        <v>630000</v>
      </c>
    </row>
    <row r="161" spans="1:9" ht="16" thickBot="1" x14ac:dyDescent="0.25"/>
    <row r="162" spans="1:9" x14ac:dyDescent="0.2">
      <c r="A162" s="1825" t="s">
        <v>2792</v>
      </c>
      <c r="B162" s="1826"/>
      <c r="C162" s="1826"/>
      <c r="D162" s="1826"/>
      <c r="E162" s="1826"/>
      <c r="F162" s="1826"/>
      <c r="G162" s="1826"/>
      <c r="H162" s="1826"/>
      <c r="I162" s="1827"/>
    </row>
    <row r="163" spans="1:9" ht="16" thickBot="1" x14ac:dyDescent="0.25">
      <c r="A163" s="1828"/>
      <c r="B163" s="1829"/>
      <c r="C163" s="1829"/>
      <c r="D163" s="1829"/>
      <c r="E163" s="1829"/>
      <c r="F163" s="1829"/>
      <c r="G163" s="1829"/>
      <c r="H163" s="1829"/>
      <c r="I163" s="1830"/>
    </row>
    <row r="164" spans="1:9" ht="16" thickBot="1" x14ac:dyDescent="0.25">
      <c r="B164" s="5" t="s">
        <v>1214</v>
      </c>
      <c r="C164" s="338" t="s">
        <v>1215</v>
      </c>
    </row>
    <row r="165" spans="1:9" ht="17" thickBot="1" x14ac:dyDescent="0.25">
      <c r="A165" s="51" t="s">
        <v>2508</v>
      </c>
      <c r="B165" s="61">
        <f>CAPEX!O125</f>
        <v>1206.7387980444146</v>
      </c>
    </row>
    <row r="166" spans="1:9" ht="17" thickBot="1" x14ac:dyDescent="0.25">
      <c r="A166" s="35" t="s">
        <v>2509</v>
      </c>
      <c r="B166" s="345">
        <f>CAPEX!O126</f>
        <v>299.54801839448908</v>
      </c>
    </row>
    <row r="167" spans="1:9" ht="17" thickBot="1" x14ac:dyDescent="0.25">
      <c r="A167" s="35" t="s">
        <v>2942</v>
      </c>
      <c r="B167" s="345">
        <f>CAPEX!O127</f>
        <v>192591.10780843673</v>
      </c>
    </row>
    <row r="168" spans="1:9" ht="17" thickBot="1" x14ac:dyDescent="0.25">
      <c r="A168" s="46" t="s">
        <v>2487</v>
      </c>
      <c r="B168" s="345">
        <f>CAPEX!O129</f>
        <v>676194.50398798333</v>
      </c>
    </row>
    <row r="169" spans="1:9" ht="17" thickBot="1" x14ac:dyDescent="0.25">
      <c r="A169" s="46" t="s">
        <v>2488</v>
      </c>
      <c r="B169" s="345">
        <f>CAPEX!O130</f>
        <v>135958.67096339058</v>
      </c>
    </row>
    <row r="170" spans="1:9" ht="17" thickBot="1" x14ac:dyDescent="0.25">
      <c r="A170" s="35" t="s">
        <v>1565</v>
      </c>
      <c r="B170" s="345">
        <f>CAPEX!$O$132</f>
        <v>1934.0570495004508</v>
      </c>
    </row>
    <row r="171" spans="1:9" ht="17" thickBot="1" x14ac:dyDescent="0.25">
      <c r="A171" s="327" t="s">
        <v>1027</v>
      </c>
      <c r="B171" s="345">
        <f>CAPEX!O143</f>
        <v>7808.9916174792288</v>
      </c>
    </row>
    <row r="172" spans="1:9" ht="17" thickBot="1" x14ac:dyDescent="0.25">
      <c r="A172" s="35" t="s">
        <v>838</v>
      </c>
      <c r="B172" s="345">
        <f>CAPEX!O144</f>
        <v>56429.102504992064</v>
      </c>
    </row>
    <row r="173" spans="1:9" ht="17" thickBot="1" x14ac:dyDescent="0.25">
      <c r="A173" s="35" t="s">
        <v>2940</v>
      </c>
      <c r="B173" s="345">
        <f>CAPEX!O145</f>
        <v>247519.00322787979</v>
      </c>
    </row>
    <row r="174" spans="1:9" ht="17" thickBot="1" x14ac:dyDescent="0.25">
      <c r="A174" s="35" t="s">
        <v>840</v>
      </c>
      <c r="B174" s="345">
        <f>CAPEX!O146</f>
        <v>1777.8868741512442</v>
      </c>
    </row>
    <row r="175" spans="1:9" ht="17" thickBot="1" x14ac:dyDescent="0.25">
      <c r="A175" s="46" t="s">
        <v>1574</v>
      </c>
      <c r="B175" s="345">
        <f>CAPEX!O147</f>
        <v>112340.63789839575</v>
      </c>
    </row>
    <row r="176" spans="1:9" ht="17" thickBot="1" x14ac:dyDescent="0.25">
      <c r="A176" s="46" t="s">
        <v>1575</v>
      </c>
      <c r="B176" s="345">
        <f>CAPEX!O148</f>
        <v>2539.7795703260531</v>
      </c>
    </row>
    <row r="177" spans="1:3" ht="17" thickBot="1" x14ac:dyDescent="0.25">
      <c r="A177" s="46" t="s">
        <v>1027</v>
      </c>
      <c r="B177" s="345">
        <f>CAPEX!O159</f>
        <v>7808.9916174792288</v>
      </c>
    </row>
    <row r="178" spans="1:3" ht="17" thickBot="1" x14ac:dyDescent="0.25">
      <c r="A178" s="46" t="s">
        <v>1574</v>
      </c>
      <c r="B178" s="345">
        <f>CAPEX!O160</f>
        <v>112340.63789839575</v>
      </c>
    </row>
    <row r="179" spans="1:3" ht="17" thickBot="1" x14ac:dyDescent="0.25">
      <c r="A179" s="46" t="s">
        <v>1575</v>
      </c>
      <c r="B179" s="345">
        <f>CAPEX!O161</f>
        <v>2539.7795703260531</v>
      </c>
    </row>
    <row r="180" spans="1:3" ht="17" thickBot="1" x14ac:dyDescent="0.25">
      <c r="A180" s="35" t="s">
        <v>838</v>
      </c>
      <c r="B180" s="345">
        <f>CAPEX!O162</f>
        <v>56429.102504992064</v>
      </c>
    </row>
    <row r="181" spans="1:3" ht="17" thickBot="1" x14ac:dyDescent="0.25">
      <c r="A181" s="35" t="s">
        <v>839</v>
      </c>
      <c r="B181" s="345">
        <f>CAPEX!O163</f>
        <v>247519.00322787979</v>
      </c>
    </row>
    <row r="182" spans="1:3" ht="17" thickBot="1" x14ac:dyDescent="0.25">
      <c r="A182" s="35" t="s">
        <v>840</v>
      </c>
      <c r="B182" s="345">
        <f>CAPEX!O164</f>
        <v>158.99201399589785</v>
      </c>
    </row>
    <row r="183" spans="1:3" ht="17" thickBot="1" x14ac:dyDescent="0.25">
      <c r="A183" s="35" t="s">
        <v>2941</v>
      </c>
      <c r="B183" s="345">
        <f>CAPEX!O165</f>
        <v>489181.41383342916</v>
      </c>
    </row>
    <row r="184" spans="1:3" ht="17" thickBot="1" x14ac:dyDescent="0.25">
      <c r="A184" s="35" t="s">
        <v>812</v>
      </c>
      <c r="B184" s="68">
        <f>CAPEX!O166</f>
        <v>1274885.8703215229</v>
      </c>
    </row>
    <row r="185" spans="1:3" ht="17" thickBot="1" x14ac:dyDescent="0.25">
      <c r="A185" s="46" t="s">
        <v>2416</v>
      </c>
      <c r="C185" s="61">
        <f>OPEX!$I$125</f>
        <v>38.5498605938661</v>
      </c>
    </row>
    <row r="186" spans="1:3" ht="17" thickBot="1" x14ac:dyDescent="0.25">
      <c r="A186" s="46" t="s">
        <v>2418</v>
      </c>
      <c r="C186" s="345">
        <f>OPEX!$I$127</f>
        <v>14.005928544937811</v>
      </c>
    </row>
    <row r="187" spans="1:3" ht="17" thickBot="1" x14ac:dyDescent="0.25">
      <c r="A187" s="46" t="s">
        <v>2420</v>
      </c>
      <c r="C187" s="345">
        <f>OPEX!$I$129</f>
        <v>1097.1560227465959</v>
      </c>
    </row>
    <row r="188" spans="1:3" ht="17" thickBot="1" x14ac:dyDescent="0.25">
      <c r="A188" s="46" t="s">
        <v>1873</v>
      </c>
      <c r="C188" s="822">
        <f>OPEX!$I$140</f>
        <v>322.22658701114977</v>
      </c>
    </row>
    <row r="189" spans="1:3" ht="17" thickBot="1" x14ac:dyDescent="0.25">
      <c r="A189" s="46" t="s">
        <v>2404</v>
      </c>
      <c r="C189" s="345">
        <f>OPEX!I159</f>
        <v>80.194069456852105</v>
      </c>
    </row>
    <row r="190" spans="1:3" ht="17" thickBot="1" x14ac:dyDescent="0.25">
      <c r="A190" s="46" t="s">
        <v>2406</v>
      </c>
      <c r="C190" s="345">
        <f>OPEX!I160</f>
        <v>69468.126763229346</v>
      </c>
    </row>
    <row r="191" spans="1:3" ht="17" thickBot="1" x14ac:dyDescent="0.25">
      <c r="A191" s="46" t="s">
        <v>2387</v>
      </c>
      <c r="C191" s="345">
        <f>OPEX!I161</f>
        <v>322.22658701114977</v>
      </c>
    </row>
    <row r="192" spans="1:3" ht="17" thickBot="1" x14ac:dyDescent="0.25">
      <c r="A192" s="327" t="s">
        <v>2481</v>
      </c>
      <c r="C192" s="68">
        <f>OPEX!E149+OPEX!E170</f>
        <v>3050000</v>
      </c>
    </row>
    <row r="195" spans="1:9" ht="16" thickBot="1" x14ac:dyDescent="0.25"/>
    <row r="196" spans="1:9" x14ac:dyDescent="0.2">
      <c r="A196" s="1831" t="s">
        <v>1874</v>
      </c>
      <c r="B196" s="1832"/>
      <c r="C196" s="1832"/>
      <c r="D196" s="1832"/>
      <c r="E196" s="1832"/>
      <c r="F196" s="1832"/>
      <c r="G196" s="1832"/>
      <c r="H196" s="1832"/>
      <c r="I196" s="1833"/>
    </row>
    <row r="197" spans="1:9" ht="16" thickBot="1" x14ac:dyDescent="0.25">
      <c r="A197" s="1834"/>
      <c r="B197" s="1835"/>
      <c r="C197" s="1835"/>
      <c r="D197" s="1835"/>
      <c r="E197" s="1835"/>
      <c r="F197" s="1835"/>
      <c r="G197" s="1835"/>
      <c r="H197" s="1835"/>
      <c r="I197" s="1836"/>
    </row>
    <row r="198" spans="1:9" ht="16" thickBot="1" x14ac:dyDescent="0.25">
      <c r="B198" s="5" t="s">
        <v>1214</v>
      </c>
      <c r="C198" s="338" t="s">
        <v>1215</v>
      </c>
    </row>
    <row r="199" spans="1:9" ht="17" thickBot="1" x14ac:dyDescent="0.25">
      <c r="A199" s="327" t="s">
        <v>2517</v>
      </c>
      <c r="B199" s="61">
        <f ca="1">CAPEX!O232</f>
        <v>85718.205767279025</v>
      </c>
    </row>
    <row r="200" spans="1:9" ht="17" thickBot="1" x14ac:dyDescent="0.25">
      <c r="A200" s="46" t="s">
        <v>2518</v>
      </c>
      <c r="B200" s="345">
        <f ca="1">CAPEX!O233</f>
        <v>13643.491340046196</v>
      </c>
    </row>
    <row r="201" spans="1:9" ht="17" thickBot="1" x14ac:dyDescent="0.25">
      <c r="A201" s="46" t="s">
        <v>2519</v>
      </c>
      <c r="B201" s="345">
        <f>CAPEX!O234</f>
        <v>12.494386587966757</v>
      </c>
    </row>
    <row r="202" spans="1:9" ht="17" thickBot="1" x14ac:dyDescent="0.25">
      <c r="A202" s="46" t="s">
        <v>1574</v>
      </c>
      <c r="B202" s="345">
        <f>CAPEX!O235</f>
        <v>112340.63789839575</v>
      </c>
    </row>
    <row r="203" spans="1:9" ht="17" thickBot="1" x14ac:dyDescent="0.25">
      <c r="A203" s="46" t="s">
        <v>1575</v>
      </c>
      <c r="B203" s="345">
        <f>CAPEX!O236</f>
        <v>2539.7795703260531</v>
      </c>
    </row>
    <row r="204" spans="1:9" ht="17" thickBot="1" x14ac:dyDescent="0.25">
      <c r="A204" s="35" t="s">
        <v>856</v>
      </c>
      <c r="B204" s="345">
        <f ca="1">CAPEX!O237</f>
        <v>229679.29921966657</v>
      </c>
    </row>
    <row r="205" spans="1:9" ht="17" thickBot="1" x14ac:dyDescent="0.25">
      <c r="A205" s="35" t="s">
        <v>528</v>
      </c>
      <c r="B205" s="345">
        <f ca="1">CAPEX!O238</f>
        <v>68702.238163116053</v>
      </c>
    </row>
    <row r="206" spans="1:9" ht="17" thickBot="1" x14ac:dyDescent="0.25">
      <c r="A206" s="35" t="s">
        <v>841</v>
      </c>
      <c r="B206" s="345">
        <f ca="1">CAPEX!O239</f>
        <v>6014590.0185604189</v>
      </c>
    </row>
    <row r="207" spans="1:9" ht="17" thickBot="1" x14ac:dyDescent="0.25">
      <c r="A207" s="35" t="s">
        <v>812</v>
      </c>
      <c r="B207" s="345">
        <f ca="1">CAPEX!O240</f>
        <v>41003874.095263489</v>
      </c>
    </row>
    <row r="208" spans="1:9" ht="17" thickBot="1" x14ac:dyDescent="0.25">
      <c r="A208" s="35" t="s">
        <v>613</v>
      </c>
      <c r="B208" s="345">
        <f ca="1">CAPEX!O241</f>
        <v>248.40963645742028</v>
      </c>
    </row>
    <row r="209" spans="1:3" ht="17" thickBot="1" x14ac:dyDescent="0.25">
      <c r="A209" s="327" t="s">
        <v>1027</v>
      </c>
      <c r="B209" s="823">
        <f ca="1">CAPEX!O251</f>
        <v>85718.205767279025</v>
      </c>
    </row>
    <row r="210" spans="1:3" ht="17" thickBot="1" x14ac:dyDescent="0.25">
      <c r="A210" s="35" t="s">
        <v>2937</v>
      </c>
      <c r="B210" s="823">
        <f ca="1">CAPEX!O252</f>
        <v>40378663.743194744</v>
      </c>
    </row>
    <row r="211" spans="1:3" ht="17" thickBot="1" x14ac:dyDescent="0.25">
      <c r="A211" s="35" t="s">
        <v>2515</v>
      </c>
      <c r="B211" s="823">
        <f ca="1">CAPEX!O253</f>
        <v>5514510.9436309226</v>
      </c>
    </row>
    <row r="212" spans="1:3" ht="17" thickBot="1" x14ac:dyDescent="0.25">
      <c r="A212" s="35" t="s">
        <v>533</v>
      </c>
      <c r="B212" s="824">
        <f ca="1">CAPEX!O254</f>
        <v>5909.7724987971669</v>
      </c>
    </row>
    <row r="213" spans="1:3" ht="17" thickBot="1" x14ac:dyDescent="0.25">
      <c r="A213" s="46" t="s">
        <v>2407</v>
      </c>
      <c r="C213" s="61">
        <f ca="1">OPEX!I238</f>
        <v>616.43214242633655</v>
      </c>
    </row>
    <row r="214" spans="1:3" ht="17" thickBot="1" x14ac:dyDescent="0.25">
      <c r="A214" s="46" t="s">
        <v>2408</v>
      </c>
      <c r="C214" s="345">
        <f ca="1">OPEX!I239</f>
        <v>306.88246382014256</v>
      </c>
    </row>
    <row r="215" spans="1:3" ht="17" thickBot="1" x14ac:dyDescent="0.25">
      <c r="A215" s="46" t="s">
        <v>2409</v>
      </c>
      <c r="C215" s="345">
        <f ca="1">OPEX!I240</f>
        <v>5427.889040960873</v>
      </c>
    </row>
    <row r="216" spans="1:3" ht="17" thickBot="1" x14ac:dyDescent="0.25">
      <c r="A216" s="46" t="s">
        <v>2406</v>
      </c>
      <c r="C216" s="345">
        <f ca="1">OPEX!I241</f>
        <v>854125.4635248296</v>
      </c>
    </row>
    <row r="217" spans="1:3" ht="17" thickBot="1" x14ac:dyDescent="0.25">
      <c r="A217" s="46" t="s">
        <v>2386</v>
      </c>
      <c r="C217" s="345">
        <f ca="1">OPEX!I242</f>
        <v>534.09515920135436</v>
      </c>
    </row>
    <row r="218" spans="1:3" ht="17" thickBot="1" x14ac:dyDescent="0.25">
      <c r="A218" s="326" t="s">
        <v>2952</v>
      </c>
      <c r="C218" s="345">
        <f ca="1">OPEX!I261</f>
        <v>113738.09956373119</v>
      </c>
    </row>
    <row r="219" spans="1:3" ht="17" thickBot="1" x14ac:dyDescent="0.25">
      <c r="A219" s="327" t="s">
        <v>2403</v>
      </c>
      <c r="C219" s="345">
        <f ca="1">OPEX!I262</f>
        <v>6131.5421257544731</v>
      </c>
    </row>
    <row r="220" spans="1:3" ht="17" thickBot="1" x14ac:dyDescent="0.25">
      <c r="A220" s="327" t="s">
        <v>2421</v>
      </c>
      <c r="C220" s="345">
        <f ca="1">OPEX!I263</f>
        <v>409373.40970903501</v>
      </c>
    </row>
    <row r="221" spans="1:3" ht="17" thickBot="1" x14ac:dyDescent="0.25">
      <c r="A221" s="327" t="s">
        <v>2481</v>
      </c>
      <c r="C221" s="68">
        <f>OPEX!E251</f>
        <v>630000</v>
      </c>
    </row>
    <row r="225" spans="1:15" ht="16" thickBot="1" x14ac:dyDescent="0.25"/>
    <row r="226" spans="1:15" x14ac:dyDescent="0.2">
      <c r="A226" s="1783" t="s">
        <v>2793</v>
      </c>
      <c r="B226" s="1784"/>
      <c r="C226" s="1784"/>
      <c r="D226" s="1784"/>
      <c r="E226" s="1784"/>
      <c r="F226" s="1784"/>
      <c r="G226" s="1784"/>
      <c r="H226" s="1784"/>
      <c r="I226" s="1784"/>
      <c r="J226" s="1784"/>
      <c r="K226" s="1784"/>
      <c r="L226" s="1784"/>
      <c r="M226" s="1784"/>
      <c r="N226" s="1784"/>
      <c r="O226" s="1785"/>
    </row>
    <row r="227" spans="1:15" ht="16" thickBot="1" x14ac:dyDescent="0.25">
      <c r="A227" s="1786"/>
      <c r="B227" s="1787"/>
      <c r="C227" s="1787"/>
      <c r="D227" s="1787"/>
      <c r="E227" s="1787"/>
      <c r="F227" s="1787"/>
      <c r="G227" s="1787"/>
      <c r="H227" s="1787"/>
      <c r="I227" s="1787"/>
      <c r="J227" s="1787"/>
      <c r="K227" s="1787"/>
      <c r="L227" s="1787"/>
      <c r="M227" s="1787"/>
      <c r="N227" s="1787"/>
      <c r="O227" s="1788"/>
    </row>
    <row r="228" spans="1:15" ht="16" thickBot="1" x14ac:dyDescent="0.25">
      <c r="B228" s="5" t="s">
        <v>1214</v>
      </c>
      <c r="C228" s="338" t="s">
        <v>1215</v>
      </c>
    </row>
    <row r="229" spans="1:15" ht="17" thickBot="1" x14ac:dyDescent="0.25">
      <c r="A229" s="327" t="s">
        <v>799</v>
      </c>
      <c r="B229" s="61">
        <f ca="1">CAPEX!O270</f>
        <v>3657776.3686772222</v>
      </c>
    </row>
    <row r="230" spans="1:15" ht="17" thickBot="1" x14ac:dyDescent="0.25">
      <c r="A230" s="46" t="s">
        <v>800</v>
      </c>
      <c r="B230" s="345">
        <f ca="1">CAPEX!O271</f>
        <v>4000692.9032407119</v>
      </c>
    </row>
    <row r="231" spans="1:15" ht="17" thickBot="1" x14ac:dyDescent="0.25">
      <c r="A231" s="35" t="s">
        <v>802</v>
      </c>
      <c r="B231" s="345">
        <f ca="1">CAPEX!O272</f>
        <v>12002078.709722135</v>
      </c>
    </row>
    <row r="232" spans="1:15" ht="17" thickBot="1" x14ac:dyDescent="0.25">
      <c r="A232" s="35" t="s">
        <v>812</v>
      </c>
      <c r="B232" s="345">
        <f ca="1">CAPEX!O273</f>
        <v>6453123.8183125043</v>
      </c>
    </row>
    <row r="233" spans="1:15" ht="17" thickBot="1" x14ac:dyDescent="0.25">
      <c r="A233" s="35" t="s">
        <v>834</v>
      </c>
      <c r="B233" s="345">
        <f ca="1">CAPEX!O274</f>
        <v>27341.450935610712</v>
      </c>
    </row>
    <row r="234" spans="1:15" ht="17" thickBot="1" x14ac:dyDescent="0.25">
      <c r="A234" s="35" t="s">
        <v>835</v>
      </c>
      <c r="B234" s="345">
        <f ca="1">CAPEX!O275</f>
        <v>912.14140656716438</v>
      </c>
    </row>
    <row r="235" spans="1:15" ht="17" thickBot="1" x14ac:dyDescent="0.25">
      <c r="A235" s="35" t="s">
        <v>836</v>
      </c>
      <c r="B235" s="345">
        <f ca="1">CAPEX!O276</f>
        <v>912.14140656716438</v>
      </c>
    </row>
    <row r="236" spans="1:15" ht="17" thickBot="1" x14ac:dyDescent="0.25">
      <c r="A236" s="35" t="s">
        <v>837</v>
      </c>
      <c r="B236" s="345">
        <f ca="1">CAPEX!O277</f>
        <v>912.14140656716438</v>
      </c>
    </row>
    <row r="237" spans="1:15" ht="17" thickBot="1" x14ac:dyDescent="0.25">
      <c r="A237" s="35" t="s">
        <v>745</v>
      </c>
      <c r="B237" s="345">
        <f ca="1">CAPEX!O278</f>
        <v>889439.80976708652</v>
      </c>
    </row>
    <row r="238" spans="1:15" ht="17" thickBot="1" x14ac:dyDescent="0.25">
      <c r="A238" s="46" t="s">
        <v>2379</v>
      </c>
      <c r="B238" s="345">
        <f ca="1">CAPEX!O288</f>
        <v>289284.21721224807</v>
      </c>
    </row>
    <row r="239" spans="1:15" ht="17" thickBot="1" x14ac:dyDescent="0.25">
      <c r="A239" s="46" t="s">
        <v>2374</v>
      </c>
      <c r="B239" s="345">
        <f ca="1">CAPEX!O289</f>
        <v>2868.5521178948256</v>
      </c>
    </row>
    <row r="240" spans="1:15" ht="17" thickBot="1" x14ac:dyDescent="0.25">
      <c r="A240" s="46" t="s">
        <v>2375</v>
      </c>
      <c r="B240" s="345">
        <f ca="1">CAPEX!O290</f>
        <v>20927.670388427814</v>
      </c>
    </row>
    <row r="241" spans="1:3" ht="17" thickBot="1" x14ac:dyDescent="0.25">
      <c r="A241" s="35" t="s">
        <v>1025</v>
      </c>
      <c r="B241" s="345">
        <f ca="1">CAPEX!O291</f>
        <v>7312.4842583230447</v>
      </c>
    </row>
    <row r="242" spans="1:3" ht="17" thickBot="1" x14ac:dyDescent="0.25">
      <c r="A242" s="35" t="s">
        <v>841</v>
      </c>
      <c r="B242" s="345">
        <f ca="1">CAPEX!O292</f>
        <v>1589.7401794396849</v>
      </c>
    </row>
    <row r="243" spans="1:3" ht="17" thickBot="1" x14ac:dyDescent="0.25">
      <c r="A243" s="35" t="s">
        <v>2376</v>
      </c>
      <c r="B243" s="345">
        <f ca="1">CAPEX!O293</f>
        <v>847893.09372974304</v>
      </c>
    </row>
    <row r="244" spans="1:3" ht="17" thickBot="1" x14ac:dyDescent="0.25">
      <c r="A244" s="35" t="s">
        <v>1026</v>
      </c>
      <c r="B244" s="345">
        <f ca="1">CAPEX!O294</f>
        <v>16137.203060660289</v>
      </c>
    </row>
    <row r="245" spans="1:3" ht="16" thickBot="1" x14ac:dyDescent="0.25">
      <c r="A245" s="64" t="s">
        <v>1027</v>
      </c>
      <c r="B245" s="345">
        <f ca="1">CAPEX!O295</f>
        <v>905.09620449667841</v>
      </c>
    </row>
    <row r="246" spans="1:3" ht="17" thickBot="1" x14ac:dyDescent="0.25">
      <c r="A246" s="35" t="s">
        <v>901</v>
      </c>
      <c r="B246" s="345">
        <f ca="1">CAPEX!O296</f>
        <v>596.98693636997416</v>
      </c>
    </row>
    <row r="247" spans="1:3" ht="17" thickBot="1" x14ac:dyDescent="0.25">
      <c r="A247" s="35" t="s">
        <v>538</v>
      </c>
      <c r="B247" s="68">
        <f ca="1">CAPEX!O297</f>
        <v>11.700922032152322</v>
      </c>
    </row>
    <row r="248" spans="1:3" ht="17" thickBot="1" x14ac:dyDescent="0.25">
      <c r="A248" s="46" t="s">
        <v>2424</v>
      </c>
      <c r="C248" s="61">
        <f ca="1">OPEX!I278</f>
        <v>141540.04209229251</v>
      </c>
    </row>
    <row r="249" spans="1:3" ht="17" thickBot="1" x14ac:dyDescent="0.25">
      <c r="A249" s="46" t="s">
        <v>2425</v>
      </c>
      <c r="C249" s="345">
        <f ca="1">OPEX!I279</f>
        <v>504.40134682273248</v>
      </c>
    </row>
    <row r="250" spans="1:3" ht="17" thickBot="1" x14ac:dyDescent="0.25">
      <c r="A250" s="328" t="s">
        <v>2426</v>
      </c>
      <c r="C250" s="345">
        <f ca="1">OPEX!I280</f>
        <v>521.15930543736852</v>
      </c>
    </row>
    <row r="251" spans="1:3" ht="17" thickBot="1" x14ac:dyDescent="0.25">
      <c r="A251" s="328" t="s">
        <v>2427</v>
      </c>
      <c r="C251" s="345">
        <f ca="1">OPEX!I281</f>
        <v>521.15930543736852</v>
      </c>
    </row>
    <row r="252" spans="1:3" ht="17" thickBot="1" x14ac:dyDescent="0.25">
      <c r="A252" s="328" t="s">
        <v>2428</v>
      </c>
      <c r="C252" s="345">
        <f ca="1">OPEX!I282</f>
        <v>521.15930543736852</v>
      </c>
    </row>
    <row r="253" spans="1:3" ht="17" thickBot="1" x14ac:dyDescent="0.25">
      <c r="A253" s="328" t="s">
        <v>2429</v>
      </c>
      <c r="C253" s="345">
        <f ca="1">OPEX!I283</f>
        <v>521.15930543736852</v>
      </c>
    </row>
    <row r="254" spans="1:3" ht="17" thickBot="1" x14ac:dyDescent="0.25">
      <c r="A254" s="328" t="s">
        <v>2387</v>
      </c>
      <c r="C254" s="345">
        <f ca="1">OPEX!I284</f>
        <v>4455.8493834231695</v>
      </c>
    </row>
    <row r="255" spans="1:3" ht="17" thickBot="1" x14ac:dyDescent="0.25">
      <c r="A255" s="328" t="s">
        <v>2433</v>
      </c>
      <c r="C255" s="345">
        <f ca="1">OPEX!I285</f>
        <v>713598.78640375519</v>
      </c>
    </row>
    <row r="256" spans="1:3" ht="17" thickBot="1" x14ac:dyDescent="0.25">
      <c r="A256" s="46" t="s">
        <v>1567</v>
      </c>
      <c r="C256" s="345">
        <f ca="1">OPEX!I304</f>
        <v>340623.48680873733</v>
      </c>
    </row>
    <row r="257" spans="1:15" ht="17" thickBot="1" x14ac:dyDescent="0.25">
      <c r="A257" s="46" t="s">
        <v>2430</v>
      </c>
      <c r="C257" s="345">
        <f ca="1">OPEX!I305</f>
        <v>120.71404321916224</v>
      </c>
    </row>
    <row r="258" spans="1:15" ht="17" thickBot="1" x14ac:dyDescent="0.25">
      <c r="A258" s="46" t="s">
        <v>2387</v>
      </c>
      <c r="C258" s="345">
        <f ca="1">OPEX!I306</f>
        <v>332.13630912041549</v>
      </c>
    </row>
    <row r="259" spans="1:15" ht="17" thickBot="1" x14ac:dyDescent="0.25">
      <c r="A259" s="46" t="s">
        <v>2431</v>
      </c>
      <c r="C259" s="345">
        <f ca="1">OPEX!I307</f>
        <v>57.256095579941878</v>
      </c>
    </row>
    <row r="260" spans="1:15" ht="17" thickBot="1" x14ac:dyDescent="0.25">
      <c r="A260" s="46" t="s">
        <v>2432</v>
      </c>
      <c r="C260" s="345">
        <f ca="1">OPEX!I308</f>
        <v>29.555208422837786</v>
      </c>
    </row>
    <row r="261" spans="1:15" ht="17" thickBot="1" x14ac:dyDescent="0.25">
      <c r="A261" s="46" t="s">
        <v>2433</v>
      </c>
      <c r="C261" s="345">
        <f ca="1">OPEX!I309</f>
        <v>71347.627398839584</v>
      </c>
    </row>
    <row r="262" spans="1:15" ht="17" thickBot="1" x14ac:dyDescent="0.25">
      <c r="A262" s="327" t="s">
        <v>2481</v>
      </c>
      <c r="C262" s="68">
        <f>OPEX!E294+OPEX!E318</f>
        <v>1435000</v>
      </c>
    </row>
    <row r="265" spans="1:15" ht="16" thickBot="1" x14ac:dyDescent="0.25"/>
    <row r="266" spans="1:15" x14ac:dyDescent="0.2">
      <c r="A266" s="1789" t="s">
        <v>2794</v>
      </c>
      <c r="B266" s="1790"/>
      <c r="C266" s="1790"/>
      <c r="D266" s="1790"/>
      <c r="E266" s="1790"/>
      <c r="F266" s="1790"/>
      <c r="G266" s="1790"/>
      <c r="H266" s="1790"/>
      <c r="I266" s="1790"/>
      <c r="J266" s="1790"/>
      <c r="K266" s="1790"/>
      <c r="L266" s="1790"/>
      <c r="M266" s="1790"/>
      <c r="N266" s="1790"/>
      <c r="O266" s="1791"/>
    </row>
    <row r="267" spans="1:15" ht="16" thickBot="1" x14ac:dyDescent="0.25">
      <c r="A267" s="1792"/>
      <c r="B267" s="1793"/>
      <c r="C267" s="1793"/>
      <c r="D267" s="1793"/>
      <c r="E267" s="1793"/>
      <c r="F267" s="1793"/>
      <c r="G267" s="1793"/>
      <c r="H267" s="1793"/>
      <c r="I267" s="1793"/>
      <c r="J267" s="1793"/>
      <c r="K267" s="1793"/>
      <c r="L267" s="1793"/>
      <c r="M267" s="1793"/>
      <c r="N267" s="1793"/>
      <c r="O267" s="1794"/>
    </row>
    <row r="268" spans="1:15" ht="16" thickBot="1" x14ac:dyDescent="0.25">
      <c r="B268" s="5" t="s">
        <v>1214</v>
      </c>
      <c r="C268" s="338" t="s">
        <v>1215</v>
      </c>
    </row>
    <row r="269" spans="1:15" ht="17" thickBot="1" x14ac:dyDescent="0.25">
      <c r="A269" s="327" t="s">
        <v>2379</v>
      </c>
      <c r="B269" s="61">
        <f ca="1">CAPEX!O308</f>
        <v>79628.587426385187</v>
      </c>
    </row>
    <row r="270" spans="1:15" ht="17" thickBot="1" x14ac:dyDescent="0.25">
      <c r="A270" s="35" t="s">
        <v>1027</v>
      </c>
      <c r="B270" s="345">
        <f ca="1">CAPEX!O309</f>
        <v>60477.548283387863</v>
      </c>
    </row>
    <row r="271" spans="1:15" ht="17" thickBot="1" x14ac:dyDescent="0.25">
      <c r="A271" s="35" t="s">
        <v>2977</v>
      </c>
      <c r="B271" s="345">
        <f ca="1">CAPEX!O310</f>
        <v>633985.87244320207</v>
      </c>
    </row>
    <row r="272" spans="1:15" ht="17" thickBot="1" x14ac:dyDescent="0.25">
      <c r="A272" s="35" t="s">
        <v>1088</v>
      </c>
      <c r="B272" s="345">
        <f ca="1">CAPEX!O311</f>
        <v>1491.1177465123089</v>
      </c>
    </row>
    <row r="273" spans="1:2" ht="17" thickBot="1" x14ac:dyDescent="0.25">
      <c r="A273" s="35" t="s">
        <v>1089</v>
      </c>
      <c r="B273" s="345">
        <f ca="1">CAPEX!O312</f>
        <v>1827.6662969296542</v>
      </c>
    </row>
    <row r="274" spans="1:2" ht="17" thickBot="1" x14ac:dyDescent="0.25">
      <c r="A274" s="35" t="s">
        <v>1090</v>
      </c>
      <c r="B274" s="345">
        <f ca="1">CAPEX!O313</f>
        <v>60477.548283387863</v>
      </c>
    </row>
    <row r="275" spans="1:2" ht="17" thickBot="1" x14ac:dyDescent="0.25">
      <c r="A275" s="46" t="s">
        <v>2444</v>
      </c>
      <c r="B275" s="345">
        <f>CAPEX!O314</f>
        <v>948622.83801964088</v>
      </c>
    </row>
    <row r="276" spans="1:2" ht="17" thickBot="1" x14ac:dyDescent="0.25">
      <c r="A276" s="46" t="s">
        <v>2379</v>
      </c>
      <c r="B276" s="345">
        <f ca="1">CAPEX!O324</f>
        <v>79628.587426385187</v>
      </c>
    </row>
    <row r="277" spans="1:2" ht="17" thickBot="1" x14ac:dyDescent="0.25">
      <c r="A277" s="46" t="s">
        <v>1223</v>
      </c>
      <c r="B277" s="345">
        <f ca="1">CAPEX!O325</f>
        <v>435.14926701462122</v>
      </c>
    </row>
    <row r="278" spans="1:2" ht="17" thickBot="1" x14ac:dyDescent="0.25">
      <c r="A278" s="46" t="s">
        <v>2976</v>
      </c>
      <c r="B278" s="345">
        <f ca="1">CAPEX!O326</f>
        <v>1798123.2228001643</v>
      </c>
    </row>
    <row r="279" spans="1:2" ht="17" thickBot="1" x14ac:dyDescent="0.25">
      <c r="A279" s="35" t="s">
        <v>1088</v>
      </c>
      <c r="B279" s="345">
        <f ca="1">CAPEX!O327</f>
        <v>1491.1177465123089</v>
      </c>
    </row>
    <row r="280" spans="1:2" ht="17" thickBot="1" x14ac:dyDescent="0.25">
      <c r="A280" s="46" t="s">
        <v>1226</v>
      </c>
      <c r="B280" s="345">
        <f ca="1">CAPEX!O328</f>
        <v>4273.1861522534537</v>
      </c>
    </row>
    <row r="281" spans="1:2" ht="17" thickBot="1" x14ac:dyDescent="0.25">
      <c r="A281" s="46" t="s">
        <v>1092</v>
      </c>
      <c r="B281" s="345">
        <f ca="1">CAPEX!O329</f>
        <v>1057795.2844331148</v>
      </c>
    </row>
    <row r="282" spans="1:2" ht="17" thickBot="1" x14ac:dyDescent="0.25">
      <c r="A282" s="46" t="s">
        <v>1093</v>
      </c>
      <c r="B282" s="345">
        <f ca="1">CAPEX!O330</f>
        <v>23914.470339934105</v>
      </c>
    </row>
    <row r="283" spans="1:2" ht="17" thickBot="1" x14ac:dyDescent="0.25">
      <c r="A283" s="46" t="s">
        <v>1094</v>
      </c>
      <c r="B283" s="345">
        <f ca="1">CAPEX!O331</f>
        <v>2577.5392122817284</v>
      </c>
    </row>
    <row r="284" spans="1:2" ht="17" thickBot="1" x14ac:dyDescent="0.25">
      <c r="A284" s="46" t="s">
        <v>2444</v>
      </c>
      <c r="B284" s="345">
        <f>CAPEX!O332</f>
        <v>948622.83801964088</v>
      </c>
    </row>
    <row r="285" spans="1:2" ht="17" thickBot="1" x14ac:dyDescent="0.25">
      <c r="A285" s="46" t="s">
        <v>2379</v>
      </c>
      <c r="B285" s="345">
        <f ca="1">CAPEX!O342</f>
        <v>53085.724950923446</v>
      </c>
    </row>
    <row r="286" spans="1:2" ht="17" thickBot="1" x14ac:dyDescent="0.25">
      <c r="A286" s="35" t="s">
        <v>1026</v>
      </c>
      <c r="B286" s="345">
        <f ca="1">CAPEX!O343</f>
        <v>16104.93241769869</v>
      </c>
    </row>
    <row r="287" spans="1:2" ht="16" thickBot="1" x14ac:dyDescent="0.25">
      <c r="A287" s="64" t="s">
        <v>1027</v>
      </c>
      <c r="B287" s="345">
        <f ca="1">CAPEX!O344</f>
        <v>903.28622315409893</v>
      </c>
    </row>
    <row r="288" spans="1:2" ht="17" thickBot="1" x14ac:dyDescent="0.25">
      <c r="A288" s="35" t="s">
        <v>901</v>
      </c>
      <c r="B288" s="345">
        <f>CAPEX!O345</f>
        <v>25229.601129113802</v>
      </c>
    </row>
    <row r="289" spans="1:3" ht="17" thickBot="1" x14ac:dyDescent="0.25">
      <c r="A289" s="35" t="s">
        <v>538</v>
      </c>
      <c r="B289" s="68">
        <f>CAPEX!O346</f>
        <v>20898.311538461541</v>
      </c>
    </row>
    <row r="290" spans="1:3" ht="17" thickBot="1" x14ac:dyDescent="0.25">
      <c r="A290" s="46" t="s">
        <v>1568</v>
      </c>
      <c r="C290" s="61">
        <f ca="1">OPEX!I328</f>
        <v>1.2401614680994452E-2</v>
      </c>
    </row>
    <row r="291" spans="1:3" ht="17" thickBot="1" x14ac:dyDescent="0.25">
      <c r="A291" s="46" t="s">
        <v>2387</v>
      </c>
      <c r="C291" s="345">
        <f ca="1">OPEX!I329</f>
        <v>10.891454384295553</v>
      </c>
    </row>
    <row r="292" spans="1:3" ht="17" thickBot="1" x14ac:dyDescent="0.25">
      <c r="A292" s="46" t="s">
        <v>2436</v>
      </c>
      <c r="C292" s="345">
        <f ca="1">OPEX!I330</f>
        <v>1.0933171379999991</v>
      </c>
    </row>
    <row r="293" spans="1:3" ht="17" thickBot="1" x14ac:dyDescent="0.25">
      <c r="A293" s="46" t="s">
        <v>2437</v>
      </c>
      <c r="C293" s="345">
        <f ca="1">OPEX!I331</f>
        <v>422.91928163019037</v>
      </c>
    </row>
    <row r="294" spans="1:3" ht="17" thickBot="1" x14ac:dyDescent="0.25">
      <c r="A294" s="46" t="s">
        <v>2438</v>
      </c>
      <c r="C294" s="345">
        <f>OPEX!I332</f>
        <v>830.49149369327836</v>
      </c>
    </row>
    <row r="295" spans="1:3" ht="17" thickBot="1" x14ac:dyDescent="0.25">
      <c r="A295" s="46" t="s">
        <v>2439</v>
      </c>
      <c r="C295" s="345">
        <f ca="1">OPEX!I333</f>
        <v>341.5886505474615</v>
      </c>
    </row>
    <row r="296" spans="1:3" ht="17" thickBot="1" x14ac:dyDescent="0.25">
      <c r="A296" s="46" t="s">
        <v>2433</v>
      </c>
      <c r="C296" s="345">
        <f ca="1">OPEX!I334</f>
        <v>1416.1448978937951</v>
      </c>
    </row>
    <row r="297" spans="1:3" ht="17" thickBot="1" x14ac:dyDescent="0.25">
      <c r="A297" s="46" t="s">
        <v>1569</v>
      </c>
      <c r="C297" s="345">
        <f ca="1">OPEX!I354</f>
        <v>0.49157961892865787</v>
      </c>
    </row>
    <row r="298" spans="1:3" ht="17" thickBot="1" x14ac:dyDescent="0.25">
      <c r="A298" s="46" t="s">
        <v>2440</v>
      </c>
      <c r="C298" s="345">
        <f ca="1">OPEX!I355</f>
        <v>3.0586881015137107E-5</v>
      </c>
    </row>
    <row r="299" spans="1:3" ht="17" thickBot="1" x14ac:dyDescent="0.25">
      <c r="A299" s="46" t="s">
        <v>2387</v>
      </c>
      <c r="C299" s="345">
        <f ca="1">OPEX!I356</f>
        <v>10.891454384295553</v>
      </c>
    </row>
    <row r="300" spans="1:3" ht="17" thickBot="1" x14ac:dyDescent="0.25">
      <c r="A300" s="46" t="s">
        <v>2441</v>
      </c>
      <c r="C300" s="345">
        <f ca="1">OPEX!I357</f>
        <v>1.0933171379999991</v>
      </c>
    </row>
    <row r="301" spans="1:3" ht="17" thickBot="1" x14ac:dyDescent="0.25">
      <c r="A301" s="46" t="s">
        <v>2438</v>
      </c>
      <c r="C301" s="345">
        <f>OPEX!I358</f>
        <v>830.49149369327836</v>
      </c>
    </row>
    <row r="302" spans="1:3" ht="17" thickBot="1" x14ac:dyDescent="0.25">
      <c r="A302" s="46" t="s">
        <v>2439</v>
      </c>
      <c r="C302" s="345">
        <f ca="1">OPEX!I359</f>
        <v>341.5886505474615</v>
      </c>
    </row>
    <row r="303" spans="1:3" ht="17" thickBot="1" x14ac:dyDescent="0.25">
      <c r="A303" s="46" t="s">
        <v>2433</v>
      </c>
      <c r="C303" s="345">
        <f ca="1">OPEX!I360</f>
        <v>13321.492506077399</v>
      </c>
    </row>
    <row r="304" spans="1:3" ht="17" thickBot="1" x14ac:dyDescent="0.25">
      <c r="A304" s="46" t="s">
        <v>2387</v>
      </c>
      <c r="C304" s="345">
        <f ca="1">OPEX!I380</f>
        <v>10.891454384295553</v>
      </c>
    </row>
    <row r="305" spans="1:15" ht="17" thickBot="1" x14ac:dyDescent="0.25">
      <c r="A305" s="46" t="s">
        <v>2430</v>
      </c>
      <c r="C305" s="345">
        <f ca="1">OPEX!I381</f>
        <v>120.71404321916224</v>
      </c>
    </row>
    <row r="306" spans="1:15" ht="17" thickBot="1" x14ac:dyDescent="0.25">
      <c r="A306" s="46" t="s">
        <v>2442</v>
      </c>
      <c r="C306" s="345">
        <f ca="1">OPEX!I382</f>
        <v>9.8023089458659989</v>
      </c>
    </row>
    <row r="307" spans="1:15" ht="17" thickBot="1" x14ac:dyDescent="0.25">
      <c r="A307" s="46" t="s">
        <v>2443</v>
      </c>
      <c r="C307" s="345">
        <f ca="1">OPEX!I383</f>
        <v>1.0891454384295556</v>
      </c>
    </row>
    <row r="308" spans="1:15" ht="17" thickBot="1" x14ac:dyDescent="0.25">
      <c r="A308" s="327" t="s">
        <v>2481</v>
      </c>
      <c r="C308" s="68">
        <f>OPEX!E392+OPEX!E369+OPEX!E343</f>
        <v>1125000</v>
      </c>
    </row>
    <row r="311" spans="1:15" ht="16" thickBot="1" x14ac:dyDescent="0.25"/>
    <row r="312" spans="1:15" x14ac:dyDescent="0.2">
      <c r="A312" s="1795" t="s">
        <v>2466</v>
      </c>
      <c r="B312" s="1796"/>
      <c r="C312" s="1796"/>
      <c r="D312" s="1796"/>
      <c r="E312" s="1796"/>
      <c r="F312" s="1796"/>
      <c r="G312" s="1796"/>
      <c r="H312" s="1796"/>
      <c r="I312" s="1796"/>
      <c r="J312" s="1796"/>
      <c r="K312" s="1796"/>
      <c r="L312" s="1796"/>
      <c r="M312" s="1796"/>
      <c r="N312" s="1796"/>
      <c r="O312" s="1797"/>
    </row>
    <row r="313" spans="1:15" ht="16" thickBot="1" x14ac:dyDescent="0.25">
      <c r="A313" s="1798"/>
      <c r="B313" s="1799"/>
      <c r="C313" s="1799"/>
      <c r="D313" s="1799"/>
      <c r="E313" s="1799"/>
      <c r="F313" s="1799"/>
      <c r="G313" s="1799"/>
      <c r="H313" s="1799"/>
      <c r="I313" s="1799"/>
      <c r="J313" s="1799"/>
      <c r="K313" s="1799"/>
      <c r="L313" s="1799"/>
      <c r="M313" s="1799"/>
      <c r="N313" s="1799"/>
      <c r="O313" s="1800"/>
    </row>
    <row r="314" spans="1:15" ht="16" thickBot="1" x14ac:dyDescent="0.25">
      <c r="B314" s="5" t="s">
        <v>1214</v>
      </c>
      <c r="C314" s="338" t="s">
        <v>1215</v>
      </c>
    </row>
    <row r="315" spans="1:15" ht="17" thickBot="1" x14ac:dyDescent="0.25">
      <c r="A315" s="327" t="s">
        <v>2355</v>
      </c>
      <c r="B315" s="61">
        <f ca="1">CAPEX!O360</f>
        <v>44075.813180509009</v>
      </c>
    </row>
    <row r="316" spans="1:15" ht="17" thickBot="1" x14ac:dyDescent="0.25">
      <c r="A316" s="46" t="s">
        <v>2359</v>
      </c>
      <c r="B316" s="345">
        <f ca="1">CAPEX!O361</f>
        <v>11025.208824934285</v>
      </c>
    </row>
    <row r="317" spans="1:15" ht="17" thickBot="1" x14ac:dyDescent="0.25">
      <c r="A317" s="46" t="s">
        <v>2359</v>
      </c>
      <c r="B317" s="345">
        <f ca="1">CAPEX!O362</f>
        <v>6332.3196203504021</v>
      </c>
    </row>
    <row r="318" spans="1:15" ht="17" thickBot="1" x14ac:dyDescent="0.25">
      <c r="A318" s="46" t="s">
        <v>2359</v>
      </c>
      <c r="B318" s="345">
        <f ca="1">CAPEX!O363</f>
        <v>3636.9625656059784</v>
      </c>
    </row>
    <row r="319" spans="1:15" ht="17" thickBot="1" x14ac:dyDescent="0.25">
      <c r="A319" s="35" t="s">
        <v>2360</v>
      </c>
      <c r="B319" s="345">
        <f ca="1">CAPEX!O364</f>
        <v>74757.963410028475</v>
      </c>
    </row>
    <row r="320" spans="1:15" ht="17" thickBot="1" x14ac:dyDescent="0.25">
      <c r="A320" s="35" t="s">
        <v>2361</v>
      </c>
      <c r="B320" s="345">
        <f ca="1">CAPEX!O365</f>
        <v>18557.122581101907</v>
      </c>
    </row>
    <row r="321" spans="1:3" ht="17" thickBot="1" x14ac:dyDescent="0.25">
      <c r="A321" s="46" t="s">
        <v>2362</v>
      </c>
      <c r="B321" s="345">
        <f ca="1">CAPEX!O366</f>
        <v>11201.262151249228</v>
      </c>
    </row>
    <row r="322" spans="1:3" ht="17" thickBot="1" x14ac:dyDescent="0.25">
      <c r="A322" s="46" t="s">
        <v>2362</v>
      </c>
      <c r="B322" s="345">
        <f ca="1">CAPEX!O367</f>
        <v>7081.4321735089934</v>
      </c>
    </row>
    <row r="323" spans="1:3" ht="17" thickBot="1" x14ac:dyDescent="0.25">
      <c r="A323" s="35" t="s">
        <v>2363</v>
      </c>
      <c r="B323" s="345">
        <f ca="1">CAPEX!O368</f>
        <v>75801.461966339964</v>
      </c>
    </row>
    <row r="324" spans="1:3" ht="17" thickBot="1" x14ac:dyDescent="0.25">
      <c r="A324" s="35" t="s">
        <v>2364</v>
      </c>
      <c r="B324" s="345">
        <f ca="1">CAPEX!O369</f>
        <v>18816.14957621232</v>
      </c>
    </row>
    <row r="325" spans="1:3" ht="17" thickBot="1" x14ac:dyDescent="0.25">
      <c r="A325" s="46" t="s">
        <v>2365</v>
      </c>
      <c r="B325" s="345">
        <f ca="1">CAPEX!O370</f>
        <v>11464.055061728001</v>
      </c>
    </row>
    <row r="326" spans="1:3" ht="17" thickBot="1" x14ac:dyDescent="0.25">
      <c r="A326" s="46" t="s">
        <v>2365</v>
      </c>
      <c r="B326" s="345">
        <f ca="1">CAPEX!O371</f>
        <v>6584.3705955011928</v>
      </c>
    </row>
    <row r="327" spans="1:3" ht="17" thickBot="1" x14ac:dyDescent="0.25">
      <c r="A327" s="35" t="s">
        <v>2366</v>
      </c>
      <c r="B327" s="345">
        <f ca="1">CAPEX!O372</f>
        <v>77870.24969894778</v>
      </c>
    </row>
    <row r="328" spans="1:3" ht="17" thickBot="1" x14ac:dyDescent="0.25">
      <c r="A328" s="35" t="s">
        <v>2367</v>
      </c>
      <c r="B328" s="345">
        <f ca="1">CAPEX!O373</f>
        <v>19329.683463401263</v>
      </c>
    </row>
    <row r="329" spans="1:3" ht="17" thickBot="1" x14ac:dyDescent="0.25">
      <c r="A329" s="46" t="s">
        <v>2356</v>
      </c>
      <c r="B329" s="345">
        <f ca="1">CAPEX!O374</f>
        <v>69564.364825201264</v>
      </c>
    </row>
    <row r="330" spans="1:3" ht="17" thickBot="1" x14ac:dyDescent="0.25">
      <c r="A330" s="46" t="s">
        <v>2356</v>
      </c>
      <c r="B330" s="345">
        <f ca="1">CAPEX!O375</f>
        <v>69564.364825201264</v>
      </c>
    </row>
    <row r="331" spans="1:3" ht="17" thickBot="1" x14ac:dyDescent="0.25">
      <c r="A331" s="35" t="s">
        <v>3013</v>
      </c>
      <c r="B331" s="345">
        <f ca="1">CAPEX!O376</f>
        <v>374677.36873081001</v>
      </c>
    </row>
    <row r="332" spans="1:3" ht="17" thickBot="1" x14ac:dyDescent="0.25">
      <c r="A332" s="35" t="s">
        <v>2358</v>
      </c>
      <c r="B332" s="345">
        <f ca="1">CAPEX!O377</f>
        <v>93005.929305046389</v>
      </c>
    </row>
    <row r="333" spans="1:3" ht="17" thickBot="1" x14ac:dyDescent="0.25">
      <c r="A333" s="35" t="s">
        <v>3012</v>
      </c>
      <c r="B333" s="345">
        <f ca="1">CAPEX!O378*0.1</f>
        <v>601459.00185604196</v>
      </c>
    </row>
    <row r="334" spans="1:3" ht="17" thickBot="1" x14ac:dyDescent="0.25">
      <c r="A334" s="35" t="s">
        <v>2467</v>
      </c>
      <c r="B334" s="345">
        <f ca="1">CAPEX!O379</f>
        <v>5909.7724987971669</v>
      </c>
    </row>
    <row r="335" spans="1:3" ht="17" thickBot="1" x14ac:dyDescent="0.25">
      <c r="A335" s="35" t="s">
        <v>2379</v>
      </c>
      <c r="B335" s="68">
        <f ca="1">CAPEX!O380*0.1</f>
        <v>82752.750074175536</v>
      </c>
    </row>
    <row r="336" spans="1:3" ht="17" thickBot="1" x14ac:dyDescent="0.25">
      <c r="A336" s="46" t="s">
        <v>2452</v>
      </c>
      <c r="C336" s="61">
        <f ca="1">OPEX!I405</f>
        <v>4213858.6866509058</v>
      </c>
    </row>
    <row r="337" spans="1:3" ht="17" thickBot="1" x14ac:dyDescent="0.25">
      <c r="A337" s="46" t="s">
        <v>2564</v>
      </c>
      <c r="C337" s="345">
        <f ca="1">OPEX!I406</f>
        <v>77767.557129819194</v>
      </c>
    </row>
    <row r="338" spans="1:3" ht="17" thickBot="1" x14ac:dyDescent="0.25">
      <c r="A338" s="46" t="s">
        <v>2460</v>
      </c>
      <c r="C338" s="345">
        <f ca="1">OPEX!I407</f>
        <v>68330.037081986375</v>
      </c>
    </row>
    <row r="339" spans="1:3" ht="17" thickBot="1" x14ac:dyDescent="0.25">
      <c r="A339" s="46" t="s">
        <v>2387</v>
      </c>
      <c r="C339" s="345">
        <f ca="1">OPEX!I408</f>
        <v>34165.018540993187</v>
      </c>
    </row>
    <row r="340" spans="1:3" ht="17" thickBot="1" x14ac:dyDescent="0.25">
      <c r="A340" s="46" t="s">
        <v>2453</v>
      </c>
      <c r="C340" s="345">
        <f ca="1">OPEX!I409</f>
        <v>102495.05562297958</v>
      </c>
    </row>
    <row r="341" spans="1:3" ht="17" thickBot="1" x14ac:dyDescent="0.25">
      <c r="A341" s="46" t="s">
        <v>2459</v>
      </c>
      <c r="C341" s="345">
        <f ca="1">OPEX!I410</f>
        <v>42.727612736108355</v>
      </c>
    </row>
    <row r="342" spans="1:3" ht="17" thickBot="1" x14ac:dyDescent="0.25">
      <c r="A342" s="46" t="s">
        <v>2456</v>
      </c>
      <c r="C342" s="345">
        <f ca="1">OPEX!I411</f>
        <v>34165.018540993187</v>
      </c>
    </row>
    <row r="343" spans="1:3" ht="17" thickBot="1" x14ac:dyDescent="0.25">
      <c r="A343" s="46" t="s">
        <v>2454</v>
      </c>
      <c r="C343" s="345">
        <f ca="1">OPEX!I412</f>
        <v>4644.7853674367152</v>
      </c>
    </row>
    <row r="344" spans="1:3" ht="17" thickBot="1" x14ac:dyDescent="0.25">
      <c r="A344" s="46" t="s">
        <v>2452</v>
      </c>
      <c r="C344" s="345">
        <f ca="1">OPEX!I413</f>
        <v>84277.173733018135</v>
      </c>
    </row>
    <row r="345" spans="1:3" ht="17" thickBot="1" x14ac:dyDescent="0.25">
      <c r="A345" s="46" t="s">
        <v>2564</v>
      </c>
      <c r="C345" s="345">
        <f ca="1">OPEX!I414</f>
        <v>1555.3511425963836</v>
      </c>
    </row>
    <row r="346" spans="1:3" ht="17" thickBot="1" x14ac:dyDescent="0.25">
      <c r="A346" s="46" t="s">
        <v>2458</v>
      </c>
      <c r="C346" s="345">
        <f ca="1">OPEX!I415</f>
        <v>85412.546352482968</v>
      </c>
    </row>
    <row r="347" spans="1:3" ht="17" thickBot="1" x14ac:dyDescent="0.25">
      <c r="A347" s="46" t="s">
        <v>2457</v>
      </c>
      <c r="C347" s="345">
        <f ca="1">OPEX!I416</f>
        <v>34165.018540993187</v>
      </c>
    </row>
    <row r="348" spans="1:3" ht="17" thickBot="1" x14ac:dyDescent="0.25">
      <c r="A348" s="46" t="s">
        <v>2455</v>
      </c>
      <c r="C348" s="345">
        <f ca="1">OPEX!I417</f>
        <v>9829.0241535324185</v>
      </c>
    </row>
    <row r="349" spans="1:3" ht="17" thickBot="1" x14ac:dyDescent="0.25">
      <c r="A349" s="46" t="s">
        <v>2461</v>
      </c>
      <c r="C349" s="345">
        <f ca="1">OPEX!I418</f>
        <v>34165.018540993187</v>
      </c>
    </row>
    <row r="350" spans="1:3" ht="17" thickBot="1" x14ac:dyDescent="0.25">
      <c r="A350" s="46" t="s">
        <v>2462</v>
      </c>
      <c r="C350" s="345">
        <f ca="1">OPEX!I419</f>
        <v>42.727612736108355</v>
      </c>
    </row>
    <row r="351" spans="1:3" ht="17" thickBot="1" x14ac:dyDescent="0.25">
      <c r="A351" s="46" t="s">
        <v>2463</v>
      </c>
      <c r="C351" s="345">
        <f ca="1">OPEX!I420*0.1</f>
        <v>683.30037081986382</v>
      </c>
    </row>
    <row r="352" spans="1:3" ht="17" thickBot="1" x14ac:dyDescent="0.25">
      <c r="A352" s="46" t="s">
        <v>2431</v>
      </c>
      <c r="C352" s="345">
        <f ca="1">OPEX!I421</f>
        <v>34165.018540993187</v>
      </c>
    </row>
    <row r="353" spans="1:15" ht="17" thickBot="1" x14ac:dyDescent="0.25">
      <c r="A353" s="327" t="s">
        <v>2567</v>
      </c>
      <c r="C353" s="345">
        <f ca="1">OPEX!I422</f>
        <v>84873.474490563065</v>
      </c>
    </row>
    <row r="354" spans="1:15" ht="17" thickBot="1" x14ac:dyDescent="0.25">
      <c r="A354" s="327" t="s">
        <v>2464</v>
      </c>
      <c r="C354" s="345">
        <f ca="1">OPEX!I423*0.1</f>
        <v>1793.6634734021425</v>
      </c>
    </row>
    <row r="355" spans="1:15" ht="17" thickBot="1" x14ac:dyDescent="0.25">
      <c r="A355" s="327" t="s">
        <v>2465</v>
      </c>
      <c r="C355" s="345">
        <f ca="1">OPEX!I424*0.1</f>
        <v>10249.505562297958</v>
      </c>
    </row>
    <row r="356" spans="1:15" ht="17" thickBot="1" x14ac:dyDescent="0.25">
      <c r="A356" s="326" t="s">
        <v>2433</v>
      </c>
      <c r="C356" s="345">
        <f ca="1">OPEX!I425</f>
        <v>71347.627398839584</v>
      </c>
    </row>
    <row r="357" spans="1:15" ht="17" thickBot="1" x14ac:dyDescent="0.25">
      <c r="A357" s="327" t="s">
        <v>2386</v>
      </c>
      <c r="C357" s="345">
        <f ca="1">OPEX!I443</f>
        <v>534.09515920135436</v>
      </c>
    </row>
    <row r="358" spans="1:15" ht="17" thickBot="1" x14ac:dyDescent="0.25">
      <c r="A358" s="46" t="s">
        <v>2406</v>
      </c>
      <c r="C358" s="345">
        <f ca="1">OPEX!I444*0.1</f>
        <v>85412.546352482968</v>
      </c>
    </row>
    <row r="359" spans="1:15" ht="17" thickBot="1" x14ac:dyDescent="0.25">
      <c r="A359" s="46" t="s">
        <v>2387</v>
      </c>
      <c r="C359" s="345">
        <f>OPEX!I445</f>
        <v>306.88246382014256</v>
      </c>
    </row>
    <row r="360" spans="1:15" ht="17" thickBot="1" x14ac:dyDescent="0.25">
      <c r="A360" s="46" t="s">
        <v>2403</v>
      </c>
      <c r="C360" s="345">
        <f ca="1">OPEX!I446</f>
        <v>6131.5421257544731</v>
      </c>
    </row>
    <row r="361" spans="1:15" ht="17" thickBot="1" x14ac:dyDescent="0.25">
      <c r="A361" s="327" t="s">
        <v>2401</v>
      </c>
      <c r="C361" s="345">
        <f ca="1">OPEX!I447</f>
        <v>32749.872776722805</v>
      </c>
    </row>
    <row r="362" spans="1:15" ht="17" thickBot="1" x14ac:dyDescent="0.25">
      <c r="A362" s="327" t="s">
        <v>2481</v>
      </c>
      <c r="C362" s="68">
        <f>OPEX!E456+OPEX!E434</f>
        <v>1190000</v>
      </c>
    </row>
    <row r="364" spans="1:15" ht="16" thickBot="1" x14ac:dyDescent="0.25"/>
    <row r="365" spans="1:15" x14ac:dyDescent="0.2">
      <c r="A365" s="1801" t="s">
        <v>2795</v>
      </c>
      <c r="B365" s="1802"/>
      <c r="C365" s="1802"/>
      <c r="D365" s="1802"/>
      <c r="E365" s="1802"/>
      <c r="F365" s="1802"/>
      <c r="G365" s="1802"/>
      <c r="H365" s="1802"/>
      <c r="I365" s="1802"/>
      <c r="J365" s="1802"/>
      <c r="K365" s="1802"/>
      <c r="L365" s="1802"/>
      <c r="M365" s="1802"/>
      <c r="N365" s="1802"/>
      <c r="O365" s="1803"/>
    </row>
    <row r="366" spans="1:15" ht="16" thickBot="1" x14ac:dyDescent="0.25">
      <c r="A366" s="1804"/>
      <c r="B366" s="1805"/>
      <c r="C366" s="1805"/>
      <c r="D366" s="1805"/>
      <c r="E366" s="1805"/>
      <c r="F366" s="1805"/>
      <c r="G366" s="1805"/>
      <c r="H366" s="1805"/>
      <c r="I366" s="1805"/>
      <c r="J366" s="1805"/>
      <c r="K366" s="1805"/>
      <c r="L366" s="1805"/>
      <c r="M366" s="1805"/>
      <c r="N366" s="1805"/>
      <c r="O366" s="1806"/>
    </row>
    <row r="367" spans="1:15" ht="16" thickBot="1" x14ac:dyDescent="0.25">
      <c r="B367" s="5" t="s">
        <v>1214</v>
      </c>
      <c r="C367" s="338" t="s">
        <v>1215</v>
      </c>
    </row>
    <row r="368" spans="1:15" ht="17" thickBot="1" x14ac:dyDescent="0.25">
      <c r="A368" s="327" t="s">
        <v>799</v>
      </c>
      <c r="B368" s="61">
        <f ca="1">CAPEX!O390</f>
        <v>3657776.3686772222</v>
      </c>
    </row>
    <row r="369" spans="1:2" ht="17" thickBot="1" x14ac:dyDescent="0.25">
      <c r="A369" s="46" t="s">
        <v>800</v>
      </c>
      <c r="B369" s="345">
        <f ca="1">CAPEX!O391</f>
        <v>4000692.9032407119</v>
      </c>
    </row>
    <row r="370" spans="1:2" ht="17" thickBot="1" x14ac:dyDescent="0.25">
      <c r="A370" s="35" t="s">
        <v>802</v>
      </c>
      <c r="B370" s="345">
        <f ca="1">CAPEX!O392</f>
        <v>12002078.709722135</v>
      </c>
    </row>
    <row r="371" spans="1:2" ht="17" thickBot="1" x14ac:dyDescent="0.25">
      <c r="A371" s="35" t="s">
        <v>812</v>
      </c>
      <c r="B371" s="345">
        <f ca="1">CAPEX!O393</f>
        <v>6453123.8183125043</v>
      </c>
    </row>
    <row r="372" spans="1:2" ht="17" thickBot="1" x14ac:dyDescent="0.25">
      <c r="A372" s="35" t="s">
        <v>834</v>
      </c>
      <c r="B372" s="345">
        <f ca="1">CAPEX!O394</f>
        <v>27341.450935610712</v>
      </c>
    </row>
    <row r="373" spans="1:2" ht="17" thickBot="1" x14ac:dyDescent="0.25">
      <c r="A373" s="35" t="s">
        <v>835</v>
      </c>
      <c r="B373" s="345">
        <f ca="1">CAPEX!O395</f>
        <v>912.14140656716438</v>
      </c>
    </row>
    <row r="374" spans="1:2" ht="17" thickBot="1" x14ac:dyDescent="0.25">
      <c r="A374" s="35" t="s">
        <v>836</v>
      </c>
      <c r="B374" s="345">
        <f ca="1">CAPEX!O396</f>
        <v>912.14140656716438</v>
      </c>
    </row>
    <row r="375" spans="1:2" ht="17" thickBot="1" x14ac:dyDescent="0.25">
      <c r="A375" s="35" t="s">
        <v>837</v>
      </c>
      <c r="B375" s="345">
        <f ca="1">CAPEX!O397</f>
        <v>912.14140656716438</v>
      </c>
    </row>
    <row r="376" spans="1:2" ht="17" thickBot="1" x14ac:dyDescent="0.25">
      <c r="A376" s="35" t="s">
        <v>745</v>
      </c>
      <c r="B376" s="345">
        <f ca="1">CAPEX!O398</f>
        <v>889439.80976708652</v>
      </c>
    </row>
    <row r="377" spans="1:2" ht="17" thickBot="1" x14ac:dyDescent="0.25">
      <c r="A377" s="35" t="s">
        <v>3014</v>
      </c>
      <c r="B377" s="345">
        <f ca="1">CAPEX!O408</f>
        <v>7881276.5092851697</v>
      </c>
    </row>
    <row r="378" spans="1:2" ht="16" thickBot="1" x14ac:dyDescent="0.25">
      <c r="A378" s="64" t="s">
        <v>2841</v>
      </c>
      <c r="B378" s="345">
        <f ca="1">CAPEX!O409</f>
        <v>436341.12080345402</v>
      </c>
    </row>
    <row r="379" spans="1:2" ht="16" thickBot="1" x14ac:dyDescent="0.25">
      <c r="A379" s="67" t="s">
        <v>2369</v>
      </c>
      <c r="B379" s="345">
        <f ca="1">CAPEX!O410</f>
        <v>2553062.4514486049</v>
      </c>
    </row>
    <row r="380" spans="1:2" ht="16" thickBot="1" x14ac:dyDescent="0.25">
      <c r="A380" s="67" t="s">
        <v>2370</v>
      </c>
      <c r="B380" s="345">
        <f ca="1">CAPEX!O411*0.1</f>
        <v>720962.31979979121</v>
      </c>
    </row>
    <row r="381" spans="1:2" ht="16" thickBot="1" x14ac:dyDescent="0.25">
      <c r="A381" s="67" t="s">
        <v>2371</v>
      </c>
      <c r="B381" s="345">
        <f ca="1">CAPEX!O412*0.1</f>
        <v>606347.47494739096</v>
      </c>
    </row>
    <row r="382" spans="1:2" ht="16" thickBot="1" x14ac:dyDescent="0.25">
      <c r="A382" s="67" t="s">
        <v>1088</v>
      </c>
      <c r="B382" s="345">
        <f ca="1">CAPEX!O413</f>
        <v>1305740.7096721593</v>
      </c>
    </row>
    <row r="383" spans="1:2" ht="17" thickBot="1" x14ac:dyDescent="0.25">
      <c r="A383" s="35" t="s">
        <v>2372</v>
      </c>
      <c r="B383" s="345">
        <f ca="1">CAPEX!O414</f>
        <v>1791645.5114755807</v>
      </c>
    </row>
    <row r="384" spans="1:2" ht="17" thickBot="1" x14ac:dyDescent="0.25">
      <c r="A384" s="35" t="s">
        <v>2373</v>
      </c>
      <c r="B384" s="345">
        <f ca="1">CAPEX!O415</f>
        <v>1528168.2303762306</v>
      </c>
    </row>
    <row r="385" spans="1:3" ht="17" thickBot="1" x14ac:dyDescent="0.25">
      <c r="A385" s="35" t="s">
        <v>2379</v>
      </c>
      <c r="B385" s="345">
        <f ca="1">CAPEX!O416</f>
        <v>1344322.3910563544</v>
      </c>
    </row>
    <row r="386" spans="1:3" ht="17" thickBot="1" x14ac:dyDescent="0.25">
      <c r="A386" s="46" t="s">
        <v>2374</v>
      </c>
      <c r="B386" s="345">
        <f ca="1">CAPEX!O426</f>
        <v>20927.670388427814</v>
      </c>
    </row>
    <row r="387" spans="1:3" ht="17" thickBot="1" x14ac:dyDescent="0.25">
      <c r="A387" s="46" t="s">
        <v>2375</v>
      </c>
      <c r="B387" s="345">
        <f ca="1">CAPEX!O427</f>
        <v>2868.5521178948256</v>
      </c>
    </row>
    <row r="388" spans="1:3" ht="17" thickBot="1" x14ac:dyDescent="0.25">
      <c r="A388" s="35" t="s">
        <v>1025</v>
      </c>
      <c r="B388" s="345">
        <f ca="1">CAPEX!O428</f>
        <v>750935.73793454107</v>
      </c>
    </row>
    <row r="389" spans="1:3" ht="17" thickBot="1" x14ac:dyDescent="0.25">
      <c r="A389" s="35" t="s">
        <v>841</v>
      </c>
      <c r="B389" s="345">
        <f ca="1">CAPEX!O429</f>
        <v>110747.69985074081</v>
      </c>
    </row>
    <row r="390" spans="1:3" ht="17" thickBot="1" x14ac:dyDescent="0.25">
      <c r="A390" s="35" t="s">
        <v>2376</v>
      </c>
      <c r="B390" s="345">
        <f ca="1">CAPEX!O430</f>
        <v>3569.6795486558308</v>
      </c>
    </row>
    <row r="391" spans="1:3" ht="17" thickBot="1" x14ac:dyDescent="0.25">
      <c r="A391" s="35" t="s">
        <v>1026</v>
      </c>
      <c r="B391" s="345">
        <f ca="1">CAPEX!O431</f>
        <v>92823.658928129167</v>
      </c>
    </row>
    <row r="392" spans="1:3" ht="16" thickBot="1" x14ac:dyDescent="0.25">
      <c r="A392" s="64" t="s">
        <v>1027</v>
      </c>
      <c r="B392" s="345">
        <f ca="1">CAPEX!O432</f>
        <v>905.09620449667841</v>
      </c>
    </row>
    <row r="393" spans="1:3" ht="17" thickBot="1" x14ac:dyDescent="0.25">
      <c r="A393" s="35" t="s">
        <v>901</v>
      </c>
      <c r="B393" s="345">
        <f ca="1">CAPEX!O433</f>
        <v>1101762.3692571695</v>
      </c>
    </row>
    <row r="394" spans="1:3" ht="17" thickBot="1" x14ac:dyDescent="0.25">
      <c r="A394" s="35" t="s">
        <v>538</v>
      </c>
      <c r="B394" s="345">
        <f ca="1">CAPEX!O434</f>
        <v>1290635.9182726841</v>
      </c>
    </row>
    <row r="395" spans="1:3" ht="17" thickBot="1" x14ac:dyDescent="0.25">
      <c r="A395" s="35" t="s">
        <v>2379</v>
      </c>
      <c r="B395" s="68">
        <f ca="1">CAPEX!O435</f>
        <v>50833.36576631941</v>
      </c>
    </row>
    <row r="396" spans="1:3" ht="17" thickBot="1" x14ac:dyDescent="0.25">
      <c r="A396" s="46" t="s">
        <v>2424</v>
      </c>
      <c r="C396" s="61">
        <f ca="1">OPEX!I465</f>
        <v>212310.06313843877</v>
      </c>
    </row>
    <row r="397" spans="1:3" ht="17" thickBot="1" x14ac:dyDescent="0.25">
      <c r="A397" s="46" t="s">
        <v>2425</v>
      </c>
      <c r="C397" s="345">
        <f ca="1">OPEX!I466</f>
        <v>781.73895815605283</v>
      </c>
    </row>
    <row r="398" spans="1:3" ht="17" thickBot="1" x14ac:dyDescent="0.25">
      <c r="A398" s="328" t="s">
        <v>2426</v>
      </c>
      <c r="C398" s="345">
        <f ca="1">OPEX!I467</f>
        <v>781.73895815605283</v>
      </c>
    </row>
    <row r="399" spans="1:3" ht="17" thickBot="1" x14ac:dyDescent="0.25">
      <c r="A399" s="328" t="s">
        <v>2427</v>
      </c>
      <c r="C399" s="345">
        <f ca="1">OPEX!I468</f>
        <v>781.73895815605283</v>
      </c>
    </row>
    <row r="400" spans="1:3" ht="17" thickBot="1" x14ac:dyDescent="0.25">
      <c r="A400" s="328" t="s">
        <v>2428</v>
      </c>
      <c r="C400" s="345">
        <f ca="1">OPEX!I469</f>
        <v>781.73895815605283</v>
      </c>
    </row>
    <row r="401" spans="1:3" ht="17" thickBot="1" x14ac:dyDescent="0.25">
      <c r="A401" s="328" t="s">
        <v>2429</v>
      </c>
      <c r="C401" s="345">
        <f ca="1">OPEX!I470</f>
        <v>781.73895815605283</v>
      </c>
    </row>
    <row r="402" spans="1:3" ht="17" thickBot="1" x14ac:dyDescent="0.25">
      <c r="A402" s="328" t="s">
        <v>2387</v>
      </c>
      <c r="C402" s="345">
        <f ca="1">OPEX!I471</f>
        <v>6683.7740751347537</v>
      </c>
    </row>
    <row r="403" spans="1:3" ht="17" thickBot="1" x14ac:dyDescent="0.25">
      <c r="A403" s="328" t="s">
        <v>2433</v>
      </c>
      <c r="C403" s="345">
        <f ca="1">OPEX!I472</f>
        <v>1070398.1796056328</v>
      </c>
    </row>
    <row r="404" spans="1:3" ht="17" thickBot="1" x14ac:dyDescent="0.25">
      <c r="A404" s="46" t="s">
        <v>2446</v>
      </c>
      <c r="C404" s="345">
        <f ca="1">OPEX!I490</f>
        <v>26634.767170340627</v>
      </c>
    </row>
    <row r="405" spans="1:3" ht="17" thickBot="1" x14ac:dyDescent="0.25">
      <c r="A405" s="46" t="s">
        <v>2447</v>
      </c>
      <c r="C405" s="345">
        <f ca="1">OPEX!I491</f>
        <v>120.71404321916224</v>
      </c>
    </row>
    <row r="406" spans="1:3" ht="17" thickBot="1" x14ac:dyDescent="0.25">
      <c r="A406" s="46" t="s">
        <v>2387</v>
      </c>
      <c r="C406" s="345">
        <f ca="1">OPEX!I492</f>
        <v>332.13630912041549</v>
      </c>
    </row>
    <row r="407" spans="1:3" ht="16" thickBot="1" x14ac:dyDescent="0.25">
      <c r="A407" s="819" t="s">
        <v>2449</v>
      </c>
      <c r="C407" s="345">
        <f ca="1">OPEX!I493</f>
        <v>29.555208422837786</v>
      </c>
    </row>
    <row r="408" spans="1:3" ht="16" thickBot="1" x14ac:dyDescent="0.25">
      <c r="A408" s="820" t="s">
        <v>2450</v>
      </c>
      <c r="C408" s="345">
        <f ca="1">OPEX!I494</f>
        <v>29.555208422837786</v>
      </c>
    </row>
    <row r="409" spans="1:3" ht="16" thickBot="1" x14ac:dyDescent="0.25">
      <c r="A409" s="820" t="s">
        <v>2448</v>
      </c>
      <c r="C409" s="345">
        <f ca="1">OPEX!I495</f>
        <v>57.256095579941878</v>
      </c>
    </row>
    <row r="410" spans="1:3" ht="16" thickBot="1" x14ac:dyDescent="0.25">
      <c r="A410" s="820" t="s">
        <v>2433</v>
      </c>
      <c r="C410" s="345">
        <f ca="1">OPEX!I496</f>
        <v>71347.627398839584</v>
      </c>
    </row>
    <row r="411" spans="1:3" ht="17" thickBot="1" x14ac:dyDescent="0.25">
      <c r="A411" s="46" t="s">
        <v>1567</v>
      </c>
      <c r="C411" s="345">
        <f ca="1">OPEX!I515</f>
        <v>170311.74340436867</v>
      </c>
    </row>
    <row r="412" spans="1:3" ht="17" thickBot="1" x14ac:dyDescent="0.25">
      <c r="A412" s="46" t="s">
        <v>2430</v>
      </c>
      <c r="C412" s="345">
        <f ca="1">OPEX!I516</f>
        <v>60.357021609581118</v>
      </c>
    </row>
    <row r="413" spans="1:3" ht="17" thickBot="1" x14ac:dyDescent="0.25">
      <c r="A413" s="46" t="s">
        <v>2387</v>
      </c>
      <c r="C413" s="345">
        <f ca="1">OPEX!I517</f>
        <v>166.06815456020774</v>
      </c>
    </row>
    <row r="414" spans="1:3" ht="17" thickBot="1" x14ac:dyDescent="0.25">
      <c r="A414" s="46" t="s">
        <v>2431</v>
      </c>
      <c r="C414" s="345">
        <f ca="1">OPEX!I518</f>
        <v>28.628047789970939</v>
      </c>
    </row>
    <row r="415" spans="1:3" ht="17" thickBot="1" x14ac:dyDescent="0.25">
      <c r="A415" s="46" t="s">
        <v>2432</v>
      </c>
      <c r="C415" s="345">
        <f ca="1">OPEX!I519</f>
        <v>14.777604211418893</v>
      </c>
    </row>
    <row r="416" spans="1:3" ht="17" thickBot="1" x14ac:dyDescent="0.25">
      <c r="A416" s="46" t="s">
        <v>2433</v>
      </c>
      <c r="C416" s="345">
        <f ca="1">OPEX!I520</f>
        <v>35673.813699419792</v>
      </c>
    </row>
    <row r="417" spans="1:15" ht="17" thickBot="1" x14ac:dyDescent="0.25">
      <c r="A417" s="327" t="s">
        <v>2481</v>
      </c>
      <c r="C417" s="68">
        <f>OPEX!E530+OPEX!E506+OPEX!E481</f>
        <v>2280000</v>
      </c>
    </row>
    <row r="420" spans="1:15" ht="16" thickBot="1" x14ac:dyDescent="0.25"/>
    <row r="421" spans="1:15" x14ac:dyDescent="0.2">
      <c r="A421" s="1807" t="s">
        <v>2796</v>
      </c>
      <c r="B421" s="1808"/>
      <c r="C421" s="1808"/>
      <c r="D421" s="1808"/>
      <c r="E421" s="1808"/>
      <c r="F421" s="1808"/>
      <c r="G421" s="1808"/>
      <c r="H421" s="1808"/>
      <c r="I421" s="1808"/>
      <c r="J421" s="1808"/>
      <c r="K421" s="1808"/>
      <c r="L421" s="1808"/>
      <c r="M421" s="1808"/>
      <c r="N421" s="1808"/>
      <c r="O421" s="1809"/>
    </row>
    <row r="422" spans="1:15" ht="16" thickBot="1" x14ac:dyDescent="0.25">
      <c r="A422" s="1810"/>
      <c r="B422" s="1811"/>
      <c r="C422" s="1811"/>
      <c r="D422" s="1811"/>
      <c r="E422" s="1811"/>
      <c r="F422" s="1811"/>
      <c r="G422" s="1811"/>
      <c r="H422" s="1811"/>
      <c r="I422" s="1811"/>
      <c r="J422" s="1811"/>
      <c r="K422" s="1811"/>
      <c r="L422" s="1811"/>
      <c r="M422" s="1811"/>
      <c r="N422" s="1811"/>
      <c r="O422" s="1812"/>
    </row>
    <row r="423" spans="1:15" ht="16" thickBot="1" x14ac:dyDescent="0.25">
      <c r="B423" s="5" t="s">
        <v>1214</v>
      </c>
      <c r="C423" s="338" t="s">
        <v>1215</v>
      </c>
    </row>
    <row r="424" spans="1:15" ht="17" thickBot="1" x14ac:dyDescent="0.25">
      <c r="A424" s="51" t="s">
        <v>2377</v>
      </c>
      <c r="B424" s="61">
        <f ca="1">CAPEX!O446</f>
        <v>79628.587426385187</v>
      </c>
    </row>
    <row r="425" spans="1:15" ht="17" thickBot="1" x14ac:dyDescent="0.25">
      <c r="A425" s="35" t="s">
        <v>1027</v>
      </c>
      <c r="B425" s="345">
        <f ca="1">CAPEX!O447</f>
        <v>60477.548283387863</v>
      </c>
    </row>
    <row r="426" spans="1:15" ht="16" thickBot="1" x14ac:dyDescent="0.25">
      <c r="A426" s="67" t="s">
        <v>2484</v>
      </c>
      <c r="B426" s="345">
        <f ca="1">CAPEX!O448</f>
        <v>233732.09503278485</v>
      </c>
    </row>
    <row r="427" spans="1:15" ht="16" thickBot="1" x14ac:dyDescent="0.25">
      <c r="A427" s="67" t="s">
        <v>2485</v>
      </c>
      <c r="B427" s="345">
        <f ca="1">CAPEX!O449</f>
        <v>6071138.5337613588</v>
      </c>
    </row>
    <row r="428" spans="1:15" ht="17" thickBot="1" x14ac:dyDescent="0.25">
      <c r="A428" s="35" t="s">
        <v>906</v>
      </c>
      <c r="B428" s="345">
        <f ca="1">CAPEX!O450</f>
        <v>16167488.237170383</v>
      </c>
    </row>
    <row r="429" spans="1:15" ht="17" thickBot="1" x14ac:dyDescent="0.25">
      <c r="A429" s="35" t="s">
        <v>1088</v>
      </c>
      <c r="B429" s="345">
        <f>CAPEX!O451</f>
        <v>0</v>
      </c>
    </row>
    <row r="430" spans="1:15" ht="17" thickBot="1" x14ac:dyDescent="0.25">
      <c r="A430" s="35" t="s">
        <v>1089</v>
      </c>
      <c r="B430" s="345">
        <f ca="1">CAPEX!O452</f>
        <v>1827.6662969296542</v>
      </c>
    </row>
    <row r="431" spans="1:15" ht="17" thickBot="1" x14ac:dyDescent="0.25">
      <c r="A431" s="46" t="s">
        <v>2444</v>
      </c>
      <c r="B431" s="345">
        <f>CAPEX!O453</f>
        <v>948622.83801964088</v>
      </c>
    </row>
    <row r="432" spans="1:15" ht="17" thickBot="1" x14ac:dyDescent="0.25">
      <c r="A432" s="35" t="s">
        <v>1026</v>
      </c>
      <c r="B432" s="345">
        <f ca="1">CAPEX!O465</f>
        <v>842504184.03599858</v>
      </c>
    </row>
    <row r="433" spans="1:3" ht="16" thickBot="1" x14ac:dyDescent="0.25">
      <c r="A433" s="64" t="s">
        <v>1027</v>
      </c>
      <c r="B433" s="345">
        <f ca="1">CAPEX!O466</f>
        <v>33987.799777345295</v>
      </c>
    </row>
    <row r="434" spans="1:3" ht="17" thickBot="1" x14ac:dyDescent="0.25">
      <c r="A434" s="35" t="s">
        <v>901</v>
      </c>
      <c r="B434" s="345">
        <f ca="1">CAPEX!O467</f>
        <v>3295033.3427056931</v>
      </c>
    </row>
    <row r="435" spans="1:3" ht="17" thickBot="1" x14ac:dyDescent="0.25">
      <c r="A435" s="35" t="s">
        <v>538</v>
      </c>
      <c r="B435" s="345">
        <f ca="1">CAPEX!O468</f>
        <v>2375322.4178738385</v>
      </c>
    </row>
    <row r="436" spans="1:3" ht="16" thickBot="1" x14ac:dyDescent="0.25">
      <c r="A436" s="64" t="s">
        <v>2537</v>
      </c>
      <c r="B436" s="345">
        <f ca="1">CAPEX!O469</f>
        <v>1291644.4107677091</v>
      </c>
    </row>
    <row r="437" spans="1:3" ht="16" thickBot="1" x14ac:dyDescent="0.25">
      <c r="A437" s="67" t="s">
        <v>2538</v>
      </c>
      <c r="B437" s="345">
        <f ca="1">CAPEX!O470</f>
        <v>3358696.9578849636</v>
      </c>
    </row>
    <row r="438" spans="1:3" ht="16" thickBot="1" x14ac:dyDescent="0.25">
      <c r="A438" s="67" t="s">
        <v>2539</v>
      </c>
      <c r="B438" s="345">
        <f ca="1">CAPEX!O471</f>
        <v>14520308.077846445</v>
      </c>
    </row>
    <row r="439" spans="1:3" ht="16" thickBot="1" x14ac:dyDescent="0.25">
      <c r="A439" s="67" t="s">
        <v>1089</v>
      </c>
      <c r="B439" s="345">
        <f ca="1">CAPEX!O472</f>
        <v>5172240.3321738336</v>
      </c>
    </row>
    <row r="440" spans="1:3" ht="16" thickBot="1" x14ac:dyDescent="0.25">
      <c r="A440" s="67" t="s">
        <v>3016</v>
      </c>
      <c r="B440" s="345">
        <f ca="1">CAPEX!O473</f>
        <v>404189719.15093589</v>
      </c>
    </row>
    <row r="441" spans="1:3" ht="16" thickBot="1" x14ac:dyDescent="0.25">
      <c r="A441" s="67" t="s">
        <v>2532</v>
      </c>
      <c r="B441" s="345">
        <f ca="1">CAPEX!O474</f>
        <v>367568202.04753065</v>
      </c>
    </row>
    <row r="442" spans="1:3" ht="16" thickBot="1" x14ac:dyDescent="0.25">
      <c r="A442" s="67" t="s">
        <v>2377</v>
      </c>
      <c r="B442" s="345">
        <f ca="1">CAPEX!O475</f>
        <v>265428.62475461722</v>
      </c>
    </row>
    <row r="443" spans="1:3" ht="16" thickBot="1" x14ac:dyDescent="0.25">
      <c r="A443" s="67" t="s">
        <v>2378</v>
      </c>
      <c r="B443" s="345">
        <f ca="1">CAPEX!O476</f>
        <v>265428.62475461722</v>
      </c>
    </row>
    <row r="444" spans="1:3" ht="16" thickBot="1" x14ac:dyDescent="0.25">
      <c r="A444" s="67" t="s">
        <v>2484</v>
      </c>
      <c r="B444" s="68">
        <f ca="1">CAPEX!O477</f>
        <v>779106.98344261607</v>
      </c>
    </row>
    <row r="445" spans="1:3" ht="17" thickBot="1" x14ac:dyDescent="0.25">
      <c r="A445" s="46" t="s">
        <v>1164</v>
      </c>
      <c r="C445" s="61">
        <f ca="1">OPEX!I539</f>
        <v>5.0428597680095733</v>
      </c>
    </row>
    <row r="446" spans="1:3" ht="17" thickBot="1" x14ac:dyDescent="0.25">
      <c r="A446" s="46" t="s">
        <v>2440</v>
      </c>
      <c r="C446" s="345">
        <f ca="1">OPEX!I540</f>
        <v>9.8023089458659989</v>
      </c>
    </row>
    <row r="447" spans="1:3" ht="17" thickBot="1" x14ac:dyDescent="0.25">
      <c r="A447" s="46" t="s">
        <v>2387</v>
      </c>
      <c r="C447" s="345">
        <f ca="1">OPEX!I541</f>
        <v>0.98398542419999913</v>
      </c>
    </row>
    <row r="448" spans="1:3" ht="17" thickBot="1" x14ac:dyDescent="0.25">
      <c r="A448" s="46" t="s">
        <v>2441</v>
      </c>
      <c r="C448" s="345">
        <f ca="1">OPEX!I542</f>
        <v>380.6273534671713</v>
      </c>
    </row>
    <row r="449" spans="1:3" ht="17" thickBot="1" x14ac:dyDescent="0.25">
      <c r="A449" s="46" t="s">
        <v>2438</v>
      </c>
      <c r="C449" s="345">
        <f>OPEX!I543</f>
        <v>747.44234432395046</v>
      </c>
    </row>
    <row r="450" spans="1:3" ht="17" thickBot="1" x14ac:dyDescent="0.25">
      <c r="A450" s="46" t="s">
        <v>3015</v>
      </c>
      <c r="C450" s="345">
        <f ca="1">OPEX!I544</f>
        <v>307.42978549271533</v>
      </c>
    </row>
    <row r="451" spans="1:3" ht="17" thickBot="1" x14ac:dyDescent="0.25">
      <c r="A451" s="46" t="s">
        <v>2433</v>
      </c>
      <c r="C451" s="345">
        <f ca="1">OPEX!I545</f>
        <v>1274.5304081044158</v>
      </c>
    </row>
    <row r="452" spans="1:3" ht="17" thickBot="1" x14ac:dyDescent="0.25">
      <c r="A452" s="35" t="s">
        <v>2472</v>
      </c>
      <c r="C452" s="345">
        <f ca="1">OPEX!I564</f>
        <v>108.91454384295552</v>
      </c>
    </row>
    <row r="453" spans="1:3" ht="17" thickBot="1" x14ac:dyDescent="0.25">
      <c r="A453" s="35" t="s">
        <v>2430</v>
      </c>
      <c r="C453" s="345">
        <f ca="1">OPEX!I565*100</f>
        <v>1207140.4321916222</v>
      </c>
    </row>
    <row r="454" spans="1:3" ht="17" thickBot="1" x14ac:dyDescent="0.25">
      <c r="A454" s="35" t="s">
        <v>2470</v>
      </c>
      <c r="C454" s="345">
        <f ca="1">OPEX!I566*10</f>
        <v>1089.1454384295553</v>
      </c>
    </row>
    <row r="455" spans="1:3" ht="17" thickBot="1" x14ac:dyDescent="0.25">
      <c r="A455" s="35" t="s">
        <v>2471</v>
      </c>
      <c r="C455" s="345">
        <f ca="1">OPEX!I567*10</f>
        <v>1089.1454384295553</v>
      </c>
    </row>
    <row r="456" spans="1:3" ht="17" thickBot="1" x14ac:dyDescent="0.25">
      <c r="A456" s="35" t="s">
        <v>2469</v>
      </c>
      <c r="C456" s="345">
        <f ca="1">OPEX!I568*10</f>
        <v>12071.404321916223</v>
      </c>
    </row>
    <row r="457" spans="1:3" ht="17" thickBot="1" x14ac:dyDescent="0.25">
      <c r="A457" s="327" t="s">
        <v>2481</v>
      </c>
      <c r="C457" s="68">
        <f>OPEX!E578+OPEX!E555</f>
        <v>800000</v>
      </c>
    </row>
  </sheetData>
  <mergeCells count="11">
    <mergeCell ref="A1:O2"/>
    <mergeCell ref="A104:O105"/>
    <mergeCell ref="A162:I163"/>
    <mergeCell ref="A196:I197"/>
    <mergeCell ref="A32:O33"/>
    <mergeCell ref="A63:O64"/>
    <mergeCell ref="A226:O227"/>
    <mergeCell ref="A266:O267"/>
    <mergeCell ref="A312:O313"/>
    <mergeCell ref="A365:O366"/>
    <mergeCell ref="A421:O422"/>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D8F84-3277-4472-9F6F-F369BD4CB49E}">
  <sheetPr codeName="Sheet4"/>
  <dimension ref="B1:AK323"/>
  <sheetViews>
    <sheetView topLeftCell="A6" zoomScaleNormal="66" workbookViewId="0">
      <selection activeCell="G32" sqref="G32"/>
    </sheetView>
  </sheetViews>
  <sheetFormatPr baseColWidth="10" defaultColWidth="8.83203125" defaultRowHeight="15" x14ac:dyDescent="0.2"/>
  <cols>
    <col min="2" max="2" width="39.5" bestFit="1" customWidth="1"/>
    <col min="3" max="3" width="22.33203125" bestFit="1" customWidth="1"/>
    <col min="4" max="4" width="25.1640625" customWidth="1"/>
    <col min="5" max="5" width="22" bestFit="1" customWidth="1"/>
    <col min="6" max="6" width="18.83203125" bestFit="1" customWidth="1"/>
    <col min="7" max="7" width="24.5" customWidth="1"/>
    <col min="8" max="8" width="20.6640625" bestFit="1" customWidth="1"/>
    <col min="9" max="9" width="20.5" customWidth="1"/>
    <col min="10" max="10" width="17.6640625" bestFit="1" customWidth="1"/>
    <col min="11" max="13" width="18.1640625" bestFit="1" customWidth="1"/>
    <col min="14" max="14" width="17.6640625" bestFit="1" customWidth="1"/>
    <col min="15" max="15" width="17.33203125" bestFit="1" customWidth="1"/>
    <col min="16" max="18" width="17.6640625" bestFit="1" customWidth="1"/>
    <col min="19" max="20" width="17.33203125" bestFit="1" customWidth="1"/>
    <col min="21" max="23" width="17.6640625" bestFit="1" customWidth="1"/>
    <col min="24" max="24" width="17.33203125" bestFit="1" customWidth="1"/>
    <col min="25" max="25" width="16.83203125" bestFit="1" customWidth="1"/>
    <col min="26" max="26" width="17.6640625" bestFit="1" customWidth="1"/>
    <col min="27" max="27" width="16" bestFit="1" customWidth="1"/>
    <col min="28" max="28" width="16.83203125" bestFit="1" customWidth="1"/>
    <col min="29" max="30" width="16" bestFit="1" customWidth="1"/>
    <col min="31" max="31" width="16.83203125" bestFit="1" customWidth="1"/>
    <col min="32" max="32" width="16" bestFit="1" customWidth="1"/>
    <col min="33" max="33" width="16.83203125" bestFit="1" customWidth="1"/>
    <col min="34" max="36" width="16" bestFit="1" customWidth="1"/>
    <col min="37" max="37" width="16.83203125" bestFit="1" customWidth="1"/>
  </cols>
  <sheetData>
    <row r="1" spans="2:17" ht="16" thickBot="1" x14ac:dyDescent="0.25"/>
    <row r="2" spans="2:17" ht="23" thickBot="1" x14ac:dyDescent="0.35">
      <c r="B2" s="1496" t="s">
        <v>630</v>
      </c>
      <c r="C2" s="1497"/>
      <c r="D2" s="1498"/>
      <c r="G2" s="1493" t="s">
        <v>3303</v>
      </c>
      <c r="H2" s="1494"/>
      <c r="I2" s="1494"/>
      <c r="J2" s="1495"/>
    </row>
    <row r="3" spans="2:17" x14ac:dyDescent="0.2">
      <c r="B3" s="59"/>
      <c r="C3" s="60"/>
      <c r="D3" s="106"/>
      <c r="G3" s="59"/>
      <c r="H3" s="1132" t="s">
        <v>631</v>
      </c>
      <c r="I3" s="1132" t="s">
        <v>632</v>
      </c>
      <c r="J3" s="1133" t="s">
        <v>633</v>
      </c>
      <c r="N3" s="1140"/>
      <c r="O3" s="1140"/>
      <c r="P3" s="1140"/>
      <c r="Q3" s="1140"/>
    </row>
    <row r="4" spans="2:17" x14ac:dyDescent="0.2">
      <c r="B4" s="1499" t="s">
        <v>635</v>
      </c>
      <c r="C4" s="1500"/>
      <c r="D4" s="1501"/>
      <c r="G4" s="1134" t="s">
        <v>636</v>
      </c>
      <c r="H4" s="107">
        <f ca="1">$D$41*J4</f>
        <v>0.85774367251397798</v>
      </c>
      <c r="I4" s="108">
        <f ca="1">D92</f>
        <v>642116278.55834985</v>
      </c>
      <c r="J4" s="1135">
        <f ca="1">I4/$I$8</f>
        <v>0.71478639376164832</v>
      </c>
      <c r="N4" s="1140"/>
      <c r="O4" s="1140"/>
      <c r="P4" s="1140"/>
      <c r="Q4" s="1140"/>
    </row>
    <row r="5" spans="2:17" x14ac:dyDescent="0.2">
      <c r="B5" s="113" t="s">
        <v>637</v>
      </c>
      <c r="C5" s="114"/>
      <c r="D5" s="115">
        <f ca="1">OPEX!$B$684</f>
        <v>69797965.695368618</v>
      </c>
      <c r="E5" s="1"/>
      <c r="G5" s="1134" t="s">
        <v>638</v>
      </c>
      <c r="H5" s="107">
        <f ca="1">$D$41*J5</f>
        <v>0.24812157458601744</v>
      </c>
      <c r="I5" s="116">
        <f ca="1">D93</f>
        <v>185746519.86210391</v>
      </c>
      <c r="J5" s="1135">
        <f ca="1">I5/$I$8</f>
        <v>0.20676797882168121</v>
      </c>
      <c r="N5" s="1140"/>
      <c r="O5" s="1140"/>
      <c r="P5" s="1140"/>
      <c r="Q5" s="1140"/>
    </row>
    <row r="6" spans="2:17" x14ac:dyDescent="0.2">
      <c r="B6" s="113" t="s">
        <v>640</v>
      </c>
      <c r="C6" s="114"/>
      <c r="D6" s="115">
        <f ca="1">CAPEX!$B$560</f>
        <v>388266136.83550143</v>
      </c>
      <c r="E6" s="1"/>
      <c r="G6" s="1134" t="s">
        <v>641</v>
      </c>
      <c r="H6" s="107">
        <f ca="1">$D$41*J6</f>
        <v>0</v>
      </c>
      <c r="I6" s="108">
        <f ca="1">D91</f>
        <v>0</v>
      </c>
      <c r="J6" s="1135">
        <f ca="1">I6/$I$8</f>
        <v>0</v>
      </c>
      <c r="N6" s="1140"/>
      <c r="O6" s="1140"/>
      <c r="P6" s="1140"/>
      <c r="Q6" s="1140"/>
    </row>
    <row r="7" spans="2:17" x14ac:dyDescent="0.2">
      <c r="B7" s="113" t="s">
        <v>642</v>
      </c>
      <c r="C7" s="114"/>
      <c r="D7" s="121">
        <f ca="1">D6*0.15</f>
        <v>58239920.525325216</v>
      </c>
      <c r="G7" s="1134" t="s">
        <v>540</v>
      </c>
      <c r="H7" s="107">
        <f ca="1">$D$41*J7</f>
        <v>9.4134752900004545E-2</v>
      </c>
      <c r="I7" s="116">
        <f ca="1">D89</f>
        <v>70470303.83564353</v>
      </c>
      <c r="J7" s="1135">
        <f ca="1">I7/$I$8</f>
        <v>7.8445627416670452E-2</v>
      </c>
      <c r="N7" s="1140"/>
      <c r="O7" s="1140"/>
      <c r="P7" s="1140"/>
      <c r="Q7" s="1140"/>
    </row>
    <row r="8" spans="2:17" ht="16" thickBot="1" x14ac:dyDescent="0.25">
      <c r="B8" s="113" t="s">
        <v>643</v>
      </c>
      <c r="C8" s="114"/>
      <c r="D8" s="121">
        <f ca="1">D6*0.05</f>
        <v>19413306.841775071</v>
      </c>
      <c r="E8" s="122"/>
      <c r="G8" s="1136" t="s">
        <v>586</v>
      </c>
      <c r="H8" s="1137">
        <f ca="1">SUM(H4:H7)</f>
        <v>1.2</v>
      </c>
      <c r="I8" s="1138">
        <f ca="1">SUM(I4:I7)</f>
        <v>898333102.25609732</v>
      </c>
      <c r="J8" s="1139">
        <f ca="1">SUM(J4:J7)</f>
        <v>1</v>
      </c>
      <c r="N8" s="1140"/>
      <c r="O8" s="1140"/>
      <c r="P8" s="1140"/>
      <c r="Q8" s="1140"/>
    </row>
    <row r="9" spans="2:17" ht="16" thickBot="1" x14ac:dyDescent="0.25">
      <c r="B9" s="123"/>
      <c r="D9" s="124"/>
      <c r="H9" s="125"/>
      <c r="I9" s="122"/>
      <c r="N9" s="1140"/>
      <c r="O9" s="1140"/>
      <c r="P9" s="1140"/>
      <c r="Q9" s="1140"/>
    </row>
    <row r="10" spans="2:17" ht="16" thickBot="1" x14ac:dyDescent="0.25">
      <c r="B10" s="1502" t="s">
        <v>644</v>
      </c>
      <c r="C10" s="1503"/>
      <c r="D10" s="1504"/>
      <c r="G10" s="1493" t="s">
        <v>750</v>
      </c>
      <c r="H10" s="1494"/>
      <c r="I10" s="1495"/>
      <c r="N10" s="1140"/>
      <c r="O10" s="1140"/>
      <c r="P10" s="1140"/>
      <c r="Q10" s="1140"/>
    </row>
    <row r="11" spans="2:17" x14ac:dyDescent="0.2">
      <c r="B11" s="128" t="s">
        <v>645</v>
      </c>
      <c r="C11" s="129"/>
      <c r="D11" s="130">
        <v>0.4</v>
      </c>
      <c r="E11" s="131"/>
      <c r="F11" s="2008"/>
      <c r="G11" s="123" t="s">
        <v>751</v>
      </c>
      <c r="H11" s="100">
        <f ca="1">SUM(D29:D32)</f>
        <v>6877297.341973179</v>
      </c>
      <c r="I11" s="140" t="s">
        <v>267</v>
      </c>
    </row>
    <row r="12" spans="2:17" x14ac:dyDescent="0.2">
      <c r="B12" s="128" t="s">
        <v>646</v>
      </c>
      <c r="C12" s="129"/>
      <c r="D12" s="130">
        <v>0.08</v>
      </c>
      <c r="E12" s="131"/>
      <c r="F12" s="2081"/>
      <c r="G12" s="123" t="str">
        <f>B29</f>
        <v>&gt;90% Ammonia Sulfate</v>
      </c>
      <c r="H12" s="850">
        <f ca="1">D29/H$11</f>
        <v>6.1950413425679494E-2</v>
      </c>
      <c r="I12" s="140"/>
      <c r="M12" s="125"/>
    </row>
    <row r="13" spans="2:17" x14ac:dyDescent="0.2">
      <c r="B13" s="128" t="s">
        <v>647</v>
      </c>
      <c r="C13" s="129"/>
      <c r="D13" s="134">
        <v>10</v>
      </c>
      <c r="E13" s="123"/>
      <c r="F13" s="2081"/>
      <c r="G13" s="123" t="str">
        <f>B30</f>
        <v>&gt;90% Magnesium Sulfate</v>
      </c>
      <c r="H13" s="850">
        <f ca="1">D30/H$11</f>
        <v>2.6679038718803203E-2</v>
      </c>
      <c r="I13" s="140"/>
    </row>
    <row r="14" spans="2:17" x14ac:dyDescent="0.2">
      <c r="B14" s="128" t="s">
        <v>651</v>
      </c>
      <c r="C14" s="129"/>
      <c r="D14" s="136">
        <f ca="1">-PMT(D12,D13,D6*(1-D11))</f>
        <v>34717862.310590096</v>
      </c>
      <c r="E14" s="123"/>
      <c r="F14" s="2008"/>
      <c r="G14" s="123" t="str">
        <f>B31</f>
        <v>Jet Fuel</v>
      </c>
      <c r="H14" s="850">
        <f ca="1">D31/H$11</f>
        <v>0.89361163416641809</v>
      </c>
      <c r="I14" s="140"/>
    </row>
    <row r="15" spans="2:17" ht="16" thickBot="1" x14ac:dyDescent="0.25">
      <c r="B15" s="123"/>
      <c r="C15" s="101"/>
      <c r="D15" s="137"/>
      <c r="E15" s="123"/>
      <c r="F15" s="2008"/>
      <c r="G15" s="152" t="str">
        <f>B32</f>
        <v>Naphtha</v>
      </c>
      <c r="H15" s="851">
        <f ca="1">D32/H$11</f>
        <v>1.7758913689099216E-2</v>
      </c>
      <c r="I15" s="193"/>
    </row>
    <row r="16" spans="2:17" x14ac:dyDescent="0.2">
      <c r="B16" s="1505" t="s">
        <v>652</v>
      </c>
      <c r="C16" s="1506"/>
      <c r="D16" s="1507"/>
      <c r="F16" s="2008"/>
      <c r="G16" s="141"/>
      <c r="H16" s="141"/>
      <c r="I16" s="2008"/>
      <c r="J16" s="2008"/>
    </row>
    <row r="17" spans="2:10" x14ac:dyDescent="0.2">
      <c r="B17" s="138" t="s">
        <v>653</v>
      </c>
      <c r="C17" s="11" t="s">
        <v>654</v>
      </c>
      <c r="D17" s="139">
        <v>7</v>
      </c>
      <c r="F17" s="2008"/>
      <c r="G17" s="2082"/>
      <c r="H17" s="2082"/>
      <c r="I17" s="2008"/>
      <c r="J17" s="2008"/>
    </row>
    <row r="18" spans="2:10" x14ac:dyDescent="0.2">
      <c r="B18" s="123"/>
      <c r="D18" s="140"/>
      <c r="F18" s="2008"/>
      <c r="G18" s="2082"/>
      <c r="H18" s="2082"/>
      <c r="I18" s="2008"/>
      <c r="J18" s="2008"/>
    </row>
    <row r="19" spans="2:10" x14ac:dyDescent="0.2">
      <c r="B19" s="1508" t="s">
        <v>655</v>
      </c>
      <c r="C19" s="1509"/>
      <c r="D19" s="1510"/>
      <c r="F19" s="2008"/>
      <c r="G19" s="2082"/>
      <c r="H19" s="141"/>
      <c r="I19" s="2008"/>
      <c r="J19" s="2008"/>
    </row>
    <row r="20" spans="2:10" x14ac:dyDescent="0.2">
      <c r="B20" s="210" t="s">
        <v>656</v>
      </c>
      <c r="C20" s="211"/>
      <c r="D20" s="212">
        <v>3</v>
      </c>
    </row>
    <row r="21" spans="2:10" x14ac:dyDescent="0.2">
      <c r="B21" s="210"/>
      <c r="C21" s="211" t="s">
        <v>657</v>
      </c>
      <c r="D21" s="213">
        <v>0.1</v>
      </c>
    </row>
    <row r="22" spans="2:10" x14ac:dyDescent="0.2">
      <c r="B22" s="210"/>
      <c r="C22" s="211" t="s">
        <v>658</v>
      </c>
      <c r="D22" s="213">
        <v>0.5</v>
      </c>
    </row>
    <row r="23" spans="2:10" x14ac:dyDescent="0.2">
      <c r="B23" s="210"/>
      <c r="C23" s="211" t="s">
        <v>659</v>
      </c>
      <c r="D23" s="213">
        <v>0.4</v>
      </c>
    </row>
    <row r="24" spans="2:10" x14ac:dyDescent="0.2">
      <c r="B24" s="123"/>
      <c r="D24" s="140"/>
    </row>
    <row r="25" spans="2:10" x14ac:dyDescent="0.2">
      <c r="B25" s="1511" t="s">
        <v>660</v>
      </c>
      <c r="C25" s="1512"/>
      <c r="D25" s="1513"/>
    </row>
    <row r="26" spans="2:10" x14ac:dyDescent="0.2">
      <c r="B26" s="214" t="s">
        <v>661</v>
      </c>
      <c r="C26" s="215" t="s">
        <v>654</v>
      </c>
      <c r="D26" s="216">
        <v>0.5</v>
      </c>
    </row>
    <row r="27" spans="2:10" x14ac:dyDescent="0.2">
      <c r="B27" s="214" t="s">
        <v>662</v>
      </c>
      <c r="C27" s="215" t="s">
        <v>663</v>
      </c>
      <c r="D27" s="217">
        <v>0.5</v>
      </c>
    </row>
    <row r="28" spans="2:10" x14ac:dyDescent="0.2">
      <c r="B28" s="214"/>
      <c r="C28" s="215"/>
      <c r="D28" s="218"/>
    </row>
    <row r="29" spans="2:10" x14ac:dyDescent="0.2">
      <c r="B29" s="214" t="s">
        <v>2982</v>
      </c>
      <c r="C29" s="215" t="s">
        <v>566</v>
      </c>
      <c r="D29" s="218">
        <f ca="1">SUM(ExpBase!$D$623:$D$635)*Inputs!$F$3</f>
        <v>426051.41358656512</v>
      </c>
    </row>
    <row r="30" spans="2:10" x14ac:dyDescent="0.2">
      <c r="B30" s="214" t="s">
        <v>2983</v>
      </c>
      <c r="C30" s="215" t="s">
        <v>566</v>
      </c>
      <c r="D30" s="218">
        <f ca="1">SUM(ExpBase!$C$623:$C$635)*Inputs!$F$3</f>
        <v>183479.68206722478</v>
      </c>
    </row>
    <row r="31" spans="2:10" x14ac:dyDescent="0.2">
      <c r="B31" s="214" t="s">
        <v>666</v>
      </c>
      <c r="C31" s="215" t="s">
        <v>566</v>
      </c>
      <c r="D31" s="218">
        <f ca="1">ExpBase!$C$1151*Inputs!$F$3/1.02</f>
        <v>6145632.9164090157</v>
      </c>
      <c r="E31" s="100"/>
    </row>
    <row r="32" spans="2:10" x14ac:dyDescent="0.2">
      <c r="B32" s="214" t="s">
        <v>664</v>
      </c>
      <c r="C32" s="215" t="s">
        <v>566</v>
      </c>
      <c r="D32" s="218">
        <f ca="1">ExpBase!$C$1150*Inputs!$F$3/1.02</f>
        <v>122133.32991037316</v>
      </c>
      <c r="E32" s="100"/>
    </row>
    <row r="33" spans="2:10" x14ac:dyDescent="0.2">
      <c r="B33" s="214" t="s">
        <v>667</v>
      </c>
      <c r="C33" s="215" t="s">
        <v>566</v>
      </c>
      <c r="D33" s="218">
        <f ca="1">(ExpBase!$G$126+Inputs!$F$13)*Inputs!$F$3</f>
        <v>224142769.69001999</v>
      </c>
    </row>
    <row r="34" spans="2:10" x14ac:dyDescent="0.2">
      <c r="B34" s="123"/>
      <c r="D34" s="143"/>
    </row>
    <row r="35" spans="2:10" x14ac:dyDescent="0.2">
      <c r="B35" s="1478" t="s">
        <v>668</v>
      </c>
      <c r="C35" s="1479"/>
      <c r="D35" s="1480"/>
    </row>
    <row r="36" spans="2:10" x14ac:dyDescent="0.2">
      <c r="B36" s="144" t="s">
        <v>669</v>
      </c>
      <c r="C36" s="14"/>
      <c r="D36" s="145">
        <v>0.1</v>
      </c>
    </row>
    <row r="37" spans="2:10" ht="16" thickBot="1" x14ac:dyDescent="0.25">
      <c r="B37" s="146" t="s">
        <v>670</v>
      </c>
      <c r="C37" s="147"/>
      <c r="D37" s="148">
        <v>0.35</v>
      </c>
    </row>
    <row r="38" spans="2:10" ht="16" thickBot="1" x14ac:dyDescent="0.25">
      <c r="D38" s="131"/>
    </row>
    <row r="39" spans="2:10" ht="23" thickBot="1" x14ac:dyDescent="0.35">
      <c r="B39" s="1481" t="s">
        <v>671</v>
      </c>
      <c r="C39" s="1482"/>
      <c r="D39" s="1483"/>
    </row>
    <row r="40" spans="2:10" x14ac:dyDescent="0.2">
      <c r="B40" s="59"/>
      <c r="C40" s="60"/>
      <c r="D40" s="106"/>
    </row>
    <row r="41" spans="2:10" x14ac:dyDescent="0.2">
      <c r="B41" s="123" t="s">
        <v>2982</v>
      </c>
      <c r="C41" s="2008" t="s">
        <v>639</v>
      </c>
      <c r="D41" s="137">
        <v>1.2</v>
      </c>
    </row>
    <row r="42" spans="2:10" x14ac:dyDescent="0.2">
      <c r="B42" s="123" t="s">
        <v>2983</v>
      </c>
      <c r="C42" s="2008" t="s">
        <v>639</v>
      </c>
      <c r="D42" s="137">
        <v>2</v>
      </c>
      <c r="J42" s="101"/>
    </row>
    <row r="43" spans="2:10" x14ac:dyDescent="0.2">
      <c r="B43" s="123" t="s">
        <v>672</v>
      </c>
      <c r="C43" s="2008" t="s">
        <v>639</v>
      </c>
      <c r="D43" s="137">
        <v>7.33</v>
      </c>
    </row>
    <row r="44" spans="2:10" x14ac:dyDescent="0.2">
      <c r="B44" s="123" t="s">
        <v>664</v>
      </c>
      <c r="C44" s="2008" t="s">
        <v>639</v>
      </c>
      <c r="D44" s="137">
        <v>0.85</v>
      </c>
    </row>
    <row r="45" spans="2:10" x14ac:dyDescent="0.2">
      <c r="B45" s="123" t="s">
        <v>667</v>
      </c>
      <c r="C45" s="2008" t="s">
        <v>639</v>
      </c>
      <c r="D45" s="137">
        <v>0.05</v>
      </c>
    </row>
    <row r="46" spans="2:10" x14ac:dyDescent="0.2">
      <c r="B46" s="123"/>
      <c r="C46" s="2008"/>
      <c r="D46" s="151"/>
    </row>
    <row r="47" spans="2:10" ht="16" thickBot="1" x14ac:dyDescent="0.25">
      <c r="B47" s="152" t="s">
        <v>673</v>
      </c>
      <c r="C47" s="69"/>
      <c r="D47" s="71">
        <f ca="1">D86-SUM(E87:G87)</f>
        <v>-618294646.31448913</v>
      </c>
    </row>
    <row r="48" spans="2:10" ht="16" thickBot="1" x14ac:dyDescent="0.25"/>
    <row r="49" spans="2:37" ht="23" thickBot="1" x14ac:dyDescent="0.35">
      <c r="B49" s="1481" t="s">
        <v>674</v>
      </c>
      <c r="C49" s="1482"/>
      <c r="D49" s="1483"/>
    </row>
    <row r="50" spans="2:37" x14ac:dyDescent="0.2">
      <c r="B50" s="59"/>
      <c r="C50" s="60"/>
      <c r="D50" s="60"/>
      <c r="E50" s="60"/>
      <c r="F50" s="60"/>
      <c r="G50" s="60"/>
      <c r="H50" s="60"/>
      <c r="I50" s="60"/>
      <c r="J50" s="60"/>
      <c r="K50" s="60"/>
      <c r="L50" s="60"/>
      <c r="M50" s="60"/>
      <c r="N50" s="60"/>
      <c r="O50" s="60"/>
      <c r="P50" s="60"/>
      <c r="Q50" s="60"/>
      <c r="R50" s="60"/>
      <c r="S50" s="60"/>
      <c r="T50" s="60"/>
      <c r="U50" s="60"/>
      <c r="V50" s="60"/>
      <c r="W50" s="60"/>
      <c r="X50" s="60"/>
      <c r="Y50" s="60"/>
      <c r="Z50" s="60"/>
      <c r="AA50" s="60"/>
      <c r="AB50" s="60"/>
      <c r="AC50" s="60"/>
      <c r="AD50" s="60"/>
      <c r="AE50" s="60"/>
      <c r="AF50" s="60"/>
      <c r="AG50" s="60"/>
      <c r="AH50" s="60"/>
      <c r="AI50" s="60"/>
      <c r="AJ50" s="60"/>
      <c r="AK50" s="106"/>
    </row>
    <row r="51" spans="2:37" x14ac:dyDescent="0.2">
      <c r="B51" s="123" t="s">
        <v>519</v>
      </c>
      <c r="E51">
        <v>-2</v>
      </c>
      <c r="F51">
        <v>-1</v>
      </c>
      <c r="G51">
        <v>0</v>
      </c>
      <c r="H51">
        <v>1</v>
      </c>
      <c r="I51">
        <v>2</v>
      </c>
      <c r="J51">
        <v>3</v>
      </c>
      <c r="K51">
        <v>4</v>
      </c>
      <c r="L51">
        <v>5</v>
      </c>
      <c r="M51">
        <v>6</v>
      </c>
      <c r="N51">
        <v>7</v>
      </c>
      <c r="O51">
        <v>8</v>
      </c>
      <c r="P51">
        <v>9</v>
      </c>
      <c r="Q51">
        <v>10</v>
      </c>
      <c r="R51">
        <v>11</v>
      </c>
      <c r="S51">
        <v>12</v>
      </c>
      <c r="T51">
        <v>13</v>
      </c>
      <c r="U51">
        <v>14</v>
      </c>
      <c r="V51">
        <v>15</v>
      </c>
      <c r="W51">
        <v>16</v>
      </c>
      <c r="X51">
        <v>17</v>
      </c>
      <c r="Y51">
        <v>18</v>
      </c>
      <c r="Z51">
        <v>19</v>
      </c>
      <c r="AA51">
        <v>20</v>
      </c>
      <c r="AB51">
        <v>21</v>
      </c>
      <c r="AC51">
        <v>22</v>
      </c>
      <c r="AD51">
        <v>23</v>
      </c>
      <c r="AE51">
        <v>24</v>
      </c>
      <c r="AF51">
        <v>25</v>
      </c>
      <c r="AG51">
        <v>26</v>
      </c>
      <c r="AH51">
        <v>27</v>
      </c>
      <c r="AI51">
        <v>28</v>
      </c>
      <c r="AJ51">
        <v>29</v>
      </c>
      <c r="AK51" s="140">
        <v>30</v>
      </c>
    </row>
    <row r="52" spans="2:37" x14ac:dyDescent="0.2">
      <c r="B52" s="123" t="s">
        <v>675</v>
      </c>
      <c r="D52" s="153"/>
      <c r="E52" s="153">
        <f ca="1">($D$6*D21*$D$11)</f>
        <v>15530645.473420057</v>
      </c>
      <c r="F52" s="153">
        <f ca="1">($D$6*D22*$D$11)</f>
        <v>77653227.367100284</v>
      </c>
      <c r="G52" s="153">
        <f ca="1">$D$6*D23*$D$11</f>
        <v>62122581.89368023</v>
      </c>
      <c r="AK52" s="140"/>
    </row>
    <row r="53" spans="2:37" x14ac:dyDescent="0.2">
      <c r="B53" s="123" t="s">
        <v>676</v>
      </c>
      <c r="D53" s="153"/>
      <c r="E53" s="153">
        <f ca="1">D7</f>
        <v>58239920.525325216</v>
      </c>
      <c r="F53" s="153"/>
      <c r="AK53" s="140"/>
    </row>
    <row r="54" spans="2:37" x14ac:dyDescent="0.2">
      <c r="B54" s="123" t="s">
        <v>643</v>
      </c>
      <c r="D54" s="153"/>
      <c r="E54" s="153"/>
      <c r="F54" s="153"/>
      <c r="G54" s="153">
        <f ca="1">D8</f>
        <v>19413306.841775071</v>
      </c>
      <c r="AK54" s="140"/>
    </row>
    <row r="55" spans="2:37" x14ac:dyDescent="0.2">
      <c r="B55" s="123"/>
      <c r="AK55" s="140"/>
    </row>
    <row r="56" spans="2:37" x14ac:dyDescent="0.2">
      <c r="B56" s="123" t="s">
        <v>677</v>
      </c>
      <c r="E56" s="132">
        <f ca="1">E57</f>
        <v>1863677.4568104071</v>
      </c>
      <c r="F56" s="132">
        <f ca="1">F57</f>
        <v>11182064.740862442</v>
      </c>
      <c r="G56" s="132">
        <f ca="1">G57</f>
        <v>18636774.56810407</v>
      </c>
      <c r="H56" s="154">
        <f ca="1">D14</f>
        <v>34717862.310590096</v>
      </c>
      <c r="I56" s="153">
        <f t="shared" ref="I56:AK56" ca="1" si="0">IF($D$13&gt;H51,$D$14,0)</f>
        <v>34717862.310590096</v>
      </c>
      <c r="J56" s="153">
        <f t="shared" ca="1" si="0"/>
        <v>34717862.310590096</v>
      </c>
      <c r="K56" s="153">
        <f t="shared" ca="1" si="0"/>
        <v>34717862.310590096</v>
      </c>
      <c r="L56" s="153">
        <f t="shared" ca="1" si="0"/>
        <v>34717862.310590096</v>
      </c>
      <c r="M56" s="153">
        <f t="shared" ca="1" si="0"/>
        <v>34717862.310590096</v>
      </c>
      <c r="N56" s="153">
        <f t="shared" ca="1" si="0"/>
        <v>34717862.310590096</v>
      </c>
      <c r="O56" s="153">
        <f t="shared" ca="1" si="0"/>
        <v>34717862.310590096</v>
      </c>
      <c r="P56" s="153">
        <f t="shared" ca="1" si="0"/>
        <v>34717862.310590096</v>
      </c>
      <c r="Q56" s="153">
        <f t="shared" ca="1" si="0"/>
        <v>34717862.310590096</v>
      </c>
      <c r="R56" s="153">
        <f t="shared" si="0"/>
        <v>0</v>
      </c>
      <c r="S56" s="153">
        <f t="shared" si="0"/>
        <v>0</v>
      </c>
      <c r="T56" s="153">
        <f t="shared" si="0"/>
        <v>0</v>
      </c>
      <c r="U56" s="153">
        <f t="shared" si="0"/>
        <v>0</v>
      </c>
      <c r="V56" s="153">
        <f t="shared" si="0"/>
        <v>0</v>
      </c>
      <c r="W56" s="153">
        <f t="shared" si="0"/>
        <v>0</v>
      </c>
      <c r="X56" s="153">
        <f t="shared" si="0"/>
        <v>0</v>
      </c>
      <c r="Y56" s="153">
        <f t="shared" si="0"/>
        <v>0</v>
      </c>
      <c r="Z56" s="153">
        <f t="shared" si="0"/>
        <v>0</v>
      </c>
      <c r="AA56" s="153">
        <f t="shared" si="0"/>
        <v>0</v>
      </c>
      <c r="AB56" s="153">
        <f t="shared" si="0"/>
        <v>0</v>
      </c>
      <c r="AC56" s="153">
        <f t="shared" si="0"/>
        <v>0</v>
      </c>
      <c r="AD56" s="153">
        <f t="shared" si="0"/>
        <v>0</v>
      </c>
      <c r="AE56" s="153">
        <f t="shared" si="0"/>
        <v>0</v>
      </c>
      <c r="AF56" s="153">
        <f t="shared" si="0"/>
        <v>0</v>
      </c>
      <c r="AG56" s="153">
        <f t="shared" si="0"/>
        <v>0</v>
      </c>
      <c r="AH56" s="153">
        <f t="shared" si="0"/>
        <v>0</v>
      </c>
      <c r="AI56" s="153">
        <f t="shared" si="0"/>
        <v>0</v>
      </c>
      <c r="AJ56" s="153">
        <f t="shared" si="0"/>
        <v>0</v>
      </c>
      <c r="AK56" s="155">
        <f t="shared" si="0"/>
        <v>0</v>
      </c>
    </row>
    <row r="57" spans="2:37" x14ac:dyDescent="0.2">
      <c r="B57" s="123"/>
      <c r="C57" t="s">
        <v>678</v>
      </c>
      <c r="D57" s="141"/>
      <c r="E57" s="153">
        <f ca="1">E58*$D$12</f>
        <v>1863677.4568104071</v>
      </c>
      <c r="F57" s="153">
        <f ca="1">+F58*$D$12</f>
        <v>11182064.740862442</v>
      </c>
      <c r="G57" s="153">
        <f ca="1">+G58*$D$12</f>
        <v>18636774.56810407</v>
      </c>
      <c r="H57" s="153">
        <f ca="1">D6*(1-D11)*D12</f>
        <v>18636774.56810407</v>
      </c>
      <c r="I57" s="153">
        <f ca="1">+H58*$D$12</f>
        <v>17350287.548705187</v>
      </c>
      <c r="J57" s="153">
        <f t="shared" ref="J57:AK57" ca="1" si="1">+I58*$D$12</f>
        <v>15960881.567754395</v>
      </c>
      <c r="K57" s="153">
        <f t="shared" ca="1" si="1"/>
        <v>14460323.10832754</v>
      </c>
      <c r="L57" s="153">
        <f t="shared" ca="1" si="1"/>
        <v>12839719.972146535</v>
      </c>
      <c r="M57" s="153">
        <f t="shared" ca="1" si="1"/>
        <v>11089468.585071051</v>
      </c>
      <c r="N57" s="153">
        <f t="shared" ca="1" si="1"/>
        <v>9199197.0870295297</v>
      </c>
      <c r="O57" s="153">
        <f t="shared" ca="1" si="1"/>
        <v>7157703.8691446846</v>
      </c>
      <c r="P57" s="153">
        <f t="shared" ca="1" si="1"/>
        <v>4952891.1938290512</v>
      </c>
      <c r="Q57" s="153">
        <f t="shared" ca="1" si="1"/>
        <v>2571693.5044881678</v>
      </c>
      <c r="R57" s="153">
        <f t="shared" ca="1" si="1"/>
        <v>1.3522803783416748E-8</v>
      </c>
      <c r="S57" s="153">
        <f t="shared" ca="1" si="1"/>
        <v>1.4604628086090089E-8</v>
      </c>
      <c r="T57" s="153">
        <f t="shared" ca="1" si="1"/>
        <v>1.5772998332977295E-8</v>
      </c>
      <c r="U57" s="153">
        <f t="shared" ca="1" si="1"/>
        <v>1.7034838199615478E-8</v>
      </c>
      <c r="V57" s="153">
        <f t="shared" ca="1" si="1"/>
        <v>1.8397625255584717E-8</v>
      </c>
      <c r="W57" s="153">
        <f t="shared" ca="1" si="1"/>
        <v>1.9869435276031494E-8</v>
      </c>
      <c r="X57" s="153">
        <f t="shared" ca="1" si="1"/>
        <v>2.1458990098114014E-8</v>
      </c>
      <c r="Y57" s="153">
        <f t="shared" ca="1" si="1"/>
        <v>2.3175709305963135E-8</v>
      </c>
      <c r="Z57" s="153">
        <f t="shared" ca="1" si="1"/>
        <v>2.5029766050440188E-8</v>
      </c>
      <c r="AA57" s="153">
        <f t="shared" ca="1" si="1"/>
        <v>2.7032147334475401E-8</v>
      </c>
      <c r="AB57" s="153">
        <f t="shared" ca="1" si="1"/>
        <v>2.9194719121233438E-8</v>
      </c>
      <c r="AC57" s="153">
        <f t="shared" ca="1" si="1"/>
        <v>3.1530296650932108E-8</v>
      </c>
      <c r="AD57" s="153">
        <f t="shared" ca="1" si="1"/>
        <v>3.4052720383006677E-8</v>
      </c>
      <c r="AE57" s="153">
        <f t="shared" ca="1" si="1"/>
        <v>3.6776938013647215E-8</v>
      </c>
      <c r="AF57" s="153">
        <f t="shared" ca="1" si="1"/>
        <v>3.9719093054738994E-8</v>
      </c>
      <c r="AG57" s="153">
        <f t="shared" ca="1" si="1"/>
        <v>4.289662049911811E-8</v>
      </c>
      <c r="AH57" s="153">
        <f t="shared" ca="1" si="1"/>
        <v>4.6328350139047567E-8</v>
      </c>
      <c r="AI57" s="153">
        <f t="shared" ca="1" si="1"/>
        <v>5.0034618150171373E-8</v>
      </c>
      <c r="AJ57" s="153">
        <f t="shared" ca="1" si="1"/>
        <v>5.4037387602185081E-8</v>
      </c>
      <c r="AK57" s="155">
        <f t="shared" ca="1" si="1"/>
        <v>5.8360378610359887E-8</v>
      </c>
    </row>
    <row r="58" spans="2:37" x14ac:dyDescent="0.2">
      <c r="B58" s="123"/>
      <c r="C58" t="s">
        <v>679</v>
      </c>
      <c r="D58" s="141"/>
      <c r="E58" s="153">
        <f ca="1">$D$6*(1-$D$11)*$D$21</f>
        <v>23295968.210130088</v>
      </c>
      <c r="F58" s="141">
        <f ca="1">$D$6*(1-$D$11)*$D$22+E58</f>
        <v>139775809.26078051</v>
      </c>
      <c r="G58" s="153">
        <f ca="1">$D$6*(1-$D$11)*$D$23+F58</f>
        <v>232959682.10130087</v>
      </c>
      <c r="H58" s="153">
        <f ca="1">D6*(1-D11)-H56+H57</f>
        <v>216878594.35881484</v>
      </c>
      <c r="I58" s="153">
        <f ca="1">+H58-I56+I57</f>
        <v>199511019.59692994</v>
      </c>
      <c r="J58" s="153">
        <f t="shared" ref="J58:AK58" ca="1" si="2">+I58-J56+J57</f>
        <v>180754038.85409424</v>
      </c>
      <c r="K58" s="153">
        <f t="shared" ca="1" si="2"/>
        <v>160496499.65183169</v>
      </c>
      <c r="L58" s="153">
        <f t="shared" ca="1" si="2"/>
        <v>138618357.31338814</v>
      </c>
      <c r="M58" s="153">
        <f t="shared" ca="1" si="2"/>
        <v>114989963.58786911</v>
      </c>
      <c r="N58" s="153">
        <f t="shared" ca="1" si="2"/>
        <v>89471298.364308551</v>
      </c>
      <c r="O58" s="153">
        <f t="shared" ca="1" si="2"/>
        <v>61911139.922863141</v>
      </c>
      <c r="P58" s="153">
        <f t="shared" ca="1" si="2"/>
        <v>32146168.806102097</v>
      </c>
      <c r="Q58" s="153">
        <f t="shared" ca="1" si="2"/>
        <v>1.6903504729270935E-7</v>
      </c>
      <c r="R58" s="153">
        <f t="shared" ca="1" si="2"/>
        <v>1.8255785107612611E-7</v>
      </c>
      <c r="S58" s="153">
        <f t="shared" ca="1" si="2"/>
        <v>1.971624791622162E-7</v>
      </c>
      <c r="T58" s="153">
        <f t="shared" ca="1" si="2"/>
        <v>2.1293547749519349E-7</v>
      </c>
      <c r="U58" s="153">
        <f t="shared" ca="1" si="2"/>
        <v>2.2997031569480897E-7</v>
      </c>
      <c r="V58" s="153">
        <f t="shared" ca="1" si="2"/>
        <v>2.4836794095039366E-7</v>
      </c>
      <c r="W58" s="153">
        <f t="shared" ca="1" si="2"/>
        <v>2.6823737622642518E-7</v>
      </c>
      <c r="X58" s="153">
        <f t="shared" ca="1" si="2"/>
        <v>2.896963663245392E-7</v>
      </c>
      <c r="Y58" s="153">
        <f t="shared" ca="1" si="2"/>
        <v>3.1287207563050235E-7</v>
      </c>
      <c r="Z58" s="153">
        <f t="shared" ca="1" si="2"/>
        <v>3.3790184168094253E-7</v>
      </c>
      <c r="AA58" s="153">
        <f t="shared" ca="1" si="2"/>
        <v>3.6493398901541795E-7</v>
      </c>
      <c r="AB58" s="153">
        <f t="shared" ca="1" si="2"/>
        <v>3.9412870813665137E-7</v>
      </c>
      <c r="AC58" s="153">
        <f t="shared" ca="1" si="2"/>
        <v>4.2565900478758346E-7</v>
      </c>
      <c r="AD58" s="153">
        <f t="shared" ca="1" si="2"/>
        <v>4.5971172517059015E-7</v>
      </c>
      <c r="AE58" s="153">
        <f t="shared" ca="1" si="2"/>
        <v>4.9648866318423738E-7</v>
      </c>
      <c r="AF58" s="153">
        <f t="shared" ca="1" si="2"/>
        <v>5.3620775623897639E-7</v>
      </c>
      <c r="AG58" s="153">
        <f t="shared" ca="1" si="2"/>
        <v>5.7910437673809454E-7</v>
      </c>
      <c r="AH58" s="153">
        <f t="shared" ca="1" si="2"/>
        <v>6.2543272687714211E-7</v>
      </c>
      <c r="AI58" s="153">
        <f t="shared" ca="1" si="2"/>
        <v>6.7546734502731348E-7</v>
      </c>
      <c r="AJ58" s="153">
        <f t="shared" ca="1" si="2"/>
        <v>7.2950473262949856E-7</v>
      </c>
      <c r="AK58" s="155">
        <f t="shared" ca="1" si="2"/>
        <v>7.8786511123985842E-7</v>
      </c>
    </row>
    <row r="59" spans="2:37" x14ac:dyDescent="0.2">
      <c r="B59" s="123"/>
      <c r="D59" s="141"/>
      <c r="E59" s="153"/>
      <c r="F59" s="141"/>
      <c r="G59" s="153"/>
      <c r="H59" s="153"/>
      <c r="I59" s="153"/>
      <c r="J59" s="153"/>
      <c r="K59" s="153"/>
      <c r="L59" s="153"/>
      <c r="M59" s="153"/>
      <c r="N59" s="153"/>
      <c r="O59" s="153"/>
      <c r="P59" s="153"/>
      <c r="Q59" s="153"/>
      <c r="R59" s="153"/>
      <c r="S59" s="153"/>
      <c r="T59" s="153"/>
      <c r="U59" s="153"/>
      <c r="V59" s="153"/>
      <c r="W59" s="153"/>
      <c r="X59" s="153"/>
      <c r="Y59" s="153"/>
      <c r="Z59" s="153"/>
      <c r="AA59" s="153"/>
      <c r="AB59" s="153"/>
      <c r="AC59" s="153"/>
      <c r="AD59" s="153"/>
      <c r="AE59" s="153"/>
      <c r="AF59" s="153"/>
      <c r="AG59" s="153"/>
      <c r="AH59" s="153"/>
      <c r="AI59" s="153"/>
      <c r="AJ59" s="153"/>
      <c r="AK59" s="155"/>
    </row>
    <row r="60" spans="2:37" x14ac:dyDescent="0.2">
      <c r="B60" s="123"/>
      <c r="C60" s="142" t="s">
        <v>2999</v>
      </c>
      <c r="D60" s="142"/>
      <c r="E60" s="859">
        <f ca="1">E56</f>
        <v>1863677.4568104071</v>
      </c>
      <c r="F60" s="859">
        <f ca="1">F56</f>
        <v>11182064.740862442</v>
      </c>
      <c r="G60" s="859">
        <f ca="1">G56</f>
        <v>18636774.56810407</v>
      </c>
      <c r="H60" s="860">
        <f ca="1">H56+H59</f>
        <v>34717862.310590096</v>
      </c>
      <c r="I60" s="860">
        <f t="shared" ref="I60:R60" ca="1" si="3">I56+I59</f>
        <v>34717862.310590096</v>
      </c>
      <c r="J60" s="860">
        <f t="shared" ca="1" si="3"/>
        <v>34717862.310590096</v>
      </c>
      <c r="K60" s="860">
        <f t="shared" ca="1" si="3"/>
        <v>34717862.310590096</v>
      </c>
      <c r="L60" s="860">
        <f t="shared" ca="1" si="3"/>
        <v>34717862.310590096</v>
      </c>
      <c r="M60" s="860">
        <f t="shared" ca="1" si="3"/>
        <v>34717862.310590096</v>
      </c>
      <c r="N60" s="860">
        <f t="shared" ca="1" si="3"/>
        <v>34717862.310590096</v>
      </c>
      <c r="O60" s="860">
        <f t="shared" ca="1" si="3"/>
        <v>34717862.310590096</v>
      </c>
      <c r="P60" s="860">
        <f t="shared" ca="1" si="3"/>
        <v>34717862.310590096</v>
      </c>
      <c r="Q60" s="860">
        <f t="shared" ca="1" si="3"/>
        <v>34717862.310590096</v>
      </c>
      <c r="R60" s="154">
        <f t="shared" si="3"/>
        <v>0</v>
      </c>
      <c r="AK60" s="140"/>
    </row>
    <row r="61" spans="2:37" x14ac:dyDescent="0.2">
      <c r="B61" s="123" t="s">
        <v>680</v>
      </c>
      <c r="AK61" s="140"/>
    </row>
    <row r="62" spans="2:37" x14ac:dyDescent="0.2">
      <c r="B62" s="123"/>
      <c r="C62" t="str">
        <f>B29</f>
        <v>&gt;90% Ammonia Sulfate</v>
      </c>
      <c r="H62" s="153">
        <f ca="1">($D29*$D41)*(1-$D$26)+($D29*$D41)*$D$26*$D$27</f>
        <v>383446.2722279086</v>
      </c>
      <c r="I62" s="153">
        <f t="shared" ref="I62:AK62" ca="1" si="4">+$D29*$D41</f>
        <v>511261.6963038781</v>
      </c>
      <c r="J62" s="153">
        <f t="shared" ca="1" si="4"/>
        <v>511261.6963038781</v>
      </c>
      <c r="K62" s="153">
        <f t="shared" ca="1" si="4"/>
        <v>511261.6963038781</v>
      </c>
      <c r="L62" s="153">
        <f t="shared" ca="1" si="4"/>
        <v>511261.6963038781</v>
      </c>
      <c r="M62" s="153">
        <f t="shared" ca="1" si="4"/>
        <v>511261.6963038781</v>
      </c>
      <c r="N62" s="153">
        <f t="shared" ca="1" si="4"/>
        <v>511261.6963038781</v>
      </c>
      <c r="O62" s="153">
        <f t="shared" ca="1" si="4"/>
        <v>511261.6963038781</v>
      </c>
      <c r="P62" s="153">
        <f t="shared" ca="1" si="4"/>
        <v>511261.6963038781</v>
      </c>
      <c r="Q62" s="153">
        <f t="shared" ca="1" si="4"/>
        <v>511261.6963038781</v>
      </c>
      <c r="R62" s="153">
        <f t="shared" ca="1" si="4"/>
        <v>511261.6963038781</v>
      </c>
      <c r="S62" s="153">
        <f t="shared" ca="1" si="4"/>
        <v>511261.6963038781</v>
      </c>
      <c r="T62" s="153">
        <f t="shared" ca="1" si="4"/>
        <v>511261.6963038781</v>
      </c>
      <c r="U62" s="153">
        <f t="shared" ca="1" si="4"/>
        <v>511261.6963038781</v>
      </c>
      <c r="V62" s="153">
        <f t="shared" ca="1" si="4"/>
        <v>511261.6963038781</v>
      </c>
      <c r="W62" s="153">
        <f t="shared" ca="1" si="4"/>
        <v>511261.6963038781</v>
      </c>
      <c r="X62" s="153">
        <f t="shared" ca="1" si="4"/>
        <v>511261.6963038781</v>
      </c>
      <c r="Y62" s="153">
        <f t="shared" ca="1" si="4"/>
        <v>511261.6963038781</v>
      </c>
      <c r="Z62" s="153">
        <f t="shared" ca="1" si="4"/>
        <v>511261.6963038781</v>
      </c>
      <c r="AA62" s="153">
        <f t="shared" ca="1" si="4"/>
        <v>511261.6963038781</v>
      </c>
      <c r="AB62" s="153">
        <f t="shared" ca="1" si="4"/>
        <v>511261.6963038781</v>
      </c>
      <c r="AC62" s="153">
        <f t="shared" ca="1" si="4"/>
        <v>511261.6963038781</v>
      </c>
      <c r="AD62" s="153">
        <f t="shared" ca="1" si="4"/>
        <v>511261.6963038781</v>
      </c>
      <c r="AE62" s="153">
        <f t="shared" ca="1" si="4"/>
        <v>511261.6963038781</v>
      </c>
      <c r="AF62" s="153">
        <f t="shared" ca="1" si="4"/>
        <v>511261.6963038781</v>
      </c>
      <c r="AG62" s="153">
        <f t="shared" ca="1" si="4"/>
        <v>511261.6963038781</v>
      </c>
      <c r="AH62" s="153">
        <f t="shared" ca="1" si="4"/>
        <v>511261.6963038781</v>
      </c>
      <c r="AI62" s="153">
        <f t="shared" ca="1" si="4"/>
        <v>511261.6963038781</v>
      </c>
      <c r="AJ62" s="153">
        <f t="shared" ca="1" si="4"/>
        <v>511261.6963038781</v>
      </c>
      <c r="AK62" s="155">
        <f t="shared" ca="1" si="4"/>
        <v>511261.6963038781</v>
      </c>
    </row>
    <row r="63" spans="2:37" x14ac:dyDescent="0.2">
      <c r="B63" s="123"/>
      <c r="C63" t="str">
        <f>B30</f>
        <v>&gt;90% Magnesium Sulfate</v>
      </c>
      <c r="H63" s="153">
        <f ca="1">($D30*$D42)*(1-$D$26)+($D30*$D42)*$D$26*$D$27</f>
        <v>275219.52310083719</v>
      </c>
      <c r="I63" s="153">
        <f t="shared" ref="I63:AK63" ca="1" si="5">+$D30*$D42</f>
        <v>366959.36413444957</v>
      </c>
      <c r="J63" s="153">
        <f t="shared" ca="1" si="5"/>
        <v>366959.36413444957</v>
      </c>
      <c r="K63" s="153">
        <f t="shared" ca="1" si="5"/>
        <v>366959.36413444957</v>
      </c>
      <c r="L63" s="153">
        <f t="shared" ca="1" si="5"/>
        <v>366959.36413444957</v>
      </c>
      <c r="M63" s="153">
        <f t="shared" ca="1" si="5"/>
        <v>366959.36413444957</v>
      </c>
      <c r="N63" s="153">
        <f t="shared" ca="1" si="5"/>
        <v>366959.36413444957</v>
      </c>
      <c r="O63" s="153">
        <f t="shared" ca="1" si="5"/>
        <v>366959.36413444957</v>
      </c>
      <c r="P63" s="153">
        <f t="shared" ca="1" si="5"/>
        <v>366959.36413444957</v>
      </c>
      <c r="Q63" s="153">
        <f t="shared" ca="1" si="5"/>
        <v>366959.36413444957</v>
      </c>
      <c r="R63" s="153">
        <f t="shared" ca="1" si="5"/>
        <v>366959.36413444957</v>
      </c>
      <c r="S63" s="153">
        <f t="shared" ca="1" si="5"/>
        <v>366959.36413444957</v>
      </c>
      <c r="T63" s="153">
        <f t="shared" ca="1" si="5"/>
        <v>366959.36413444957</v>
      </c>
      <c r="U63" s="153">
        <f t="shared" ca="1" si="5"/>
        <v>366959.36413444957</v>
      </c>
      <c r="V63" s="153">
        <f t="shared" ca="1" si="5"/>
        <v>366959.36413444957</v>
      </c>
      <c r="W63" s="153">
        <f t="shared" ca="1" si="5"/>
        <v>366959.36413444957</v>
      </c>
      <c r="X63" s="153">
        <f t="shared" ca="1" si="5"/>
        <v>366959.36413444957</v>
      </c>
      <c r="Y63" s="153">
        <f t="shared" ca="1" si="5"/>
        <v>366959.36413444957</v>
      </c>
      <c r="Z63" s="153">
        <f t="shared" ca="1" si="5"/>
        <v>366959.36413444957</v>
      </c>
      <c r="AA63" s="153">
        <f t="shared" ca="1" si="5"/>
        <v>366959.36413444957</v>
      </c>
      <c r="AB63" s="153">
        <f t="shared" ca="1" si="5"/>
        <v>366959.36413444957</v>
      </c>
      <c r="AC63" s="153">
        <f t="shared" ca="1" si="5"/>
        <v>366959.36413444957</v>
      </c>
      <c r="AD63" s="153">
        <f t="shared" ca="1" si="5"/>
        <v>366959.36413444957</v>
      </c>
      <c r="AE63" s="153">
        <f t="shared" ca="1" si="5"/>
        <v>366959.36413444957</v>
      </c>
      <c r="AF63" s="153">
        <f t="shared" ca="1" si="5"/>
        <v>366959.36413444957</v>
      </c>
      <c r="AG63" s="153">
        <f t="shared" ca="1" si="5"/>
        <v>366959.36413444957</v>
      </c>
      <c r="AH63" s="153">
        <f t="shared" ca="1" si="5"/>
        <v>366959.36413444957</v>
      </c>
      <c r="AI63" s="153">
        <f t="shared" ca="1" si="5"/>
        <v>366959.36413444957</v>
      </c>
      <c r="AJ63" s="153">
        <f t="shared" ca="1" si="5"/>
        <v>366959.36413444957</v>
      </c>
      <c r="AK63" s="155">
        <f t="shared" ca="1" si="5"/>
        <v>366959.36413444957</v>
      </c>
    </row>
    <row r="64" spans="2:37" x14ac:dyDescent="0.2">
      <c r="B64" s="123"/>
      <c r="C64" t="s">
        <v>666</v>
      </c>
      <c r="H64" s="153">
        <f ca="1">($D31*$D43)*(1-$D$26)+($D31*$D43)*$D$26*$D$27</f>
        <v>33785616.957958564</v>
      </c>
      <c r="I64" s="153">
        <f t="shared" ref="I64:AK64" ca="1" si="6">+$D31*$D43</f>
        <v>45047489.277278088</v>
      </c>
      <c r="J64" s="153">
        <f t="shared" ca="1" si="6"/>
        <v>45047489.277278088</v>
      </c>
      <c r="K64" s="153">
        <f t="shared" ca="1" si="6"/>
        <v>45047489.277278088</v>
      </c>
      <c r="L64" s="153">
        <f t="shared" ca="1" si="6"/>
        <v>45047489.277278088</v>
      </c>
      <c r="M64" s="153">
        <f t="shared" ca="1" si="6"/>
        <v>45047489.277278088</v>
      </c>
      <c r="N64" s="153">
        <f t="shared" ca="1" si="6"/>
        <v>45047489.277278088</v>
      </c>
      <c r="O64" s="153">
        <f t="shared" ca="1" si="6"/>
        <v>45047489.277278088</v>
      </c>
      <c r="P64" s="153">
        <f t="shared" ca="1" si="6"/>
        <v>45047489.277278088</v>
      </c>
      <c r="Q64" s="153">
        <f t="shared" ca="1" si="6"/>
        <v>45047489.277278088</v>
      </c>
      <c r="R64" s="153">
        <f t="shared" ca="1" si="6"/>
        <v>45047489.277278088</v>
      </c>
      <c r="S64" s="153">
        <f t="shared" ca="1" si="6"/>
        <v>45047489.277278088</v>
      </c>
      <c r="T64" s="153">
        <f t="shared" ca="1" si="6"/>
        <v>45047489.277278088</v>
      </c>
      <c r="U64" s="153">
        <f t="shared" ca="1" si="6"/>
        <v>45047489.277278088</v>
      </c>
      <c r="V64" s="153">
        <f t="shared" ca="1" si="6"/>
        <v>45047489.277278088</v>
      </c>
      <c r="W64" s="153">
        <f t="shared" ca="1" si="6"/>
        <v>45047489.277278088</v>
      </c>
      <c r="X64" s="153">
        <f t="shared" ca="1" si="6"/>
        <v>45047489.277278088</v>
      </c>
      <c r="Y64" s="153">
        <f t="shared" ca="1" si="6"/>
        <v>45047489.277278088</v>
      </c>
      <c r="Z64" s="153">
        <f t="shared" ca="1" si="6"/>
        <v>45047489.277278088</v>
      </c>
      <c r="AA64" s="153">
        <f t="shared" ca="1" si="6"/>
        <v>45047489.277278088</v>
      </c>
      <c r="AB64" s="153">
        <f t="shared" ca="1" si="6"/>
        <v>45047489.277278088</v>
      </c>
      <c r="AC64" s="153">
        <f t="shared" ca="1" si="6"/>
        <v>45047489.277278088</v>
      </c>
      <c r="AD64" s="153">
        <f t="shared" ca="1" si="6"/>
        <v>45047489.277278088</v>
      </c>
      <c r="AE64" s="153">
        <f t="shared" ca="1" si="6"/>
        <v>45047489.277278088</v>
      </c>
      <c r="AF64" s="153">
        <f t="shared" ca="1" si="6"/>
        <v>45047489.277278088</v>
      </c>
      <c r="AG64" s="153">
        <f t="shared" ca="1" si="6"/>
        <v>45047489.277278088</v>
      </c>
      <c r="AH64" s="153">
        <f t="shared" ca="1" si="6"/>
        <v>45047489.277278088</v>
      </c>
      <c r="AI64" s="153">
        <f t="shared" ca="1" si="6"/>
        <v>45047489.277278088</v>
      </c>
      <c r="AJ64" s="153">
        <f t="shared" ca="1" si="6"/>
        <v>45047489.277278088</v>
      </c>
      <c r="AK64" s="155">
        <f t="shared" ca="1" si="6"/>
        <v>45047489.277278088</v>
      </c>
    </row>
    <row r="65" spans="2:37" x14ac:dyDescent="0.2">
      <c r="B65" s="123"/>
      <c r="C65" t="s">
        <v>664</v>
      </c>
      <c r="H65" s="153">
        <f ca="1">($D32*$D44)*(1-$D$26)+($D32*$D44)*$D$26*$D$27</f>
        <v>77859.997817862895</v>
      </c>
      <c r="I65" s="153">
        <f t="shared" ref="I65:AK65" ca="1" si="7">+$D32*$D44</f>
        <v>103813.33042381718</v>
      </c>
      <c r="J65" s="153">
        <f t="shared" ca="1" si="7"/>
        <v>103813.33042381718</v>
      </c>
      <c r="K65" s="153">
        <f t="shared" ca="1" si="7"/>
        <v>103813.33042381718</v>
      </c>
      <c r="L65" s="153">
        <f t="shared" ca="1" si="7"/>
        <v>103813.33042381718</v>
      </c>
      <c r="M65" s="153">
        <f t="shared" ca="1" si="7"/>
        <v>103813.33042381718</v>
      </c>
      <c r="N65" s="153">
        <f t="shared" ca="1" si="7"/>
        <v>103813.33042381718</v>
      </c>
      <c r="O65" s="153">
        <f t="shared" ca="1" si="7"/>
        <v>103813.33042381718</v>
      </c>
      <c r="P65" s="153">
        <f t="shared" ca="1" si="7"/>
        <v>103813.33042381718</v>
      </c>
      <c r="Q65" s="153">
        <f t="shared" ca="1" si="7"/>
        <v>103813.33042381718</v>
      </c>
      <c r="R65" s="153">
        <f t="shared" ca="1" si="7"/>
        <v>103813.33042381718</v>
      </c>
      <c r="S65" s="153">
        <f t="shared" ca="1" si="7"/>
        <v>103813.33042381718</v>
      </c>
      <c r="T65" s="153">
        <f t="shared" ca="1" si="7"/>
        <v>103813.33042381718</v>
      </c>
      <c r="U65" s="153">
        <f t="shared" ca="1" si="7"/>
        <v>103813.33042381718</v>
      </c>
      <c r="V65" s="153">
        <f t="shared" ca="1" si="7"/>
        <v>103813.33042381718</v>
      </c>
      <c r="W65" s="153">
        <f t="shared" ca="1" si="7"/>
        <v>103813.33042381718</v>
      </c>
      <c r="X65" s="153">
        <f t="shared" ca="1" si="7"/>
        <v>103813.33042381718</v>
      </c>
      <c r="Y65" s="153">
        <f t="shared" ca="1" si="7"/>
        <v>103813.33042381718</v>
      </c>
      <c r="Z65" s="153">
        <f t="shared" ca="1" si="7"/>
        <v>103813.33042381718</v>
      </c>
      <c r="AA65" s="153">
        <f t="shared" ca="1" si="7"/>
        <v>103813.33042381718</v>
      </c>
      <c r="AB65" s="153">
        <f t="shared" ca="1" si="7"/>
        <v>103813.33042381718</v>
      </c>
      <c r="AC65" s="153">
        <f t="shared" ca="1" si="7"/>
        <v>103813.33042381718</v>
      </c>
      <c r="AD65" s="153">
        <f t="shared" ca="1" si="7"/>
        <v>103813.33042381718</v>
      </c>
      <c r="AE65" s="153">
        <f t="shared" ca="1" si="7"/>
        <v>103813.33042381718</v>
      </c>
      <c r="AF65" s="153">
        <f t="shared" ca="1" si="7"/>
        <v>103813.33042381718</v>
      </c>
      <c r="AG65" s="153">
        <f t="shared" ca="1" si="7"/>
        <v>103813.33042381718</v>
      </c>
      <c r="AH65" s="153">
        <f t="shared" ca="1" si="7"/>
        <v>103813.33042381718</v>
      </c>
      <c r="AI65" s="153">
        <f t="shared" ca="1" si="7"/>
        <v>103813.33042381718</v>
      </c>
      <c r="AJ65" s="153">
        <f t="shared" ca="1" si="7"/>
        <v>103813.33042381718</v>
      </c>
      <c r="AK65" s="155">
        <f t="shared" ca="1" si="7"/>
        <v>103813.33042381718</v>
      </c>
    </row>
    <row r="66" spans="2:37" x14ac:dyDescent="0.2">
      <c r="B66" s="123"/>
      <c r="C66" t="str">
        <f>B33</f>
        <v>Waste Collection</v>
      </c>
      <c r="H66" s="153">
        <f ca="1">($D33*$D45)*(1-$D$26)+($D33*$D45)*$D$26*$D$27</f>
        <v>8405353.8633757494</v>
      </c>
      <c r="I66" s="153">
        <f t="shared" ref="I66:AK66" ca="1" si="8">+$D33*$D45</f>
        <v>11207138.484501</v>
      </c>
      <c r="J66" s="153">
        <f t="shared" ca="1" si="8"/>
        <v>11207138.484501</v>
      </c>
      <c r="K66" s="153">
        <f t="shared" ca="1" si="8"/>
        <v>11207138.484501</v>
      </c>
      <c r="L66" s="153">
        <f t="shared" ca="1" si="8"/>
        <v>11207138.484501</v>
      </c>
      <c r="M66" s="153">
        <f t="shared" ca="1" si="8"/>
        <v>11207138.484501</v>
      </c>
      <c r="N66" s="153">
        <f t="shared" ca="1" si="8"/>
        <v>11207138.484501</v>
      </c>
      <c r="O66" s="153">
        <f t="shared" ca="1" si="8"/>
        <v>11207138.484501</v>
      </c>
      <c r="P66" s="153">
        <f t="shared" ca="1" si="8"/>
        <v>11207138.484501</v>
      </c>
      <c r="Q66" s="153">
        <f t="shared" ca="1" si="8"/>
        <v>11207138.484501</v>
      </c>
      <c r="R66" s="153">
        <f t="shared" ca="1" si="8"/>
        <v>11207138.484501</v>
      </c>
      <c r="S66" s="153">
        <f t="shared" ca="1" si="8"/>
        <v>11207138.484501</v>
      </c>
      <c r="T66" s="153">
        <f t="shared" ca="1" si="8"/>
        <v>11207138.484501</v>
      </c>
      <c r="U66" s="153">
        <f t="shared" ca="1" si="8"/>
        <v>11207138.484501</v>
      </c>
      <c r="V66" s="153">
        <f t="shared" ca="1" si="8"/>
        <v>11207138.484501</v>
      </c>
      <c r="W66" s="153">
        <f t="shared" ca="1" si="8"/>
        <v>11207138.484501</v>
      </c>
      <c r="X66" s="153">
        <f t="shared" ca="1" si="8"/>
        <v>11207138.484501</v>
      </c>
      <c r="Y66" s="153">
        <f t="shared" ca="1" si="8"/>
        <v>11207138.484501</v>
      </c>
      <c r="Z66" s="153">
        <f t="shared" ca="1" si="8"/>
        <v>11207138.484501</v>
      </c>
      <c r="AA66" s="153">
        <f t="shared" ca="1" si="8"/>
        <v>11207138.484501</v>
      </c>
      <c r="AB66" s="153">
        <f t="shared" ca="1" si="8"/>
        <v>11207138.484501</v>
      </c>
      <c r="AC66" s="153">
        <f t="shared" ca="1" si="8"/>
        <v>11207138.484501</v>
      </c>
      <c r="AD66" s="153">
        <f t="shared" ca="1" si="8"/>
        <v>11207138.484501</v>
      </c>
      <c r="AE66" s="153">
        <f t="shared" ca="1" si="8"/>
        <v>11207138.484501</v>
      </c>
      <c r="AF66" s="153">
        <f t="shared" ca="1" si="8"/>
        <v>11207138.484501</v>
      </c>
      <c r="AG66" s="153">
        <f t="shared" ca="1" si="8"/>
        <v>11207138.484501</v>
      </c>
      <c r="AH66" s="153">
        <f t="shared" ca="1" si="8"/>
        <v>11207138.484501</v>
      </c>
      <c r="AI66" s="153">
        <f t="shared" ca="1" si="8"/>
        <v>11207138.484501</v>
      </c>
      <c r="AJ66" s="153">
        <f t="shared" ca="1" si="8"/>
        <v>11207138.484501</v>
      </c>
      <c r="AK66" s="155">
        <f t="shared" ca="1" si="8"/>
        <v>11207138.484501</v>
      </c>
    </row>
    <row r="67" spans="2:37" x14ac:dyDescent="0.2">
      <c r="B67" s="123"/>
      <c r="H67" s="153"/>
      <c r="I67" s="153"/>
      <c r="J67" s="153"/>
      <c r="K67" s="153"/>
      <c r="L67" s="153"/>
      <c r="M67" s="153"/>
      <c r="N67" s="153"/>
      <c r="O67" s="153"/>
      <c r="P67" s="153"/>
      <c r="Q67" s="153"/>
      <c r="R67" s="153"/>
      <c r="S67" s="153"/>
      <c r="T67" s="153"/>
      <c r="U67" s="153"/>
      <c r="V67" s="153"/>
      <c r="W67" s="153"/>
      <c r="X67" s="153"/>
      <c r="Y67" s="153"/>
      <c r="Z67" s="153"/>
      <c r="AA67" s="153"/>
      <c r="AB67" s="153"/>
      <c r="AC67" s="153"/>
      <c r="AD67" s="153"/>
      <c r="AE67" s="153"/>
      <c r="AF67" s="153"/>
      <c r="AG67" s="153"/>
      <c r="AH67" s="153"/>
      <c r="AI67" s="153"/>
      <c r="AJ67" s="153"/>
      <c r="AK67" s="155"/>
    </row>
    <row r="68" spans="2:37" x14ac:dyDescent="0.2">
      <c r="B68" s="144" t="s">
        <v>681</v>
      </c>
      <c r="C68" s="14"/>
      <c r="D68" s="14"/>
      <c r="E68" s="14"/>
      <c r="F68" s="14"/>
      <c r="G68" s="14"/>
      <c r="H68" s="857">
        <f ca="1">SUM(H62:H67)</f>
        <v>42927496.614480928</v>
      </c>
      <c r="I68" s="857">
        <f ca="1">SUM(I62:I67)</f>
        <v>57236662.152641237</v>
      </c>
      <c r="J68" s="857">
        <f t="shared" ref="J68:AK68" ca="1" si="9">SUM(J62:J67)</f>
        <v>57236662.152641237</v>
      </c>
      <c r="K68" s="857">
        <f t="shared" ca="1" si="9"/>
        <v>57236662.152641237</v>
      </c>
      <c r="L68" s="857">
        <f ca="1">SUM(L62:L67)</f>
        <v>57236662.152641237</v>
      </c>
      <c r="M68" s="857">
        <f t="shared" ca="1" si="9"/>
        <v>57236662.152641237</v>
      </c>
      <c r="N68" s="857">
        <f t="shared" ca="1" si="9"/>
        <v>57236662.152641237</v>
      </c>
      <c r="O68" s="857">
        <f t="shared" ca="1" si="9"/>
        <v>57236662.152641237</v>
      </c>
      <c r="P68" s="857">
        <f t="shared" ca="1" si="9"/>
        <v>57236662.152641237</v>
      </c>
      <c r="Q68" s="857">
        <f t="shared" ca="1" si="9"/>
        <v>57236662.152641237</v>
      </c>
      <c r="R68" s="857">
        <f t="shared" ca="1" si="9"/>
        <v>57236662.152641237</v>
      </c>
      <c r="S68" s="857">
        <f t="shared" ca="1" si="9"/>
        <v>57236662.152641237</v>
      </c>
      <c r="T68" s="857">
        <f t="shared" ca="1" si="9"/>
        <v>57236662.152641237</v>
      </c>
      <c r="U68" s="857">
        <f t="shared" ca="1" si="9"/>
        <v>57236662.152641237</v>
      </c>
      <c r="V68" s="857">
        <f t="shared" ca="1" si="9"/>
        <v>57236662.152641237</v>
      </c>
      <c r="W68" s="857">
        <f t="shared" ca="1" si="9"/>
        <v>57236662.152641237</v>
      </c>
      <c r="X68" s="857">
        <f t="shared" ca="1" si="9"/>
        <v>57236662.152641237</v>
      </c>
      <c r="Y68" s="857">
        <f t="shared" ca="1" si="9"/>
        <v>57236662.152641237</v>
      </c>
      <c r="Z68" s="857">
        <f t="shared" ca="1" si="9"/>
        <v>57236662.152641237</v>
      </c>
      <c r="AA68" s="857">
        <f t="shared" ca="1" si="9"/>
        <v>57236662.152641237</v>
      </c>
      <c r="AB68" s="857">
        <f t="shared" ca="1" si="9"/>
        <v>57236662.152641237</v>
      </c>
      <c r="AC68" s="857">
        <f t="shared" ca="1" si="9"/>
        <v>57236662.152641237</v>
      </c>
      <c r="AD68" s="857">
        <f t="shared" ca="1" si="9"/>
        <v>57236662.152641237</v>
      </c>
      <c r="AE68" s="857">
        <f t="shared" ca="1" si="9"/>
        <v>57236662.152641237</v>
      </c>
      <c r="AF68" s="857">
        <f t="shared" ca="1" si="9"/>
        <v>57236662.152641237</v>
      </c>
      <c r="AG68" s="857">
        <f t="shared" ca="1" si="9"/>
        <v>57236662.152641237</v>
      </c>
      <c r="AH68" s="857">
        <f t="shared" ca="1" si="9"/>
        <v>57236662.152641237</v>
      </c>
      <c r="AI68" s="857">
        <f t="shared" ca="1" si="9"/>
        <v>57236662.152641237</v>
      </c>
      <c r="AJ68" s="857">
        <f t="shared" ca="1" si="9"/>
        <v>57236662.152641237</v>
      </c>
      <c r="AK68" s="858">
        <f t="shared" ca="1" si="9"/>
        <v>57236662.152641237</v>
      </c>
    </row>
    <row r="69" spans="2:37" x14ac:dyDescent="0.2">
      <c r="B69" s="123"/>
      <c r="AK69" s="140"/>
    </row>
    <row r="70" spans="2:37" x14ac:dyDescent="0.2">
      <c r="B70" s="123" t="s">
        <v>682</v>
      </c>
      <c r="AK70" s="140"/>
    </row>
    <row r="71" spans="2:37" x14ac:dyDescent="0.2">
      <c r="B71" s="123"/>
      <c r="C71" t="s">
        <v>3000</v>
      </c>
      <c r="H71" s="101">
        <f ca="1">+D5*(1-$D$26)+D5*$D$26*$D$27</f>
        <v>52348474.271526463</v>
      </c>
      <c r="I71" s="132">
        <f t="shared" ref="I71:AK71" ca="1" si="10">+$D$5</f>
        <v>69797965.695368618</v>
      </c>
      <c r="J71" s="132">
        <f t="shared" ca="1" si="10"/>
        <v>69797965.695368618</v>
      </c>
      <c r="K71" s="132">
        <f t="shared" ca="1" si="10"/>
        <v>69797965.695368618</v>
      </c>
      <c r="L71" s="132">
        <f t="shared" ca="1" si="10"/>
        <v>69797965.695368618</v>
      </c>
      <c r="M71" s="132">
        <f t="shared" ca="1" si="10"/>
        <v>69797965.695368618</v>
      </c>
      <c r="N71" s="132">
        <f t="shared" ca="1" si="10"/>
        <v>69797965.695368618</v>
      </c>
      <c r="O71" s="132">
        <f t="shared" ca="1" si="10"/>
        <v>69797965.695368618</v>
      </c>
      <c r="P71" s="132">
        <f t="shared" ca="1" si="10"/>
        <v>69797965.695368618</v>
      </c>
      <c r="Q71" s="132">
        <f t="shared" ca="1" si="10"/>
        <v>69797965.695368618</v>
      </c>
      <c r="R71" s="132">
        <f t="shared" ca="1" si="10"/>
        <v>69797965.695368618</v>
      </c>
      <c r="S71" s="132">
        <f t="shared" ca="1" si="10"/>
        <v>69797965.695368618</v>
      </c>
      <c r="T71" s="132">
        <f t="shared" ca="1" si="10"/>
        <v>69797965.695368618</v>
      </c>
      <c r="U71" s="132">
        <f t="shared" ca="1" si="10"/>
        <v>69797965.695368618</v>
      </c>
      <c r="V71" s="132">
        <f t="shared" ca="1" si="10"/>
        <v>69797965.695368618</v>
      </c>
      <c r="W71" s="132">
        <f t="shared" ca="1" si="10"/>
        <v>69797965.695368618</v>
      </c>
      <c r="X71" s="132">
        <f t="shared" ca="1" si="10"/>
        <v>69797965.695368618</v>
      </c>
      <c r="Y71" s="132">
        <f t="shared" ca="1" si="10"/>
        <v>69797965.695368618</v>
      </c>
      <c r="Z71" s="132">
        <f t="shared" ca="1" si="10"/>
        <v>69797965.695368618</v>
      </c>
      <c r="AA71" s="132">
        <f t="shared" ca="1" si="10"/>
        <v>69797965.695368618</v>
      </c>
      <c r="AB71" s="132">
        <f t="shared" ca="1" si="10"/>
        <v>69797965.695368618</v>
      </c>
      <c r="AC71" s="132">
        <f t="shared" ca="1" si="10"/>
        <v>69797965.695368618</v>
      </c>
      <c r="AD71" s="132">
        <f t="shared" ca="1" si="10"/>
        <v>69797965.695368618</v>
      </c>
      <c r="AE71" s="132">
        <f t="shared" ca="1" si="10"/>
        <v>69797965.695368618</v>
      </c>
      <c r="AF71" s="132">
        <f t="shared" ca="1" si="10"/>
        <v>69797965.695368618</v>
      </c>
      <c r="AG71" s="132">
        <f t="shared" ca="1" si="10"/>
        <v>69797965.695368618</v>
      </c>
      <c r="AH71" s="132">
        <f t="shared" ca="1" si="10"/>
        <v>69797965.695368618</v>
      </c>
      <c r="AI71" s="132">
        <f t="shared" ca="1" si="10"/>
        <v>69797965.695368618</v>
      </c>
      <c r="AJ71" s="132">
        <f t="shared" ca="1" si="10"/>
        <v>69797965.695368618</v>
      </c>
      <c r="AK71" s="124">
        <f t="shared" ca="1" si="10"/>
        <v>69797965.695368618</v>
      </c>
    </row>
    <row r="72" spans="2:37" x14ac:dyDescent="0.2">
      <c r="B72" s="123"/>
      <c r="H72" s="132"/>
      <c r="I72" s="132"/>
      <c r="J72" s="132"/>
      <c r="K72" s="132"/>
      <c r="L72" s="132"/>
      <c r="M72" s="132"/>
      <c r="N72" s="132"/>
      <c r="O72" s="132"/>
      <c r="P72" s="132"/>
      <c r="Q72" s="132"/>
      <c r="R72" s="132"/>
      <c r="S72" s="132"/>
      <c r="T72" s="132"/>
      <c r="U72" s="132"/>
      <c r="V72" s="132"/>
      <c r="W72" s="132"/>
      <c r="X72" s="132"/>
      <c r="Y72" s="132"/>
      <c r="Z72" s="132"/>
      <c r="AA72" s="132"/>
      <c r="AB72" s="132"/>
      <c r="AC72" s="132"/>
      <c r="AD72" s="132"/>
      <c r="AE72" s="132"/>
      <c r="AF72" s="132"/>
      <c r="AG72" s="132"/>
      <c r="AH72" s="132"/>
      <c r="AI72" s="132"/>
      <c r="AJ72" s="132"/>
      <c r="AK72" s="124"/>
    </row>
    <row r="73" spans="2:37" x14ac:dyDescent="0.2">
      <c r="B73" s="861" t="s">
        <v>3001</v>
      </c>
      <c r="C73" s="19"/>
      <c r="D73" s="19"/>
      <c r="E73" s="19"/>
      <c r="F73" s="19"/>
      <c r="G73" s="19"/>
      <c r="H73" s="862">
        <f t="shared" ref="H73:AK73" ca="1" si="11">SUM(H71:H72)</f>
        <v>52348474.271526463</v>
      </c>
      <c r="I73" s="862">
        <f t="shared" ca="1" si="11"/>
        <v>69797965.695368618</v>
      </c>
      <c r="J73" s="862">
        <f t="shared" ca="1" si="11"/>
        <v>69797965.695368618</v>
      </c>
      <c r="K73" s="862">
        <f t="shared" ca="1" si="11"/>
        <v>69797965.695368618</v>
      </c>
      <c r="L73" s="862">
        <f t="shared" ca="1" si="11"/>
        <v>69797965.695368618</v>
      </c>
      <c r="M73" s="862">
        <f t="shared" ca="1" si="11"/>
        <v>69797965.695368618</v>
      </c>
      <c r="N73" s="862">
        <f t="shared" ca="1" si="11"/>
        <v>69797965.695368618</v>
      </c>
      <c r="O73" s="862">
        <f t="shared" ca="1" si="11"/>
        <v>69797965.695368618</v>
      </c>
      <c r="P73" s="862">
        <f t="shared" ca="1" si="11"/>
        <v>69797965.695368618</v>
      </c>
      <c r="Q73" s="862">
        <f t="shared" ca="1" si="11"/>
        <v>69797965.695368618</v>
      </c>
      <c r="R73" s="862">
        <f t="shared" ca="1" si="11"/>
        <v>69797965.695368618</v>
      </c>
      <c r="S73" s="862">
        <f t="shared" ca="1" si="11"/>
        <v>69797965.695368618</v>
      </c>
      <c r="T73" s="862">
        <f t="shared" ca="1" si="11"/>
        <v>69797965.695368618</v>
      </c>
      <c r="U73" s="862">
        <f t="shared" ca="1" si="11"/>
        <v>69797965.695368618</v>
      </c>
      <c r="V73" s="862">
        <f t="shared" ca="1" si="11"/>
        <v>69797965.695368618</v>
      </c>
      <c r="W73" s="862">
        <f t="shared" ca="1" si="11"/>
        <v>69797965.695368618</v>
      </c>
      <c r="X73" s="862">
        <f t="shared" ca="1" si="11"/>
        <v>69797965.695368618</v>
      </c>
      <c r="Y73" s="862">
        <f t="shared" ca="1" si="11"/>
        <v>69797965.695368618</v>
      </c>
      <c r="Z73" s="862">
        <f t="shared" ca="1" si="11"/>
        <v>69797965.695368618</v>
      </c>
      <c r="AA73" s="862">
        <f t="shared" ca="1" si="11"/>
        <v>69797965.695368618</v>
      </c>
      <c r="AB73" s="862">
        <f t="shared" ca="1" si="11"/>
        <v>69797965.695368618</v>
      </c>
      <c r="AC73" s="862">
        <f t="shared" ca="1" si="11"/>
        <v>69797965.695368618</v>
      </c>
      <c r="AD73" s="862">
        <f t="shared" ca="1" si="11"/>
        <v>69797965.695368618</v>
      </c>
      <c r="AE73" s="862">
        <f t="shared" ca="1" si="11"/>
        <v>69797965.695368618</v>
      </c>
      <c r="AF73" s="862">
        <f t="shared" ca="1" si="11"/>
        <v>69797965.695368618</v>
      </c>
      <c r="AG73" s="862">
        <f t="shared" ca="1" si="11"/>
        <v>69797965.695368618</v>
      </c>
      <c r="AH73" s="862">
        <f t="shared" ca="1" si="11"/>
        <v>69797965.695368618</v>
      </c>
      <c r="AI73" s="862">
        <f t="shared" ca="1" si="11"/>
        <v>69797965.695368618</v>
      </c>
      <c r="AJ73" s="862">
        <f t="shared" ca="1" si="11"/>
        <v>69797965.695368618</v>
      </c>
      <c r="AK73" s="863">
        <f t="shared" ca="1" si="11"/>
        <v>69797965.695368618</v>
      </c>
    </row>
    <row r="74" spans="2:37" x14ac:dyDescent="0.2">
      <c r="B74" s="123"/>
      <c r="AK74" s="140"/>
    </row>
    <row r="75" spans="2:37" x14ac:dyDescent="0.2">
      <c r="B75" s="864" t="s">
        <v>652</v>
      </c>
      <c r="AK75" s="140"/>
    </row>
    <row r="76" spans="2:37" x14ac:dyDescent="0.2">
      <c r="B76" s="123"/>
      <c r="H76" s="156">
        <v>0.1429</v>
      </c>
      <c r="I76" s="157">
        <v>0.24490000000000001</v>
      </c>
      <c r="J76" s="157">
        <v>0.1749</v>
      </c>
      <c r="K76" s="157">
        <v>0.1249</v>
      </c>
      <c r="L76" s="157">
        <v>8.9300000000000004E-2</v>
      </c>
      <c r="M76" s="157">
        <v>8.9200000000000002E-2</v>
      </c>
      <c r="N76" s="157">
        <v>8.9300000000000004E-2</v>
      </c>
      <c r="O76" s="157">
        <v>4.4600000000000001E-2</v>
      </c>
      <c r="P76" s="131">
        <v>0</v>
      </c>
      <c r="Q76" s="131">
        <v>0</v>
      </c>
      <c r="R76" s="131">
        <v>0</v>
      </c>
      <c r="S76" s="131">
        <v>0</v>
      </c>
      <c r="T76" s="131">
        <v>0</v>
      </c>
      <c r="U76" s="131">
        <v>0</v>
      </c>
      <c r="V76" s="131">
        <v>0</v>
      </c>
      <c r="W76" s="131">
        <v>0</v>
      </c>
      <c r="X76" s="131">
        <v>0</v>
      </c>
      <c r="Y76" s="131">
        <v>0</v>
      </c>
      <c r="Z76" s="131">
        <v>0</v>
      </c>
      <c r="AA76" s="131">
        <v>0</v>
      </c>
      <c r="AB76" s="131">
        <v>0</v>
      </c>
      <c r="AC76" s="131">
        <v>0</v>
      </c>
      <c r="AD76" s="131">
        <v>0</v>
      </c>
      <c r="AE76" s="131">
        <v>0</v>
      </c>
      <c r="AF76" s="131">
        <v>0</v>
      </c>
      <c r="AG76" s="131">
        <v>0</v>
      </c>
      <c r="AH76" s="131">
        <v>0</v>
      </c>
      <c r="AI76" s="131">
        <v>0</v>
      </c>
      <c r="AJ76" s="131">
        <v>0</v>
      </c>
      <c r="AK76" s="158">
        <v>0</v>
      </c>
    </row>
    <row r="77" spans="2:37" x14ac:dyDescent="0.2">
      <c r="B77" s="123"/>
      <c r="H77" s="865">
        <f t="shared" ref="H77:AK77" ca="1" si="12">H$76*$D$6</f>
        <v>55483230.953793153</v>
      </c>
      <c r="I77" s="865">
        <f t="shared" ca="1" si="12"/>
        <v>95086376.911014304</v>
      </c>
      <c r="J77" s="865">
        <f t="shared" ca="1" si="12"/>
        <v>67907747.332529202</v>
      </c>
      <c r="K77" s="865">
        <f t="shared" ca="1" si="12"/>
        <v>48494440.490754128</v>
      </c>
      <c r="L77" s="865">
        <f t="shared" ca="1" si="12"/>
        <v>34672166.019410282</v>
      </c>
      <c r="M77" s="865">
        <f t="shared" ca="1" si="12"/>
        <v>34633339.405726731</v>
      </c>
      <c r="N77" s="865">
        <f t="shared" ca="1" si="12"/>
        <v>34672166.019410282</v>
      </c>
      <c r="O77" s="865">
        <f t="shared" ca="1" si="12"/>
        <v>17316669.702863365</v>
      </c>
      <c r="P77" s="153">
        <f t="shared" ca="1" si="12"/>
        <v>0</v>
      </c>
      <c r="Q77" s="153">
        <f t="shared" ca="1" si="12"/>
        <v>0</v>
      </c>
      <c r="R77" s="153">
        <f t="shared" ca="1" si="12"/>
        <v>0</v>
      </c>
      <c r="S77" s="153">
        <f t="shared" ca="1" si="12"/>
        <v>0</v>
      </c>
      <c r="T77" s="153">
        <f t="shared" ca="1" si="12"/>
        <v>0</v>
      </c>
      <c r="U77" s="153">
        <f t="shared" ca="1" si="12"/>
        <v>0</v>
      </c>
      <c r="V77" s="153">
        <f t="shared" ca="1" si="12"/>
        <v>0</v>
      </c>
      <c r="W77" s="153">
        <f t="shared" ca="1" si="12"/>
        <v>0</v>
      </c>
      <c r="X77" s="153">
        <f t="shared" ca="1" si="12"/>
        <v>0</v>
      </c>
      <c r="Y77" s="153">
        <f t="shared" ca="1" si="12"/>
        <v>0</v>
      </c>
      <c r="Z77" s="153">
        <f t="shared" ca="1" si="12"/>
        <v>0</v>
      </c>
      <c r="AA77" s="153">
        <f t="shared" ca="1" si="12"/>
        <v>0</v>
      </c>
      <c r="AB77" s="153">
        <f t="shared" ca="1" si="12"/>
        <v>0</v>
      </c>
      <c r="AC77" s="153">
        <f t="shared" ca="1" si="12"/>
        <v>0</v>
      </c>
      <c r="AD77" s="153">
        <f t="shared" ca="1" si="12"/>
        <v>0</v>
      </c>
      <c r="AE77" s="153">
        <f t="shared" ca="1" si="12"/>
        <v>0</v>
      </c>
      <c r="AF77" s="153">
        <f t="shared" ca="1" si="12"/>
        <v>0</v>
      </c>
      <c r="AG77" s="153">
        <f t="shared" ca="1" si="12"/>
        <v>0</v>
      </c>
      <c r="AH77" s="153">
        <f t="shared" ca="1" si="12"/>
        <v>0</v>
      </c>
      <c r="AI77" s="153">
        <f t="shared" ca="1" si="12"/>
        <v>0</v>
      </c>
      <c r="AJ77" s="153">
        <f t="shared" ca="1" si="12"/>
        <v>0</v>
      </c>
      <c r="AK77" s="155">
        <f t="shared" ca="1" si="12"/>
        <v>0</v>
      </c>
    </row>
    <row r="78" spans="2:37" x14ac:dyDescent="0.2">
      <c r="B78" s="123"/>
      <c r="AK78" s="140"/>
    </row>
    <row r="79" spans="2:37" x14ac:dyDescent="0.2">
      <c r="B79" s="123" t="s">
        <v>683</v>
      </c>
      <c r="H79" s="132">
        <f t="shared" ref="H79:AK79" ca="1" si="13">+H68-H60-H73-H77</f>
        <v>-99622070.921428785</v>
      </c>
      <c r="I79" s="132">
        <f t="shared" ca="1" si="13"/>
        <v>-142365542.76433179</v>
      </c>
      <c r="J79" s="132">
        <f t="shared" ca="1" si="13"/>
        <v>-115186913.18584669</v>
      </c>
      <c r="K79" s="132">
        <f t="shared" ca="1" si="13"/>
        <v>-95773606.344071597</v>
      </c>
      <c r="L79" s="132">
        <f t="shared" ca="1" si="13"/>
        <v>-81951331.872727752</v>
      </c>
      <c r="M79" s="132">
        <f t="shared" ca="1" si="13"/>
        <v>-81912505.2590442</v>
      </c>
      <c r="N79" s="132">
        <f t="shared" ca="1" si="13"/>
        <v>-81951331.872727752</v>
      </c>
      <c r="O79" s="132">
        <f t="shared" ca="1" si="13"/>
        <v>-64595835.556180842</v>
      </c>
      <c r="P79" s="132">
        <f t="shared" ca="1" si="13"/>
        <v>-47279165.853317477</v>
      </c>
      <c r="Q79" s="132">
        <f t="shared" ca="1" si="13"/>
        <v>-47279165.853317477</v>
      </c>
      <c r="R79" s="132">
        <f t="shared" ca="1" si="13"/>
        <v>-12561303.542727381</v>
      </c>
      <c r="S79" s="132">
        <f t="shared" ca="1" si="13"/>
        <v>-12561303.542727381</v>
      </c>
      <c r="T79" s="132">
        <f t="shared" ca="1" si="13"/>
        <v>-12561303.542727381</v>
      </c>
      <c r="U79" s="132">
        <f t="shared" ca="1" si="13"/>
        <v>-12561303.542727381</v>
      </c>
      <c r="V79" s="132">
        <f t="shared" ca="1" si="13"/>
        <v>-12561303.542727381</v>
      </c>
      <c r="W79" s="132">
        <f t="shared" ca="1" si="13"/>
        <v>-12561303.542727381</v>
      </c>
      <c r="X79" s="132">
        <f t="shared" ca="1" si="13"/>
        <v>-12561303.542727381</v>
      </c>
      <c r="Y79" s="132">
        <f t="shared" ca="1" si="13"/>
        <v>-12561303.542727381</v>
      </c>
      <c r="Z79" s="132">
        <f t="shared" ca="1" si="13"/>
        <v>-12561303.542727381</v>
      </c>
      <c r="AA79" s="132">
        <f t="shared" ca="1" si="13"/>
        <v>-12561303.542727381</v>
      </c>
      <c r="AB79" s="132">
        <f t="shared" ca="1" si="13"/>
        <v>-12561303.542727381</v>
      </c>
      <c r="AC79" s="132">
        <f t="shared" ca="1" si="13"/>
        <v>-12561303.542727381</v>
      </c>
      <c r="AD79" s="132">
        <f t="shared" ca="1" si="13"/>
        <v>-12561303.542727381</v>
      </c>
      <c r="AE79" s="132">
        <f t="shared" ca="1" si="13"/>
        <v>-12561303.542727381</v>
      </c>
      <c r="AF79" s="132">
        <f t="shared" ca="1" si="13"/>
        <v>-12561303.542727381</v>
      </c>
      <c r="AG79" s="132">
        <f t="shared" ca="1" si="13"/>
        <v>-12561303.542727381</v>
      </c>
      <c r="AH79" s="132">
        <f t="shared" ca="1" si="13"/>
        <v>-12561303.542727381</v>
      </c>
      <c r="AI79" s="132">
        <f t="shared" ca="1" si="13"/>
        <v>-12561303.542727381</v>
      </c>
      <c r="AJ79" s="132">
        <f t="shared" ca="1" si="13"/>
        <v>-12561303.542727381</v>
      </c>
      <c r="AK79" s="124">
        <f t="shared" ca="1" si="13"/>
        <v>-12561303.542727381</v>
      </c>
    </row>
    <row r="80" spans="2:37" x14ac:dyDescent="0.2">
      <c r="B80" s="123" t="s">
        <v>684</v>
      </c>
      <c r="H80" s="141">
        <v>0</v>
      </c>
      <c r="I80" s="101">
        <f t="shared" ref="I80:AK80" ca="1" si="14">IF(H81&lt;0,H81,0)</f>
        <v>-99622070.921428785</v>
      </c>
      <c r="J80" s="101">
        <f t="shared" ca="1" si="14"/>
        <v>-241987613.68576056</v>
      </c>
      <c r="K80" s="101">
        <f t="shared" ca="1" si="14"/>
        <v>-357174526.87160724</v>
      </c>
      <c r="L80" s="101">
        <f t="shared" ca="1" si="14"/>
        <v>-452948133.21567881</v>
      </c>
      <c r="M80" s="101">
        <f t="shared" ca="1" si="14"/>
        <v>-534899465.08840656</v>
      </c>
      <c r="N80" s="101">
        <f t="shared" ca="1" si="14"/>
        <v>-616811970.34745073</v>
      </c>
      <c r="O80" s="101">
        <f t="shared" ca="1" si="14"/>
        <v>-698763302.22017848</v>
      </c>
      <c r="P80" s="101">
        <f t="shared" ca="1" si="14"/>
        <v>-763359137.77635932</v>
      </c>
      <c r="Q80" s="101">
        <f t="shared" ca="1" si="14"/>
        <v>-810638303.62967682</v>
      </c>
      <c r="R80" s="101">
        <f t="shared" ca="1" si="14"/>
        <v>-857917469.48299432</v>
      </c>
      <c r="S80" s="101">
        <f t="shared" ca="1" si="14"/>
        <v>-870478773.02572167</v>
      </c>
      <c r="T80" s="101">
        <f t="shared" ca="1" si="14"/>
        <v>-883040076.56844902</v>
      </c>
      <c r="U80" s="101">
        <f t="shared" ca="1" si="14"/>
        <v>-895601380.11117637</v>
      </c>
      <c r="V80" s="101">
        <f t="shared" ca="1" si="14"/>
        <v>-908162683.65390372</v>
      </c>
      <c r="W80" s="101">
        <f t="shared" ca="1" si="14"/>
        <v>-920723987.19663107</v>
      </c>
      <c r="X80" s="101">
        <f t="shared" ca="1" si="14"/>
        <v>-933285290.73935843</v>
      </c>
      <c r="Y80" s="101">
        <f t="shared" ca="1" si="14"/>
        <v>-945846594.28208578</v>
      </c>
      <c r="Z80" s="101">
        <f t="shared" ca="1" si="14"/>
        <v>-958407897.82481313</v>
      </c>
      <c r="AA80" s="101">
        <f t="shared" ca="1" si="14"/>
        <v>-970969201.36754048</v>
      </c>
      <c r="AB80" s="101">
        <f t="shared" ca="1" si="14"/>
        <v>-983530504.91026783</v>
      </c>
      <c r="AC80" s="101">
        <f t="shared" ca="1" si="14"/>
        <v>-996091808.45299518</v>
      </c>
      <c r="AD80" s="101">
        <f t="shared" ca="1" si="14"/>
        <v>-1008653111.9957225</v>
      </c>
      <c r="AE80" s="101">
        <f t="shared" ca="1" si="14"/>
        <v>-1021214415.5384499</v>
      </c>
      <c r="AF80" s="101">
        <f t="shared" ca="1" si="14"/>
        <v>-1033775719.0811772</v>
      </c>
      <c r="AG80" s="101">
        <f t="shared" ca="1" si="14"/>
        <v>-1046337022.6239046</v>
      </c>
      <c r="AH80" s="101">
        <f t="shared" ca="1" si="14"/>
        <v>-1058898326.1666319</v>
      </c>
      <c r="AI80" s="101">
        <f t="shared" ca="1" si="14"/>
        <v>-1071459629.7093593</v>
      </c>
      <c r="AJ80" s="101">
        <f t="shared" ca="1" si="14"/>
        <v>-1084020933.2520866</v>
      </c>
      <c r="AK80" s="150">
        <f t="shared" ca="1" si="14"/>
        <v>-1096582236.7948141</v>
      </c>
    </row>
    <row r="81" spans="2:37" x14ac:dyDescent="0.2">
      <c r="B81" s="123" t="s">
        <v>685</v>
      </c>
      <c r="H81" s="153">
        <f ca="1">+H80+H79</f>
        <v>-99622070.921428785</v>
      </c>
      <c r="I81" s="153">
        <f t="shared" ref="I81:AK81" ca="1" si="15">+I80+I79</f>
        <v>-241987613.68576056</v>
      </c>
      <c r="J81" s="153">
        <f t="shared" ca="1" si="15"/>
        <v>-357174526.87160724</v>
      </c>
      <c r="K81" s="153">
        <f t="shared" ca="1" si="15"/>
        <v>-452948133.21567881</v>
      </c>
      <c r="L81" s="153">
        <f t="shared" ca="1" si="15"/>
        <v>-534899465.08840656</v>
      </c>
      <c r="M81" s="153">
        <f t="shared" ca="1" si="15"/>
        <v>-616811970.34745073</v>
      </c>
      <c r="N81" s="153">
        <f t="shared" ca="1" si="15"/>
        <v>-698763302.22017848</v>
      </c>
      <c r="O81" s="153">
        <f t="shared" ca="1" si="15"/>
        <v>-763359137.77635932</v>
      </c>
      <c r="P81" s="153">
        <f t="shared" ca="1" si="15"/>
        <v>-810638303.62967682</v>
      </c>
      <c r="Q81" s="153">
        <f t="shared" ca="1" si="15"/>
        <v>-857917469.48299432</v>
      </c>
      <c r="R81" s="153">
        <f t="shared" ca="1" si="15"/>
        <v>-870478773.02572167</v>
      </c>
      <c r="S81" s="153">
        <f t="shared" ca="1" si="15"/>
        <v>-883040076.56844902</v>
      </c>
      <c r="T81" s="153">
        <f t="shared" ca="1" si="15"/>
        <v>-895601380.11117637</v>
      </c>
      <c r="U81" s="153">
        <f t="shared" ca="1" si="15"/>
        <v>-908162683.65390372</v>
      </c>
      <c r="V81" s="153">
        <f t="shared" ca="1" si="15"/>
        <v>-920723987.19663107</v>
      </c>
      <c r="W81" s="153">
        <f t="shared" ca="1" si="15"/>
        <v>-933285290.73935843</v>
      </c>
      <c r="X81" s="153">
        <f t="shared" ca="1" si="15"/>
        <v>-945846594.28208578</v>
      </c>
      <c r="Y81" s="153">
        <f t="shared" ca="1" si="15"/>
        <v>-958407897.82481313</v>
      </c>
      <c r="Z81" s="153">
        <f t="shared" ca="1" si="15"/>
        <v>-970969201.36754048</v>
      </c>
      <c r="AA81" s="153">
        <f t="shared" ca="1" si="15"/>
        <v>-983530504.91026783</v>
      </c>
      <c r="AB81" s="153">
        <f t="shared" ca="1" si="15"/>
        <v>-996091808.45299518</v>
      </c>
      <c r="AC81" s="153">
        <f t="shared" ca="1" si="15"/>
        <v>-1008653111.9957225</v>
      </c>
      <c r="AD81" s="153">
        <f t="shared" ca="1" si="15"/>
        <v>-1021214415.5384499</v>
      </c>
      <c r="AE81" s="153">
        <f t="shared" ca="1" si="15"/>
        <v>-1033775719.0811772</v>
      </c>
      <c r="AF81" s="153">
        <f t="shared" ca="1" si="15"/>
        <v>-1046337022.6239046</v>
      </c>
      <c r="AG81" s="153">
        <f t="shared" ca="1" si="15"/>
        <v>-1058898326.1666319</v>
      </c>
      <c r="AH81" s="153">
        <f t="shared" ca="1" si="15"/>
        <v>-1071459629.7093593</v>
      </c>
      <c r="AI81" s="153">
        <f t="shared" ca="1" si="15"/>
        <v>-1084020933.2520866</v>
      </c>
      <c r="AJ81" s="153">
        <f t="shared" ca="1" si="15"/>
        <v>-1096582236.7948141</v>
      </c>
      <c r="AK81" s="155">
        <f t="shared" ca="1" si="15"/>
        <v>-1109143540.3375416</v>
      </c>
    </row>
    <row r="82" spans="2:37" x14ac:dyDescent="0.2">
      <c r="B82" s="868" t="s">
        <v>3002</v>
      </c>
      <c r="C82" s="866"/>
      <c r="D82" s="866"/>
      <c r="E82" s="866"/>
      <c r="F82" s="866"/>
      <c r="G82" s="866"/>
      <c r="H82" s="866">
        <f ca="1">IF(H81*($D$37)&lt;0,0,H81*$D$37)</f>
        <v>0</v>
      </c>
      <c r="I82" s="866">
        <f t="shared" ref="I82:AK82" ca="1" si="16">IF(I81*($D$37)&lt;0,0,I81*$D$37)</f>
        <v>0</v>
      </c>
      <c r="J82" s="866">
        <f t="shared" ca="1" si="16"/>
        <v>0</v>
      </c>
      <c r="K82" s="866">
        <f t="shared" ca="1" si="16"/>
        <v>0</v>
      </c>
      <c r="L82" s="866">
        <f t="shared" ca="1" si="16"/>
        <v>0</v>
      </c>
      <c r="M82" s="866">
        <f t="shared" ca="1" si="16"/>
        <v>0</v>
      </c>
      <c r="N82" s="866">
        <f t="shared" ca="1" si="16"/>
        <v>0</v>
      </c>
      <c r="O82" s="866">
        <f t="shared" ca="1" si="16"/>
        <v>0</v>
      </c>
      <c r="P82" s="866">
        <f t="shared" ca="1" si="16"/>
        <v>0</v>
      </c>
      <c r="Q82" s="866">
        <f t="shared" ca="1" si="16"/>
        <v>0</v>
      </c>
      <c r="R82" s="866">
        <f t="shared" ca="1" si="16"/>
        <v>0</v>
      </c>
      <c r="S82" s="866">
        <f t="shared" ca="1" si="16"/>
        <v>0</v>
      </c>
      <c r="T82" s="866">
        <f t="shared" ca="1" si="16"/>
        <v>0</v>
      </c>
      <c r="U82" s="866">
        <f t="shared" ca="1" si="16"/>
        <v>0</v>
      </c>
      <c r="V82" s="866">
        <f t="shared" ca="1" si="16"/>
        <v>0</v>
      </c>
      <c r="W82" s="866">
        <f t="shared" ca="1" si="16"/>
        <v>0</v>
      </c>
      <c r="X82" s="866">
        <f t="shared" ca="1" si="16"/>
        <v>0</v>
      </c>
      <c r="Y82" s="866">
        <f t="shared" ca="1" si="16"/>
        <v>0</v>
      </c>
      <c r="Z82" s="866">
        <f t="shared" ca="1" si="16"/>
        <v>0</v>
      </c>
      <c r="AA82" s="866">
        <f t="shared" ca="1" si="16"/>
        <v>0</v>
      </c>
      <c r="AB82" s="866">
        <f t="shared" ca="1" si="16"/>
        <v>0</v>
      </c>
      <c r="AC82" s="866">
        <f t="shared" ca="1" si="16"/>
        <v>0</v>
      </c>
      <c r="AD82" s="866">
        <f t="shared" ca="1" si="16"/>
        <v>0</v>
      </c>
      <c r="AE82" s="866">
        <f t="shared" ca="1" si="16"/>
        <v>0</v>
      </c>
      <c r="AF82" s="866">
        <f t="shared" ca="1" si="16"/>
        <v>0</v>
      </c>
      <c r="AG82" s="866">
        <f t="shared" ca="1" si="16"/>
        <v>0</v>
      </c>
      <c r="AH82" s="866">
        <f t="shared" ca="1" si="16"/>
        <v>0</v>
      </c>
      <c r="AI82" s="866">
        <f t="shared" ca="1" si="16"/>
        <v>0</v>
      </c>
      <c r="AJ82" s="866">
        <f t="shared" ca="1" si="16"/>
        <v>0</v>
      </c>
      <c r="AK82" s="867">
        <f t="shared" ca="1" si="16"/>
        <v>0</v>
      </c>
    </row>
    <row r="83" spans="2:37" x14ac:dyDescent="0.2">
      <c r="B83" s="123"/>
      <c r="AK83" s="140"/>
    </row>
    <row r="84" spans="2:37" x14ac:dyDescent="0.2">
      <c r="B84" s="123" t="s">
        <v>3004</v>
      </c>
      <c r="H84" s="153">
        <f t="shared" ref="H84:Y84" ca="1" si="17">+H68-H60-H73-H82</f>
        <v>-44138839.967635632</v>
      </c>
      <c r="I84" s="153">
        <f t="shared" ca="1" si="17"/>
        <v>-47279165.853317477</v>
      </c>
      <c r="J84" s="153">
        <f t="shared" ca="1" si="17"/>
        <v>-47279165.853317477</v>
      </c>
      <c r="K84" s="153">
        <f t="shared" ca="1" si="17"/>
        <v>-47279165.853317477</v>
      </c>
      <c r="L84" s="153">
        <f t="shared" ca="1" si="17"/>
        <v>-47279165.853317477</v>
      </c>
      <c r="M84" s="153">
        <f t="shared" ca="1" si="17"/>
        <v>-47279165.853317477</v>
      </c>
      <c r="N84" s="153">
        <f t="shared" ca="1" si="17"/>
        <v>-47279165.853317477</v>
      </c>
      <c r="O84" s="153">
        <f t="shared" ca="1" si="17"/>
        <v>-47279165.853317477</v>
      </c>
      <c r="P84" s="153">
        <f t="shared" ca="1" si="17"/>
        <v>-47279165.853317477</v>
      </c>
      <c r="Q84" s="153">
        <f t="shared" ca="1" si="17"/>
        <v>-47279165.853317477</v>
      </c>
      <c r="R84" s="153">
        <f t="shared" ca="1" si="17"/>
        <v>-12561303.542727381</v>
      </c>
      <c r="S84" s="153">
        <f t="shared" ca="1" si="17"/>
        <v>-12561303.542727381</v>
      </c>
      <c r="T84" s="153">
        <f t="shared" ca="1" si="17"/>
        <v>-12561303.542727381</v>
      </c>
      <c r="U84" s="153">
        <f t="shared" ca="1" si="17"/>
        <v>-12561303.542727381</v>
      </c>
      <c r="V84" s="153">
        <f t="shared" ca="1" si="17"/>
        <v>-12561303.542727381</v>
      </c>
      <c r="W84" s="153">
        <f t="shared" ca="1" si="17"/>
        <v>-12561303.542727381</v>
      </c>
      <c r="X84" s="153">
        <f t="shared" ca="1" si="17"/>
        <v>-12561303.542727381</v>
      </c>
      <c r="Y84" s="153">
        <f t="shared" ca="1" si="17"/>
        <v>-12561303.542727381</v>
      </c>
      <c r="Z84" s="153">
        <f t="shared" ref="Z84:AK84" ca="1" si="18">+Z68-Z56-Z73-Z82</f>
        <v>-12561303.542727381</v>
      </c>
      <c r="AA84" s="153">
        <f t="shared" ca="1" si="18"/>
        <v>-12561303.542727381</v>
      </c>
      <c r="AB84" s="153">
        <f t="shared" ca="1" si="18"/>
        <v>-12561303.542727381</v>
      </c>
      <c r="AC84" s="153">
        <f t="shared" ca="1" si="18"/>
        <v>-12561303.542727381</v>
      </c>
      <c r="AD84" s="153">
        <f t="shared" ca="1" si="18"/>
        <v>-12561303.542727381</v>
      </c>
      <c r="AE84" s="153">
        <f t="shared" ca="1" si="18"/>
        <v>-12561303.542727381</v>
      </c>
      <c r="AF84" s="153">
        <f t="shared" ca="1" si="18"/>
        <v>-12561303.542727381</v>
      </c>
      <c r="AG84" s="153">
        <f t="shared" ca="1" si="18"/>
        <v>-12561303.542727381</v>
      </c>
      <c r="AH84" s="153">
        <f t="shared" ca="1" si="18"/>
        <v>-12561303.542727381</v>
      </c>
      <c r="AI84" s="153">
        <f t="shared" ca="1" si="18"/>
        <v>-12561303.542727381</v>
      </c>
      <c r="AJ84" s="153">
        <f t="shared" ca="1" si="18"/>
        <v>-12561303.542727381</v>
      </c>
      <c r="AK84" s="155">
        <f t="shared" ca="1" si="18"/>
        <v>-12561303.542727381</v>
      </c>
    </row>
    <row r="85" spans="2:37" x14ac:dyDescent="0.2">
      <c r="B85" s="123" t="s">
        <v>3003</v>
      </c>
      <c r="E85" s="166">
        <f t="shared" ref="E85:AK85" si="19">1/(1+$D$36)^E51</f>
        <v>1.2100000000000002</v>
      </c>
      <c r="F85" s="166">
        <f t="shared" si="19"/>
        <v>1.1000000000000001</v>
      </c>
      <c r="G85" s="166">
        <f t="shared" si="19"/>
        <v>1</v>
      </c>
      <c r="H85" s="166">
        <f t="shared" si="19"/>
        <v>0.90909090909090906</v>
      </c>
      <c r="I85" s="166">
        <f t="shared" si="19"/>
        <v>0.82644628099173545</v>
      </c>
      <c r="J85" s="166">
        <f t="shared" si="19"/>
        <v>0.75131480090157754</v>
      </c>
      <c r="K85" s="166">
        <f t="shared" si="19"/>
        <v>0.68301345536507052</v>
      </c>
      <c r="L85" s="166">
        <f t="shared" si="19"/>
        <v>0.62092132305915493</v>
      </c>
      <c r="M85" s="166">
        <f t="shared" si="19"/>
        <v>0.56447393005377722</v>
      </c>
      <c r="N85" s="166">
        <f t="shared" si="19"/>
        <v>0.51315811823070645</v>
      </c>
      <c r="O85" s="166">
        <f t="shared" si="19"/>
        <v>0.46650738020973315</v>
      </c>
      <c r="P85" s="166">
        <f t="shared" si="19"/>
        <v>0.42409761837248466</v>
      </c>
      <c r="Q85" s="166">
        <f t="shared" si="19"/>
        <v>0.38554328942953148</v>
      </c>
      <c r="R85" s="166">
        <f t="shared" si="19"/>
        <v>0.3504938994813922</v>
      </c>
      <c r="S85" s="166">
        <f t="shared" si="19"/>
        <v>0.31863081771035656</v>
      </c>
      <c r="T85" s="166">
        <f t="shared" si="19"/>
        <v>0.28966437973668779</v>
      </c>
      <c r="U85" s="166">
        <f t="shared" si="19"/>
        <v>0.26333125430607973</v>
      </c>
      <c r="V85" s="166">
        <f t="shared" si="19"/>
        <v>0.23939204936916339</v>
      </c>
      <c r="W85" s="166">
        <f t="shared" si="19"/>
        <v>0.21762913579014853</v>
      </c>
      <c r="X85" s="166">
        <f t="shared" si="19"/>
        <v>0.19784466890013502</v>
      </c>
      <c r="Y85" s="166">
        <f t="shared" si="19"/>
        <v>0.17985878990921364</v>
      </c>
      <c r="Z85" s="166">
        <f t="shared" si="19"/>
        <v>0.16350799082655781</v>
      </c>
      <c r="AA85" s="166">
        <f t="shared" si="19"/>
        <v>0.14864362802414349</v>
      </c>
      <c r="AB85" s="166">
        <f t="shared" si="19"/>
        <v>0.13513057093103953</v>
      </c>
      <c r="AC85" s="166">
        <f t="shared" si="19"/>
        <v>0.12284597357367227</v>
      </c>
      <c r="AD85" s="166">
        <f t="shared" si="19"/>
        <v>0.11167815779424752</v>
      </c>
      <c r="AE85" s="166">
        <f t="shared" si="19"/>
        <v>0.10152559799477048</v>
      </c>
      <c r="AF85" s="166">
        <f t="shared" si="19"/>
        <v>9.2295998177064048E-2</v>
      </c>
      <c r="AG85" s="166">
        <f t="shared" si="19"/>
        <v>8.3905452888240042E-2</v>
      </c>
      <c r="AH85" s="166">
        <f t="shared" si="19"/>
        <v>7.6277684443854576E-2</v>
      </c>
      <c r="AI85" s="166">
        <f t="shared" si="19"/>
        <v>6.9343349494413245E-2</v>
      </c>
      <c r="AJ85" s="166">
        <f t="shared" si="19"/>
        <v>6.3039408631284766E-2</v>
      </c>
      <c r="AK85" s="869">
        <f t="shared" si="19"/>
        <v>5.7308553301167964E-2</v>
      </c>
    </row>
    <row r="86" spans="2:37" x14ac:dyDescent="0.2">
      <c r="B86" s="871" t="s">
        <v>3005</v>
      </c>
      <c r="D86" s="872">
        <f ca="1">SUM(H86:AK86)</f>
        <v>-328885727.11094838</v>
      </c>
      <c r="H86" s="873">
        <f ca="1">+H85*H84</f>
        <v>-40126218.152396031</v>
      </c>
      <c r="I86" s="873">
        <f ca="1">+I85*I84</f>
        <v>-39073690.787865676</v>
      </c>
      <c r="J86" s="873">
        <f t="shared" ref="J86:AK86" ca="1" si="20">+J85*J84</f>
        <v>-35521537.079877883</v>
      </c>
      <c r="K86" s="873">
        <f t="shared" ca="1" si="20"/>
        <v>-32292306.436252624</v>
      </c>
      <c r="L86" s="873">
        <f t="shared" ca="1" si="20"/>
        <v>-29356642.214775108</v>
      </c>
      <c r="M86" s="873">
        <f t="shared" ca="1" si="20"/>
        <v>-26687856.558886461</v>
      </c>
      <c r="N86" s="873">
        <f t="shared" ca="1" si="20"/>
        <v>-24261687.780805867</v>
      </c>
      <c r="O86" s="873">
        <f t="shared" ca="1" si="20"/>
        <v>-22056079.800732609</v>
      </c>
      <c r="P86" s="873">
        <f t="shared" ca="1" si="20"/>
        <v>-20050981.637029644</v>
      </c>
      <c r="Q86" s="873">
        <f t="shared" ca="1" si="20"/>
        <v>-18228165.1245724</v>
      </c>
      <c r="R86" s="873">
        <f ca="1">+R85*R84</f>
        <v>-4402660.261259946</v>
      </c>
      <c r="S86" s="873">
        <f t="shared" ca="1" si="20"/>
        <v>-4002418.4193272241</v>
      </c>
      <c r="T86" s="873">
        <f t="shared" ca="1" si="20"/>
        <v>-3638562.1993883858</v>
      </c>
      <c r="U86" s="873">
        <f t="shared" ca="1" si="20"/>
        <v>-3307783.8176258043</v>
      </c>
      <c r="V86" s="873">
        <f t="shared" ca="1" si="20"/>
        <v>-3007076.1978416401</v>
      </c>
      <c r="W86" s="873">
        <f t="shared" ca="1" si="20"/>
        <v>-2733705.6344014909</v>
      </c>
      <c r="X86" s="873">
        <f t="shared" ca="1" si="20"/>
        <v>-2485186.9403649918</v>
      </c>
      <c r="Y86" s="873">
        <f t="shared" ca="1" si="20"/>
        <v>-2259260.8548772652</v>
      </c>
      <c r="Z86" s="873">
        <f t="shared" ca="1" si="20"/>
        <v>-2053873.5044338768</v>
      </c>
      <c r="AA86" s="873">
        <f t="shared" ca="1" si="20"/>
        <v>-1867157.7313035247</v>
      </c>
      <c r="AB86" s="873">
        <f t="shared" ca="1" si="20"/>
        <v>-1697416.1193668405</v>
      </c>
      <c r="AC86" s="873">
        <f t="shared" ca="1" si="20"/>
        <v>-1543105.5630607638</v>
      </c>
      <c r="AD86" s="873">
        <f t="shared" ca="1" si="20"/>
        <v>-1402823.2391461488</v>
      </c>
      <c r="AE86" s="873">
        <f t="shared" ca="1" si="20"/>
        <v>-1275293.8537692265</v>
      </c>
      <c r="AF86" s="873">
        <f t="shared" ca="1" si="20"/>
        <v>-1159358.0488811145</v>
      </c>
      <c r="AG86" s="873">
        <f t="shared" ca="1" si="20"/>
        <v>-1053961.8626191949</v>
      </c>
      <c r="AH86" s="873">
        <f t="shared" ca="1" si="20"/>
        <v>-958147.14783563174</v>
      </c>
      <c r="AI86" s="873">
        <f t="shared" ca="1" si="20"/>
        <v>-871042.861668756</v>
      </c>
      <c r="AJ86" s="873">
        <f t="shared" ca="1" si="20"/>
        <v>-791857.1469715964</v>
      </c>
      <c r="AK86" s="874">
        <f t="shared" ca="1" si="20"/>
        <v>-719870.13361054205</v>
      </c>
    </row>
    <row r="87" spans="2:37" x14ac:dyDescent="0.2">
      <c r="B87" s="870" t="s">
        <v>3006</v>
      </c>
      <c r="E87" s="875">
        <f ca="1">+SUM(E52,E57,E53)*E85</f>
        <v>91517434.581222385</v>
      </c>
      <c r="F87" s="875">
        <f ca="1">+(F52+F57)*F85</f>
        <v>97718821.318759009</v>
      </c>
      <c r="G87" s="875">
        <f ca="1">+(G52+G57+G54)*G85</f>
        <v>100172663.30355938</v>
      </c>
      <c r="AK87" s="140"/>
    </row>
    <row r="88" spans="2:37" x14ac:dyDescent="0.2">
      <c r="B88" s="123"/>
      <c r="AK88" s="140"/>
    </row>
    <row r="89" spans="2:37" x14ac:dyDescent="0.2">
      <c r="B89" s="123" t="s">
        <v>686</v>
      </c>
      <c r="D89" s="132">
        <f ca="1">E89</f>
        <v>70470303.83564353</v>
      </c>
      <c r="E89" s="101">
        <f ca="1">E53*E85</f>
        <v>70470303.83564353</v>
      </c>
      <c r="AK89" s="140"/>
    </row>
    <row r="90" spans="2:37" x14ac:dyDescent="0.2">
      <c r="B90" s="877" t="s">
        <v>3007</v>
      </c>
      <c r="C90" s="10"/>
      <c r="D90" s="878">
        <f ca="1">SUM(H90:AK90)</f>
        <v>526556786.18143767</v>
      </c>
      <c r="H90" s="876">
        <f ca="1">H85*H68</f>
        <v>39024996.922255389</v>
      </c>
      <c r="I90" s="876">
        <f t="shared" ref="I90:AK90" ca="1" si="21">I85*I68</f>
        <v>47303026.572430767</v>
      </c>
      <c r="J90" s="876">
        <f t="shared" ca="1" si="21"/>
        <v>43002751.429482512</v>
      </c>
      <c r="K90" s="876">
        <f t="shared" ca="1" si="21"/>
        <v>39093410.390438646</v>
      </c>
      <c r="L90" s="876">
        <f t="shared" ca="1" si="21"/>
        <v>35539463.991307855</v>
      </c>
      <c r="M90" s="876">
        <f t="shared" ca="1" si="21"/>
        <v>32308603.628461689</v>
      </c>
      <c r="N90" s="876">
        <f t="shared" ca="1" si="21"/>
        <v>29371457.844056074</v>
      </c>
      <c r="O90" s="876">
        <f t="shared" ca="1" si="21"/>
        <v>26701325.312778249</v>
      </c>
      <c r="P90" s="876">
        <f t="shared" ca="1" si="21"/>
        <v>24273932.102525681</v>
      </c>
      <c r="Q90" s="876">
        <f t="shared" ca="1" si="21"/>
        <v>22067211.002296071</v>
      </c>
      <c r="R90" s="876">
        <f t="shared" ca="1" si="21"/>
        <v>20061100.911178242</v>
      </c>
      <c r="S90" s="876">
        <f t="shared" ca="1" si="21"/>
        <v>18237364.464707494</v>
      </c>
      <c r="T90" s="876">
        <f t="shared" ca="1" si="21"/>
        <v>16579422.240643177</v>
      </c>
      <c r="U90" s="876">
        <f t="shared" ca="1" si="21"/>
        <v>15072202.036948338</v>
      </c>
      <c r="V90" s="876">
        <f t="shared" ca="1" si="21"/>
        <v>13702001.851771217</v>
      </c>
      <c r="W90" s="876">
        <f t="shared" ca="1" si="21"/>
        <v>12456365.319792015</v>
      </c>
      <c r="X90" s="876">
        <f t="shared" ca="1" si="21"/>
        <v>11323968.472538196</v>
      </c>
      <c r="Y90" s="876">
        <f t="shared" ca="1" si="21"/>
        <v>10294516.79321654</v>
      </c>
      <c r="Z90" s="876">
        <f t="shared" ca="1" si="21"/>
        <v>9358651.6301968526</v>
      </c>
      <c r="AA90" s="876">
        <f t="shared" ca="1" si="21"/>
        <v>8507865.1183607765</v>
      </c>
      <c r="AB90" s="876">
        <f t="shared" ca="1" si="21"/>
        <v>7734422.8348734323</v>
      </c>
      <c r="AC90" s="876">
        <f t="shared" ca="1" si="21"/>
        <v>7031293.4862485733</v>
      </c>
      <c r="AD90" s="876">
        <f t="shared" ca="1" si="21"/>
        <v>6392084.9874987025</v>
      </c>
      <c r="AE90" s="876">
        <f t="shared" ca="1" si="21"/>
        <v>5810986.3522715485</v>
      </c>
      <c r="AF90" s="876">
        <f t="shared" ca="1" si="21"/>
        <v>5282714.8657014063</v>
      </c>
      <c r="AG90" s="876">
        <f t="shared" ca="1" si="21"/>
        <v>4802468.0597285507</v>
      </c>
      <c r="AH90" s="876">
        <f t="shared" ca="1" si="21"/>
        <v>4365880.0542986821</v>
      </c>
      <c r="AI90" s="876">
        <f t="shared" ca="1" si="21"/>
        <v>3968981.8675442566</v>
      </c>
      <c r="AJ90" s="876">
        <f t="shared" ca="1" si="21"/>
        <v>3608165.3341311421</v>
      </c>
      <c r="AK90" s="1143">
        <f t="shared" ca="1" si="21"/>
        <v>3280150.3037555832</v>
      </c>
    </row>
    <row r="91" spans="2:37" x14ac:dyDescent="0.2">
      <c r="B91" s="123" t="s">
        <v>687</v>
      </c>
      <c r="D91" s="132">
        <f ca="1">SUM(H91:AK91)</f>
        <v>0</v>
      </c>
      <c r="H91" s="153">
        <f ca="1">+H85*H82</f>
        <v>0</v>
      </c>
      <c r="I91" s="153">
        <f t="shared" ref="I91:AK91" ca="1" si="22">+I85*I82</f>
        <v>0</v>
      </c>
      <c r="J91" s="153">
        <f t="shared" ca="1" si="22"/>
        <v>0</v>
      </c>
      <c r="K91" s="153">
        <f t="shared" ca="1" si="22"/>
        <v>0</v>
      </c>
      <c r="L91" s="153">
        <f t="shared" ca="1" si="22"/>
        <v>0</v>
      </c>
      <c r="M91" s="153">
        <f t="shared" ca="1" si="22"/>
        <v>0</v>
      </c>
      <c r="N91" s="153">
        <f t="shared" ca="1" si="22"/>
        <v>0</v>
      </c>
      <c r="O91" s="153">
        <f t="shared" ca="1" si="22"/>
        <v>0</v>
      </c>
      <c r="P91" s="153">
        <f t="shared" ca="1" si="22"/>
        <v>0</v>
      </c>
      <c r="Q91" s="153">
        <f t="shared" ca="1" si="22"/>
        <v>0</v>
      </c>
      <c r="R91" s="153">
        <f t="shared" ca="1" si="22"/>
        <v>0</v>
      </c>
      <c r="S91" s="153">
        <f t="shared" ca="1" si="22"/>
        <v>0</v>
      </c>
      <c r="T91" s="153">
        <f t="shared" ca="1" si="22"/>
        <v>0</v>
      </c>
      <c r="U91" s="153">
        <f t="shared" ca="1" si="22"/>
        <v>0</v>
      </c>
      <c r="V91" s="153">
        <f t="shared" ca="1" si="22"/>
        <v>0</v>
      </c>
      <c r="W91" s="153">
        <f t="shared" ca="1" si="22"/>
        <v>0</v>
      </c>
      <c r="X91" s="153">
        <f t="shared" ca="1" si="22"/>
        <v>0</v>
      </c>
      <c r="Y91" s="153">
        <f t="shared" ca="1" si="22"/>
        <v>0</v>
      </c>
      <c r="Z91" s="153">
        <f t="shared" ca="1" si="22"/>
        <v>0</v>
      </c>
      <c r="AA91" s="153">
        <f ca="1">+AA85*AA82</f>
        <v>0</v>
      </c>
      <c r="AB91" s="153">
        <f t="shared" ca="1" si="22"/>
        <v>0</v>
      </c>
      <c r="AC91" s="153">
        <f t="shared" ca="1" si="22"/>
        <v>0</v>
      </c>
      <c r="AD91" s="153">
        <f t="shared" ca="1" si="22"/>
        <v>0</v>
      </c>
      <c r="AE91" s="153">
        <f t="shared" ca="1" si="22"/>
        <v>0</v>
      </c>
      <c r="AF91" s="153">
        <f t="shared" ca="1" si="22"/>
        <v>0</v>
      </c>
      <c r="AG91" s="153">
        <f t="shared" ca="1" si="22"/>
        <v>0</v>
      </c>
      <c r="AH91" s="153">
        <f t="shared" ca="1" si="22"/>
        <v>0</v>
      </c>
      <c r="AI91" s="153">
        <f t="shared" ca="1" si="22"/>
        <v>0</v>
      </c>
      <c r="AJ91" s="153">
        <f t="shared" ca="1" si="22"/>
        <v>0</v>
      </c>
      <c r="AK91" s="155">
        <f t="shared" ca="1" si="22"/>
        <v>0</v>
      </c>
    </row>
    <row r="92" spans="2:37" x14ac:dyDescent="0.2">
      <c r="B92" s="877" t="s">
        <v>688</v>
      </c>
      <c r="C92" s="10"/>
      <c r="D92" s="878">
        <f ca="1">SUM(H92:AK92)</f>
        <v>642116278.55834985</v>
      </c>
      <c r="H92" s="879">
        <f t="shared" ref="H92:AK92" ca="1" si="23">H85*H71</f>
        <v>47589522.065024056</v>
      </c>
      <c r="I92" s="879">
        <f t="shared" ca="1" si="23"/>
        <v>57684269.169726126</v>
      </c>
      <c r="J92" s="879">
        <f t="shared" ca="1" si="23"/>
        <v>52440244.699751012</v>
      </c>
      <c r="K92" s="879">
        <f t="shared" ca="1" si="23"/>
        <v>47672949.727046378</v>
      </c>
      <c r="L92" s="879">
        <f t="shared" ca="1" si="23"/>
        <v>43339045.206405789</v>
      </c>
      <c r="M92" s="879">
        <f t="shared" ca="1" si="23"/>
        <v>39399132.005823448</v>
      </c>
      <c r="N92" s="879">
        <f t="shared" ca="1" si="23"/>
        <v>35817392.732566759</v>
      </c>
      <c r="O92" s="879">
        <f t="shared" ca="1" si="23"/>
        <v>32561266.120515238</v>
      </c>
      <c r="P92" s="879">
        <f t="shared" ca="1" si="23"/>
        <v>29601151.018650215</v>
      </c>
      <c r="Q92" s="879">
        <f t="shared" ca="1" si="23"/>
        <v>26910137.289682012</v>
      </c>
      <c r="R92" s="879">
        <f t="shared" ca="1" si="23"/>
        <v>24463761.172438189</v>
      </c>
      <c r="S92" s="879">
        <f t="shared" ca="1" si="23"/>
        <v>22239782.884034719</v>
      </c>
      <c r="T92" s="879">
        <f t="shared" ca="1" si="23"/>
        <v>20217984.440031562</v>
      </c>
      <c r="U92" s="879">
        <f t="shared" ca="1" si="23"/>
        <v>18379985.854574144</v>
      </c>
      <c r="V92" s="879">
        <f t="shared" ca="1" si="23"/>
        <v>16709078.049612857</v>
      </c>
      <c r="W92" s="879">
        <f t="shared" ca="1" si="23"/>
        <v>15190070.954193506</v>
      </c>
      <c r="X92" s="879">
        <f t="shared" ca="1" si="23"/>
        <v>13809155.412903186</v>
      </c>
      <c r="Y92" s="879">
        <f t="shared" ca="1" si="23"/>
        <v>12553777.648093805</v>
      </c>
      <c r="Z92" s="879">
        <f t="shared" ca="1" si="23"/>
        <v>11412525.134630729</v>
      </c>
      <c r="AA92" s="879">
        <f t="shared" ca="1" si="23"/>
        <v>10375022.849664301</v>
      </c>
      <c r="AB92" s="879">
        <f t="shared" ca="1" si="23"/>
        <v>9431838.9542402737</v>
      </c>
      <c r="AC92" s="879">
        <f t="shared" ca="1" si="23"/>
        <v>8574399.0493093375</v>
      </c>
      <c r="AD92" s="879">
        <f t="shared" ca="1" si="23"/>
        <v>7794908.2266448513</v>
      </c>
      <c r="AE92" s="879">
        <f t="shared" ca="1" si="23"/>
        <v>7086280.2060407754</v>
      </c>
      <c r="AF92" s="879">
        <f t="shared" ca="1" si="23"/>
        <v>6442072.9145825207</v>
      </c>
      <c r="AG92" s="879">
        <f t="shared" ca="1" si="23"/>
        <v>5856429.9223477459</v>
      </c>
      <c r="AH92" s="879">
        <f t="shared" ca="1" si="23"/>
        <v>5324027.202134314</v>
      </c>
      <c r="AI92" s="879">
        <f t="shared" ca="1" si="23"/>
        <v>4840024.7292130124</v>
      </c>
      <c r="AJ92" s="879">
        <f t="shared" ca="1" si="23"/>
        <v>4400022.4811027385</v>
      </c>
      <c r="AK92" s="880">
        <f t="shared" ca="1" si="23"/>
        <v>4000020.4373661256</v>
      </c>
    </row>
    <row r="93" spans="2:37" x14ac:dyDescent="0.2">
      <c r="B93" s="123" t="s">
        <v>689</v>
      </c>
      <c r="D93" s="132">
        <f ca="1">SUM(E93:G93)</f>
        <v>185746519.86210391</v>
      </c>
      <c r="E93" s="101">
        <f ca="1">E52*E85</f>
        <v>18792081.022838272</v>
      </c>
      <c r="F93" s="101">
        <f ca="1">F52*F85</f>
        <v>85418550.103810325</v>
      </c>
      <c r="G93" s="101">
        <f ca="1">G52*G85+G54*G85</f>
        <v>81535888.735455304</v>
      </c>
      <c r="AK93" s="140"/>
    </row>
    <row r="94" spans="2:37" x14ac:dyDescent="0.2">
      <c r="B94" s="1144" t="s">
        <v>690</v>
      </c>
      <c r="C94" s="1141"/>
      <c r="D94" s="1142">
        <f ca="1">SUM(H94:AK94)</f>
        <v>112136023.55679983</v>
      </c>
      <c r="H94" s="879">
        <f ca="1">SUM(H62,H63,H65,H66)*H85</f>
        <v>8310799.6877475977</v>
      </c>
      <c r="I94" s="879">
        <f t="shared" ref="I94:AK94" ca="1" si="24">SUM(I62,I63,I65,I66)*I85</f>
        <v>10073696.59120921</v>
      </c>
      <c r="J94" s="879">
        <f t="shared" ca="1" si="24"/>
        <v>9157905.9920083713</v>
      </c>
      <c r="K94" s="879">
        <f t="shared" ca="1" si="24"/>
        <v>8325369.0836439738</v>
      </c>
      <c r="L94" s="879">
        <f t="shared" ca="1" si="24"/>
        <v>7568517.348767248</v>
      </c>
      <c r="M94" s="879">
        <f t="shared" ca="1" si="24"/>
        <v>6880470.3170611346</v>
      </c>
      <c r="N94" s="879">
        <f t="shared" ca="1" si="24"/>
        <v>6254973.0155101204</v>
      </c>
      <c r="O94" s="879">
        <f t="shared" ca="1" si="24"/>
        <v>5686339.105009201</v>
      </c>
      <c r="P94" s="879">
        <f t="shared" ca="1" si="24"/>
        <v>5169399.1863720007</v>
      </c>
      <c r="Q94" s="879">
        <f t="shared" ca="1" si="24"/>
        <v>4699453.8057927275</v>
      </c>
      <c r="R94" s="879">
        <f t="shared" ca="1" si="24"/>
        <v>4272230.7325388426</v>
      </c>
      <c r="S94" s="879">
        <f t="shared" ca="1" si="24"/>
        <v>3883846.1204898572</v>
      </c>
      <c r="T94" s="879">
        <f t="shared" ca="1" si="24"/>
        <v>3530769.2004453246</v>
      </c>
      <c r="U94" s="879">
        <f t="shared" ca="1" si="24"/>
        <v>3209790.1822230215</v>
      </c>
      <c r="V94" s="879">
        <f t="shared" ca="1" si="24"/>
        <v>2917991.0747482013</v>
      </c>
      <c r="W94" s="879">
        <f t="shared" ca="1" si="24"/>
        <v>2652719.1588620013</v>
      </c>
      <c r="X94" s="879">
        <f t="shared" ca="1" si="24"/>
        <v>2411562.8716927283</v>
      </c>
      <c r="Y94" s="879">
        <f t="shared" ca="1" si="24"/>
        <v>2192329.8833570252</v>
      </c>
      <c r="Z94" s="879">
        <f t="shared" ca="1" si="24"/>
        <v>1993027.1666882045</v>
      </c>
      <c r="AA94" s="879">
        <f t="shared" ca="1" si="24"/>
        <v>1811842.8788074588</v>
      </c>
      <c r="AB94" s="879">
        <f t="shared" ca="1" si="24"/>
        <v>1647129.8898249625</v>
      </c>
      <c r="AC94" s="879">
        <f t="shared" ca="1" si="24"/>
        <v>1497390.8089317838</v>
      </c>
      <c r="AD94" s="879">
        <f t="shared" ca="1" si="24"/>
        <v>1361264.3717561669</v>
      </c>
      <c r="AE94" s="879">
        <f t="shared" ca="1" si="24"/>
        <v>1237513.0652328792</v>
      </c>
      <c r="AF94" s="879">
        <f t="shared" ca="1" si="24"/>
        <v>1125011.8774844354</v>
      </c>
      <c r="AG94" s="879">
        <f t="shared" ca="1" si="24"/>
        <v>1022738.0704403957</v>
      </c>
      <c r="AH94" s="879">
        <f t="shared" ca="1" si="24"/>
        <v>929761.88221854158</v>
      </c>
      <c r="AI94" s="879">
        <f t="shared" ca="1" si="24"/>
        <v>845238.07474412862</v>
      </c>
      <c r="AJ94" s="879">
        <f t="shared" ca="1" si="24"/>
        <v>768398.24976738961</v>
      </c>
      <c r="AK94" s="880">
        <f t="shared" ca="1" si="24"/>
        <v>698543.86342489952</v>
      </c>
    </row>
    <row r="95" spans="2:37" x14ac:dyDescent="0.2">
      <c r="B95" s="123"/>
      <c r="AK95" s="140"/>
    </row>
    <row r="96" spans="2:37" x14ac:dyDescent="0.2">
      <c r="B96" s="123" t="s">
        <v>692</v>
      </c>
      <c r="D96" s="101">
        <f ca="1">SUM(H96:AK96)</f>
        <v>4703424.44123495</v>
      </c>
      <c r="E96" s="850">
        <f ca="1">D96/D94</f>
        <v>4.1943920357159291E-2</v>
      </c>
      <c r="H96" s="101">
        <f t="shared" ref="H96:AK96" ca="1" si="25">H62*H85</f>
        <v>348587.52020718961</v>
      </c>
      <c r="I96" s="101">
        <f t="shared" ca="1" si="25"/>
        <v>422530.32752386614</v>
      </c>
      <c r="J96" s="101">
        <f t="shared" ca="1" si="25"/>
        <v>384118.47956715099</v>
      </c>
      <c r="K96" s="101">
        <f t="shared" ca="1" si="25"/>
        <v>349198.61778831907</v>
      </c>
      <c r="L96" s="101">
        <f t="shared" ca="1" si="25"/>
        <v>317453.28889847186</v>
      </c>
      <c r="M96" s="101">
        <f t="shared" ca="1" si="25"/>
        <v>288593.89899861079</v>
      </c>
      <c r="N96" s="101">
        <f t="shared" ca="1" si="25"/>
        <v>262358.08999873704</v>
      </c>
      <c r="O96" s="101">
        <f t="shared" ca="1" si="25"/>
        <v>238507.35454430638</v>
      </c>
      <c r="P96" s="101">
        <f t="shared" ca="1" si="25"/>
        <v>216824.86776755124</v>
      </c>
      <c r="Q96" s="101">
        <f t="shared" ca="1" si="25"/>
        <v>197113.51615231929</v>
      </c>
      <c r="R96" s="101">
        <f t="shared" ca="1" si="25"/>
        <v>179194.10559301751</v>
      </c>
      <c r="S96" s="101">
        <f t="shared" ca="1" si="25"/>
        <v>162903.73235728865</v>
      </c>
      <c r="T96" s="101">
        <f t="shared" ca="1" si="25"/>
        <v>148094.30214298971</v>
      </c>
      <c r="U96" s="101">
        <f t="shared" ca="1" si="25"/>
        <v>134631.18376635422</v>
      </c>
      <c r="V96" s="101">
        <f t="shared" ca="1" si="25"/>
        <v>122391.9852421402</v>
      </c>
      <c r="W96" s="101">
        <f t="shared" ca="1" si="25"/>
        <v>111265.44112921836</v>
      </c>
      <c r="X96" s="101">
        <f t="shared" ca="1" si="25"/>
        <v>101150.40102656215</v>
      </c>
      <c r="Y96" s="101">
        <f t="shared" ca="1" si="25"/>
        <v>91954.910024147393</v>
      </c>
      <c r="Z96" s="101">
        <f t="shared" ca="1" si="25"/>
        <v>83595.372749224887</v>
      </c>
      <c r="AA96" s="101">
        <f t="shared" ca="1" si="25"/>
        <v>75995.793408386278</v>
      </c>
      <c r="AB96" s="101">
        <f t="shared" ca="1" si="25"/>
        <v>69087.084916714783</v>
      </c>
      <c r="AC96" s="101">
        <f t="shared" ca="1" si="25"/>
        <v>62806.44083337707</v>
      </c>
      <c r="AD96" s="101">
        <f t="shared" ca="1" si="25"/>
        <v>57096.764393979152</v>
      </c>
      <c r="AE96" s="101">
        <f t="shared" ca="1" si="25"/>
        <v>51906.149449071963</v>
      </c>
      <c r="AF96" s="101">
        <f t="shared" ca="1" si="25"/>
        <v>47187.408590065403</v>
      </c>
      <c r="AG96" s="101">
        <f t="shared" ca="1" si="25"/>
        <v>42897.644172786735</v>
      </c>
      <c r="AH96" s="101">
        <f t="shared" ca="1" si="25"/>
        <v>38997.858338897022</v>
      </c>
      <c r="AI96" s="101">
        <f t="shared" ca="1" si="25"/>
        <v>35452.598489906384</v>
      </c>
      <c r="AJ96" s="101">
        <f t="shared" ca="1" si="25"/>
        <v>32229.634990823983</v>
      </c>
      <c r="AK96" s="150">
        <f t="shared" ca="1" si="25"/>
        <v>29299.668173476344</v>
      </c>
    </row>
    <row r="97" spans="2:37" x14ac:dyDescent="0.2">
      <c r="B97" s="123" t="s">
        <v>693</v>
      </c>
      <c r="D97" s="101">
        <f ca="1">SUM(H97:AK97)</f>
        <v>103101658.98478825</v>
      </c>
      <c r="E97" s="850">
        <f ca="1">D97/D94</f>
        <v>0.91943387784358666</v>
      </c>
      <c r="H97" s="101">
        <f t="shared" ref="H97:AK97" ca="1" si="26">H66*H85</f>
        <v>7641230.7848870447</v>
      </c>
      <c r="I97" s="101">
        <f t="shared" ca="1" si="26"/>
        <v>9262097.9210752062</v>
      </c>
      <c r="J97" s="101">
        <f t="shared" ca="1" si="26"/>
        <v>8420089.019159276</v>
      </c>
      <c r="K97" s="101">
        <f t="shared" ca="1" si="26"/>
        <v>7654626.3810538882</v>
      </c>
      <c r="L97" s="101">
        <f t="shared" ca="1" si="26"/>
        <v>6958751.2555035334</v>
      </c>
      <c r="M97" s="101">
        <f t="shared" ca="1" si="26"/>
        <v>6326137.505003213</v>
      </c>
      <c r="N97" s="101">
        <f t="shared" ca="1" si="26"/>
        <v>5751034.0954574645</v>
      </c>
      <c r="O97" s="101">
        <f t="shared" ca="1" si="26"/>
        <v>5228212.8140522409</v>
      </c>
      <c r="P97" s="101">
        <f t="shared" ca="1" si="26"/>
        <v>4752920.7400474912</v>
      </c>
      <c r="Q97" s="101">
        <f t="shared" ca="1" si="26"/>
        <v>4320837.0364068104</v>
      </c>
      <c r="R97" s="101">
        <f t="shared" ca="1" si="26"/>
        <v>3928033.6694607357</v>
      </c>
      <c r="S97" s="101">
        <f t="shared" ca="1" si="26"/>
        <v>3570939.6995097599</v>
      </c>
      <c r="T97" s="101">
        <f t="shared" ca="1" si="26"/>
        <v>3246308.8177361456</v>
      </c>
      <c r="U97" s="101">
        <f t="shared" ca="1" si="26"/>
        <v>2951189.8343055858</v>
      </c>
      <c r="V97" s="101">
        <f t="shared" ca="1" si="26"/>
        <v>2682899.8493687143</v>
      </c>
      <c r="W97" s="101">
        <f t="shared" ca="1" si="26"/>
        <v>2438999.8630624674</v>
      </c>
      <c r="X97" s="101">
        <f t="shared" ca="1" si="26"/>
        <v>2217272.6027840613</v>
      </c>
      <c r="Y97" s="101">
        <f t="shared" ca="1" si="26"/>
        <v>2015702.3661673283</v>
      </c>
      <c r="Z97" s="101">
        <f t="shared" ca="1" si="26"/>
        <v>1832456.6965157527</v>
      </c>
      <c r="AA97" s="101">
        <f t="shared" ca="1" si="26"/>
        <v>1665869.7241052298</v>
      </c>
      <c r="AB97" s="101">
        <f t="shared" ca="1" si="26"/>
        <v>1514427.0219138453</v>
      </c>
      <c r="AC97" s="101">
        <f t="shared" ca="1" si="26"/>
        <v>1376751.8381034955</v>
      </c>
      <c r="AD97" s="101">
        <f t="shared" ca="1" si="26"/>
        <v>1251592.5800940867</v>
      </c>
      <c r="AE97" s="101">
        <f t="shared" ca="1" si="26"/>
        <v>1137811.4364491699</v>
      </c>
      <c r="AF97" s="101">
        <f t="shared" ca="1" si="26"/>
        <v>1034374.0331356087</v>
      </c>
      <c r="AG97" s="101">
        <f t="shared" ca="1" si="26"/>
        <v>940340.03012328059</v>
      </c>
      <c r="AH97" s="101">
        <f t="shared" ca="1" si="26"/>
        <v>854854.5728393459</v>
      </c>
      <c r="AI97" s="101">
        <f t="shared" ca="1" si="26"/>
        <v>777140.52076304168</v>
      </c>
      <c r="AJ97" s="101">
        <f t="shared" ca="1" si="26"/>
        <v>706491.38251185603</v>
      </c>
      <c r="AK97" s="150">
        <f t="shared" ca="1" si="26"/>
        <v>642264.89319259638</v>
      </c>
    </row>
    <row r="98" spans="2:37" x14ac:dyDescent="0.2">
      <c r="B98" s="123"/>
      <c r="AK98" s="140"/>
    </row>
    <row r="99" spans="2:37" x14ac:dyDescent="0.2">
      <c r="B99" s="123" t="s">
        <v>3304</v>
      </c>
      <c r="D99" s="132">
        <f ca="1">D86-SUM(E87:G87)</f>
        <v>-618294646.31448913</v>
      </c>
      <c r="AK99" s="140"/>
    </row>
    <row r="100" spans="2:37" ht="16" thickBot="1" x14ac:dyDescent="0.25">
      <c r="B100" s="152"/>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c r="AH100" s="69"/>
      <c r="AI100" s="69"/>
      <c r="AJ100" s="69"/>
      <c r="AK100" s="193"/>
    </row>
    <row r="101" spans="2:37" ht="16" thickBot="1" x14ac:dyDescent="0.25"/>
    <row r="102" spans="2:37" ht="16" thickBot="1" x14ac:dyDescent="0.25">
      <c r="B102" s="1145" t="s">
        <v>3305</v>
      </c>
    </row>
    <row r="103" spans="2:37" x14ac:dyDescent="0.2">
      <c r="B103" s="59"/>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c r="AG103" s="60"/>
      <c r="AH103" s="60"/>
      <c r="AI103" s="106"/>
    </row>
    <row r="104" spans="2:37" x14ac:dyDescent="0.2">
      <c r="B104" s="123" t="s">
        <v>519</v>
      </c>
      <c r="C104">
        <f t="shared" ref="C104:AI104" si="27">E51</f>
        <v>-2</v>
      </c>
      <c r="D104">
        <f t="shared" si="27"/>
        <v>-1</v>
      </c>
      <c r="E104">
        <f t="shared" si="27"/>
        <v>0</v>
      </c>
      <c r="F104">
        <f t="shared" si="27"/>
        <v>1</v>
      </c>
      <c r="G104">
        <f t="shared" si="27"/>
        <v>2</v>
      </c>
      <c r="H104">
        <f t="shared" si="27"/>
        <v>3</v>
      </c>
      <c r="I104">
        <f t="shared" si="27"/>
        <v>4</v>
      </c>
      <c r="J104">
        <f t="shared" si="27"/>
        <v>5</v>
      </c>
      <c r="K104">
        <f t="shared" si="27"/>
        <v>6</v>
      </c>
      <c r="L104">
        <f t="shared" si="27"/>
        <v>7</v>
      </c>
      <c r="M104">
        <f t="shared" si="27"/>
        <v>8</v>
      </c>
      <c r="N104">
        <f t="shared" si="27"/>
        <v>9</v>
      </c>
      <c r="O104">
        <f t="shared" si="27"/>
        <v>10</v>
      </c>
      <c r="P104">
        <f t="shared" si="27"/>
        <v>11</v>
      </c>
      <c r="Q104">
        <f t="shared" si="27"/>
        <v>12</v>
      </c>
      <c r="R104">
        <f t="shared" si="27"/>
        <v>13</v>
      </c>
      <c r="S104">
        <f t="shared" si="27"/>
        <v>14</v>
      </c>
      <c r="T104">
        <f t="shared" si="27"/>
        <v>15</v>
      </c>
      <c r="U104">
        <f t="shared" si="27"/>
        <v>16</v>
      </c>
      <c r="V104">
        <f t="shared" si="27"/>
        <v>17</v>
      </c>
      <c r="W104">
        <f t="shared" si="27"/>
        <v>18</v>
      </c>
      <c r="X104">
        <f t="shared" si="27"/>
        <v>19</v>
      </c>
      <c r="Y104">
        <f t="shared" si="27"/>
        <v>20</v>
      </c>
      <c r="Z104">
        <f t="shared" si="27"/>
        <v>21</v>
      </c>
      <c r="AA104">
        <f t="shared" si="27"/>
        <v>22</v>
      </c>
      <c r="AB104">
        <f t="shared" si="27"/>
        <v>23</v>
      </c>
      <c r="AC104">
        <f t="shared" si="27"/>
        <v>24</v>
      </c>
      <c r="AD104">
        <f t="shared" si="27"/>
        <v>25</v>
      </c>
      <c r="AE104">
        <f t="shared" si="27"/>
        <v>26</v>
      </c>
      <c r="AF104">
        <f t="shared" si="27"/>
        <v>27</v>
      </c>
      <c r="AG104">
        <f t="shared" si="27"/>
        <v>28</v>
      </c>
      <c r="AH104">
        <f t="shared" si="27"/>
        <v>29</v>
      </c>
      <c r="AI104" s="140">
        <f t="shared" si="27"/>
        <v>30</v>
      </c>
    </row>
    <row r="105" spans="2:37" x14ac:dyDescent="0.2">
      <c r="B105" s="123" t="s">
        <v>694</v>
      </c>
      <c r="C105" s="132">
        <f ca="1">SUM(E52:E54)/(10^6)</f>
        <v>73.770565998745283</v>
      </c>
      <c r="D105" s="132">
        <f ca="1">SUM(F52:F54)/(10^6)</f>
        <v>77.653227367100286</v>
      </c>
      <c r="E105" s="132">
        <f ca="1">SUM(G52:G54)/(10^6)</f>
        <v>81.535888735455302</v>
      </c>
      <c r="AI105" s="140"/>
    </row>
    <row r="106" spans="2:37" x14ac:dyDescent="0.2">
      <c r="B106" s="123" t="s">
        <v>695</v>
      </c>
      <c r="F106">
        <f ca="1">H82/(10^6)</f>
        <v>0</v>
      </c>
      <c r="G106">
        <f t="shared" ref="G106:Q106" ca="1" si="28">I82/(10^6)</f>
        <v>0</v>
      </c>
      <c r="H106">
        <f t="shared" ca="1" si="28"/>
        <v>0</v>
      </c>
      <c r="I106">
        <f t="shared" ca="1" si="28"/>
        <v>0</v>
      </c>
      <c r="J106">
        <f t="shared" ca="1" si="28"/>
        <v>0</v>
      </c>
      <c r="K106">
        <f t="shared" ca="1" si="28"/>
        <v>0</v>
      </c>
      <c r="L106">
        <f t="shared" ca="1" si="28"/>
        <v>0</v>
      </c>
      <c r="M106">
        <f t="shared" ca="1" si="28"/>
        <v>0</v>
      </c>
      <c r="N106">
        <f t="shared" ca="1" si="28"/>
        <v>0</v>
      </c>
      <c r="O106">
        <f t="shared" ca="1" si="28"/>
        <v>0</v>
      </c>
      <c r="P106">
        <f t="shared" ca="1" si="28"/>
        <v>0</v>
      </c>
      <c r="Q106">
        <f t="shared" ca="1" si="28"/>
        <v>0</v>
      </c>
      <c r="R106">
        <f ca="1">T82/(10^6)*-1</f>
        <v>0</v>
      </c>
      <c r="S106">
        <f ca="1">U82/(10^6)*-1</f>
        <v>0</v>
      </c>
      <c r="T106">
        <f ca="1">V82/(10^6)*-1</f>
        <v>0</v>
      </c>
      <c r="U106">
        <f t="shared" ref="U106:AI106" ca="1" si="29">W82/(10^6)*-1</f>
        <v>0</v>
      </c>
      <c r="V106">
        <f t="shared" ca="1" si="29"/>
        <v>0</v>
      </c>
      <c r="W106">
        <f t="shared" ca="1" si="29"/>
        <v>0</v>
      </c>
      <c r="X106">
        <f t="shared" ca="1" si="29"/>
        <v>0</v>
      </c>
      <c r="Y106">
        <f t="shared" ca="1" si="29"/>
        <v>0</v>
      </c>
      <c r="Z106">
        <f t="shared" ca="1" si="29"/>
        <v>0</v>
      </c>
      <c r="AA106">
        <f t="shared" ca="1" si="29"/>
        <v>0</v>
      </c>
      <c r="AB106">
        <f t="shared" ca="1" si="29"/>
        <v>0</v>
      </c>
      <c r="AC106">
        <f t="shared" ca="1" si="29"/>
        <v>0</v>
      </c>
      <c r="AD106">
        <f t="shared" ca="1" si="29"/>
        <v>0</v>
      </c>
      <c r="AE106">
        <f t="shared" ca="1" si="29"/>
        <v>0</v>
      </c>
      <c r="AF106">
        <f t="shared" ca="1" si="29"/>
        <v>0</v>
      </c>
      <c r="AG106">
        <f t="shared" ca="1" si="29"/>
        <v>0</v>
      </c>
      <c r="AH106">
        <f t="shared" ca="1" si="29"/>
        <v>0</v>
      </c>
      <c r="AI106" s="140">
        <f t="shared" ca="1" si="29"/>
        <v>0</v>
      </c>
    </row>
    <row r="107" spans="2:37" x14ac:dyDescent="0.2">
      <c r="B107" s="123" t="s">
        <v>652</v>
      </c>
      <c r="E107" s="132">
        <f ca="1">(H77*-1)/10^6</f>
        <v>-55.483230953793154</v>
      </c>
      <c r="F107" s="132">
        <f t="shared" ref="F107:AI107" ca="1" si="30">(I77*-1)/10^6</f>
        <v>-95.086376911014298</v>
      </c>
      <c r="G107" s="132">
        <f t="shared" ca="1" si="30"/>
        <v>-67.907747332529198</v>
      </c>
      <c r="H107" s="132">
        <f t="shared" ca="1" si="30"/>
        <v>-48.49444049075413</v>
      </c>
      <c r="I107" s="132">
        <f t="shared" ca="1" si="30"/>
        <v>-34.672166019410284</v>
      </c>
      <c r="J107" s="132">
        <f t="shared" ca="1" si="30"/>
        <v>-34.63333940572673</v>
      </c>
      <c r="K107" s="132">
        <f t="shared" ca="1" si="30"/>
        <v>-34.672166019410284</v>
      </c>
      <c r="L107" s="132">
        <f t="shared" ca="1" si="30"/>
        <v>-17.316669702863365</v>
      </c>
      <c r="M107" s="132">
        <f t="shared" ca="1" si="30"/>
        <v>0</v>
      </c>
      <c r="N107" s="132">
        <f t="shared" ca="1" si="30"/>
        <v>0</v>
      </c>
      <c r="O107" s="132">
        <f t="shared" ca="1" si="30"/>
        <v>0</v>
      </c>
      <c r="P107" s="132">
        <f t="shared" ca="1" si="30"/>
        <v>0</v>
      </c>
      <c r="Q107" s="132">
        <f t="shared" ca="1" si="30"/>
        <v>0</v>
      </c>
      <c r="R107" s="132">
        <f t="shared" ca="1" si="30"/>
        <v>0</v>
      </c>
      <c r="S107" s="132">
        <f t="shared" ca="1" si="30"/>
        <v>0</v>
      </c>
      <c r="T107" s="132">
        <f t="shared" ca="1" si="30"/>
        <v>0</v>
      </c>
      <c r="U107" s="132">
        <f t="shared" ca="1" si="30"/>
        <v>0</v>
      </c>
      <c r="V107" s="132">
        <f t="shared" ca="1" si="30"/>
        <v>0</v>
      </c>
      <c r="W107" s="132">
        <f t="shared" ca="1" si="30"/>
        <v>0</v>
      </c>
      <c r="X107" s="132">
        <f t="shared" ca="1" si="30"/>
        <v>0</v>
      </c>
      <c r="Y107" s="132">
        <f t="shared" ca="1" si="30"/>
        <v>0</v>
      </c>
      <c r="Z107" s="132">
        <f t="shared" ca="1" si="30"/>
        <v>0</v>
      </c>
      <c r="AA107" s="132">
        <f t="shared" ca="1" si="30"/>
        <v>0</v>
      </c>
      <c r="AB107" s="132">
        <f t="shared" ca="1" si="30"/>
        <v>0</v>
      </c>
      <c r="AC107" s="132">
        <f t="shared" ca="1" si="30"/>
        <v>0</v>
      </c>
      <c r="AD107" s="132">
        <f t="shared" ca="1" si="30"/>
        <v>0</v>
      </c>
      <c r="AE107" s="132">
        <f t="shared" ca="1" si="30"/>
        <v>0</v>
      </c>
      <c r="AF107" s="132">
        <f t="shared" ca="1" si="30"/>
        <v>0</v>
      </c>
      <c r="AG107" s="132">
        <f t="shared" ca="1" si="30"/>
        <v>0</v>
      </c>
      <c r="AH107" s="132">
        <f t="shared" ca="1" si="30"/>
        <v>0</v>
      </c>
      <c r="AI107" s="124">
        <f t="shared" si="30"/>
        <v>0</v>
      </c>
    </row>
    <row r="108" spans="2:37" x14ac:dyDescent="0.2">
      <c r="B108" s="123" t="s">
        <v>677</v>
      </c>
      <c r="C108" s="132">
        <f t="shared" ref="C108:AI108" ca="1" si="31">(E57*-1)/(10^6)</f>
        <v>-1.8636774568104071</v>
      </c>
      <c r="D108" s="132">
        <f t="shared" ca="1" si="31"/>
        <v>-11.182064740862442</v>
      </c>
      <c r="E108" s="132">
        <f t="shared" ca="1" si="31"/>
        <v>-18.63677456810407</v>
      </c>
      <c r="F108" s="132">
        <f t="shared" ca="1" si="31"/>
        <v>-18.63677456810407</v>
      </c>
      <c r="G108" s="132">
        <f t="shared" ca="1" si="31"/>
        <v>-17.350287548705186</v>
      </c>
      <c r="H108" s="132">
        <f t="shared" ca="1" si="31"/>
        <v>-15.960881567754395</v>
      </c>
      <c r="I108" s="132">
        <f t="shared" ca="1" si="31"/>
        <v>-14.46032310832754</v>
      </c>
      <c r="J108" s="132">
        <f t="shared" ca="1" si="31"/>
        <v>-12.839719972146534</v>
      </c>
      <c r="K108" s="132">
        <f t="shared" ca="1" si="31"/>
        <v>-11.089468585071051</v>
      </c>
      <c r="L108" s="132">
        <f t="shared" ca="1" si="31"/>
        <v>-9.1991970870295301</v>
      </c>
      <c r="M108" s="132">
        <f t="shared" ca="1" si="31"/>
        <v>-7.1577038691446848</v>
      </c>
      <c r="N108" s="132">
        <f t="shared" ca="1" si="31"/>
        <v>-4.9528911938290516</v>
      </c>
      <c r="O108" s="132">
        <f t="shared" ca="1" si="31"/>
        <v>-2.5716935044881679</v>
      </c>
      <c r="P108" s="132">
        <f t="shared" ca="1" si="31"/>
        <v>-1.3522803783416748E-14</v>
      </c>
      <c r="Q108" s="132">
        <f t="shared" ca="1" si="31"/>
        <v>-1.460462808609009E-14</v>
      </c>
      <c r="R108" s="132">
        <f t="shared" ca="1" si="31"/>
        <v>-1.5772998332977294E-14</v>
      </c>
      <c r="S108" s="132">
        <f t="shared" ca="1" si="31"/>
        <v>-1.7034838199615478E-14</v>
      </c>
      <c r="T108" s="132">
        <f t="shared" ca="1" si="31"/>
        <v>-1.8397625255584718E-14</v>
      </c>
      <c r="U108" s="132">
        <f t="shared" ca="1" si="31"/>
        <v>-1.9869435276031495E-14</v>
      </c>
      <c r="V108" s="132">
        <f t="shared" ca="1" si="31"/>
        <v>-2.1458990098114013E-14</v>
      </c>
      <c r="W108" s="132">
        <f t="shared" ca="1" si="31"/>
        <v>-2.3175709305963137E-14</v>
      </c>
      <c r="X108" s="132">
        <f t="shared" ca="1" si="31"/>
        <v>-2.5029766050440189E-14</v>
      </c>
      <c r="Y108" s="132">
        <f t="shared" ca="1" si="31"/>
        <v>-2.7032147334475403E-14</v>
      </c>
      <c r="Z108" s="132">
        <f t="shared" ca="1" si="31"/>
        <v>-2.919471912123344E-14</v>
      </c>
      <c r="AA108" s="132">
        <f t="shared" ca="1" si="31"/>
        <v>-3.1530296650932106E-14</v>
      </c>
      <c r="AB108" s="132">
        <f t="shared" ca="1" si="31"/>
        <v>-3.4052720383006674E-14</v>
      </c>
      <c r="AC108" s="132">
        <f t="shared" ca="1" si="31"/>
        <v>-3.6776938013647216E-14</v>
      </c>
      <c r="AD108" s="132">
        <f t="shared" ca="1" si="31"/>
        <v>-3.9719093054738994E-14</v>
      </c>
      <c r="AE108" s="132">
        <f t="shared" ca="1" si="31"/>
        <v>-4.2896620499118109E-14</v>
      </c>
      <c r="AF108" s="132">
        <f t="shared" ca="1" si="31"/>
        <v>-4.6328350139047568E-14</v>
      </c>
      <c r="AG108" s="132">
        <f t="shared" ca="1" si="31"/>
        <v>-5.0034618150171371E-14</v>
      </c>
      <c r="AH108" s="132">
        <f t="shared" ca="1" si="31"/>
        <v>-5.4037387602185081E-14</v>
      </c>
      <c r="AI108" s="124">
        <f t="shared" ca="1" si="31"/>
        <v>-5.8360378610359881E-14</v>
      </c>
    </row>
    <row r="109" spans="2:37" x14ac:dyDescent="0.2">
      <c r="B109" s="123" t="s">
        <v>3312</v>
      </c>
      <c r="F109" s="101">
        <f t="shared" ref="F109:AI109" ca="1" si="32">(H71*-1)/10^6</f>
        <v>-52.348474271526463</v>
      </c>
      <c r="G109" s="101">
        <f t="shared" ca="1" si="32"/>
        <v>-69.797965695368617</v>
      </c>
      <c r="H109" s="101">
        <f t="shared" ca="1" si="32"/>
        <v>-69.797965695368617</v>
      </c>
      <c r="I109" s="101">
        <f t="shared" ca="1" si="32"/>
        <v>-69.797965695368617</v>
      </c>
      <c r="J109" s="101">
        <f t="shared" ca="1" si="32"/>
        <v>-69.797965695368617</v>
      </c>
      <c r="K109" s="101">
        <f t="shared" ca="1" si="32"/>
        <v>-69.797965695368617</v>
      </c>
      <c r="L109" s="101">
        <f t="shared" ca="1" si="32"/>
        <v>-69.797965695368617</v>
      </c>
      <c r="M109" s="101">
        <f t="shared" ca="1" si="32"/>
        <v>-69.797965695368617</v>
      </c>
      <c r="N109" s="101">
        <f t="shared" ca="1" si="32"/>
        <v>-69.797965695368617</v>
      </c>
      <c r="O109" s="101">
        <f t="shared" ca="1" si="32"/>
        <v>-69.797965695368617</v>
      </c>
      <c r="P109" s="101">
        <f t="shared" ca="1" si="32"/>
        <v>-69.797965695368617</v>
      </c>
      <c r="Q109" s="101">
        <f t="shared" ca="1" si="32"/>
        <v>-69.797965695368617</v>
      </c>
      <c r="R109" s="101">
        <f t="shared" ca="1" si="32"/>
        <v>-69.797965695368617</v>
      </c>
      <c r="S109" s="101">
        <f t="shared" ca="1" si="32"/>
        <v>-69.797965695368617</v>
      </c>
      <c r="T109" s="101">
        <f t="shared" ca="1" si="32"/>
        <v>-69.797965695368617</v>
      </c>
      <c r="U109" s="101">
        <f t="shared" ca="1" si="32"/>
        <v>-69.797965695368617</v>
      </c>
      <c r="V109" s="101">
        <f t="shared" ca="1" si="32"/>
        <v>-69.797965695368617</v>
      </c>
      <c r="W109" s="101">
        <f t="shared" ca="1" si="32"/>
        <v>-69.797965695368617</v>
      </c>
      <c r="X109" s="101">
        <f t="shared" ca="1" si="32"/>
        <v>-69.797965695368617</v>
      </c>
      <c r="Y109" s="101">
        <f t="shared" ca="1" si="32"/>
        <v>-69.797965695368617</v>
      </c>
      <c r="Z109" s="101">
        <f t="shared" ca="1" si="32"/>
        <v>-69.797965695368617</v>
      </c>
      <c r="AA109" s="101">
        <f t="shared" ca="1" si="32"/>
        <v>-69.797965695368617</v>
      </c>
      <c r="AB109" s="101">
        <f t="shared" ca="1" si="32"/>
        <v>-69.797965695368617</v>
      </c>
      <c r="AC109" s="101">
        <f t="shared" ca="1" si="32"/>
        <v>-69.797965695368617</v>
      </c>
      <c r="AD109" s="101">
        <f t="shared" ca="1" si="32"/>
        <v>-69.797965695368617</v>
      </c>
      <c r="AE109" s="101">
        <f t="shared" ca="1" si="32"/>
        <v>-69.797965695368617</v>
      </c>
      <c r="AF109" s="101">
        <f t="shared" ca="1" si="32"/>
        <v>-69.797965695368617</v>
      </c>
      <c r="AG109" s="101">
        <f t="shared" ca="1" si="32"/>
        <v>-69.797965695368617</v>
      </c>
      <c r="AH109" s="101">
        <f t="shared" ca="1" si="32"/>
        <v>-69.797965695368617</v>
      </c>
      <c r="AI109" s="150">
        <f t="shared" ca="1" si="32"/>
        <v>-69.797965695368617</v>
      </c>
    </row>
    <row r="110" spans="2:37" x14ac:dyDescent="0.2">
      <c r="B110" s="123" t="s">
        <v>696</v>
      </c>
      <c r="F110" s="132">
        <f ca="1">H86/(10^6)</f>
        <v>-40.126218152396028</v>
      </c>
      <c r="G110" s="132">
        <f t="shared" ref="G110:AI110" ca="1" si="33">I86/(10^6)</f>
        <v>-39.073690787865679</v>
      </c>
      <c r="H110" s="132">
        <f t="shared" ca="1" si="33"/>
        <v>-35.521537079877881</v>
      </c>
      <c r="I110" s="132">
        <f t="shared" ca="1" si="33"/>
        <v>-32.292306436252623</v>
      </c>
      <c r="J110" s="132">
        <f t="shared" ca="1" si="33"/>
        <v>-29.356642214775107</v>
      </c>
      <c r="K110" s="132">
        <f t="shared" ca="1" si="33"/>
        <v>-26.687856558886462</v>
      </c>
      <c r="L110" s="132">
        <f t="shared" ca="1" si="33"/>
        <v>-24.261687780805868</v>
      </c>
      <c r="M110" s="132">
        <f t="shared" ca="1" si="33"/>
        <v>-22.056079800732608</v>
      </c>
      <c r="N110" s="132">
        <f t="shared" ca="1" si="33"/>
        <v>-20.050981637029643</v>
      </c>
      <c r="O110" s="132">
        <f t="shared" ca="1" si="33"/>
        <v>-18.228165124572399</v>
      </c>
      <c r="P110" s="132">
        <f t="shared" ca="1" si="33"/>
        <v>-4.4026602612599461</v>
      </c>
      <c r="Q110" s="132">
        <f t="shared" ca="1" si="33"/>
        <v>-4.0024184193272241</v>
      </c>
      <c r="R110" s="132">
        <f t="shared" ca="1" si="33"/>
        <v>-3.6385621993883857</v>
      </c>
      <c r="S110" s="132">
        <f t="shared" ca="1" si="33"/>
        <v>-3.3077838176258045</v>
      </c>
      <c r="T110" s="132">
        <f t="shared" ca="1" si="33"/>
        <v>-3.00707619784164</v>
      </c>
      <c r="U110" s="132">
        <f t="shared" ca="1" si="33"/>
        <v>-2.7337056344014909</v>
      </c>
      <c r="V110" s="132">
        <f t="shared" ca="1" si="33"/>
        <v>-2.4851869403649918</v>
      </c>
      <c r="W110" s="132">
        <f t="shared" ca="1" si="33"/>
        <v>-2.2592608548772652</v>
      </c>
      <c r="X110" s="132">
        <f t="shared" ca="1" si="33"/>
        <v>-2.0538735044338767</v>
      </c>
      <c r="Y110" s="132">
        <f t="shared" ca="1" si="33"/>
        <v>-1.8671577313035246</v>
      </c>
      <c r="Z110" s="132">
        <f t="shared" ca="1" si="33"/>
        <v>-1.6974161193668404</v>
      </c>
      <c r="AA110" s="132">
        <f t="shared" ca="1" si="33"/>
        <v>-1.5431055630607637</v>
      </c>
      <c r="AB110" s="132">
        <f t="shared" ca="1" si="33"/>
        <v>-1.4028232391461488</v>
      </c>
      <c r="AC110" s="132">
        <f t="shared" ca="1" si="33"/>
        <v>-1.2752938537692264</v>
      </c>
      <c r="AD110" s="132">
        <f t="shared" ca="1" si="33"/>
        <v>-1.1593580488811144</v>
      </c>
      <c r="AE110" s="132">
        <f t="shared" ca="1" si="33"/>
        <v>-1.0539618626191949</v>
      </c>
      <c r="AF110" s="132">
        <f t="shared" ca="1" si="33"/>
        <v>-0.95814714783563171</v>
      </c>
      <c r="AG110" s="132">
        <f t="shared" ca="1" si="33"/>
        <v>-0.871042861668756</v>
      </c>
      <c r="AH110" s="132">
        <f t="shared" ca="1" si="33"/>
        <v>-0.79185714697159637</v>
      </c>
      <c r="AI110" s="124">
        <f t="shared" ca="1" si="33"/>
        <v>-0.71987013361054208</v>
      </c>
    </row>
    <row r="111" spans="2:37" x14ac:dyDescent="0.2">
      <c r="B111" s="123" t="s">
        <v>673</v>
      </c>
      <c r="F111" s="132">
        <f ca="1">(H86-SUM($E$87:$G$87))/(10^6)</f>
        <v>-329.53513735593674</v>
      </c>
      <c r="G111" s="132">
        <f ca="1">(SUM($H$86:I86)-SUM($E$87:$G$87))/(10^6)</f>
        <v>-368.60882814380244</v>
      </c>
      <c r="H111" s="132">
        <f ca="1">(SUM($H$86:J86)-SUM($E$87:$G$87))/(10^6)</f>
        <v>-404.13036522368031</v>
      </c>
      <c r="I111" s="132">
        <f ca="1">(SUM($H$86:K86)-SUM($E$87:$G$87))/(10^6)</f>
        <v>-436.42267165993297</v>
      </c>
      <c r="J111" s="132">
        <f ca="1">(SUM($H$86:L86)-SUM($E$87:$G$87))/(10^6)</f>
        <v>-465.77931387470807</v>
      </c>
      <c r="K111" s="132">
        <f ca="1">(SUM($H$86:M86)-SUM($E$87:$G$87))/(10^6)</f>
        <v>-492.46717043359456</v>
      </c>
      <c r="L111" s="132">
        <f ca="1">(SUM($H$86:N86)-SUM($E$87:$G$87))/(10^6)</f>
        <v>-516.72885821440036</v>
      </c>
      <c r="M111" s="132">
        <f ca="1">(SUM($H$86:O86)-SUM($E$87:$G$87))/(10^6)</f>
        <v>-538.78493801513298</v>
      </c>
      <c r="N111" s="132">
        <f ca="1">(SUM($H$86:P86)-SUM($E$87:$G$87))/(10^6)</f>
        <v>-558.83591965216272</v>
      </c>
      <c r="O111" s="132">
        <f ca="1">(SUM($H$86:Q86)-SUM($E$87:$G$87))/(10^6)</f>
        <v>-577.06408477673506</v>
      </c>
      <c r="P111" s="132">
        <f ca="1">(SUM($H$86:R86)-SUM($E$87:$G$87))/(10^6)</f>
        <v>-581.46674503799511</v>
      </c>
      <c r="Q111" s="132">
        <f ca="1">(SUM($H$86:S86)-SUM($E$87:$G$87))/(10^6)</f>
        <v>-585.46916345732222</v>
      </c>
      <c r="R111" s="132">
        <f ca="1">(SUM($H$86:T86)-SUM($E$87:$G$87))/(10^6)</f>
        <v>-589.10772565671061</v>
      </c>
      <c r="S111" s="132">
        <f ca="1">(SUM($H$86:U86)-SUM($E$87:$G$87))/(10^6)</f>
        <v>-592.41550947433643</v>
      </c>
      <c r="T111" s="132">
        <f ca="1">(SUM($H$86:V86)-SUM($E$87:$G$87))/(10^6)</f>
        <v>-595.422585672178</v>
      </c>
      <c r="U111" s="132">
        <f ca="1">(SUM($H$86:W86)-SUM($E$87:$G$87))/(10^6)</f>
        <v>-598.15629130657965</v>
      </c>
      <c r="V111" s="132">
        <f ca="1">(SUM($H$86:X86)-SUM($E$87:$G$87))/(10^6)</f>
        <v>-600.64147824694464</v>
      </c>
      <c r="W111" s="132">
        <f ca="1">(SUM($H$86:Y86)-SUM($E$87:$G$87))/(10^6)</f>
        <v>-602.90073910182196</v>
      </c>
      <c r="X111" s="132">
        <f ca="1">(SUM($H$86:Z86)-SUM($E$87:$G$87))/(10^6)</f>
        <v>-604.95461260625575</v>
      </c>
      <c r="Y111" s="132">
        <f ca="1">(SUM($H$86:AA86)-SUM($E$87:$G$87))/(10^6)</f>
        <v>-606.8217703375592</v>
      </c>
      <c r="Z111" s="132">
        <f ca="1">(SUM($H$86:AB86)-SUM($E$87:$G$87))/(10^6)</f>
        <v>-608.51918645692615</v>
      </c>
      <c r="AA111" s="132">
        <f ca="1">(SUM($H$86:AC86)-SUM($E$87:$G$87))/(10^6)</f>
        <v>-610.0622920199869</v>
      </c>
      <c r="AB111" s="132">
        <f ca="1">(SUM($H$86:AD86)-SUM($E$87:$G$87))/(10^6)</f>
        <v>-611.46511525913309</v>
      </c>
      <c r="AC111" s="132">
        <f ca="1">(SUM($H$86:AE86)-SUM($E$87:$G$87))/(10^6)</f>
        <v>-612.74040911290228</v>
      </c>
      <c r="AD111" s="132">
        <f ca="1">(SUM($H$86:AF86)-SUM($E$87:$G$87))/(10^6)</f>
        <v>-613.89976716178342</v>
      </c>
      <c r="AE111" s="132">
        <f ca="1">(SUM($H$86:AG86)-SUM($E$87:$G$87))/(10^6)</f>
        <v>-614.95372902440261</v>
      </c>
      <c r="AF111" s="132">
        <f ca="1">(SUM($H$86:AH86)-SUM($E$87:$G$87))/(10^6)</f>
        <v>-615.91187617223818</v>
      </c>
      <c r="AG111" s="132">
        <f ca="1">(SUM($H$86:AI86)-SUM($E$87:$G$87))/(10^6)</f>
        <v>-616.78291903390698</v>
      </c>
      <c r="AH111" s="132">
        <f ca="1">(SUM($H$86:AJ86)-SUM($E$87:$G$87))/(10^6)</f>
        <v>-617.57477618087864</v>
      </c>
      <c r="AI111" s="124">
        <f ca="1">(SUM($H$86:AK86)-SUM($E$87:$G$87))/(10^6)</f>
        <v>-618.29464631448911</v>
      </c>
    </row>
    <row r="112" spans="2:37" ht="16" thickBot="1" x14ac:dyDescent="0.25">
      <c r="B112" s="152"/>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69"/>
      <c r="AG112" s="69"/>
      <c r="AH112" s="69"/>
      <c r="AI112" s="193"/>
    </row>
    <row r="114" spans="2:8" ht="16" thickBot="1" x14ac:dyDescent="0.25">
      <c r="E114" s="104"/>
      <c r="F114" s="104"/>
      <c r="G114" s="104"/>
      <c r="H114" s="104"/>
    </row>
    <row r="115" spans="2:8" ht="16" thickBot="1" x14ac:dyDescent="0.25">
      <c r="B115" s="1475" t="s">
        <v>3306</v>
      </c>
      <c r="C115" s="1476"/>
      <c r="D115" s="1477"/>
    </row>
    <row r="116" spans="2:8" x14ac:dyDescent="0.2">
      <c r="B116" s="59"/>
      <c r="C116" s="60"/>
      <c r="D116" s="60"/>
      <c r="E116" s="60"/>
      <c r="F116" s="60"/>
      <c r="G116" s="106"/>
    </row>
    <row r="117" spans="2:8" x14ac:dyDescent="0.2">
      <c r="B117" s="1849" t="s">
        <v>2987</v>
      </c>
      <c r="C117" s="1850"/>
      <c r="D117" s="1851"/>
      <c r="G117" s="140"/>
    </row>
    <row r="118" spans="2:8" x14ac:dyDescent="0.2">
      <c r="B118" s="1151" t="s">
        <v>580</v>
      </c>
      <c r="C118" s="135" t="s">
        <v>372</v>
      </c>
      <c r="D118" s="9" t="s">
        <v>2988</v>
      </c>
      <c r="G118" s="140"/>
    </row>
    <row r="119" spans="2:8" x14ac:dyDescent="0.2">
      <c r="B119" s="162" t="s">
        <v>687</v>
      </c>
      <c r="C119" s="110" t="s">
        <v>2980</v>
      </c>
      <c r="D119" s="852">
        <f ca="1">D91</f>
        <v>0</v>
      </c>
      <c r="G119" s="140"/>
    </row>
    <row r="120" spans="2:8" x14ac:dyDescent="0.2">
      <c r="B120" s="123" t="s">
        <v>2989</v>
      </c>
      <c r="C120" t="s">
        <v>2980</v>
      </c>
      <c r="D120" s="853">
        <f ca="1">D92</f>
        <v>642116278.55834985</v>
      </c>
      <c r="G120" s="140"/>
    </row>
    <row r="121" spans="2:8" x14ac:dyDescent="0.2">
      <c r="B121" s="123" t="s">
        <v>2990</v>
      </c>
      <c r="C121" t="s">
        <v>2980</v>
      </c>
      <c r="D121" s="853">
        <f ca="1">D93</f>
        <v>185746519.86210391</v>
      </c>
      <c r="G121" s="140"/>
    </row>
    <row r="122" spans="2:8" x14ac:dyDescent="0.2">
      <c r="B122" s="123" t="s">
        <v>690</v>
      </c>
      <c r="C122" t="s">
        <v>2980</v>
      </c>
      <c r="D122" s="853">
        <f ca="1">D94</f>
        <v>112136023.55679983</v>
      </c>
      <c r="G122" s="140"/>
    </row>
    <row r="123" spans="2:8" x14ac:dyDescent="0.2">
      <c r="B123" s="165" t="s">
        <v>2991</v>
      </c>
      <c r="C123" s="118" t="s">
        <v>360</v>
      </c>
      <c r="D123" s="854">
        <f>D43</f>
        <v>7.33</v>
      </c>
      <c r="G123" s="140"/>
    </row>
    <row r="124" spans="2:8" x14ac:dyDescent="0.2">
      <c r="B124" s="123"/>
      <c r="G124" s="140"/>
    </row>
    <row r="125" spans="2:8" x14ac:dyDescent="0.2">
      <c r="B125" s="1849" t="s">
        <v>2992</v>
      </c>
      <c r="C125" s="1850"/>
      <c r="D125" s="1851"/>
      <c r="G125" s="140"/>
    </row>
    <row r="126" spans="2:8" x14ac:dyDescent="0.2">
      <c r="B126" s="123" t="s">
        <v>2993</v>
      </c>
      <c r="C126" t="s">
        <v>2980</v>
      </c>
      <c r="D126" s="853">
        <f ca="1">SUM(D119:D121)</f>
        <v>827862798.42045379</v>
      </c>
      <c r="G126" s="140"/>
    </row>
    <row r="127" spans="2:8" x14ac:dyDescent="0.2">
      <c r="B127" s="162" t="s">
        <v>687</v>
      </c>
      <c r="C127" s="110" t="s">
        <v>275</v>
      </c>
      <c r="D127" s="112">
        <f ca="1">D119/D$126*(1+D$130)</f>
        <v>0</v>
      </c>
      <c r="G127" s="140"/>
    </row>
    <row r="128" spans="2:8" x14ac:dyDescent="0.2">
      <c r="B128" s="123" t="s">
        <v>2989</v>
      </c>
      <c r="C128" t="s">
        <v>275</v>
      </c>
      <c r="D128" s="127">
        <f ca="1">D120/D$126*(1+D$130)</f>
        <v>0.88069241300405876</v>
      </c>
      <c r="G128" s="140"/>
    </row>
    <row r="129" spans="2:7" x14ac:dyDescent="0.2">
      <c r="B129" s="123" t="s">
        <v>2990</v>
      </c>
      <c r="C129" t="s">
        <v>275</v>
      </c>
      <c r="D129" s="127">
        <f ca="1">D121/D$126*(1+D$130)</f>
        <v>0.25476001192764874</v>
      </c>
      <c r="G129" s="140"/>
    </row>
    <row r="130" spans="2:7" x14ac:dyDescent="0.2">
      <c r="B130" s="165" t="s">
        <v>690</v>
      </c>
      <c r="C130" s="118" t="s">
        <v>275</v>
      </c>
      <c r="D130" s="120">
        <f ca="1">D122/D126</f>
        <v>0.1354524249317075</v>
      </c>
      <c r="G130" s="140"/>
    </row>
    <row r="131" spans="2:7" x14ac:dyDescent="0.2">
      <c r="B131" s="162" t="s">
        <v>687</v>
      </c>
      <c r="C131" s="110" t="s">
        <v>2994</v>
      </c>
      <c r="D131" s="852">
        <f ca="1">D127*D$123</f>
        <v>0</v>
      </c>
      <c r="G131" s="140"/>
    </row>
    <row r="132" spans="2:7" x14ac:dyDescent="0.2">
      <c r="B132" s="123" t="s">
        <v>2989</v>
      </c>
      <c r="C132" t="s">
        <v>2994</v>
      </c>
      <c r="D132" s="853">
        <f ca="1">D128*D$123</f>
        <v>6.4554753873197503</v>
      </c>
      <c r="G132" s="140"/>
    </row>
    <row r="133" spans="2:7" x14ac:dyDescent="0.2">
      <c r="B133" s="123" t="s">
        <v>2990</v>
      </c>
      <c r="C133" t="s">
        <v>2994</v>
      </c>
      <c r="D133" s="853">
        <f ca="1">D129*D$123</f>
        <v>1.8673908874296654</v>
      </c>
      <c r="G133" s="140"/>
    </row>
    <row r="134" spans="2:7" x14ac:dyDescent="0.2">
      <c r="B134" s="165" t="s">
        <v>690</v>
      </c>
      <c r="C134" s="118" t="s">
        <v>2994</v>
      </c>
      <c r="D134" s="855">
        <f ca="1">D130*D$123</f>
        <v>0.99286627474941602</v>
      </c>
      <c r="G134" s="140"/>
    </row>
    <row r="135" spans="2:7" x14ac:dyDescent="0.2">
      <c r="B135" s="1152" t="s">
        <v>2995</v>
      </c>
      <c r="C135" s="31"/>
      <c r="D135" s="856">
        <f ca="1">SUM(D131:D133)-D134</f>
        <v>7.3299999999999992</v>
      </c>
      <c r="G135" s="140"/>
    </row>
    <row r="136" spans="2:7" x14ac:dyDescent="0.2">
      <c r="B136" s="123"/>
      <c r="G136" s="140"/>
    </row>
    <row r="137" spans="2:7" x14ac:dyDescent="0.2">
      <c r="B137" s="1153" t="s">
        <v>3309</v>
      </c>
      <c r="C137" s="1067"/>
      <c r="D137" s="1067"/>
      <c r="E137" s="1067"/>
      <c r="F137" s="1068"/>
      <c r="G137" s="140"/>
    </row>
    <row r="138" spans="2:7" x14ac:dyDescent="0.2">
      <c r="B138" s="162"/>
      <c r="C138" s="110"/>
      <c r="D138" s="179" t="s">
        <v>3031</v>
      </c>
      <c r="E138" s="179" t="s">
        <v>3032</v>
      </c>
      <c r="F138" s="190" t="s">
        <v>3033</v>
      </c>
      <c r="G138" s="140"/>
    </row>
    <row r="139" spans="2:7" x14ac:dyDescent="0.2">
      <c r="B139" s="123" t="s">
        <v>2982</v>
      </c>
      <c r="C139" t="s">
        <v>639</v>
      </c>
      <c r="D139" s="141">
        <v>0.45</v>
      </c>
      <c r="E139" s="141">
        <v>1.2</v>
      </c>
      <c r="F139" s="1069">
        <v>0.38</v>
      </c>
      <c r="G139" s="140"/>
    </row>
    <row r="140" spans="2:7" x14ac:dyDescent="0.2">
      <c r="B140" s="123" t="s">
        <v>2983</v>
      </c>
      <c r="C140" t="s">
        <v>639</v>
      </c>
      <c r="D140" s="141">
        <v>1.8</v>
      </c>
      <c r="E140" s="141">
        <v>2</v>
      </c>
      <c r="F140" s="1066">
        <v>1.5</v>
      </c>
      <c r="G140" s="140"/>
    </row>
    <row r="141" spans="2:7" x14ac:dyDescent="0.2">
      <c r="B141" s="123" t="s">
        <v>3308</v>
      </c>
      <c r="C141" t="s">
        <v>639</v>
      </c>
      <c r="D141" s="141">
        <v>13.68</v>
      </c>
      <c r="E141" s="141">
        <v>12.88</v>
      </c>
      <c r="F141" s="1066">
        <v>14.44</v>
      </c>
      <c r="G141" s="140"/>
    </row>
    <row r="142" spans="2:7" x14ac:dyDescent="0.2">
      <c r="B142" s="123" t="s">
        <v>664</v>
      </c>
      <c r="C142" t="s">
        <v>639</v>
      </c>
      <c r="D142" s="141">
        <v>0.65</v>
      </c>
      <c r="E142" s="141">
        <v>0.85</v>
      </c>
      <c r="F142" s="1066">
        <v>0.45</v>
      </c>
      <c r="G142" s="140"/>
    </row>
    <row r="143" spans="2:7" x14ac:dyDescent="0.2">
      <c r="B143" s="165" t="s">
        <v>667</v>
      </c>
      <c r="C143" s="118" t="s">
        <v>639</v>
      </c>
      <c r="D143" s="966">
        <v>0.03</v>
      </c>
      <c r="E143" s="966">
        <v>0.05</v>
      </c>
      <c r="F143" s="854">
        <v>0.01</v>
      </c>
      <c r="G143" s="140"/>
    </row>
    <row r="144" spans="2:7" x14ac:dyDescent="0.2">
      <c r="B144" s="123"/>
      <c r="D144" s="141"/>
      <c r="E144" s="141"/>
      <c r="F144" s="141"/>
      <c r="G144" s="140"/>
    </row>
    <row r="145" spans="2:7" x14ac:dyDescent="0.2">
      <c r="B145" s="1153" t="s">
        <v>3310</v>
      </c>
      <c r="C145" s="1067"/>
      <c r="D145" s="1067"/>
      <c r="E145" s="1067"/>
      <c r="F145" s="1068"/>
      <c r="G145" s="140"/>
    </row>
    <row r="146" spans="2:7" x14ac:dyDescent="0.2">
      <c r="B146" s="162"/>
      <c r="C146" s="110"/>
      <c r="D146" s="179" t="s">
        <v>3031</v>
      </c>
      <c r="E146" s="179" t="s">
        <v>3032</v>
      </c>
      <c r="F146" s="190" t="s">
        <v>3033</v>
      </c>
      <c r="G146" s="140"/>
    </row>
    <row r="147" spans="2:7" x14ac:dyDescent="0.2">
      <c r="B147" s="123" t="s">
        <v>2982</v>
      </c>
      <c r="C147" t="s">
        <v>639</v>
      </c>
      <c r="D147" s="141">
        <v>0.45</v>
      </c>
      <c r="E147" s="141">
        <v>1.2</v>
      </c>
      <c r="F147" s="1069">
        <v>0.38</v>
      </c>
      <c r="G147" s="140"/>
    </row>
    <row r="148" spans="2:7" x14ac:dyDescent="0.2">
      <c r="B148" s="123" t="s">
        <v>2983</v>
      </c>
      <c r="C148" t="s">
        <v>639</v>
      </c>
      <c r="D148" s="141">
        <v>1.8</v>
      </c>
      <c r="E148" s="141">
        <v>2</v>
      </c>
      <c r="F148" s="1066">
        <v>1.5</v>
      </c>
      <c r="G148" s="140"/>
    </row>
    <row r="149" spans="2:7" x14ac:dyDescent="0.2">
      <c r="B149" s="123" t="s">
        <v>3308</v>
      </c>
      <c r="C149" t="s">
        <v>639</v>
      </c>
      <c r="D149" s="141">
        <v>8.86</v>
      </c>
      <c r="E149" s="141">
        <v>8.0399999999999991</v>
      </c>
      <c r="F149" s="1066">
        <v>9.6300000000000008</v>
      </c>
      <c r="G149" s="140"/>
    </row>
    <row r="150" spans="2:7" x14ac:dyDescent="0.2">
      <c r="B150" s="123" t="s">
        <v>664</v>
      </c>
      <c r="C150" t="s">
        <v>639</v>
      </c>
      <c r="D150" s="141">
        <v>0.65</v>
      </c>
      <c r="E150" s="141">
        <v>0.85</v>
      </c>
      <c r="F150" s="1066">
        <v>0.45</v>
      </c>
      <c r="G150" s="140"/>
    </row>
    <row r="151" spans="2:7" x14ac:dyDescent="0.2">
      <c r="B151" s="165" t="s">
        <v>667</v>
      </c>
      <c r="C151" s="118" t="s">
        <v>639</v>
      </c>
      <c r="D151" s="966">
        <v>0.03</v>
      </c>
      <c r="E151" s="966">
        <v>0.05</v>
      </c>
      <c r="F151" s="854">
        <v>0.01</v>
      </c>
      <c r="G151" s="140"/>
    </row>
    <row r="152" spans="2:7" ht="16" thickBot="1" x14ac:dyDescent="0.25">
      <c r="B152" s="152"/>
      <c r="C152" s="69"/>
      <c r="D152" s="69"/>
      <c r="E152" s="69"/>
      <c r="F152" s="69"/>
      <c r="G152" s="193"/>
    </row>
    <row r="153" spans="2:7" ht="16" thickBot="1" x14ac:dyDescent="0.25"/>
    <row r="154" spans="2:7" ht="16" thickBot="1" x14ac:dyDescent="0.25">
      <c r="C154" s="1149" t="s">
        <v>3026</v>
      </c>
    </row>
    <row r="155" spans="2:7" x14ac:dyDescent="0.2">
      <c r="B155" s="59" t="s">
        <v>753</v>
      </c>
      <c r="C155" s="1150">
        <f ca="1">(CAPEX!B545/SUM(CAPEX!B$545:B$558)*D$133)+(OPEX!B666/SUM(OPEX!B$666:B$682)*D$132)</f>
        <v>2.2424429212122337</v>
      </c>
    </row>
    <row r="156" spans="2:7" x14ac:dyDescent="0.2">
      <c r="B156" s="123" t="s">
        <v>2317</v>
      </c>
      <c r="C156" s="150">
        <f ca="1">(CAPEX!B546/SUM(CAPEX!B$545:B$558)*D$133)+(OPEX!B667/SUM(OPEX!B$666:B$682)*D$132)</f>
        <v>0.10847230670020594</v>
      </c>
    </row>
    <row r="157" spans="2:7" x14ac:dyDescent="0.2">
      <c r="B157" s="123" t="s">
        <v>2318</v>
      </c>
      <c r="C157" s="150">
        <f ca="1">(CAPEX!B547/SUM(CAPEX!B$545:B$558)*D$133)+(OPEX!B668/SUM(OPEX!B$666:B$682)*D$132)</f>
        <v>0.21018771635242706</v>
      </c>
    </row>
    <row r="158" spans="2:7" x14ac:dyDescent="0.2">
      <c r="B158" s="123" t="s">
        <v>1415</v>
      </c>
      <c r="C158" s="150">
        <f ca="1">(CAPEX!B548/SUM(CAPEX!B$545:B$558)*D$133)+(OPEX!B669/SUM(OPEX!B$666:B$682)*D$132)</f>
        <v>0.1474265812117232</v>
      </c>
    </row>
    <row r="159" spans="2:7" x14ac:dyDescent="0.2">
      <c r="B159" s="123" t="s">
        <v>2978</v>
      </c>
      <c r="C159" s="150">
        <f ca="1">(CAPEX!B549/SUM(CAPEX!B$545:B$558)*D$133)+(OPEX!B670/SUM(OPEX!B$666:B$682)*D$132)</f>
        <v>0.14313451827174781</v>
      </c>
    </row>
    <row r="160" spans="2:7" x14ac:dyDescent="0.2">
      <c r="B160" s="123" t="s">
        <v>2792</v>
      </c>
      <c r="C160" s="150">
        <f ca="1">(CAPEX!B550/SUM(CAPEX!B$545:B$558)*D$133)+(OPEX!B671/SUM(OPEX!B$666:B$682)*D$132)</f>
        <v>0.15804351306783718</v>
      </c>
    </row>
    <row r="161" spans="2:6" x14ac:dyDescent="0.2">
      <c r="B161" s="123" t="s">
        <v>2979</v>
      </c>
      <c r="C161" s="150">
        <f ca="1">(CAPEX!B551/SUM(CAPEX!B$545:B$558)*D$133)+(OPEX!B672/SUM(OPEX!B$666:B$682)*D$132)</f>
        <v>0.29580109141063565</v>
      </c>
    </row>
    <row r="162" spans="2:6" x14ac:dyDescent="0.2">
      <c r="B162" s="123" t="s">
        <v>1561</v>
      </c>
      <c r="C162" s="150">
        <f ca="1">(CAPEX!B552/SUM(CAPEX!B$545:B$558)*D$133)+(OPEX!B673/SUM(OPEX!B$666:B$682)*D$132)</f>
        <v>0.56544712608184777</v>
      </c>
    </row>
    <row r="163" spans="2:6" x14ac:dyDescent="0.2">
      <c r="B163" s="123" t="s">
        <v>537</v>
      </c>
      <c r="C163" s="150">
        <f ca="1">(CAPEX!B553/SUM(CAPEX!B$545:B$558)*D$133)+(OPEX!B674/SUM(OPEX!B$666:B$682)*D$132)</f>
        <v>0.63662119532072847</v>
      </c>
      <c r="F163" s="101"/>
    </row>
    <row r="164" spans="2:6" x14ac:dyDescent="0.2">
      <c r="B164" s="123" t="s">
        <v>534</v>
      </c>
      <c r="C164" s="150">
        <f ca="1">(CAPEX!B554/SUM(CAPEX!B$545:B$558)*D$133)+(OPEX!B675/SUM(OPEX!B$666:B$682)*D$132)</f>
        <v>0.29854801588787172</v>
      </c>
      <c r="F164" s="101"/>
    </row>
    <row r="165" spans="2:6" x14ac:dyDescent="0.2">
      <c r="B165" s="123" t="s">
        <v>910</v>
      </c>
      <c r="C165" s="150">
        <f ca="1">(CAPEX!B555/SUM(CAPEX!B$545:B$558)*D$133)+(OPEX!B676/SUM(OPEX!B$666:B$682)*D$132)</f>
        <v>5.6242094300461364E-2</v>
      </c>
      <c r="F165" s="101"/>
    </row>
    <row r="166" spans="2:6" x14ac:dyDescent="0.2">
      <c r="B166" s="123" t="s">
        <v>1416</v>
      </c>
      <c r="C166" s="150">
        <f ca="1">(CAPEX!B556/SUM(CAPEX!B$545:B$558)*D$133)+(OPEX!B677/SUM(OPEX!B$666:B$682)*D$132)</f>
        <v>5.2803752186338995E-2</v>
      </c>
      <c r="F166" s="101"/>
    </row>
    <row r="167" spans="2:6" x14ac:dyDescent="0.2">
      <c r="B167" s="123" t="s">
        <v>1417</v>
      </c>
      <c r="C167" s="150">
        <f ca="1">(CAPEX!B557/SUM(CAPEX!B$545:B$558)*D$133)+(OPEX!B678/SUM(OPEX!B$666:B$682)*D$132)</f>
        <v>5.0238637086794893E-2</v>
      </c>
      <c r="F167" s="101"/>
    </row>
    <row r="168" spans="2:6" x14ac:dyDescent="0.2">
      <c r="B168" s="123" t="s">
        <v>1011</v>
      </c>
      <c r="C168" s="150">
        <f ca="1">(CAPEX!B558/SUM(CAPEX!B$545:B$558)*D$133)+(OPEX!B679/SUM(OPEX!B$666:B$682)*D$132)</f>
        <v>3.0630761022198749E-2</v>
      </c>
      <c r="F168" s="101"/>
    </row>
    <row r="169" spans="2:6" x14ac:dyDescent="0.2">
      <c r="B169" s="123" t="s">
        <v>2395</v>
      </c>
      <c r="C169" s="150">
        <f ca="1">(OPEX!B680/SUM(OPEX!B$666:B$682)*D$132)</f>
        <v>1.9981573476518066</v>
      </c>
      <c r="F169" s="101"/>
    </row>
    <row r="170" spans="2:6" x14ac:dyDescent="0.2">
      <c r="B170" s="123" t="s">
        <v>2397</v>
      </c>
      <c r="C170" s="150">
        <f ca="1">(OPEX!B681/SUM(OPEX!B$666:B$682)*D$132)</f>
        <v>1.0772989435009912</v>
      </c>
      <c r="F170" s="101"/>
    </row>
    <row r="171" spans="2:6" x14ac:dyDescent="0.2">
      <c r="B171" s="123" t="s">
        <v>2981</v>
      </c>
      <c r="C171" s="150">
        <f ca="1">(OPEX!B682/SUM(OPEX!B$666:B$682)*D$132)</f>
        <v>0.25136975348356466</v>
      </c>
      <c r="F171" s="101"/>
    </row>
    <row r="172" spans="2:6" x14ac:dyDescent="0.2">
      <c r="B172" s="123" t="s">
        <v>695</v>
      </c>
      <c r="C172" s="150">
        <f ca="1">D131</f>
        <v>0</v>
      </c>
      <c r="F172" s="101"/>
    </row>
    <row r="173" spans="2:6" x14ac:dyDescent="0.2">
      <c r="B173" s="123" t="s">
        <v>2996</v>
      </c>
      <c r="C173" s="150">
        <f ca="1">D41/SUM(D41,D42,D44,D45)*D134*-1</f>
        <v>-0.29059500724373155</v>
      </c>
      <c r="F173" s="101"/>
    </row>
    <row r="174" spans="2:6" x14ac:dyDescent="0.2">
      <c r="B174" s="123" t="s">
        <v>2997</v>
      </c>
      <c r="C174" s="150">
        <f ca="1">D42/SUM(D41,D42,D44,D45)*D134*-1</f>
        <v>-0.48432501207288592</v>
      </c>
      <c r="F174" s="101"/>
    </row>
    <row r="175" spans="2:6" x14ac:dyDescent="0.2">
      <c r="B175" s="123" t="s">
        <v>664</v>
      </c>
      <c r="C175" s="150">
        <f ca="1">D44/SUM(D41,D42,D44,D45)*D134*-1</f>
        <v>-0.20583813013097652</v>
      </c>
      <c r="F175" s="101"/>
    </row>
    <row r="176" spans="2:6" x14ac:dyDescent="0.2">
      <c r="B176" s="123" t="s">
        <v>667</v>
      </c>
      <c r="C176" s="150">
        <f ca="1">D45/SUM(D41,D42,D44,D45)*D134*-1</f>
        <v>-1.2108125301822148E-2</v>
      </c>
      <c r="F176" s="101"/>
    </row>
    <row r="177" spans="2:7" x14ac:dyDescent="0.2">
      <c r="B177" s="123" t="s">
        <v>2998</v>
      </c>
      <c r="C177" s="150">
        <f ca="1">D135</f>
        <v>7.3299999999999992</v>
      </c>
      <c r="F177" s="101"/>
    </row>
    <row r="178" spans="2:7" x14ac:dyDescent="0.2">
      <c r="B178" s="123" t="s">
        <v>2985</v>
      </c>
      <c r="C178" s="137">
        <v>1.5</v>
      </c>
      <c r="E178" s="1"/>
      <c r="F178" s="1"/>
      <c r="G178" s="1"/>
    </row>
    <row r="179" spans="2:7" ht="16" thickBot="1" x14ac:dyDescent="0.25">
      <c r="B179" s="152" t="s">
        <v>2986</v>
      </c>
      <c r="C179" s="346">
        <v>0.8</v>
      </c>
      <c r="E179" s="1"/>
      <c r="F179" s="1"/>
      <c r="G179" s="1"/>
    </row>
    <row r="181" spans="2:7" ht="16" thickBot="1" x14ac:dyDescent="0.25"/>
    <row r="182" spans="2:7" ht="16" thickBot="1" x14ac:dyDescent="0.25">
      <c r="B182" s="1852" t="s">
        <v>3027</v>
      </c>
      <c r="C182" s="1853"/>
      <c r="D182" s="1853"/>
      <c r="E182" s="1853"/>
      <c r="F182" s="1853"/>
      <c r="G182" s="1854"/>
    </row>
    <row r="183" spans="2:7" x14ac:dyDescent="0.2">
      <c r="B183" s="123"/>
      <c r="D183" t="s">
        <v>3315</v>
      </c>
      <c r="E183" t="s">
        <v>3316</v>
      </c>
      <c r="F183" t="s">
        <v>3317</v>
      </c>
      <c r="G183" s="140"/>
    </row>
    <row r="184" spans="2:7" x14ac:dyDescent="0.2">
      <c r="B184" s="123" t="s">
        <v>753</v>
      </c>
      <c r="C184" t="s">
        <v>3173</v>
      </c>
      <c r="D184" s="101">
        <v>4.2919692974570571</v>
      </c>
      <c r="E184" s="101">
        <v>4.3110843894610671</v>
      </c>
      <c r="F184" s="141">
        <v>4.1950417939040596</v>
      </c>
      <c r="G184" s="140"/>
    </row>
    <row r="185" spans="2:7" x14ac:dyDescent="0.2">
      <c r="B185" s="123" t="s">
        <v>2317</v>
      </c>
      <c r="D185" s="101">
        <v>0.2647331538552869</v>
      </c>
      <c r="E185" s="101">
        <v>0.26591219271641153</v>
      </c>
      <c r="F185" s="141">
        <v>0.25875456409088488</v>
      </c>
      <c r="G185" s="140"/>
    </row>
    <row r="186" spans="2:7" x14ac:dyDescent="0.2">
      <c r="B186" s="123" t="s">
        <v>2318</v>
      </c>
      <c r="D186" s="101">
        <v>0.80445773416211663</v>
      </c>
      <c r="E186" s="101">
        <v>0.80804053789068864</v>
      </c>
      <c r="F186" s="141">
        <v>0.78629029761208491</v>
      </c>
      <c r="G186" s="140"/>
    </row>
    <row r="187" spans="2:7" x14ac:dyDescent="0.2">
      <c r="B187" s="123" t="s">
        <v>1415</v>
      </c>
      <c r="D187" s="101">
        <v>1.0202443629456155</v>
      </c>
      <c r="E187" s="101">
        <v>1.0247882129856967</v>
      </c>
      <c r="F187" s="141">
        <v>0.99720371836949318</v>
      </c>
      <c r="G187" s="140"/>
    </row>
    <row r="188" spans="2:7" x14ac:dyDescent="0.2">
      <c r="B188" s="123" t="s">
        <v>2978</v>
      </c>
      <c r="D188" s="101">
        <v>0.20883513658927919</v>
      </c>
      <c r="E188" s="101">
        <v>0.2097652231236678</v>
      </c>
      <c r="F188" s="141">
        <v>0.20411891728739806</v>
      </c>
      <c r="G188" s="140"/>
    </row>
    <row r="189" spans="2:7" x14ac:dyDescent="0.2">
      <c r="B189" s="123" t="s">
        <v>2792</v>
      </c>
      <c r="D189" s="101">
        <v>0.33119898317855156</v>
      </c>
      <c r="E189" s="101">
        <v>0.33267404010378249</v>
      </c>
      <c r="F189" s="141">
        <v>0.32371936522373335</v>
      </c>
      <c r="G189" s="140"/>
    </row>
    <row r="190" spans="2:7" x14ac:dyDescent="0.2">
      <c r="B190" s="123" t="s">
        <v>2979</v>
      </c>
      <c r="D190" s="101">
        <v>1.4400582361854339</v>
      </c>
      <c r="E190" s="101">
        <v>1.4464718062200856</v>
      </c>
      <c r="F190" s="141">
        <v>1.4075367431060011</v>
      </c>
      <c r="G190" s="140"/>
    </row>
    <row r="191" spans="2:7" x14ac:dyDescent="0.2">
      <c r="B191" s="123" t="s">
        <v>1561</v>
      </c>
      <c r="D191" s="101">
        <v>2.2915503254767415</v>
      </c>
      <c r="E191" s="101">
        <v>2.3017561755813216</v>
      </c>
      <c r="F191" s="141">
        <v>2.2397991975164082</v>
      </c>
      <c r="G191" s="140"/>
    </row>
    <row r="192" spans="2:7" x14ac:dyDescent="0.2">
      <c r="B192" s="123" t="s">
        <v>537</v>
      </c>
      <c r="D192" s="101">
        <v>3.932683858777136</v>
      </c>
      <c r="E192" s="101">
        <v>3.950198805547084</v>
      </c>
      <c r="F192" s="141">
        <v>3.8438702624356416</v>
      </c>
      <c r="G192" s="140"/>
    </row>
    <row r="193" spans="2:7" x14ac:dyDescent="0.2">
      <c r="B193" s="123" t="s">
        <v>534</v>
      </c>
      <c r="D193" s="101">
        <v>1.8577563681931413</v>
      </c>
      <c r="E193" s="101">
        <v>1.8660302353711025</v>
      </c>
      <c r="F193" s="141">
        <v>1.8158018073612794</v>
      </c>
      <c r="G193" s="140"/>
    </row>
    <row r="194" spans="2:7" x14ac:dyDescent="0.2">
      <c r="B194" s="123" t="s">
        <v>910</v>
      </c>
      <c r="D194" s="101">
        <v>0.13775347372007588</v>
      </c>
      <c r="E194" s="101">
        <v>0.13836698470804853</v>
      </c>
      <c r="F194" s="141">
        <v>0.13464252408645397</v>
      </c>
      <c r="G194" s="140"/>
    </row>
    <row r="195" spans="2:7" x14ac:dyDescent="0.2">
      <c r="B195" s="123" t="s">
        <v>1416</v>
      </c>
      <c r="D195" s="101">
        <v>8.8937613302562113E-2</v>
      </c>
      <c r="E195" s="101">
        <v>8.9333713680517457E-2</v>
      </c>
      <c r="F195" s="141">
        <v>8.6929094547666341E-2</v>
      </c>
      <c r="G195" s="140"/>
    </row>
    <row r="196" spans="2:7" x14ac:dyDescent="0.2">
      <c r="B196" s="123" t="s">
        <v>1417</v>
      </c>
      <c r="D196" s="101">
        <v>0.12247055829654219</v>
      </c>
      <c r="E196" s="101">
        <v>0.12301600394803087</v>
      </c>
      <c r="F196" s="141">
        <v>0.11970474972436551</v>
      </c>
      <c r="G196" s="140"/>
    </row>
    <row r="197" spans="2:7" x14ac:dyDescent="0.2">
      <c r="B197" s="123" t="s">
        <v>1011</v>
      </c>
      <c r="D197" s="101">
        <v>4.3854786695678362E-2</v>
      </c>
      <c r="E197" s="101">
        <v>4.4050102231369813E-2</v>
      </c>
      <c r="F197" s="141">
        <v>4.2864394011420372E-2</v>
      </c>
      <c r="G197" s="140"/>
    </row>
    <row r="198" spans="2:7" x14ac:dyDescent="0.2">
      <c r="B198" s="123" t="s">
        <v>2395</v>
      </c>
      <c r="D198" s="101">
        <v>2.7810499484115438</v>
      </c>
      <c r="E198" s="101">
        <v>2.7934358770954075</v>
      </c>
      <c r="F198" s="141">
        <v>2.7182442268246172</v>
      </c>
      <c r="G198" s="140"/>
    </row>
    <row r="199" spans="2:7" x14ac:dyDescent="0.2">
      <c r="B199" s="123" t="s">
        <v>2397</v>
      </c>
      <c r="D199" s="101">
        <v>15.518387146897641</v>
      </c>
      <c r="E199" s="101">
        <v>15.587501200961949</v>
      </c>
      <c r="F199" s="141">
        <v>15.167928319941698</v>
      </c>
      <c r="G199" s="140"/>
    </row>
    <row r="200" spans="2:7" x14ac:dyDescent="0.2">
      <c r="B200" s="123" t="s">
        <v>2981</v>
      </c>
      <c r="D200" s="101">
        <v>1.3247076519245251</v>
      </c>
      <c r="E200" s="101">
        <v>1.3306074864503583</v>
      </c>
      <c r="F200" s="141">
        <v>1.2947911737906592</v>
      </c>
      <c r="G200" s="140"/>
    </row>
    <row r="201" spans="2:7" x14ac:dyDescent="0.2">
      <c r="B201" s="123" t="s">
        <v>695</v>
      </c>
      <c r="D201" s="101">
        <v>2.7871796295920821</v>
      </c>
      <c r="E201" s="101">
        <v>2.795907550046326</v>
      </c>
      <c r="F201" s="141">
        <v>2.7233025819936114</v>
      </c>
      <c r="G201" s="140"/>
    </row>
    <row r="202" spans="2:7" x14ac:dyDescent="0.2">
      <c r="B202" s="123" t="s">
        <v>2996</v>
      </c>
      <c r="D202" s="101">
        <v>-1.9360111490169731</v>
      </c>
      <c r="E202" s="101">
        <v>-2.089316978058199</v>
      </c>
      <c r="F202" s="141">
        <v>-0.98318354235806593</v>
      </c>
      <c r="G202" s="140"/>
    </row>
    <row r="203" spans="2:7" x14ac:dyDescent="0.2">
      <c r="B203" s="123" t="s">
        <v>2997</v>
      </c>
      <c r="D203" s="101">
        <v>-2.9040167235254595</v>
      </c>
      <c r="E203" s="101">
        <v>-3.133975467087299</v>
      </c>
      <c r="F203" s="141">
        <v>-1.4747753135370989</v>
      </c>
      <c r="G203" s="140"/>
    </row>
    <row r="204" spans="2:7" x14ac:dyDescent="0.2">
      <c r="B204" s="123" t="s">
        <v>664</v>
      </c>
      <c r="D204" s="101">
        <v>-1.0486727057175269</v>
      </c>
      <c r="E204" s="101">
        <v>-1.1317133631148582</v>
      </c>
      <c r="F204" s="141">
        <v>-0.53255775211061895</v>
      </c>
      <c r="G204" s="140"/>
    </row>
    <row r="205" spans="2:7" x14ac:dyDescent="0.2">
      <c r="B205" s="123" t="s">
        <v>667</v>
      </c>
      <c r="D205" s="101">
        <v>-4.8400278725424323E-2</v>
      </c>
      <c r="E205" s="101">
        <v>-5.2232924451454985E-2</v>
      </c>
      <c r="F205" s="141">
        <v>-2.4579588558951645E-2</v>
      </c>
      <c r="G205" s="140"/>
    </row>
    <row r="206" spans="2:7" x14ac:dyDescent="0.2">
      <c r="B206" s="123" t="s">
        <v>2998</v>
      </c>
      <c r="D206" s="101">
        <v>24.67966573816156</v>
      </c>
      <c r="E206" s="141">
        <v>22.395543175487465</v>
      </c>
      <c r="F206" s="141">
        <v>26.82451253481895</v>
      </c>
      <c r="G206" s="140"/>
    </row>
    <row r="207" spans="2:7" x14ac:dyDescent="0.2">
      <c r="B207" s="123" t="s">
        <v>2985</v>
      </c>
      <c r="C207" s="141">
        <v>4.1782729805013927</v>
      </c>
      <c r="D207" s="141">
        <v>4.1782729805013927</v>
      </c>
      <c r="E207" s="141">
        <v>4.1782729805013927</v>
      </c>
      <c r="F207" s="141">
        <v>4.1782729805013927</v>
      </c>
      <c r="G207" s="137">
        <v>4.1782729805013927</v>
      </c>
    </row>
    <row r="208" spans="2:7" x14ac:dyDescent="0.2">
      <c r="B208" s="123" t="s">
        <v>3034</v>
      </c>
      <c r="C208" s="141">
        <v>5</v>
      </c>
      <c r="D208" s="141">
        <v>5</v>
      </c>
      <c r="E208" s="141">
        <v>5</v>
      </c>
      <c r="F208" s="141">
        <v>5</v>
      </c>
      <c r="G208" s="137">
        <v>5</v>
      </c>
    </row>
    <row r="209" spans="2:7" ht="16" thickBot="1" x14ac:dyDescent="0.25">
      <c r="B209" s="152"/>
      <c r="C209" s="69"/>
      <c r="D209" s="69"/>
      <c r="E209" s="69"/>
      <c r="F209" s="69"/>
      <c r="G209" s="193"/>
    </row>
    <row r="210" spans="2:7" ht="16" thickBot="1" x14ac:dyDescent="0.25"/>
    <row r="211" spans="2:7" ht="16" thickBot="1" x14ac:dyDescent="0.25">
      <c r="B211" s="1145" t="s">
        <v>3307</v>
      </c>
    </row>
    <row r="212" spans="2:7" x14ac:dyDescent="0.2">
      <c r="B212" s="59"/>
      <c r="C212" s="1146" t="s">
        <v>3172</v>
      </c>
      <c r="D212" s="60" t="s">
        <v>3028</v>
      </c>
      <c r="E212" s="60" t="s">
        <v>3029</v>
      </c>
      <c r="F212" s="106" t="s">
        <v>3030</v>
      </c>
    </row>
    <row r="213" spans="2:7" x14ac:dyDescent="0.2">
      <c r="B213" s="123" t="s">
        <v>753</v>
      </c>
      <c r="D213" s="101">
        <v>1.314915903255252</v>
      </c>
      <c r="E213" s="101">
        <v>3.2250299007486807</v>
      </c>
      <c r="F213" s="137">
        <v>3.1576250921596727</v>
      </c>
    </row>
    <row r="214" spans="2:7" x14ac:dyDescent="0.2">
      <c r="B214" s="123" t="s">
        <v>2317</v>
      </c>
      <c r="D214" s="101">
        <v>8.4357461871360923E-2</v>
      </c>
      <c r="E214" s="101">
        <v>0.1699964591903021</v>
      </c>
      <c r="F214" s="137">
        <v>0.16644344444464926</v>
      </c>
    </row>
    <row r="215" spans="2:7" x14ac:dyDescent="0.2">
      <c r="B215" s="123" t="s">
        <v>2318</v>
      </c>
      <c r="D215" s="101">
        <v>0.2725914620490727</v>
      </c>
      <c r="E215" s="101">
        <v>0.39347301364650822</v>
      </c>
      <c r="F215" s="137">
        <v>0.38524922224425606</v>
      </c>
    </row>
    <row r="216" spans="2:7" x14ac:dyDescent="0.2">
      <c r="B216" s="123" t="s">
        <v>1415</v>
      </c>
      <c r="D216" s="101">
        <v>0.36621383019876158</v>
      </c>
      <c r="E216" s="101">
        <v>0.36536032879931046</v>
      </c>
      <c r="F216" s="137">
        <v>0.35772410718691011</v>
      </c>
    </row>
    <row r="217" spans="2:7" x14ac:dyDescent="0.2">
      <c r="B217" s="123" t="s">
        <v>2978</v>
      </c>
      <c r="D217" s="101">
        <v>5.8941693963439526E-2</v>
      </c>
      <c r="E217" s="101">
        <v>0.1928355969030906</v>
      </c>
      <c r="F217" s="137">
        <v>0.18880523225581014</v>
      </c>
    </row>
    <row r="218" spans="2:7" x14ac:dyDescent="0.2">
      <c r="B218" s="123" t="s">
        <v>2792</v>
      </c>
      <c r="D218" s="101">
        <v>0.10437342445385095</v>
      </c>
      <c r="E218" s="101">
        <v>0.23261190068852602</v>
      </c>
      <c r="F218" s="137">
        <v>0.22775019052646037</v>
      </c>
    </row>
    <row r="219" spans="2:7" x14ac:dyDescent="0.2">
      <c r="B219" s="123" t="s">
        <v>2979</v>
      </c>
      <c r="D219" s="101">
        <v>0.51277869976907231</v>
      </c>
      <c r="E219" s="101">
        <v>0.59303918882659068</v>
      </c>
      <c r="F219" s="137">
        <v>0.58064436017729437</v>
      </c>
    </row>
    <row r="220" spans="2:7" x14ac:dyDescent="0.2">
      <c r="B220" s="123" t="s">
        <v>1561</v>
      </c>
      <c r="D220" s="101">
        <v>0.76492640288414704</v>
      </c>
      <c r="E220" s="101">
        <v>1.1182993944034945</v>
      </c>
      <c r="F220" s="137">
        <v>1.0949263532396059</v>
      </c>
    </row>
    <row r="221" spans="2:7" x14ac:dyDescent="0.2">
      <c r="B221" s="123" t="s">
        <v>537</v>
      </c>
      <c r="D221" s="101">
        <v>1.4086535846447714</v>
      </c>
      <c r="E221" s="101">
        <v>1.4729723295027901</v>
      </c>
      <c r="F221" s="137">
        <v>1.4421864388343062</v>
      </c>
    </row>
    <row r="222" spans="2:7" x14ac:dyDescent="0.2">
      <c r="B222" s="123" t="s">
        <v>534</v>
      </c>
      <c r="D222" s="101">
        <v>0.67456351195297881</v>
      </c>
      <c r="E222" s="101">
        <v>0.67563909263621491</v>
      </c>
      <c r="F222" s="137">
        <v>0.66151788287508295</v>
      </c>
    </row>
    <row r="223" spans="2:7" x14ac:dyDescent="0.2">
      <c r="B223" s="123" t="s">
        <v>910</v>
      </c>
      <c r="D223" s="101">
        <v>4.4324199906448862E-2</v>
      </c>
      <c r="E223" s="101">
        <v>8.7390226623096465E-2</v>
      </c>
      <c r="F223" s="137">
        <v>8.5563725263616858E-2</v>
      </c>
    </row>
    <row r="224" spans="2:7" x14ac:dyDescent="0.2">
      <c r="B224" s="123" t="s">
        <v>1416</v>
      </c>
      <c r="D224" s="101">
        <v>2.6029471997767076E-2</v>
      </c>
      <c r="E224" s="101">
        <v>7.4063844710724441E-2</v>
      </c>
      <c r="F224" s="137">
        <v>7.2515871690401912E-2</v>
      </c>
    </row>
    <row r="225" spans="2:7" x14ac:dyDescent="0.2">
      <c r="B225" s="123" t="s">
        <v>1417</v>
      </c>
      <c r="D225" s="101">
        <v>3.8555112685639138E-2</v>
      </c>
      <c r="E225" s="101">
        <v>7.9528537169212071E-2</v>
      </c>
      <c r="F225" s="137">
        <v>7.786634922360261E-2</v>
      </c>
    </row>
    <row r="226" spans="2:7" x14ac:dyDescent="0.2">
      <c r="B226" s="123" t="s">
        <v>1011</v>
      </c>
      <c r="D226" s="101">
        <v>1.2265581632340183E-2</v>
      </c>
      <c r="E226" s="101">
        <v>4.115248296491901E-2</v>
      </c>
      <c r="F226" s="137">
        <v>4.0292374586832706E-2</v>
      </c>
    </row>
    <row r="227" spans="2:7" x14ac:dyDescent="0.2">
      <c r="B227" s="123" t="s">
        <v>2395</v>
      </c>
      <c r="D227" s="101">
        <v>0.77106003232428455</v>
      </c>
      <c r="E227" s="101">
        <v>2.6655503290963694</v>
      </c>
      <c r="F227" s="137">
        <v>2.6098389356375371</v>
      </c>
    </row>
    <row r="228" spans="2:7" x14ac:dyDescent="0.2">
      <c r="B228" s="123" t="s">
        <v>2397</v>
      </c>
      <c r="D228" s="101">
        <v>1.9947431528276454</v>
      </c>
      <c r="E228" s="101">
        <v>2.3236047431368729</v>
      </c>
      <c r="F228" s="137">
        <v>2.2750401909411577</v>
      </c>
    </row>
    <row r="229" spans="2:7" x14ac:dyDescent="0.2">
      <c r="B229" s="123" t="s">
        <v>2981</v>
      </c>
      <c r="D229" s="101">
        <v>0.4654400689931173</v>
      </c>
      <c r="E229" s="101">
        <v>0.54217444006527038</v>
      </c>
      <c r="F229" s="137">
        <v>0.53084271121960347</v>
      </c>
    </row>
    <row r="230" spans="2:7" x14ac:dyDescent="0.2">
      <c r="B230" s="123" t="s">
        <v>695</v>
      </c>
      <c r="D230" s="101">
        <v>0.98003852904734623</v>
      </c>
      <c r="E230" s="101">
        <v>1.1396927676134703</v>
      </c>
      <c r="F230" s="137">
        <v>1.1167891846262998</v>
      </c>
    </row>
    <row r="231" spans="2:7" x14ac:dyDescent="0.2">
      <c r="B231" s="123" t="s">
        <v>2996</v>
      </c>
      <c r="D231" s="101">
        <v>-0.75066501203628178</v>
      </c>
      <c r="E231" s="101">
        <v>-0.73534085172452057</v>
      </c>
      <c r="F231" s="137">
        <v>-0.10257103996178629</v>
      </c>
    </row>
    <row r="232" spans="2:7" x14ac:dyDescent="0.2">
      <c r="B232" s="123" t="s">
        <v>2997</v>
      </c>
      <c r="D232" s="101">
        <v>-1.2511083533938028</v>
      </c>
      <c r="E232" s="101">
        <v>-1.2255680862075342</v>
      </c>
      <c r="F232" s="137">
        <v>-0.40488568405968278</v>
      </c>
    </row>
    <row r="233" spans="2:7" x14ac:dyDescent="0.2">
      <c r="B233" s="123" t="s">
        <v>664</v>
      </c>
      <c r="D233" s="101">
        <v>-0.53172105019236626</v>
      </c>
      <c r="E233" s="101">
        <v>-0.52086643663820198</v>
      </c>
      <c r="F233" s="137">
        <v>-0.12146570521790483</v>
      </c>
    </row>
    <row r="234" spans="2:7" x14ac:dyDescent="0.2">
      <c r="B234" s="123" t="s">
        <v>667</v>
      </c>
      <c r="D234" s="101">
        <v>-3.1277708834845076E-2</v>
      </c>
      <c r="E234" s="101">
        <v>-3.0639202155188356E-2</v>
      </c>
      <c r="F234" s="137">
        <v>-2.6992378937312185E-3</v>
      </c>
    </row>
    <row r="235" spans="2:7" x14ac:dyDescent="0.2">
      <c r="B235" s="123" t="s">
        <v>2998</v>
      </c>
      <c r="D235" s="101">
        <v>7.33</v>
      </c>
      <c r="E235" s="141">
        <v>12.879999999999999</v>
      </c>
      <c r="F235" s="137">
        <v>14.439999999999998</v>
      </c>
    </row>
    <row r="236" spans="2:7" x14ac:dyDescent="0.2">
      <c r="B236" s="123" t="s">
        <v>2985</v>
      </c>
      <c r="C236" s="141">
        <v>1.5</v>
      </c>
      <c r="D236" s="141">
        <v>1.5</v>
      </c>
      <c r="E236" s="141">
        <v>1.5</v>
      </c>
      <c r="F236" s="137">
        <v>1.5</v>
      </c>
      <c r="G236" s="1"/>
    </row>
    <row r="237" spans="2:7" x14ac:dyDescent="0.2">
      <c r="B237" s="123" t="s">
        <v>2986</v>
      </c>
      <c r="C237" s="141">
        <v>0.8</v>
      </c>
      <c r="D237" s="141">
        <v>0.8</v>
      </c>
      <c r="E237" s="141">
        <v>0.8</v>
      </c>
      <c r="F237" s="137">
        <v>0.8</v>
      </c>
      <c r="G237" s="1"/>
    </row>
    <row r="238" spans="2:7" x14ac:dyDescent="0.2">
      <c r="B238" s="123"/>
      <c r="F238" s="140"/>
    </row>
    <row r="239" spans="2:7" x14ac:dyDescent="0.2">
      <c r="B239" s="123"/>
      <c r="F239" s="140"/>
    </row>
    <row r="240" spans="2:7" x14ac:dyDescent="0.2">
      <c r="B240" s="123" t="s">
        <v>753</v>
      </c>
      <c r="C240" s="6" t="s">
        <v>3173</v>
      </c>
      <c r="D240" s="101">
        <f t="shared" ref="D240:F262" si="34">D213/0.359</f>
        <v>3.6627183934686687</v>
      </c>
      <c r="E240" s="101">
        <f t="shared" si="34"/>
        <v>8.9833701970715349</v>
      </c>
      <c r="F240" s="150">
        <f t="shared" si="34"/>
        <v>8.7956130700826538</v>
      </c>
    </row>
    <row r="241" spans="2:6" x14ac:dyDescent="0.2">
      <c r="B241" s="123" t="s">
        <v>2317</v>
      </c>
      <c r="D241" s="101">
        <f t="shared" si="34"/>
        <v>0.23497900242718922</v>
      </c>
      <c r="E241" s="101">
        <f t="shared" si="34"/>
        <v>0.47352774147716464</v>
      </c>
      <c r="F241" s="150">
        <f t="shared" si="34"/>
        <v>0.46363076446977514</v>
      </c>
    </row>
    <row r="242" spans="2:6" x14ac:dyDescent="0.2">
      <c r="B242" s="123" t="s">
        <v>2318</v>
      </c>
      <c r="D242" s="101">
        <f t="shared" si="34"/>
        <v>0.7593076937300075</v>
      </c>
      <c r="E242" s="101">
        <f t="shared" si="34"/>
        <v>1.0960251076504408</v>
      </c>
      <c r="F242" s="150">
        <f t="shared" si="34"/>
        <v>1.0731176107082343</v>
      </c>
    </row>
    <row r="243" spans="2:6" x14ac:dyDescent="0.2">
      <c r="B243" s="123" t="s">
        <v>1415</v>
      </c>
      <c r="D243" s="101">
        <f t="shared" si="34"/>
        <v>1.0200942345369404</v>
      </c>
      <c r="E243" s="101">
        <f t="shared" si="34"/>
        <v>1.0177167933128426</v>
      </c>
      <c r="F243" s="150">
        <f t="shared" si="34"/>
        <v>0.99644598102203374</v>
      </c>
    </row>
    <row r="244" spans="2:6" x14ac:dyDescent="0.2">
      <c r="B244" s="123" t="s">
        <v>2978</v>
      </c>
      <c r="D244" s="101">
        <f t="shared" si="34"/>
        <v>0.16418299154161428</v>
      </c>
      <c r="E244" s="101">
        <f t="shared" si="34"/>
        <v>0.53714650947936105</v>
      </c>
      <c r="F244" s="150">
        <f t="shared" si="34"/>
        <v>0.52591986700782767</v>
      </c>
    </row>
    <row r="245" spans="2:6" x14ac:dyDescent="0.2">
      <c r="B245" s="123" t="s">
        <v>2792</v>
      </c>
      <c r="D245" s="101">
        <f t="shared" si="34"/>
        <v>0.29073377285195251</v>
      </c>
      <c r="E245" s="101">
        <f t="shared" si="34"/>
        <v>0.64794401305996108</v>
      </c>
      <c r="F245" s="150">
        <f t="shared" si="34"/>
        <v>0.63440164492050244</v>
      </c>
    </row>
    <row r="246" spans="2:6" x14ac:dyDescent="0.2">
      <c r="B246" s="123" t="s">
        <v>2979</v>
      </c>
      <c r="D246" s="101">
        <f t="shared" si="34"/>
        <v>1.4283529241478339</v>
      </c>
      <c r="E246" s="101">
        <f t="shared" si="34"/>
        <v>1.6519197460350716</v>
      </c>
      <c r="F246" s="150">
        <f t="shared" si="34"/>
        <v>1.6173937609395388</v>
      </c>
    </row>
    <row r="247" spans="2:6" x14ac:dyDescent="0.2">
      <c r="B247" s="123" t="s">
        <v>1561</v>
      </c>
      <c r="D247" s="101">
        <f t="shared" si="34"/>
        <v>2.1307142141619697</v>
      </c>
      <c r="E247" s="101">
        <f t="shared" si="34"/>
        <v>3.115040095831461</v>
      </c>
      <c r="F247" s="150">
        <f t="shared" si="34"/>
        <v>3.0499341315866459</v>
      </c>
    </row>
    <row r="248" spans="2:6" x14ac:dyDescent="0.2">
      <c r="B248" s="123" t="s">
        <v>537</v>
      </c>
      <c r="D248" s="101">
        <f t="shared" si="34"/>
        <v>3.9238261410717867</v>
      </c>
      <c r="E248" s="101">
        <f t="shared" si="34"/>
        <v>4.1029869902584686</v>
      </c>
      <c r="F248" s="150">
        <f t="shared" si="34"/>
        <v>4.017232420151271</v>
      </c>
    </row>
    <row r="249" spans="2:6" x14ac:dyDescent="0.2">
      <c r="B249" s="123" t="s">
        <v>534</v>
      </c>
      <c r="D249" s="101">
        <f t="shared" si="34"/>
        <v>1.8790069970835066</v>
      </c>
      <c r="E249" s="101">
        <f t="shared" si="34"/>
        <v>1.8820030435549162</v>
      </c>
      <c r="F249" s="150">
        <f t="shared" si="34"/>
        <v>1.8426681974236294</v>
      </c>
    </row>
    <row r="250" spans="2:6" x14ac:dyDescent="0.2">
      <c r="B250" s="123" t="s">
        <v>910</v>
      </c>
      <c r="D250" s="101">
        <f t="shared" si="34"/>
        <v>0.12346573790097176</v>
      </c>
      <c r="E250" s="101">
        <f t="shared" si="34"/>
        <v>0.2434268151061183</v>
      </c>
      <c r="F250" s="150">
        <f t="shared" si="34"/>
        <v>0.2383390675866765</v>
      </c>
    </row>
    <row r="251" spans="2:6" x14ac:dyDescent="0.2">
      <c r="B251" s="123" t="s">
        <v>1416</v>
      </c>
      <c r="D251" s="101">
        <f t="shared" si="34"/>
        <v>7.250549302999186E-2</v>
      </c>
      <c r="E251" s="101">
        <f t="shared" si="34"/>
        <v>0.20630597412458063</v>
      </c>
      <c r="F251" s="150">
        <f t="shared" si="34"/>
        <v>0.20199407156100813</v>
      </c>
    </row>
    <row r="252" spans="2:6" x14ac:dyDescent="0.2">
      <c r="B252" s="123" t="s">
        <v>1417</v>
      </c>
      <c r="D252" s="101">
        <f t="shared" si="34"/>
        <v>0.10739585706306166</v>
      </c>
      <c r="E252" s="101">
        <f t="shared" si="34"/>
        <v>0.22152795868861302</v>
      </c>
      <c r="F252" s="150">
        <f t="shared" si="34"/>
        <v>0.21689790870084294</v>
      </c>
    </row>
    <row r="253" spans="2:6" x14ac:dyDescent="0.2">
      <c r="B253" s="123" t="s">
        <v>1011</v>
      </c>
      <c r="D253" s="101">
        <f t="shared" si="34"/>
        <v>3.4165965549694102E-2</v>
      </c>
      <c r="E253" s="101">
        <f t="shared" si="34"/>
        <v>0.11463087176857663</v>
      </c>
      <c r="F253" s="150">
        <f t="shared" si="34"/>
        <v>0.11223502670426938</v>
      </c>
    </row>
    <row r="254" spans="2:6" x14ac:dyDescent="0.2">
      <c r="B254" s="123" t="s">
        <v>2395</v>
      </c>
      <c r="D254" s="101">
        <f t="shared" si="34"/>
        <v>2.1477995329367259</v>
      </c>
      <c r="E254" s="101">
        <f t="shared" si="34"/>
        <v>7.4249312788199706</v>
      </c>
      <c r="F254" s="150">
        <f t="shared" si="34"/>
        <v>7.2697463388232233</v>
      </c>
    </row>
    <row r="255" spans="2:6" x14ac:dyDescent="0.2">
      <c r="B255" s="123" t="s">
        <v>2397</v>
      </c>
      <c r="D255" s="101">
        <f t="shared" si="34"/>
        <v>5.5563876123332738</v>
      </c>
      <c r="E255" s="101">
        <f t="shared" si="34"/>
        <v>6.4724366104091171</v>
      </c>
      <c r="F255" s="150">
        <f t="shared" si="34"/>
        <v>6.3371593062427793</v>
      </c>
    </row>
    <row r="256" spans="2:6" x14ac:dyDescent="0.2">
      <c r="B256" s="123" t="s">
        <v>2981</v>
      </c>
      <c r="D256" s="101">
        <f t="shared" si="34"/>
        <v>1.2964904428777642</v>
      </c>
      <c r="E256" s="101">
        <f t="shared" si="34"/>
        <v>1.5102352090954607</v>
      </c>
      <c r="F256" s="150">
        <f t="shared" si="34"/>
        <v>1.478670504789982</v>
      </c>
    </row>
    <row r="257" spans="2:7" x14ac:dyDescent="0.2">
      <c r="B257" s="123" t="s">
        <v>695</v>
      </c>
      <c r="D257" s="101">
        <f t="shared" si="34"/>
        <v>2.7299123371792375</v>
      </c>
      <c r="E257" s="101">
        <f t="shared" si="34"/>
        <v>3.1746316646614772</v>
      </c>
      <c r="F257" s="150">
        <f t="shared" si="34"/>
        <v>3.1108333833601667</v>
      </c>
    </row>
    <row r="258" spans="2:7" x14ac:dyDescent="0.2">
      <c r="B258" s="123" t="s">
        <v>2996</v>
      </c>
      <c r="D258" s="101">
        <f t="shared" si="34"/>
        <v>-2.0909888914659662</v>
      </c>
      <c r="E258" s="101">
        <f t="shared" si="34"/>
        <v>-2.0483032081462968</v>
      </c>
      <c r="F258" s="150">
        <f t="shared" si="34"/>
        <v>-0.28571320323617355</v>
      </c>
    </row>
    <row r="259" spans="2:7" x14ac:dyDescent="0.2">
      <c r="B259" s="123" t="s">
        <v>2997</v>
      </c>
      <c r="D259" s="101">
        <f t="shared" si="34"/>
        <v>-3.4849814857766095</v>
      </c>
      <c r="E259" s="101">
        <f t="shared" si="34"/>
        <v>-3.4138386802438281</v>
      </c>
      <c r="F259" s="150">
        <f t="shared" si="34"/>
        <v>-1.1278152759322642</v>
      </c>
    </row>
    <row r="260" spans="2:7" x14ac:dyDescent="0.2">
      <c r="B260" s="123" t="s">
        <v>664</v>
      </c>
      <c r="D260" s="101">
        <f t="shared" si="34"/>
        <v>-1.4811171314550593</v>
      </c>
      <c r="E260" s="101">
        <f t="shared" si="34"/>
        <v>-1.4508814391036267</v>
      </c>
      <c r="F260" s="150">
        <f t="shared" si="34"/>
        <v>-0.33834458277967921</v>
      </c>
    </row>
    <row r="261" spans="2:7" x14ac:dyDescent="0.2">
      <c r="B261" s="123" t="s">
        <v>667</v>
      </c>
      <c r="D261" s="101">
        <f t="shared" si="34"/>
        <v>-8.7124537144415259E-2</v>
      </c>
      <c r="E261" s="101">
        <f t="shared" si="34"/>
        <v>-8.5345967006095702E-2</v>
      </c>
      <c r="F261" s="150">
        <f t="shared" si="34"/>
        <v>-7.5187685062150936E-3</v>
      </c>
    </row>
    <row r="262" spans="2:7" x14ac:dyDescent="0.2">
      <c r="B262" s="123" t="s">
        <v>2998</v>
      </c>
      <c r="D262" s="101">
        <f t="shared" si="34"/>
        <v>20.417827298050142</v>
      </c>
      <c r="E262" s="101">
        <f t="shared" si="34"/>
        <v>35.877437325905291</v>
      </c>
      <c r="F262" s="150">
        <f t="shared" si="34"/>
        <v>40.222841225626738</v>
      </c>
    </row>
    <row r="263" spans="2:7" x14ac:dyDescent="0.2">
      <c r="B263" s="123" t="s">
        <v>2985</v>
      </c>
      <c r="C263" s="101">
        <f t="shared" ref="C263:F264" si="35">C236/0.359</f>
        <v>4.1782729805013927</v>
      </c>
      <c r="D263" s="101">
        <f t="shared" si="35"/>
        <v>4.1782729805013927</v>
      </c>
      <c r="E263" s="101">
        <f t="shared" si="35"/>
        <v>4.1782729805013927</v>
      </c>
      <c r="F263" s="150">
        <f t="shared" si="35"/>
        <v>4.1782729805013927</v>
      </c>
      <c r="G263" s="101"/>
    </row>
    <row r="264" spans="2:7" ht="16" thickBot="1" x14ac:dyDescent="0.25">
      <c r="B264" s="152" t="s">
        <v>2986</v>
      </c>
      <c r="C264" s="1147">
        <f t="shared" si="35"/>
        <v>2.2284122562674096</v>
      </c>
      <c r="D264" s="1147">
        <f t="shared" si="35"/>
        <v>2.2284122562674096</v>
      </c>
      <c r="E264" s="1147">
        <f t="shared" si="35"/>
        <v>2.2284122562674096</v>
      </c>
      <c r="F264" s="1148">
        <f t="shared" si="35"/>
        <v>2.2284122562674096</v>
      </c>
      <c r="G264" s="101"/>
    </row>
    <row r="266" spans="2:7" ht="16" thickBot="1" x14ac:dyDescent="0.25"/>
    <row r="267" spans="2:7" ht="16" thickBot="1" x14ac:dyDescent="0.25">
      <c r="B267" s="1852" t="s">
        <v>3333</v>
      </c>
      <c r="C267" s="1853"/>
      <c r="D267" s="1853"/>
      <c r="E267" s="1853"/>
      <c r="F267" s="1853"/>
      <c r="G267" s="1854"/>
    </row>
    <row r="268" spans="2:7" x14ac:dyDescent="0.2">
      <c r="B268" s="123"/>
      <c r="D268" t="s">
        <v>3315</v>
      </c>
      <c r="E268" t="s">
        <v>3316</v>
      </c>
      <c r="F268" t="s">
        <v>3317</v>
      </c>
      <c r="G268" s="140"/>
    </row>
    <row r="269" spans="2:7" x14ac:dyDescent="0.2">
      <c r="B269" s="123" t="s">
        <v>753</v>
      </c>
      <c r="C269" t="s">
        <v>3173</v>
      </c>
      <c r="D269" s="101">
        <v>8.9201537839749587</v>
      </c>
      <c r="E269" s="101">
        <v>8.9833701970715349</v>
      </c>
      <c r="F269" s="141">
        <v>8.7956130700826538</v>
      </c>
      <c r="G269" s="140"/>
    </row>
    <row r="270" spans="2:7" x14ac:dyDescent="0.2">
      <c r="B270" s="123" t="s">
        <v>2317</v>
      </c>
      <c r="D270" s="101">
        <v>0.47019550372438146</v>
      </c>
      <c r="E270" s="101">
        <v>0.47352774147716464</v>
      </c>
      <c r="F270" s="141">
        <v>0.46363076446977514</v>
      </c>
      <c r="G270" s="140"/>
    </row>
    <row r="271" spans="2:7" x14ac:dyDescent="0.2">
      <c r="B271" s="123" t="s">
        <v>2318</v>
      </c>
      <c r="D271" s="101">
        <v>1.0883123256488667</v>
      </c>
      <c r="E271" s="101">
        <v>1.0960251076504408</v>
      </c>
      <c r="F271" s="141">
        <v>1.0731176107082343</v>
      </c>
      <c r="G271" s="140"/>
    </row>
    <row r="272" spans="2:7" x14ac:dyDescent="0.2">
      <c r="B272" s="123" t="s">
        <v>1415</v>
      </c>
      <c r="D272" s="101">
        <v>1.0105550707287776</v>
      </c>
      <c r="E272" s="101">
        <v>1.0177167933128426</v>
      </c>
      <c r="F272" s="141">
        <v>0.99644598102203374</v>
      </c>
      <c r="G272" s="140"/>
    </row>
    <row r="273" spans="2:7" x14ac:dyDescent="0.2">
      <c r="B273" s="123" t="s">
        <v>2978</v>
      </c>
      <c r="D273" s="101">
        <v>0.53336658336124321</v>
      </c>
      <c r="E273" s="101">
        <v>0.53714650947936105</v>
      </c>
      <c r="F273" s="141">
        <v>0.52591986700782767</v>
      </c>
      <c r="G273" s="140"/>
    </row>
    <row r="274" spans="2:7" x14ac:dyDescent="0.2">
      <c r="B274" s="123" t="s">
        <v>2792</v>
      </c>
      <c r="D274" s="101">
        <v>0.64338439951910931</v>
      </c>
      <c r="E274" s="101">
        <v>0.64794401305996108</v>
      </c>
      <c r="F274" s="141">
        <v>0.63440164492050244</v>
      </c>
      <c r="G274" s="140"/>
    </row>
    <row r="275" spans="2:7" x14ac:dyDescent="0.2">
      <c r="B275" s="123" t="s">
        <v>2979</v>
      </c>
      <c r="D275" s="101">
        <v>1.6402951064202214</v>
      </c>
      <c r="E275" s="101">
        <v>1.6519197460350716</v>
      </c>
      <c r="F275" s="141">
        <v>1.6173937609395388</v>
      </c>
      <c r="G275" s="140"/>
    </row>
    <row r="276" spans="2:7" x14ac:dyDescent="0.2">
      <c r="B276" s="123" t="s">
        <v>1561</v>
      </c>
      <c r="D276" s="101">
        <v>3.0931194071377384</v>
      </c>
      <c r="E276" s="101">
        <v>3.115040095831461</v>
      </c>
      <c r="F276" s="141">
        <v>3.0499341315866459</v>
      </c>
      <c r="G276" s="140"/>
    </row>
    <row r="277" spans="2:7" x14ac:dyDescent="0.2">
      <c r="B277" s="123" t="s">
        <v>537</v>
      </c>
      <c r="D277" s="101">
        <v>4.0741140712073749</v>
      </c>
      <c r="E277" s="101">
        <v>4.1029869902584686</v>
      </c>
      <c r="F277" s="141">
        <v>4.017232420151271</v>
      </c>
      <c r="G277" s="140"/>
    </row>
    <row r="278" spans="2:7" x14ac:dyDescent="0.2">
      <c r="B278" s="123" t="s">
        <v>534</v>
      </c>
      <c r="D278" s="101">
        <v>1.8687592965824091</v>
      </c>
      <c r="E278" s="101">
        <v>1.8820030435549162</v>
      </c>
      <c r="F278" s="141">
        <v>1.8426681974236294</v>
      </c>
      <c r="G278" s="140"/>
    </row>
    <row r="279" spans="2:7" x14ac:dyDescent="0.2">
      <c r="B279" s="123" t="s">
        <v>910</v>
      </c>
      <c r="D279" s="101">
        <v>0.24171380876607582</v>
      </c>
      <c r="E279" s="101">
        <v>0.2434268151061183</v>
      </c>
      <c r="F279" s="141">
        <v>0.2383390675866765</v>
      </c>
      <c r="G279" s="140"/>
    </row>
    <row r="280" spans="2:7" x14ac:dyDescent="0.2">
      <c r="B280" s="123" t="s">
        <v>1416</v>
      </c>
      <c r="D280" s="101">
        <v>0.2048541889483666</v>
      </c>
      <c r="E280" s="101">
        <v>0.20630597412458063</v>
      </c>
      <c r="F280" s="141">
        <v>0.20199407156100813</v>
      </c>
      <c r="G280" s="140"/>
    </row>
    <row r="281" spans="2:7" x14ac:dyDescent="0.2">
      <c r="B281" s="123" t="s">
        <v>1417</v>
      </c>
      <c r="D281" s="101">
        <v>0.21996905566650832</v>
      </c>
      <c r="E281" s="101">
        <v>0.22152795868861302</v>
      </c>
      <c r="F281" s="141">
        <v>0.21689790870084294</v>
      </c>
      <c r="G281" s="140"/>
    </row>
    <row r="282" spans="2:7" x14ac:dyDescent="0.2">
      <c r="B282" s="123" t="s">
        <v>1011</v>
      </c>
      <c r="D282" s="101">
        <v>0.11382420874741946</v>
      </c>
      <c r="E282" s="101">
        <v>0.11463087176857663</v>
      </c>
      <c r="F282" s="141">
        <v>0.11223502670426938</v>
      </c>
      <c r="G282" s="140"/>
    </row>
    <row r="283" spans="2:7" x14ac:dyDescent="0.2">
      <c r="B283" s="123" t="s">
        <v>2395</v>
      </c>
      <c r="D283" s="101">
        <v>7.3726816762055103</v>
      </c>
      <c r="E283" s="101">
        <v>7.4249312788199706</v>
      </c>
      <c r="F283" s="141">
        <v>7.2697463388232233</v>
      </c>
      <c r="G283" s="140"/>
    </row>
    <row r="284" spans="2:7" x14ac:dyDescent="0.2">
      <c r="B284" s="123" t="s">
        <v>2397</v>
      </c>
      <c r="D284" s="101">
        <v>6.4268897591128837</v>
      </c>
      <c r="E284" s="101">
        <v>6.4724366104091171</v>
      </c>
      <c r="F284" s="141">
        <v>6.3371593062427793</v>
      </c>
      <c r="G284" s="140"/>
    </row>
    <row r="285" spans="2:7" x14ac:dyDescent="0.2">
      <c r="B285" s="123" t="s">
        <v>2981</v>
      </c>
      <c r="D285" s="101">
        <v>1.4996076104596732</v>
      </c>
      <c r="E285" s="101">
        <v>1.5102352090954607</v>
      </c>
      <c r="F285" s="141">
        <v>1.478670504789982</v>
      </c>
      <c r="G285" s="140"/>
    </row>
    <row r="286" spans="2:7" x14ac:dyDescent="0.2">
      <c r="B286" s="123" t="s">
        <v>695</v>
      </c>
      <c r="D286" s="101">
        <v>3.151358663815786</v>
      </c>
      <c r="E286" s="101">
        <v>3.1746316646614772</v>
      </c>
      <c r="F286" s="141">
        <v>3.1108333833601667</v>
      </c>
      <c r="G286" s="140"/>
    </row>
    <row r="287" spans="2:7" x14ac:dyDescent="0.2">
      <c r="B287" s="123" t="s">
        <v>2996</v>
      </c>
      <c r="D287" s="101">
        <v>-0.68610485393671483</v>
      </c>
      <c r="E287" s="101">
        <v>-2.0483032081462968</v>
      </c>
      <c r="F287" s="141">
        <v>-0.28571320323617355</v>
      </c>
      <c r="G287" s="140"/>
    </row>
    <row r="288" spans="2:7" x14ac:dyDescent="0.2">
      <c r="B288" s="123" t="s">
        <v>2997</v>
      </c>
      <c r="D288" s="101">
        <v>-2.7444194157468593</v>
      </c>
      <c r="E288" s="101">
        <v>-3.4138386802438281</v>
      </c>
      <c r="F288" s="141">
        <v>-1.1278152759322642</v>
      </c>
      <c r="G288" s="140"/>
    </row>
    <row r="289" spans="2:7" x14ac:dyDescent="0.2">
      <c r="B289" s="123" t="s">
        <v>664</v>
      </c>
      <c r="D289" s="101">
        <v>-0.99104034457525481</v>
      </c>
      <c r="E289" s="101">
        <v>-1.4508814391036267</v>
      </c>
      <c r="F289" s="141">
        <v>-0.33834458277967921</v>
      </c>
      <c r="G289" s="140"/>
    </row>
    <row r="290" spans="2:7" x14ac:dyDescent="0.2">
      <c r="B290" s="123" t="s">
        <v>667</v>
      </c>
      <c r="D290" s="101">
        <v>-4.5740323595780993E-2</v>
      </c>
      <c r="E290" s="101">
        <v>-8.5345967006095702E-2</v>
      </c>
      <c r="F290" s="141">
        <v>-7.5187685062150936E-3</v>
      </c>
      <c r="G290" s="140"/>
    </row>
    <row r="291" spans="2:7" x14ac:dyDescent="0.2">
      <c r="B291" s="123" t="s">
        <v>2998</v>
      </c>
      <c r="D291" s="101">
        <v>38.105849582172695</v>
      </c>
      <c r="E291" s="141">
        <v>35.877437325905291</v>
      </c>
      <c r="F291" s="141">
        <v>40.222841225626738</v>
      </c>
      <c r="G291" s="140"/>
    </row>
    <row r="292" spans="2:7" x14ac:dyDescent="0.2">
      <c r="B292" s="123" t="s">
        <v>2985</v>
      </c>
      <c r="C292" s="141">
        <v>4.1782729805013927</v>
      </c>
      <c r="D292" s="141">
        <v>4.1782729805013927</v>
      </c>
      <c r="E292" s="141">
        <v>4.1782729805013927</v>
      </c>
      <c r="F292" s="141">
        <v>4.1782729805013927</v>
      </c>
      <c r="G292" s="137">
        <v>4.1782729805013927</v>
      </c>
    </row>
    <row r="293" spans="2:7" x14ac:dyDescent="0.2">
      <c r="B293" s="123" t="s">
        <v>3034</v>
      </c>
      <c r="C293" s="141">
        <v>5</v>
      </c>
      <c r="D293" s="141">
        <v>2.2284122562674096</v>
      </c>
      <c r="E293" s="141">
        <v>2.2284122562674096</v>
      </c>
      <c r="F293" s="141">
        <v>2.2284122562674096</v>
      </c>
      <c r="G293" s="137">
        <v>5</v>
      </c>
    </row>
    <row r="294" spans="2:7" ht="16" thickBot="1" x14ac:dyDescent="0.25">
      <c r="B294" s="152"/>
      <c r="C294" s="69"/>
      <c r="D294" s="69"/>
      <c r="E294" s="69"/>
      <c r="F294" s="69"/>
      <c r="G294" s="193"/>
    </row>
    <row r="295" spans="2:7" ht="16" thickBot="1" x14ac:dyDescent="0.25"/>
    <row r="296" spans="2:7" ht="16" thickBot="1" x14ac:dyDescent="0.25">
      <c r="B296" s="1852" t="s">
        <v>3332</v>
      </c>
      <c r="C296" s="1853"/>
      <c r="D296" s="1853"/>
      <c r="E296" s="1853"/>
      <c r="F296" s="1853"/>
      <c r="G296" s="1854"/>
    </row>
    <row r="297" spans="2:7" x14ac:dyDescent="0.2">
      <c r="B297" s="123"/>
      <c r="D297" t="s">
        <v>3315</v>
      </c>
      <c r="E297" t="s">
        <v>3316</v>
      </c>
      <c r="F297" t="s">
        <v>3317</v>
      </c>
      <c r="G297" s="140"/>
    </row>
    <row r="298" spans="2:7" x14ac:dyDescent="0.2">
      <c r="B298" s="123" t="s">
        <v>753</v>
      </c>
      <c r="C298" t="s">
        <v>3173</v>
      </c>
      <c r="D298" s="101">
        <v>4.2919692974570571</v>
      </c>
      <c r="E298" s="101">
        <v>4.3110843894610671</v>
      </c>
      <c r="F298" s="141">
        <v>4.1950417939040596</v>
      </c>
      <c r="G298" s="140"/>
    </row>
    <row r="299" spans="2:7" x14ac:dyDescent="0.2">
      <c r="B299" s="123" t="s">
        <v>2317</v>
      </c>
      <c r="D299" s="101">
        <v>0.2647331538552869</v>
      </c>
      <c r="E299" s="101">
        <v>0.26591219271641153</v>
      </c>
      <c r="F299" s="141">
        <v>0.25875456409088488</v>
      </c>
      <c r="G299" s="140"/>
    </row>
    <row r="300" spans="2:7" x14ac:dyDescent="0.2">
      <c r="B300" s="123" t="s">
        <v>2318</v>
      </c>
      <c r="D300" s="101">
        <v>0.80445773416211663</v>
      </c>
      <c r="E300" s="101">
        <v>0.80804053789068864</v>
      </c>
      <c r="F300" s="141">
        <v>0.78629029761208491</v>
      </c>
      <c r="G300" s="140"/>
    </row>
    <row r="301" spans="2:7" x14ac:dyDescent="0.2">
      <c r="B301" s="123" t="s">
        <v>1415</v>
      </c>
      <c r="D301" s="101">
        <v>1.0202443629456155</v>
      </c>
      <c r="E301" s="101">
        <v>1.0247882129856967</v>
      </c>
      <c r="F301" s="141">
        <v>0.99720371836949318</v>
      </c>
      <c r="G301" s="140"/>
    </row>
    <row r="302" spans="2:7" x14ac:dyDescent="0.2">
      <c r="B302" s="123" t="s">
        <v>2978</v>
      </c>
      <c r="D302" s="101">
        <v>0.20883513658927919</v>
      </c>
      <c r="E302" s="101">
        <v>0.2097652231236678</v>
      </c>
      <c r="F302" s="141">
        <v>0.20411891728739806</v>
      </c>
      <c r="G302" s="140"/>
    </row>
    <row r="303" spans="2:7" x14ac:dyDescent="0.2">
      <c r="B303" s="123" t="s">
        <v>2792</v>
      </c>
      <c r="D303" s="101">
        <v>0.33119898317855156</v>
      </c>
      <c r="E303" s="101">
        <v>0.33267404010378249</v>
      </c>
      <c r="F303" s="141">
        <v>0.32371936522373335</v>
      </c>
      <c r="G303" s="140"/>
    </row>
    <row r="304" spans="2:7" x14ac:dyDescent="0.2">
      <c r="B304" s="123" t="s">
        <v>2979</v>
      </c>
      <c r="D304" s="101">
        <v>1.4400582361854339</v>
      </c>
      <c r="E304" s="101">
        <v>1.4464718062200856</v>
      </c>
      <c r="F304" s="141">
        <v>1.4075367431060011</v>
      </c>
      <c r="G304" s="140"/>
    </row>
    <row r="305" spans="2:7" x14ac:dyDescent="0.2">
      <c r="B305" s="123" t="s">
        <v>1561</v>
      </c>
      <c r="D305" s="101">
        <v>2.2915503254767415</v>
      </c>
      <c r="E305" s="101">
        <v>2.3017561755813216</v>
      </c>
      <c r="F305" s="141">
        <v>2.2397991975164082</v>
      </c>
      <c r="G305" s="140"/>
    </row>
    <row r="306" spans="2:7" x14ac:dyDescent="0.2">
      <c r="B306" s="123" t="s">
        <v>537</v>
      </c>
      <c r="D306" s="101">
        <v>3.932683858777136</v>
      </c>
      <c r="E306" s="101">
        <v>3.950198805547084</v>
      </c>
      <c r="F306" s="141">
        <v>3.8438702624356416</v>
      </c>
      <c r="G306" s="140"/>
    </row>
    <row r="307" spans="2:7" x14ac:dyDescent="0.2">
      <c r="B307" s="123" t="s">
        <v>534</v>
      </c>
      <c r="D307" s="101">
        <v>1.8577563681931413</v>
      </c>
      <c r="E307" s="101">
        <v>1.8660302353711025</v>
      </c>
      <c r="F307" s="141">
        <v>1.8158018073612794</v>
      </c>
      <c r="G307" s="140"/>
    </row>
    <row r="308" spans="2:7" x14ac:dyDescent="0.2">
      <c r="B308" s="123" t="s">
        <v>910</v>
      </c>
      <c r="D308" s="101">
        <v>0.13775347372007588</v>
      </c>
      <c r="E308" s="101">
        <v>0.13836698470804853</v>
      </c>
      <c r="F308" s="141">
        <v>0.13464252408645397</v>
      </c>
      <c r="G308" s="140"/>
    </row>
    <row r="309" spans="2:7" x14ac:dyDescent="0.2">
      <c r="B309" s="123" t="s">
        <v>1416</v>
      </c>
      <c r="D309" s="101">
        <v>8.8937613302562113E-2</v>
      </c>
      <c r="E309" s="101">
        <v>8.9333713680517457E-2</v>
      </c>
      <c r="F309" s="141">
        <v>8.6929094547666341E-2</v>
      </c>
      <c r="G309" s="140"/>
    </row>
    <row r="310" spans="2:7" x14ac:dyDescent="0.2">
      <c r="B310" s="123" t="s">
        <v>1417</v>
      </c>
      <c r="D310" s="101">
        <v>0.12247055829654219</v>
      </c>
      <c r="E310" s="101">
        <v>0.12301600394803087</v>
      </c>
      <c r="F310" s="141">
        <v>0.11970474972436551</v>
      </c>
      <c r="G310" s="140"/>
    </row>
    <row r="311" spans="2:7" x14ac:dyDescent="0.2">
      <c r="B311" s="123" t="s">
        <v>1011</v>
      </c>
      <c r="D311" s="101">
        <v>4.3854786695678362E-2</v>
      </c>
      <c r="E311" s="101">
        <v>4.4050102231369813E-2</v>
      </c>
      <c r="F311" s="141">
        <v>4.2864394011420372E-2</v>
      </c>
      <c r="G311" s="140"/>
    </row>
    <row r="312" spans="2:7" x14ac:dyDescent="0.2">
      <c r="B312" s="123" t="s">
        <v>2395</v>
      </c>
      <c r="D312" s="101">
        <v>2.7810499484115438</v>
      </c>
      <c r="E312" s="101">
        <v>2.7934358770954075</v>
      </c>
      <c r="F312" s="141">
        <v>2.7182442268246172</v>
      </c>
      <c r="G312" s="140"/>
    </row>
    <row r="313" spans="2:7" x14ac:dyDescent="0.2">
      <c r="B313" s="123" t="s">
        <v>2397</v>
      </c>
      <c r="D313" s="101">
        <v>15.518387146897641</v>
      </c>
      <c r="E313" s="101">
        <v>15.587501200961949</v>
      </c>
      <c r="F313" s="141">
        <v>15.167928319941698</v>
      </c>
      <c r="G313" s="140"/>
    </row>
    <row r="314" spans="2:7" x14ac:dyDescent="0.2">
      <c r="B314" s="123" t="s">
        <v>2981</v>
      </c>
      <c r="D314" s="101">
        <v>1.3247076519245251</v>
      </c>
      <c r="E314" s="101">
        <v>1.3306074864503583</v>
      </c>
      <c r="F314" s="141">
        <v>1.2947911737906592</v>
      </c>
      <c r="G314" s="140"/>
    </row>
    <row r="315" spans="2:7" x14ac:dyDescent="0.2">
      <c r="B315" s="123" t="s">
        <v>695</v>
      </c>
      <c r="D315" s="101">
        <v>2.7871796295920821</v>
      </c>
      <c r="E315" s="101">
        <v>2.795907550046326</v>
      </c>
      <c r="F315" s="141">
        <v>2.7233025819936114</v>
      </c>
      <c r="G315" s="140"/>
    </row>
    <row r="316" spans="2:7" x14ac:dyDescent="0.2">
      <c r="B316" s="123" t="s">
        <v>2996</v>
      </c>
      <c r="D316" s="101">
        <v>-1.9360111490169731</v>
      </c>
      <c r="E316" s="101">
        <v>-2.089316978058199</v>
      </c>
      <c r="F316" s="141">
        <v>-0.98318354235806593</v>
      </c>
      <c r="G316" s="140"/>
    </row>
    <row r="317" spans="2:7" x14ac:dyDescent="0.2">
      <c r="B317" s="123" t="s">
        <v>2997</v>
      </c>
      <c r="D317" s="101">
        <v>-2.9040167235254595</v>
      </c>
      <c r="E317" s="101">
        <v>-3.133975467087299</v>
      </c>
      <c r="F317" s="141">
        <v>-1.4747753135370989</v>
      </c>
      <c r="G317" s="140"/>
    </row>
    <row r="318" spans="2:7" x14ac:dyDescent="0.2">
      <c r="B318" s="123" t="s">
        <v>664</v>
      </c>
      <c r="D318" s="101">
        <v>-1.0486727057175269</v>
      </c>
      <c r="E318" s="101">
        <v>-1.1317133631148582</v>
      </c>
      <c r="F318" s="141">
        <v>-0.53255775211061895</v>
      </c>
      <c r="G318" s="140"/>
    </row>
    <row r="319" spans="2:7" x14ac:dyDescent="0.2">
      <c r="B319" s="123" t="s">
        <v>667</v>
      </c>
      <c r="D319" s="101">
        <v>-4.8400278725424323E-2</v>
      </c>
      <c r="E319" s="101">
        <v>-5.2232924451454985E-2</v>
      </c>
      <c r="F319" s="141">
        <v>-2.4579588558951645E-2</v>
      </c>
      <c r="G319" s="140"/>
    </row>
    <row r="320" spans="2:7" x14ac:dyDescent="0.2">
      <c r="B320" s="123" t="s">
        <v>2998</v>
      </c>
      <c r="D320" s="101">
        <v>24.67966573816156</v>
      </c>
      <c r="E320" s="141">
        <v>22.395543175487465</v>
      </c>
      <c r="F320" s="141">
        <v>26.82451253481895</v>
      </c>
      <c r="G320" s="140"/>
    </row>
    <row r="321" spans="2:7" x14ac:dyDescent="0.2">
      <c r="B321" s="123" t="s">
        <v>2985</v>
      </c>
      <c r="C321" s="141">
        <v>4.1782729805013927</v>
      </c>
      <c r="D321" s="141">
        <v>4.1782729805013927</v>
      </c>
      <c r="E321" s="141">
        <v>4.1782729805013927</v>
      </c>
      <c r="F321" s="141">
        <v>4.1782729805013927</v>
      </c>
      <c r="G321" s="137">
        <v>4.1782729805013927</v>
      </c>
    </row>
    <row r="322" spans="2:7" x14ac:dyDescent="0.2">
      <c r="B322" s="123" t="s">
        <v>3034</v>
      </c>
      <c r="C322" s="141">
        <v>5</v>
      </c>
      <c r="D322" s="141">
        <v>5</v>
      </c>
      <c r="E322" s="141">
        <v>5</v>
      </c>
      <c r="F322" s="141">
        <v>5</v>
      </c>
      <c r="G322" s="137">
        <v>5</v>
      </c>
    </row>
    <row r="323" spans="2:7" ht="16" thickBot="1" x14ac:dyDescent="0.25">
      <c r="B323" s="152"/>
      <c r="C323" s="69"/>
      <c r="D323" s="69"/>
      <c r="E323" s="69"/>
      <c r="F323" s="69"/>
      <c r="G323" s="193"/>
    </row>
  </sheetData>
  <mergeCells count="17">
    <mergeCell ref="B117:D117"/>
    <mergeCell ref="B115:D115"/>
    <mergeCell ref="B267:G267"/>
    <mergeCell ref="B296:G296"/>
    <mergeCell ref="B182:G182"/>
    <mergeCell ref="B125:D125"/>
    <mergeCell ref="G2:J2"/>
    <mergeCell ref="B19:D19"/>
    <mergeCell ref="B2:D2"/>
    <mergeCell ref="B4:D4"/>
    <mergeCell ref="B10:D10"/>
    <mergeCell ref="B16:D16"/>
    <mergeCell ref="B25:D25"/>
    <mergeCell ref="G10:I10"/>
    <mergeCell ref="B35:D35"/>
    <mergeCell ref="B39:D39"/>
    <mergeCell ref="B49:D49"/>
  </mergeCells>
  <pageMargins left="0.7" right="0.7" top="0.75" bottom="0.75" header="0.3" footer="0.3"/>
  <pageSetup orientation="portrait"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9B9F-0FAA-4343-A681-1E8863E9B953}">
  <sheetPr codeName="Sheet6"/>
  <dimension ref="B1:AK273"/>
  <sheetViews>
    <sheetView zoomScale="80" zoomScaleNormal="80" workbookViewId="0">
      <selection activeCell="G39" sqref="G39"/>
    </sheetView>
  </sheetViews>
  <sheetFormatPr baseColWidth="10" defaultColWidth="8.83203125" defaultRowHeight="15" x14ac:dyDescent="0.2"/>
  <cols>
    <col min="2" max="2" width="39.5" bestFit="1" customWidth="1"/>
    <col min="3" max="3" width="22.33203125" bestFit="1" customWidth="1"/>
    <col min="4" max="4" width="25.1640625" customWidth="1"/>
    <col min="5" max="5" width="22" bestFit="1" customWidth="1"/>
    <col min="6" max="6" width="18.83203125" bestFit="1" customWidth="1"/>
    <col min="7" max="7" width="24.5" customWidth="1"/>
    <col min="8" max="8" width="20.6640625" bestFit="1" customWidth="1"/>
    <col min="9" max="9" width="20.5" customWidth="1"/>
    <col min="10" max="10" width="17.6640625" bestFit="1" customWidth="1"/>
    <col min="11" max="13" width="18.1640625" bestFit="1" customWidth="1"/>
    <col min="14" max="14" width="17.6640625" bestFit="1" customWidth="1"/>
    <col min="15" max="15" width="17.33203125" bestFit="1" customWidth="1"/>
    <col min="16" max="18" width="17.6640625" bestFit="1" customWidth="1"/>
    <col min="19" max="20" width="17.33203125" bestFit="1" customWidth="1"/>
    <col min="21" max="23" width="17.6640625" bestFit="1" customWidth="1"/>
    <col min="24" max="24" width="17.33203125" bestFit="1" customWidth="1"/>
    <col min="25" max="25" width="16.83203125" bestFit="1" customWidth="1"/>
    <col min="26" max="26" width="17.6640625" bestFit="1" customWidth="1"/>
    <col min="27" max="27" width="16" bestFit="1" customWidth="1"/>
    <col min="28" max="28" width="16.83203125" bestFit="1" customWidth="1"/>
    <col min="29" max="30" width="16" bestFit="1" customWidth="1"/>
    <col min="31" max="31" width="16.83203125" bestFit="1" customWidth="1"/>
    <col min="32" max="32" width="16" bestFit="1" customWidth="1"/>
    <col min="33" max="33" width="16.83203125" bestFit="1" customWidth="1"/>
    <col min="34" max="36" width="16" bestFit="1" customWidth="1"/>
    <col min="37" max="37" width="16.83203125" bestFit="1" customWidth="1"/>
  </cols>
  <sheetData>
    <row r="1" spans="2:18" ht="16" thickBot="1" x14ac:dyDescent="0.25"/>
    <row r="2" spans="2:18" ht="23" thickBot="1" x14ac:dyDescent="0.35">
      <c r="B2" s="1496" t="s">
        <v>630</v>
      </c>
      <c r="C2" s="1497"/>
      <c r="D2" s="1498"/>
      <c r="G2" s="1493" t="s">
        <v>3311</v>
      </c>
      <c r="H2" s="1494"/>
      <c r="I2" s="1494"/>
      <c r="J2" s="1495"/>
    </row>
    <row r="3" spans="2:18" x14ac:dyDescent="0.2">
      <c r="B3" s="59"/>
      <c r="C3" s="60"/>
      <c r="D3" s="106"/>
      <c r="G3" s="123"/>
      <c r="H3" s="21" t="s">
        <v>631</v>
      </c>
      <c r="I3" s="21" t="s">
        <v>632</v>
      </c>
      <c r="J3" s="1154" t="s">
        <v>633</v>
      </c>
      <c r="M3" s="1140"/>
      <c r="N3" s="1140"/>
      <c r="O3" s="1140"/>
      <c r="P3" s="1140"/>
      <c r="Q3" s="1140"/>
      <c r="R3" s="1140"/>
    </row>
    <row r="4" spans="2:18" x14ac:dyDescent="0.2">
      <c r="B4" s="1499" t="s">
        <v>635</v>
      </c>
      <c r="C4" s="1500"/>
      <c r="D4" s="1501"/>
      <c r="G4" s="1134" t="s">
        <v>636</v>
      </c>
      <c r="H4" s="107">
        <f ca="1">$D$41*J4</f>
        <v>0.17315874185881303</v>
      </c>
      <c r="I4" s="108">
        <f ca="1">D92</f>
        <v>1298981988.980222</v>
      </c>
      <c r="J4" s="1135">
        <f ca="1">I4/$I$8</f>
        <v>0.45568089962845532</v>
      </c>
      <c r="M4" s="1140"/>
      <c r="N4" s="1140"/>
      <c r="O4" s="1140"/>
      <c r="P4" s="1140"/>
      <c r="Q4" s="1140"/>
      <c r="R4" s="1140"/>
    </row>
    <row r="5" spans="2:18" x14ac:dyDescent="0.2">
      <c r="B5" s="113" t="s">
        <v>637</v>
      </c>
      <c r="C5" s="114"/>
      <c r="D5" s="115">
        <f ca="1">SUM(OPEX!$B$694:$B$711)</f>
        <v>141199192.93948302</v>
      </c>
      <c r="E5" s="1"/>
      <c r="G5" s="1134" t="s">
        <v>638</v>
      </c>
      <c r="H5" s="107">
        <f ca="1">$D$41*J5</f>
        <v>0.13340043504564061</v>
      </c>
      <c r="I5" s="116">
        <f ca="1">D93</f>
        <v>1000727774.9090074</v>
      </c>
      <c r="J5" s="1135">
        <f ca="1">I5/$I$8</f>
        <v>0.35105377643589636</v>
      </c>
      <c r="M5" s="1140"/>
      <c r="N5" s="1140"/>
      <c r="O5" s="1140"/>
      <c r="P5" s="1140"/>
      <c r="Q5" s="1140"/>
      <c r="R5" s="1140"/>
    </row>
    <row r="6" spans="2:18" x14ac:dyDescent="0.2">
      <c r="B6" s="113" t="s">
        <v>640</v>
      </c>
      <c r="C6" s="114"/>
      <c r="D6" s="115">
        <f ca="1">SUM(CAPEX!$B$578:$B$592)</f>
        <v>2091822271.9669883</v>
      </c>
      <c r="E6" s="1"/>
      <c r="G6" s="1134" t="s">
        <v>641</v>
      </c>
      <c r="H6" s="107">
        <f ca="1">$D$41*J6</f>
        <v>2.2830081120663915E-2</v>
      </c>
      <c r="I6" s="108">
        <f ca="1">D91</f>
        <v>171264031.28338781</v>
      </c>
      <c r="J6" s="1135">
        <f ca="1">I6/$I$8</f>
        <v>6.0079160843852411E-2</v>
      </c>
      <c r="M6" s="1140"/>
      <c r="N6" s="1140"/>
      <c r="O6" s="1140"/>
      <c r="P6" s="1140"/>
      <c r="Q6" s="1140"/>
      <c r="R6" s="1140"/>
    </row>
    <row r="7" spans="2:18" x14ac:dyDescent="0.2">
      <c r="B7" s="113" t="s">
        <v>642</v>
      </c>
      <c r="C7" s="114"/>
      <c r="D7" s="121">
        <f ca="1">D6*0.15</f>
        <v>313773340.79504824</v>
      </c>
      <c r="G7" s="1134" t="s">
        <v>540</v>
      </c>
      <c r="H7" s="107">
        <f ca="1">$D$41*J7</f>
        <v>5.0610741974882467E-2</v>
      </c>
      <c r="I7" s="116">
        <f ca="1">D89</f>
        <v>379665742.36200845</v>
      </c>
      <c r="J7" s="1135">
        <f ca="1">I7/$I$8</f>
        <v>0.13318616309179596</v>
      </c>
      <c r="M7" s="1140"/>
      <c r="N7" s="1140"/>
      <c r="O7" s="1140"/>
      <c r="P7" s="1140"/>
      <c r="Q7" s="1140"/>
      <c r="R7" s="1140"/>
    </row>
    <row r="8" spans="2:18" ht="16" thickBot="1" x14ac:dyDescent="0.25">
      <c r="B8" s="113" t="s">
        <v>643</v>
      </c>
      <c r="C8" s="114"/>
      <c r="D8" s="121">
        <f ca="1">D6*0.05</f>
        <v>104591113.59834942</v>
      </c>
      <c r="E8" s="122"/>
      <c r="G8" s="1136" t="s">
        <v>586</v>
      </c>
      <c r="H8" s="1137">
        <f ca="1">SUM(H4:H7)</f>
        <v>0.38000000000000006</v>
      </c>
      <c r="I8" s="1138">
        <f ca="1">SUM(I4:I7)</f>
        <v>2850639537.5346255</v>
      </c>
      <c r="J8" s="1139">
        <f ca="1">SUM(J4:J7)</f>
        <v>1</v>
      </c>
      <c r="M8" s="1140"/>
      <c r="N8" s="1140"/>
      <c r="O8" s="1140"/>
      <c r="P8" s="1140"/>
      <c r="Q8" s="1140"/>
      <c r="R8" s="1140"/>
    </row>
    <row r="9" spans="2:18" x14ac:dyDescent="0.2">
      <c r="B9" s="123"/>
      <c r="D9" s="124"/>
      <c r="H9" s="125"/>
      <c r="I9" s="122"/>
      <c r="M9" s="1140"/>
      <c r="N9" s="1140"/>
      <c r="O9" s="1140"/>
      <c r="P9" s="1140"/>
      <c r="Q9" s="1140"/>
      <c r="R9" s="1140"/>
    </row>
    <row r="10" spans="2:18" x14ac:dyDescent="0.2">
      <c r="B10" s="1502" t="s">
        <v>644</v>
      </c>
      <c r="C10" s="1503"/>
      <c r="D10" s="1504"/>
      <c r="M10" s="1140"/>
      <c r="N10" s="1140"/>
      <c r="O10" s="1140"/>
      <c r="P10" s="1140"/>
      <c r="Q10" s="1140"/>
      <c r="R10" s="1140"/>
    </row>
    <row r="11" spans="2:18" x14ac:dyDescent="0.2">
      <c r="B11" s="128" t="s">
        <v>645</v>
      </c>
      <c r="C11" s="129"/>
      <c r="D11" s="130">
        <v>0.4</v>
      </c>
      <c r="E11" s="131"/>
      <c r="M11" s="1140"/>
      <c r="N11" s="1140"/>
      <c r="O11" s="1140"/>
      <c r="P11" s="1140"/>
      <c r="Q11" s="1140"/>
      <c r="R11" s="1140"/>
    </row>
    <row r="12" spans="2:18" x14ac:dyDescent="0.2">
      <c r="B12" s="128" t="s">
        <v>646</v>
      </c>
      <c r="C12" s="129"/>
      <c r="D12" s="130">
        <v>0.08</v>
      </c>
      <c r="E12" s="131"/>
      <c r="F12" s="133"/>
      <c r="M12" s="125"/>
    </row>
    <row r="13" spans="2:18" ht="16" thickBot="1" x14ac:dyDescent="0.25">
      <c r="B13" s="128" t="s">
        <v>647</v>
      </c>
      <c r="C13" s="129"/>
      <c r="D13" s="134">
        <v>10</v>
      </c>
      <c r="E13" s="123"/>
      <c r="F13" s="133"/>
    </row>
    <row r="14" spans="2:18" x14ac:dyDescent="0.2">
      <c r="B14" s="128" t="s">
        <v>651</v>
      </c>
      <c r="C14" s="129"/>
      <c r="D14" s="136">
        <f ca="1">-PMT(D12,D13,D6*(1-D11))</f>
        <v>187045922.18183693</v>
      </c>
      <c r="E14" s="123"/>
      <c r="G14" s="1475" t="s">
        <v>750</v>
      </c>
      <c r="H14" s="1476"/>
      <c r="I14" s="1477"/>
    </row>
    <row r="15" spans="2:18" x14ac:dyDescent="0.2">
      <c r="B15" s="123"/>
      <c r="C15" s="101"/>
      <c r="D15" s="137"/>
      <c r="E15" s="123"/>
      <c r="G15" s="123" t="s">
        <v>751</v>
      </c>
      <c r="H15" s="100">
        <f ca="1">SUM(D29:D32)</f>
        <v>2601831.8286371147</v>
      </c>
      <c r="I15" s="140" t="s">
        <v>267</v>
      </c>
    </row>
    <row r="16" spans="2:18" x14ac:dyDescent="0.2">
      <c r="B16" s="1505" t="s">
        <v>652</v>
      </c>
      <c r="C16" s="1506"/>
      <c r="D16" s="1507"/>
      <c r="G16" s="123" t="str">
        <f>B29</f>
        <v>&gt;90% Ammonia Sulfate</v>
      </c>
      <c r="H16" s="850">
        <f ca="1">D29/H$15</f>
        <v>0.16375055793276938</v>
      </c>
      <c r="I16" s="140"/>
    </row>
    <row r="17" spans="2:9" x14ac:dyDescent="0.2">
      <c r="B17" s="138" t="s">
        <v>653</v>
      </c>
      <c r="C17" s="11" t="s">
        <v>654</v>
      </c>
      <c r="D17" s="139">
        <v>7</v>
      </c>
      <c r="G17" s="123" t="str">
        <f>B30</f>
        <v>&gt;90% Magnesium Sulfate</v>
      </c>
      <c r="H17" s="850">
        <f ca="1">D30/H$15</f>
        <v>7.0519424064135097E-2</v>
      </c>
      <c r="I17" s="140"/>
    </row>
    <row r="18" spans="2:9" x14ac:dyDescent="0.2">
      <c r="B18" s="123"/>
      <c r="D18" s="140"/>
      <c r="G18" s="123" t="str">
        <f>B31</f>
        <v>Pentyl Caproate</v>
      </c>
      <c r="H18" s="850">
        <f ca="1">D31/H$15</f>
        <v>0.19550253858202887</v>
      </c>
      <c r="I18" s="140"/>
    </row>
    <row r="19" spans="2:9" ht="16" thickBot="1" x14ac:dyDescent="0.25">
      <c r="B19" s="1508" t="s">
        <v>655</v>
      </c>
      <c r="C19" s="1509"/>
      <c r="D19" s="1510"/>
      <c r="G19" s="152" t="str">
        <f>B32</f>
        <v>Other Pure Esters</v>
      </c>
      <c r="H19" s="851">
        <f ca="1">D32/H$15</f>
        <v>0.57022747942106666</v>
      </c>
      <c r="I19" s="193"/>
    </row>
    <row r="20" spans="2:9" x14ac:dyDescent="0.2">
      <c r="B20" s="210" t="s">
        <v>656</v>
      </c>
      <c r="C20" s="211"/>
      <c r="D20" s="212">
        <v>3</v>
      </c>
    </row>
    <row r="21" spans="2:9" x14ac:dyDescent="0.2">
      <c r="B21" s="210"/>
      <c r="C21" s="211" t="s">
        <v>657</v>
      </c>
      <c r="D21" s="213">
        <v>0.1</v>
      </c>
    </row>
    <row r="22" spans="2:9" x14ac:dyDescent="0.2">
      <c r="B22" s="210"/>
      <c r="C22" s="211" t="s">
        <v>658</v>
      </c>
      <c r="D22" s="213">
        <v>0.5</v>
      </c>
    </row>
    <row r="23" spans="2:9" x14ac:dyDescent="0.2">
      <c r="B23" s="210"/>
      <c r="C23" s="211" t="s">
        <v>659</v>
      </c>
      <c r="D23" s="213">
        <v>0.4</v>
      </c>
    </row>
    <row r="24" spans="2:9" x14ac:dyDescent="0.2">
      <c r="B24" s="123"/>
      <c r="D24" s="140"/>
    </row>
    <row r="25" spans="2:9" x14ac:dyDescent="0.2">
      <c r="B25" s="1511" t="s">
        <v>660</v>
      </c>
      <c r="C25" s="1512"/>
      <c r="D25" s="1513"/>
    </row>
    <row r="26" spans="2:9" x14ac:dyDescent="0.2">
      <c r="B26" s="214" t="s">
        <v>661</v>
      </c>
      <c r="C26" s="215" t="s">
        <v>654</v>
      </c>
      <c r="D26" s="216">
        <v>0.5</v>
      </c>
    </row>
    <row r="27" spans="2:9" x14ac:dyDescent="0.2">
      <c r="B27" s="214" t="s">
        <v>662</v>
      </c>
      <c r="C27" s="215" t="s">
        <v>663</v>
      </c>
      <c r="D27" s="217">
        <v>0.5</v>
      </c>
    </row>
    <row r="28" spans="2:9" x14ac:dyDescent="0.2">
      <c r="B28" s="214"/>
      <c r="C28" s="215"/>
      <c r="D28" s="218"/>
    </row>
    <row r="29" spans="2:9" x14ac:dyDescent="0.2">
      <c r="B29" s="214" t="s">
        <v>2982</v>
      </c>
      <c r="C29" s="215" t="s">
        <v>566</v>
      </c>
      <c r="D29" s="218">
        <f ca="1">A_DCFROR!D29</f>
        <v>426051.41358656512</v>
      </c>
    </row>
    <row r="30" spans="2:9" x14ac:dyDescent="0.2">
      <c r="B30" s="214" t="s">
        <v>2983</v>
      </c>
      <c r="C30" s="215" t="s">
        <v>566</v>
      </c>
      <c r="D30" s="218">
        <f ca="1">A_DCFROR!D30</f>
        <v>183479.68206722478</v>
      </c>
    </row>
    <row r="31" spans="2:9" x14ac:dyDescent="0.2">
      <c r="B31" s="214" t="s">
        <v>2136</v>
      </c>
      <c r="C31" s="215" t="s">
        <v>566</v>
      </c>
      <c r="D31" s="218">
        <f ca="1">ExpBase!$B$2000*Inputs!$F$3</f>
        <v>508664.72746207827</v>
      </c>
      <c r="E31" s="100"/>
    </row>
    <row r="32" spans="2:9" x14ac:dyDescent="0.2">
      <c r="B32" s="214" t="s">
        <v>3036</v>
      </c>
      <c r="C32" s="215" t="s">
        <v>566</v>
      </c>
      <c r="D32" s="218">
        <f ca="1">(ExpBase!$B$2009-ExpBase!$B$2000)*Inputs!F3</f>
        <v>1483636.0055212465</v>
      </c>
      <c r="E32" s="100"/>
    </row>
    <row r="33" spans="2:8" x14ac:dyDescent="0.2">
      <c r="B33" s="214" t="s">
        <v>667</v>
      </c>
      <c r="C33" s="215" t="s">
        <v>566</v>
      </c>
      <c r="D33" s="218">
        <f ca="1">A_DCFROR!D33</f>
        <v>224142769.69001999</v>
      </c>
    </row>
    <row r="34" spans="2:8" x14ac:dyDescent="0.2">
      <c r="B34" s="123"/>
      <c r="D34" s="143"/>
    </row>
    <row r="35" spans="2:8" x14ac:dyDescent="0.2">
      <c r="B35" s="1478" t="s">
        <v>668</v>
      </c>
      <c r="C35" s="1479"/>
      <c r="D35" s="1480"/>
    </row>
    <row r="36" spans="2:8" x14ac:dyDescent="0.2">
      <c r="B36" s="144" t="s">
        <v>669</v>
      </c>
      <c r="C36" s="14"/>
      <c r="D36" s="145">
        <v>0.1</v>
      </c>
    </row>
    <row r="37" spans="2:8" ht="16" thickBot="1" x14ac:dyDescent="0.25">
      <c r="B37" s="146" t="s">
        <v>670</v>
      </c>
      <c r="C37" s="147"/>
      <c r="D37" s="148">
        <v>0.35</v>
      </c>
    </row>
    <row r="38" spans="2:8" ht="16" thickBot="1" x14ac:dyDescent="0.25">
      <c r="D38" s="131"/>
    </row>
    <row r="39" spans="2:8" ht="23" thickBot="1" x14ac:dyDescent="0.35">
      <c r="B39" s="1496" t="s">
        <v>671</v>
      </c>
      <c r="C39" s="1497"/>
      <c r="D39" s="1498"/>
    </row>
    <row r="40" spans="2:8" x14ac:dyDescent="0.2">
      <c r="B40" s="59"/>
      <c r="C40" s="60"/>
      <c r="D40" s="106"/>
    </row>
    <row r="41" spans="2:8" x14ac:dyDescent="0.2">
      <c r="B41" s="123" t="s">
        <v>2982</v>
      </c>
      <c r="C41" s="2008" t="s">
        <v>639</v>
      </c>
      <c r="D41" s="149">
        <v>0.38</v>
      </c>
    </row>
    <row r="42" spans="2:8" x14ac:dyDescent="0.2">
      <c r="B42" s="123" t="s">
        <v>2983</v>
      </c>
      <c r="C42" s="2008" t="s">
        <v>639</v>
      </c>
      <c r="D42" s="137">
        <v>1.5</v>
      </c>
    </row>
    <row r="43" spans="2:8" x14ac:dyDescent="0.2">
      <c r="B43" s="123" t="s">
        <v>3037</v>
      </c>
      <c r="C43" s="2008" t="s">
        <v>639</v>
      </c>
      <c r="D43" s="137">
        <v>756.75</v>
      </c>
    </row>
    <row r="44" spans="2:8" x14ac:dyDescent="0.2">
      <c r="B44" s="123" t="s">
        <v>3036</v>
      </c>
      <c r="C44" s="2008" t="s">
        <v>639</v>
      </c>
      <c r="D44" s="137">
        <v>15</v>
      </c>
    </row>
    <row r="45" spans="2:8" x14ac:dyDescent="0.2">
      <c r="B45" s="123" t="s">
        <v>667</v>
      </c>
      <c r="C45" s="2008" t="s">
        <v>639</v>
      </c>
      <c r="D45" s="137">
        <v>0.01</v>
      </c>
    </row>
    <row r="46" spans="2:8" x14ac:dyDescent="0.2">
      <c r="B46" s="123"/>
      <c r="C46" s="2008"/>
      <c r="D46" s="151"/>
    </row>
    <row r="47" spans="2:8" ht="16" thickBot="1" x14ac:dyDescent="0.25">
      <c r="B47" s="152" t="s">
        <v>673</v>
      </c>
      <c r="C47" s="69"/>
      <c r="D47" s="71">
        <f ca="1">D86-SUM(E87:G87)</f>
        <v>-408169201.01790571</v>
      </c>
    </row>
    <row r="48" spans="2:8" ht="16" thickBot="1" x14ac:dyDescent="0.25">
      <c r="G48" s="132"/>
      <c r="H48" s="132"/>
    </row>
    <row r="49" spans="2:37" ht="22" x14ac:dyDescent="0.3">
      <c r="B49" s="1481" t="s">
        <v>674</v>
      </c>
      <c r="C49" s="1482"/>
      <c r="D49" s="1483"/>
    </row>
    <row r="50" spans="2:37" ht="16" thickBot="1" x14ac:dyDescent="0.25"/>
    <row r="51" spans="2:37" x14ac:dyDescent="0.2">
      <c r="B51" s="59" t="s">
        <v>519</v>
      </c>
      <c r="C51" s="60"/>
      <c r="D51" s="60"/>
      <c r="E51" s="60">
        <v>-2</v>
      </c>
      <c r="F51" s="60">
        <v>-1</v>
      </c>
      <c r="G51" s="60">
        <v>0</v>
      </c>
      <c r="H51" s="60">
        <v>1</v>
      </c>
      <c r="I51" s="60">
        <v>2</v>
      </c>
      <c r="J51" s="60">
        <v>3</v>
      </c>
      <c r="K51" s="60">
        <v>4</v>
      </c>
      <c r="L51" s="60">
        <v>5</v>
      </c>
      <c r="M51" s="60">
        <v>6</v>
      </c>
      <c r="N51" s="60">
        <v>7</v>
      </c>
      <c r="O51" s="60">
        <v>8</v>
      </c>
      <c r="P51" s="60">
        <v>9</v>
      </c>
      <c r="Q51" s="60">
        <v>10</v>
      </c>
      <c r="R51" s="60">
        <v>11</v>
      </c>
      <c r="S51" s="60">
        <v>12</v>
      </c>
      <c r="T51" s="60">
        <v>13</v>
      </c>
      <c r="U51" s="60">
        <v>14</v>
      </c>
      <c r="V51" s="60">
        <v>15</v>
      </c>
      <c r="W51" s="60">
        <v>16</v>
      </c>
      <c r="X51" s="60">
        <v>17</v>
      </c>
      <c r="Y51" s="60">
        <v>18</v>
      </c>
      <c r="Z51" s="60">
        <v>19</v>
      </c>
      <c r="AA51" s="60">
        <v>20</v>
      </c>
      <c r="AB51" s="60">
        <v>21</v>
      </c>
      <c r="AC51" s="60">
        <v>22</v>
      </c>
      <c r="AD51" s="60">
        <v>23</v>
      </c>
      <c r="AE51" s="60">
        <v>24</v>
      </c>
      <c r="AF51" s="60">
        <v>25</v>
      </c>
      <c r="AG51" s="60">
        <v>26</v>
      </c>
      <c r="AH51" s="60">
        <v>27</v>
      </c>
      <c r="AI51" s="60">
        <v>28</v>
      </c>
      <c r="AJ51" s="60">
        <v>29</v>
      </c>
      <c r="AK51" s="106">
        <v>30</v>
      </c>
    </row>
    <row r="52" spans="2:37" x14ac:dyDescent="0.2">
      <c r="B52" s="123" t="s">
        <v>675</v>
      </c>
      <c r="D52" s="153"/>
      <c r="E52" s="153">
        <f ca="1">($D$6*D21*$D$11)</f>
        <v>83672890.878679544</v>
      </c>
      <c r="F52" s="153">
        <f ca="1">($D$6*D22*$D$11)</f>
        <v>418364454.39339769</v>
      </c>
      <c r="G52" s="153">
        <f ca="1">$D$6*D23*$D$11</f>
        <v>334691563.51471817</v>
      </c>
      <c r="AK52" s="140"/>
    </row>
    <row r="53" spans="2:37" x14ac:dyDescent="0.2">
      <c r="B53" s="123" t="s">
        <v>676</v>
      </c>
      <c r="D53" s="153"/>
      <c r="E53" s="153">
        <f ca="1">D7</f>
        <v>313773340.79504824</v>
      </c>
      <c r="F53" s="153"/>
      <c r="AK53" s="140"/>
    </row>
    <row r="54" spans="2:37" x14ac:dyDescent="0.2">
      <c r="B54" s="123" t="s">
        <v>643</v>
      </c>
      <c r="D54" s="153"/>
      <c r="E54" s="153"/>
      <c r="F54" s="153"/>
      <c r="G54" s="153">
        <f ca="1">D8</f>
        <v>104591113.59834942</v>
      </c>
      <c r="AK54" s="140"/>
    </row>
    <row r="55" spans="2:37" x14ac:dyDescent="0.2">
      <c r="B55" s="123"/>
      <c r="AK55" s="140"/>
    </row>
    <row r="56" spans="2:37" x14ac:dyDescent="0.2">
      <c r="B56" s="123" t="s">
        <v>677</v>
      </c>
      <c r="E56" s="132">
        <f ca="1">E57</f>
        <v>10040746.905441545</v>
      </c>
      <c r="F56" s="132">
        <f ca="1">F57</f>
        <v>60244481.432649262</v>
      </c>
      <c r="G56" s="132">
        <f ca="1">G57</f>
        <v>100407469.05441543</v>
      </c>
      <c r="H56" s="154">
        <f ca="1">D14</f>
        <v>187045922.18183693</v>
      </c>
      <c r="I56" s="153">
        <f t="shared" ref="I56:AK56" ca="1" si="0">IF($D$13&gt;H51,$D$14,0)</f>
        <v>187045922.18183693</v>
      </c>
      <c r="J56" s="153">
        <f t="shared" ca="1" si="0"/>
        <v>187045922.18183693</v>
      </c>
      <c r="K56" s="153">
        <f t="shared" ca="1" si="0"/>
        <v>187045922.18183693</v>
      </c>
      <c r="L56" s="153">
        <f t="shared" ca="1" si="0"/>
        <v>187045922.18183693</v>
      </c>
      <c r="M56" s="153">
        <f t="shared" ca="1" si="0"/>
        <v>187045922.18183693</v>
      </c>
      <c r="N56" s="153">
        <f t="shared" ca="1" si="0"/>
        <v>187045922.18183693</v>
      </c>
      <c r="O56" s="153">
        <f t="shared" ca="1" si="0"/>
        <v>187045922.18183693</v>
      </c>
      <c r="P56" s="153">
        <f t="shared" ca="1" si="0"/>
        <v>187045922.18183693</v>
      </c>
      <c r="Q56" s="153">
        <f t="shared" ca="1" si="0"/>
        <v>187045922.18183693</v>
      </c>
      <c r="R56" s="153">
        <f t="shared" si="0"/>
        <v>0</v>
      </c>
      <c r="S56" s="153">
        <f t="shared" si="0"/>
        <v>0</v>
      </c>
      <c r="T56" s="153">
        <f t="shared" si="0"/>
        <v>0</v>
      </c>
      <c r="U56" s="153">
        <f t="shared" si="0"/>
        <v>0</v>
      </c>
      <c r="V56" s="153">
        <f t="shared" si="0"/>
        <v>0</v>
      </c>
      <c r="W56" s="153">
        <f t="shared" si="0"/>
        <v>0</v>
      </c>
      <c r="X56" s="153">
        <f t="shared" si="0"/>
        <v>0</v>
      </c>
      <c r="Y56" s="153">
        <f t="shared" si="0"/>
        <v>0</v>
      </c>
      <c r="Z56" s="153">
        <f t="shared" si="0"/>
        <v>0</v>
      </c>
      <c r="AA56" s="153">
        <f t="shared" si="0"/>
        <v>0</v>
      </c>
      <c r="AB56" s="153">
        <f t="shared" si="0"/>
        <v>0</v>
      </c>
      <c r="AC56" s="153">
        <f t="shared" si="0"/>
        <v>0</v>
      </c>
      <c r="AD56" s="153">
        <f t="shared" si="0"/>
        <v>0</v>
      </c>
      <c r="AE56" s="153">
        <f t="shared" si="0"/>
        <v>0</v>
      </c>
      <c r="AF56" s="153">
        <f t="shared" si="0"/>
        <v>0</v>
      </c>
      <c r="AG56" s="153">
        <f t="shared" si="0"/>
        <v>0</v>
      </c>
      <c r="AH56" s="153">
        <f t="shared" si="0"/>
        <v>0</v>
      </c>
      <c r="AI56" s="153">
        <f t="shared" si="0"/>
        <v>0</v>
      </c>
      <c r="AJ56" s="153">
        <f t="shared" si="0"/>
        <v>0</v>
      </c>
      <c r="AK56" s="155">
        <f t="shared" si="0"/>
        <v>0</v>
      </c>
    </row>
    <row r="57" spans="2:37" x14ac:dyDescent="0.2">
      <c r="B57" s="123"/>
      <c r="C57" t="s">
        <v>678</v>
      </c>
      <c r="D57" s="141"/>
      <c r="E57" s="153">
        <f ca="1">E58*$D$12</f>
        <v>10040746.905441545</v>
      </c>
      <c r="F57" s="153">
        <f ca="1">+F58*$D$12</f>
        <v>60244481.432649262</v>
      </c>
      <c r="G57" s="153">
        <f ca="1">+G58*$D$12</f>
        <v>100407469.05441543</v>
      </c>
      <c r="H57" s="153">
        <f ca="1">D6*(1-D11)*D12</f>
        <v>100407469.05441543</v>
      </c>
      <c r="I57" s="153">
        <f ca="1">+H58*$D$12</f>
        <v>93476392.804221705</v>
      </c>
      <c r="J57" s="153">
        <f t="shared" ref="J57:AK57" ca="1" si="1">+I58*$D$12</f>
        <v>85990830.454012498</v>
      </c>
      <c r="K57" s="153">
        <f t="shared" ca="1" si="1"/>
        <v>77906423.115786538</v>
      </c>
      <c r="L57" s="153">
        <f t="shared" ca="1" si="1"/>
        <v>69175263.190502495</v>
      </c>
      <c r="M57" s="153">
        <f t="shared" ca="1" si="1"/>
        <v>59745610.47119575</v>
      </c>
      <c r="N57" s="153">
        <f t="shared" ca="1" si="1"/>
        <v>49561585.534344442</v>
      </c>
      <c r="O57" s="153">
        <f t="shared" ca="1" si="1"/>
        <v>38562838.602545045</v>
      </c>
      <c r="P57" s="153">
        <f t="shared" ca="1" si="1"/>
        <v>26684191.916201688</v>
      </c>
      <c r="Q57" s="153">
        <f t="shared" ca="1" si="1"/>
        <v>13855253.494950866</v>
      </c>
      <c r="R57" s="153">
        <f t="shared" ca="1" si="1"/>
        <v>-1.862645149230957E-8</v>
      </c>
      <c r="S57" s="153">
        <f t="shared" ca="1" si="1"/>
        <v>-2.0116567611694337E-8</v>
      </c>
      <c r="T57" s="153">
        <f t="shared" ca="1" si="1"/>
        <v>-2.1725893020629886E-8</v>
      </c>
      <c r="U57" s="153">
        <f t="shared" ca="1" si="1"/>
        <v>-2.3463964462280274E-8</v>
      </c>
      <c r="V57" s="153">
        <f t="shared" ca="1" si="1"/>
        <v>-2.5341081619262695E-8</v>
      </c>
      <c r="W57" s="153">
        <f t="shared" ca="1" si="1"/>
        <v>-2.736836814880371E-8</v>
      </c>
      <c r="X57" s="153">
        <f t="shared" ca="1" si="1"/>
        <v>-2.9557837600708007E-8</v>
      </c>
      <c r="Y57" s="153">
        <f t="shared" ca="1" si="1"/>
        <v>-3.1922464608764652E-8</v>
      </c>
      <c r="Z57" s="153">
        <f t="shared" ca="1" si="1"/>
        <v>-3.4476261777465825E-8</v>
      </c>
      <c r="AA57" s="153">
        <f t="shared" ca="1" si="1"/>
        <v>-3.7234362719663092E-8</v>
      </c>
      <c r="AB57" s="153">
        <f t="shared" ca="1" si="1"/>
        <v>-4.0213111737236139E-8</v>
      </c>
      <c r="AC57" s="153">
        <f t="shared" ca="1" si="1"/>
        <v>-4.3430160676215033E-8</v>
      </c>
      <c r="AD57" s="153">
        <f t="shared" ca="1" si="1"/>
        <v>-4.6904573530312236E-8</v>
      </c>
      <c r="AE57" s="153">
        <f t="shared" ca="1" si="1"/>
        <v>-5.0656939412737217E-8</v>
      </c>
      <c r="AF57" s="153">
        <f t="shared" ca="1" si="1"/>
        <v>-5.4709494565756191E-8</v>
      </c>
      <c r="AG57" s="153">
        <f t="shared" ca="1" si="1"/>
        <v>-5.9086254131016686E-8</v>
      </c>
      <c r="AH57" s="153">
        <f t="shared" ca="1" si="1"/>
        <v>-6.3813154461498033E-8</v>
      </c>
      <c r="AI57" s="153">
        <f t="shared" ca="1" si="1"/>
        <v>-6.8918206818417873E-8</v>
      </c>
      <c r="AJ57" s="153">
        <f t="shared" ca="1" si="1"/>
        <v>-7.4431663363891306E-8</v>
      </c>
      <c r="AK57" s="155">
        <f t="shared" ca="1" si="1"/>
        <v>-8.0386196433002606E-8</v>
      </c>
    </row>
    <row r="58" spans="2:37" x14ac:dyDescent="0.2">
      <c r="B58" s="123"/>
      <c r="C58" t="s">
        <v>679</v>
      </c>
      <c r="D58" s="141"/>
      <c r="E58" s="153">
        <f ca="1">$D$6*(1-$D$11)*$D$21</f>
        <v>125509336.3180193</v>
      </c>
      <c r="F58" s="141">
        <f ca="1">$D$6*(1-$D$11)*$D$22+E58</f>
        <v>753056017.90811574</v>
      </c>
      <c r="G58" s="153">
        <f ca="1">$D$6*(1-$D$11)*$D$23+F58</f>
        <v>1255093363.1801929</v>
      </c>
      <c r="H58" s="153">
        <f ca="1">D6*(1-D11)-H56+H57</f>
        <v>1168454910.0527713</v>
      </c>
      <c r="I58" s="153">
        <f ca="1">+H58-I56+I57</f>
        <v>1074885380.6751561</v>
      </c>
      <c r="J58" s="153">
        <f t="shared" ref="J58:AK58" ca="1" si="2">+I58-J56+J57</f>
        <v>973830288.94733167</v>
      </c>
      <c r="K58" s="153">
        <f t="shared" ca="1" si="2"/>
        <v>864690789.88128126</v>
      </c>
      <c r="L58" s="153">
        <f t="shared" ca="1" si="2"/>
        <v>746820130.88994682</v>
      </c>
      <c r="M58" s="153">
        <f t="shared" ca="1" si="2"/>
        <v>619519819.17930555</v>
      </c>
      <c r="N58" s="153">
        <f t="shared" ca="1" si="2"/>
        <v>482035482.53181303</v>
      </c>
      <c r="O58" s="153">
        <f t="shared" ca="1" si="2"/>
        <v>333552398.95252109</v>
      </c>
      <c r="P58" s="153">
        <f t="shared" ca="1" si="2"/>
        <v>173190668.68688583</v>
      </c>
      <c r="Q58" s="153">
        <f t="shared" ca="1" si="2"/>
        <v>-2.3283064365386963E-7</v>
      </c>
      <c r="R58" s="153">
        <f t="shared" ca="1" si="2"/>
        <v>-2.514570951461792E-7</v>
      </c>
      <c r="S58" s="153">
        <f t="shared" ca="1" si="2"/>
        <v>-2.7157366275787356E-7</v>
      </c>
      <c r="T58" s="153">
        <f t="shared" ca="1" si="2"/>
        <v>-2.9329955577850342E-7</v>
      </c>
      <c r="U58" s="153">
        <f t="shared" ca="1" si="2"/>
        <v>-3.1676352024078367E-7</v>
      </c>
      <c r="V58" s="153">
        <f t="shared" ca="1" si="2"/>
        <v>-3.4210460186004638E-7</v>
      </c>
      <c r="W58" s="153">
        <f t="shared" ca="1" si="2"/>
        <v>-3.6947297000885008E-7</v>
      </c>
      <c r="X58" s="153">
        <f t="shared" ca="1" si="2"/>
        <v>-3.9903080760955811E-7</v>
      </c>
      <c r="Y58" s="153">
        <f t="shared" ca="1" si="2"/>
        <v>-4.3095327221832278E-7</v>
      </c>
      <c r="Z58" s="153">
        <f t="shared" ca="1" si="2"/>
        <v>-4.6542953399578861E-7</v>
      </c>
      <c r="AA58" s="153">
        <f t="shared" ca="1" si="2"/>
        <v>-5.0266389671545175E-7</v>
      </c>
      <c r="AB58" s="153">
        <f t="shared" ca="1" si="2"/>
        <v>-5.4287700845268792E-7</v>
      </c>
      <c r="AC58" s="153">
        <f t="shared" ca="1" si="2"/>
        <v>-5.8630716912890292E-7</v>
      </c>
      <c r="AD58" s="153">
        <f t="shared" ca="1" si="2"/>
        <v>-6.3321174265921521E-7</v>
      </c>
      <c r="AE58" s="153">
        <f t="shared" ca="1" si="2"/>
        <v>-6.8386868207195241E-7</v>
      </c>
      <c r="AF58" s="153">
        <f t="shared" ca="1" si="2"/>
        <v>-7.3857817663770859E-7</v>
      </c>
      <c r="AG58" s="153">
        <f t="shared" ca="1" si="2"/>
        <v>-7.9766443076872532E-7</v>
      </c>
      <c r="AH58" s="153">
        <f t="shared" ca="1" si="2"/>
        <v>-8.6147758523022338E-7</v>
      </c>
      <c r="AI58" s="153">
        <f t="shared" ca="1" si="2"/>
        <v>-9.3039579204864129E-7</v>
      </c>
      <c r="AJ58" s="153">
        <f t="shared" ca="1" si="2"/>
        <v>-1.0048274554125326E-6</v>
      </c>
      <c r="AK58" s="155">
        <f t="shared" ca="1" si="2"/>
        <v>-1.0852136518455353E-6</v>
      </c>
    </row>
    <row r="59" spans="2:37" x14ac:dyDescent="0.2">
      <c r="B59" s="123"/>
      <c r="D59" s="141"/>
      <c r="E59" s="153"/>
      <c r="F59" s="141"/>
      <c r="G59" s="153"/>
      <c r="H59" s="153"/>
      <c r="I59" s="153"/>
      <c r="J59" s="153"/>
      <c r="K59" s="153"/>
      <c r="L59" s="153"/>
      <c r="M59" s="153"/>
      <c r="N59" s="153"/>
      <c r="O59" s="153"/>
      <c r="P59" s="153"/>
      <c r="Q59" s="153"/>
      <c r="R59" s="153"/>
      <c r="S59" s="153"/>
      <c r="T59" s="153"/>
      <c r="U59" s="153"/>
      <c r="V59" s="153"/>
      <c r="W59" s="153"/>
      <c r="X59" s="153"/>
      <c r="Y59" s="153"/>
      <c r="Z59" s="153"/>
      <c r="AA59" s="153"/>
      <c r="AB59" s="153"/>
      <c r="AC59" s="153"/>
      <c r="AD59" s="153"/>
      <c r="AE59" s="153"/>
      <c r="AF59" s="153"/>
      <c r="AG59" s="153"/>
      <c r="AH59" s="153"/>
      <c r="AI59" s="153"/>
      <c r="AJ59" s="153"/>
      <c r="AK59" s="155"/>
    </row>
    <row r="60" spans="2:37" x14ac:dyDescent="0.2">
      <c r="B60" s="123"/>
      <c r="C60" s="142" t="s">
        <v>2999</v>
      </c>
      <c r="D60" s="142"/>
      <c r="E60" s="859">
        <f ca="1">E56</f>
        <v>10040746.905441545</v>
      </c>
      <c r="F60" s="859">
        <f ca="1">F56</f>
        <v>60244481.432649262</v>
      </c>
      <c r="G60" s="859">
        <f ca="1">G56</f>
        <v>100407469.05441543</v>
      </c>
      <c r="H60" s="860">
        <f ca="1">H56+H59</f>
        <v>187045922.18183693</v>
      </c>
      <c r="I60" s="860">
        <f t="shared" ref="I60:R60" ca="1" si="3">I56+I59</f>
        <v>187045922.18183693</v>
      </c>
      <c r="J60" s="860">
        <f t="shared" ca="1" si="3"/>
        <v>187045922.18183693</v>
      </c>
      <c r="K60" s="860">
        <f t="shared" ca="1" si="3"/>
        <v>187045922.18183693</v>
      </c>
      <c r="L60" s="860">
        <f t="shared" ca="1" si="3"/>
        <v>187045922.18183693</v>
      </c>
      <c r="M60" s="860">
        <f t="shared" ca="1" si="3"/>
        <v>187045922.18183693</v>
      </c>
      <c r="N60" s="860">
        <f t="shared" ca="1" si="3"/>
        <v>187045922.18183693</v>
      </c>
      <c r="O60" s="860">
        <f t="shared" ca="1" si="3"/>
        <v>187045922.18183693</v>
      </c>
      <c r="P60" s="860">
        <f t="shared" ca="1" si="3"/>
        <v>187045922.18183693</v>
      </c>
      <c r="Q60" s="860">
        <f t="shared" ca="1" si="3"/>
        <v>187045922.18183693</v>
      </c>
      <c r="R60" s="154">
        <f t="shared" si="3"/>
        <v>0</v>
      </c>
      <c r="AK60" s="140"/>
    </row>
    <row r="61" spans="2:37" x14ac:dyDescent="0.2">
      <c r="B61" s="123" t="s">
        <v>680</v>
      </c>
      <c r="AK61" s="140"/>
    </row>
    <row r="62" spans="2:37" x14ac:dyDescent="0.2">
      <c r="B62" s="123"/>
      <c r="C62" t="str">
        <f>B29</f>
        <v>&gt;90% Ammonia Sulfate</v>
      </c>
      <c r="H62" s="153">
        <f ca="1">($D29*$D41)*(1-$D$26)+($D29*$D41)*$D$26*$D$27</f>
        <v>121424.65287217108</v>
      </c>
      <c r="I62" s="153">
        <f ca="1">+$D29*$D41</f>
        <v>161899.53716289476</v>
      </c>
      <c r="J62" s="153">
        <f ca="1">+$D29*$D41</f>
        <v>161899.53716289476</v>
      </c>
      <c r="K62" s="153">
        <f t="shared" ref="K62:AK66" ca="1" si="4">+$D29*$D41</f>
        <v>161899.53716289476</v>
      </c>
      <c r="L62" s="153">
        <f t="shared" ca="1" si="4"/>
        <v>161899.53716289476</v>
      </c>
      <c r="M62" s="153">
        <f t="shared" ca="1" si="4"/>
        <v>161899.53716289476</v>
      </c>
      <c r="N62" s="153">
        <f t="shared" ca="1" si="4"/>
        <v>161899.53716289476</v>
      </c>
      <c r="O62" s="153">
        <f t="shared" ca="1" si="4"/>
        <v>161899.53716289476</v>
      </c>
      <c r="P62" s="153">
        <f t="shared" ca="1" si="4"/>
        <v>161899.53716289476</v>
      </c>
      <c r="Q62" s="153">
        <f t="shared" ca="1" si="4"/>
        <v>161899.53716289476</v>
      </c>
      <c r="R62" s="153">
        <f t="shared" ca="1" si="4"/>
        <v>161899.53716289476</v>
      </c>
      <c r="S62" s="153">
        <f t="shared" ca="1" si="4"/>
        <v>161899.53716289476</v>
      </c>
      <c r="T62" s="153">
        <f t="shared" ca="1" si="4"/>
        <v>161899.53716289476</v>
      </c>
      <c r="U62" s="153">
        <f t="shared" ca="1" si="4"/>
        <v>161899.53716289476</v>
      </c>
      <c r="V62" s="153">
        <f t="shared" ca="1" si="4"/>
        <v>161899.53716289476</v>
      </c>
      <c r="W62" s="153">
        <f t="shared" ca="1" si="4"/>
        <v>161899.53716289476</v>
      </c>
      <c r="X62" s="153">
        <f t="shared" ca="1" si="4"/>
        <v>161899.53716289476</v>
      </c>
      <c r="Y62" s="153">
        <f t="shared" ca="1" si="4"/>
        <v>161899.53716289476</v>
      </c>
      <c r="Z62" s="153">
        <f t="shared" ca="1" si="4"/>
        <v>161899.53716289476</v>
      </c>
      <c r="AA62" s="153">
        <f t="shared" ca="1" si="4"/>
        <v>161899.53716289476</v>
      </c>
      <c r="AB62" s="153">
        <f t="shared" ca="1" si="4"/>
        <v>161899.53716289476</v>
      </c>
      <c r="AC62" s="153">
        <f t="shared" ca="1" si="4"/>
        <v>161899.53716289476</v>
      </c>
      <c r="AD62" s="153">
        <f t="shared" ca="1" si="4"/>
        <v>161899.53716289476</v>
      </c>
      <c r="AE62" s="153">
        <f t="shared" ca="1" si="4"/>
        <v>161899.53716289476</v>
      </c>
      <c r="AF62" s="153">
        <f t="shared" ca="1" si="4"/>
        <v>161899.53716289476</v>
      </c>
      <c r="AG62" s="153">
        <f t="shared" ca="1" si="4"/>
        <v>161899.53716289476</v>
      </c>
      <c r="AH62" s="153">
        <f t="shared" ca="1" si="4"/>
        <v>161899.53716289476</v>
      </c>
      <c r="AI62" s="153">
        <f t="shared" ca="1" si="4"/>
        <v>161899.53716289476</v>
      </c>
      <c r="AJ62" s="153">
        <f t="shared" ca="1" si="4"/>
        <v>161899.53716289476</v>
      </c>
      <c r="AK62" s="155">
        <f t="shared" ca="1" si="4"/>
        <v>161899.53716289476</v>
      </c>
    </row>
    <row r="63" spans="2:37" x14ac:dyDescent="0.2">
      <c r="B63" s="123"/>
      <c r="C63" t="str">
        <f>B30</f>
        <v>&gt;90% Magnesium Sulfate</v>
      </c>
      <c r="H63" s="153">
        <f ca="1">($D30*$D42)*(1-$D$26)+($D30*$D42)*$D$26*$D$27</f>
        <v>206414.64232562791</v>
      </c>
      <c r="I63" s="153">
        <f t="shared" ref="I63:J66" ca="1" si="5">+$D30*$D42</f>
        <v>275219.52310083719</v>
      </c>
      <c r="J63" s="153">
        <f t="shared" ca="1" si="5"/>
        <v>275219.52310083719</v>
      </c>
      <c r="K63" s="153">
        <f t="shared" ca="1" si="4"/>
        <v>275219.52310083719</v>
      </c>
      <c r="L63" s="153">
        <f t="shared" ca="1" si="4"/>
        <v>275219.52310083719</v>
      </c>
      <c r="M63" s="153">
        <f t="shared" ca="1" si="4"/>
        <v>275219.52310083719</v>
      </c>
      <c r="N63" s="153">
        <f t="shared" ca="1" si="4"/>
        <v>275219.52310083719</v>
      </c>
      <c r="O63" s="153">
        <f t="shared" ca="1" si="4"/>
        <v>275219.52310083719</v>
      </c>
      <c r="P63" s="153">
        <f t="shared" ca="1" si="4"/>
        <v>275219.52310083719</v>
      </c>
      <c r="Q63" s="153">
        <f t="shared" ca="1" si="4"/>
        <v>275219.52310083719</v>
      </c>
      <c r="R63" s="153">
        <f t="shared" ca="1" si="4"/>
        <v>275219.52310083719</v>
      </c>
      <c r="S63" s="153">
        <f t="shared" ca="1" si="4"/>
        <v>275219.52310083719</v>
      </c>
      <c r="T63" s="153">
        <f t="shared" ca="1" si="4"/>
        <v>275219.52310083719</v>
      </c>
      <c r="U63" s="153">
        <f t="shared" ca="1" si="4"/>
        <v>275219.52310083719</v>
      </c>
      <c r="V63" s="153">
        <f t="shared" ca="1" si="4"/>
        <v>275219.52310083719</v>
      </c>
      <c r="W63" s="153">
        <f t="shared" ca="1" si="4"/>
        <v>275219.52310083719</v>
      </c>
      <c r="X63" s="153">
        <f t="shared" ca="1" si="4"/>
        <v>275219.52310083719</v>
      </c>
      <c r="Y63" s="153">
        <f t="shared" ca="1" si="4"/>
        <v>275219.52310083719</v>
      </c>
      <c r="Z63" s="153">
        <f t="shared" ca="1" si="4"/>
        <v>275219.52310083719</v>
      </c>
      <c r="AA63" s="153">
        <f t="shared" ca="1" si="4"/>
        <v>275219.52310083719</v>
      </c>
      <c r="AB63" s="153">
        <f t="shared" ca="1" si="4"/>
        <v>275219.52310083719</v>
      </c>
      <c r="AC63" s="153">
        <f t="shared" ca="1" si="4"/>
        <v>275219.52310083719</v>
      </c>
      <c r="AD63" s="153">
        <f t="shared" ca="1" si="4"/>
        <v>275219.52310083719</v>
      </c>
      <c r="AE63" s="153">
        <f t="shared" ca="1" si="4"/>
        <v>275219.52310083719</v>
      </c>
      <c r="AF63" s="153">
        <f t="shared" ca="1" si="4"/>
        <v>275219.52310083719</v>
      </c>
      <c r="AG63" s="153">
        <f t="shared" ca="1" si="4"/>
        <v>275219.52310083719</v>
      </c>
      <c r="AH63" s="153">
        <f t="shared" ca="1" si="4"/>
        <v>275219.52310083719</v>
      </c>
      <c r="AI63" s="153">
        <f t="shared" ca="1" si="4"/>
        <v>275219.52310083719</v>
      </c>
      <c r="AJ63" s="153">
        <f t="shared" ca="1" si="4"/>
        <v>275219.52310083719</v>
      </c>
      <c r="AK63" s="155">
        <f t="shared" ca="1" si="4"/>
        <v>275219.52310083719</v>
      </c>
    </row>
    <row r="64" spans="2:37" x14ac:dyDescent="0.2">
      <c r="B64" s="123"/>
      <c r="C64" t="str">
        <f>B43</f>
        <v>MSP Pentyl Caproate</v>
      </c>
      <c r="H64" s="153">
        <f ca="1">($D31*$D43)*(1-$D$26)+($D31*$D43)*$D$26*$D$27</f>
        <v>288699024.3801958</v>
      </c>
      <c r="I64" s="153">
        <f t="shared" ca="1" si="5"/>
        <v>384932032.50692773</v>
      </c>
      <c r="J64" s="153">
        <f t="shared" ca="1" si="5"/>
        <v>384932032.50692773</v>
      </c>
      <c r="K64" s="153">
        <f t="shared" ca="1" si="4"/>
        <v>384932032.50692773</v>
      </c>
      <c r="L64" s="153">
        <f t="shared" ca="1" si="4"/>
        <v>384932032.50692773</v>
      </c>
      <c r="M64" s="153">
        <f t="shared" ca="1" si="4"/>
        <v>384932032.50692773</v>
      </c>
      <c r="N64" s="153">
        <f t="shared" ca="1" si="4"/>
        <v>384932032.50692773</v>
      </c>
      <c r="O64" s="153">
        <f t="shared" ca="1" si="4"/>
        <v>384932032.50692773</v>
      </c>
      <c r="P64" s="153">
        <f t="shared" ca="1" si="4"/>
        <v>384932032.50692773</v>
      </c>
      <c r="Q64" s="153">
        <f t="shared" ca="1" si="4"/>
        <v>384932032.50692773</v>
      </c>
      <c r="R64" s="153">
        <f t="shared" ca="1" si="4"/>
        <v>384932032.50692773</v>
      </c>
      <c r="S64" s="153">
        <f t="shared" ca="1" si="4"/>
        <v>384932032.50692773</v>
      </c>
      <c r="T64" s="153">
        <f t="shared" ca="1" si="4"/>
        <v>384932032.50692773</v>
      </c>
      <c r="U64" s="153">
        <f t="shared" ca="1" si="4"/>
        <v>384932032.50692773</v>
      </c>
      <c r="V64" s="153">
        <f t="shared" ca="1" si="4"/>
        <v>384932032.50692773</v>
      </c>
      <c r="W64" s="153">
        <f t="shared" ca="1" si="4"/>
        <v>384932032.50692773</v>
      </c>
      <c r="X64" s="153">
        <f t="shared" ca="1" si="4"/>
        <v>384932032.50692773</v>
      </c>
      <c r="Y64" s="153">
        <f t="shared" ca="1" si="4"/>
        <v>384932032.50692773</v>
      </c>
      <c r="Z64" s="153">
        <f t="shared" ca="1" si="4"/>
        <v>384932032.50692773</v>
      </c>
      <c r="AA64" s="153">
        <f t="shared" ca="1" si="4"/>
        <v>384932032.50692773</v>
      </c>
      <c r="AB64" s="153">
        <f t="shared" ca="1" si="4"/>
        <v>384932032.50692773</v>
      </c>
      <c r="AC64" s="153">
        <f t="shared" ca="1" si="4"/>
        <v>384932032.50692773</v>
      </c>
      <c r="AD64" s="153">
        <f t="shared" ca="1" si="4"/>
        <v>384932032.50692773</v>
      </c>
      <c r="AE64" s="153">
        <f t="shared" ca="1" si="4"/>
        <v>384932032.50692773</v>
      </c>
      <c r="AF64" s="153">
        <f t="shared" ca="1" si="4"/>
        <v>384932032.50692773</v>
      </c>
      <c r="AG64" s="153">
        <f t="shared" ca="1" si="4"/>
        <v>384932032.50692773</v>
      </c>
      <c r="AH64" s="153">
        <f t="shared" ca="1" si="4"/>
        <v>384932032.50692773</v>
      </c>
      <c r="AI64" s="153">
        <f t="shared" ca="1" si="4"/>
        <v>384932032.50692773</v>
      </c>
      <c r="AJ64" s="153">
        <f t="shared" ca="1" si="4"/>
        <v>384932032.50692773</v>
      </c>
      <c r="AK64" s="155">
        <f t="shared" ca="1" si="4"/>
        <v>384932032.50692773</v>
      </c>
    </row>
    <row r="65" spans="2:37" x14ac:dyDescent="0.2">
      <c r="B65" s="123"/>
      <c r="C65" t="str">
        <f>B44</f>
        <v>Other Pure Esters</v>
      </c>
      <c r="H65" s="153">
        <f ca="1">($D32*$D44)*(1-$D$26)+($D32*$D44)*$D$26*$D$27</f>
        <v>16690905.062114023</v>
      </c>
      <c r="I65" s="153">
        <f t="shared" ca="1" si="5"/>
        <v>22254540.082818698</v>
      </c>
      <c r="J65" s="153">
        <f t="shared" ca="1" si="5"/>
        <v>22254540.082818698</v>
      </c>
      <c r="K65" s="153">
        <f t="shared" ca="1" si="4"/>
        <v>22254540.082818698</v>
      </c>
      <c r="L65" s="153">
        <f t="shared" ca="1" si="4"/>
        <v>22254540.082818698</v>
      </c>
      <c r="M65" s="153">
        <f t="shared" ca="1" si="4"/>
        <v>22254540.082818698</v>
      </c>
      <c r="N65" s="153">
        <f t="shared" ca="1" si="4"/>
        <v>22254540.082818698</v>
      </c>
      <c r="O65" s="153">
        <f t="shared" ca="1" si="4"/>
        <v>22254540.082818698</v>
      </c>
      <c r="P65" s="153">
        <f t="shared" ca="1" si="4"/>
        <v>22254540.082818698</v>
      </c>
      <c r="Q65" s="153">
        <f t="shared" ca="1" si="4"/>
        <v>22254540.082818698</v>
      </c>
      <c r="R65" s="153">
        <f t="shared" ca="1" si="4"/>
        <v>22254540.082818698</v>
      </c>
      <c r="S65" s="153">
        <f t="shared" ca="1" si="4"/>
        <v>22254540.082818698</v>
      </c>
      <c r="T65" s="153">
        <f t="shared" ca="1" si="4"/>
        <v>22254540.082818698</v>
      </c>
      <c r="U65" s="153">
        <f t="shared" ca="1" si="4"/>
        <v>22254540.082818698</v>
      </c>
      <c r="V65" s="153">
        <f t="shared" ca="1" si="4"/>
        <v>22254540.082818698</v>
      </c>
      <c r="W65" s="153">
        <f t="shared" ca="1" si="4"/>
        <v>22254540.082818698</v>
      </c>
      <c r="X65" s="153">
        <f t="shared" ca="1" si="4"/>
        <v>22254540.082818698</v>
      </c>
      <c r="Y65" s="153">
        <f t="shared" ca="1" si="4"/>
        <v>22254540.082818698</v>
      </c>
      <c r="Z65" s="153">
        <f t="shared" ca="1" si="4"/>
        <v>22254540.082818698</v>
      </c>
      <c r="AA65" s="153">
        <f t="shared" ca="1" si="4"/>
        <v>22254540.082818698</v>
      </c>
      <c r="AB65" s="153">
        <f t="shared" ca="1" si="4"/>
        <v>22254540.082818698</v>
      </c>
      <c r="AC65" s="153">
        <f t="shared" ca="1" si="4"/>
        <v>22254540.082818698</v>
      </c>
      <c r="AD65" s="153">
        <f t="shared" ca="1" si="4"/>
        <v>22254540.082818698</v>
      </c>
      <c r="AE65" s="153">
        <f t="shared" ca="1" si="4"/>
        <v>22254540.082818698</v>
      </c>
      <c r="AF65" s="153">
        <f t="shared" ca="1" si="4"/>
        <v>22254540.082818698</v>
      </c>
      <c r="AG65" s="153">
        <f t="shared" ca="1" si="4"/>
        <v>22254540.082818698</v>
      </c>
      <c r="AH65" s="153">
        <f t="shared" ca="1" si="4"/>
        <v>22254540.082818698</v>
      </c>
      <c r="AI65" s="153">
        <f t="shared" ca="1" si="4"/>
        <v>22254540.082818698</v>
      </c>
      <c r="AJ65" s="153">
        <f t="shared" ca="1" si="4"/>
        <v>22254540.082818698</v>
      </c>
      <c r="AK65" s="155">
        <f t="shared" ca="1" si="4"/>
        <v>22254540.082818698</v>
      </c>
    </row>
    <row r="66" spans="2:37" x14ac:dyDescent="0.2">
      <c r="B66" s="123"/>
      <c r="C66" t="str">
        <f>B33</f>
        <v>Waste Collection</v>
      </c>
      <c r="H66" s="153">
        <f ca="1">($D33*$D45)*(1-$D$26)+($D33*$D45)*$D$26*$D$27</f>
        <v>1681070.7726751501</v>
      </c>
      <c r="I66" s="153">
        <f t="shared" ca="1" si="5"/>
        <v>2241427.6969002001</v>
      </c>
      <c r="J66" s="153">
        <f t="shared" ca="1" si="5"/>
        <v>2241427.6969002001</v>
      </c>
      <c r="K66" s="153">
        <f t="shared" ca="1" si="4"/>
        <v>2241427.6969002001</v>
      </c>
      <c r="L66" s="153">
        <f t="shared" ca="1" si="4"/>
        <v>2241427.6969002001</v>
      </c>
      <c r="M66" s="153">
        <f t="shared" ca="1" si="4"/>
        <v>2241427.6969002001</v>
      </c>
      <c r="N66" s="153">
        <f t="shared" ca="1" si="4"/>
        <v>2241427.6969002001</v>
      </c>
      <c r="O66" s="153">
        <f t="shared" ca="1" si="4"/>
        <v>2241427.6969002001</v>
      </c>
      <c r="P66" s="153">
        <f t="shared" ca="1" si="4"/>
        <v>2241427.6969002001</v>
      </c>
      <c r="Q66" s="153">
        <f t="shared" ca="1" si="4"/>
        <v>2241427.6969002001</v>
      </c>
      <c r="R66" s="153">
        <f t="shared" ca="1" si="4"/>
        <v>2241427.6969002001</v>
      </c>
      <c r="S66" s="153">
        <f t="shared" ca="1" si="4"/>
        <v>2241427.6969002001</v>
      </c>
      <c r="T66" s="153">
        <f t="shared" ca="1" si="4"/>
        <v>2241427.6969002001</v>
      </c>
      <c r="U66" s="153">
        <f t="shared" ca="1" si="4"/>
        <v>2241427.6969002001</v>
      </c>
      <c r="V66" s="153">
        <f t="shared" ca="1" si="4"/>
        <v>2241427.6969002001</v>
      </c>
      <c r="W66" s="153">
        <f t="shared" ca="1" si="4"/>
        <v>2241427.6969002001</v>
      </c>
      <c r="X66" s="153">
        <f t="shared" ca="1" si="4"/>
        <v>2241427.6969002001</v>
      </c>
      <c r="Y66" s="153">
        <f t="shared" ca="1" si="4"/>
        <v>2241427.6969002001</v>
      </c>
      <c r="Z66" s="153">
        <f t="shared" ca="1" si="4"/>
        <v>2241427.6969002001</v>
      </c>
      <c r="AA66" s="153">
        <f t="shared" ca="1" si="4"/>
        <v>2241427.6969002001</v>
      </c>
      <c r="AB66" s="153">
        <f t="shared" ca="1" si="4"/>
        <v>2241427.6969002001</v>
      </c>
      <c r="AC66" s="153">
        <f t="shared" ca="1" si="4"/>
        <v>2241427.6969002001</v>
      </c>
      <c r="AD66" s="153">
        <f t="shared" ca="1" si="4"/>
        <v>2241427.6969002001</v>
      </c>
      <c r="AE66" s="153">
        <f t="shared" ca="1" si="4"/>
        <v>2241427.6969002001</v>
      </c>
      <c r="AF66" s="153">
        <f t="shared" ca="1" si="4"/>
        <v>2241427.6969002001</v>
      </c>
      <c r="AG66" s="153">
        <f t="shared" ca="1" si="4"/>
        <v>2241427.6969002001</v>
      </c>
      <c r="AH66" s="153">
        <f t="shared" ca="1" si="4"/>
        <v>2241427.6969002001</v>
      </c>
      <c r="AI66" s="153">
        <f t="shared" ca="1" si="4"/>
        <v>2241427.6969002001</v>
      </c>
      <c r="AJ66" s="153">
        <f t="shared" ca="1" si="4"/>
        <v>2241427.6969002001</v>
      </c>
      <c r="AK66" s="155">
        <f t="shared" ca="1" si="4"/>
        <v>2241427.6969002001</v>
      </c>
    </row>
    <row r="67" spans="2:37" x14ac:dyDescent="0.2">
      <c r="B67" s="123"/>
      <c r="H67" s="153"/>
      <c r="I67" s="153"/>
      <c r="J67" s="153"/>
      <c r="K67" s="153"/>
      <c r="L67" s="153"/>
      <c r="M67" s="153"/>
      <c r="N67" s="153"/>
      <c r="O67" s="153"/>
      <c r="P67" s="153"/>
      <c r="Q67" s="153"/>
      <c r="R67" s="153"/>
      <c r="S67" s="153"/>
      <c r="T67" s="153"/>
      <c r="U67" s="153"/>
      <c r="V67" s="153"/>
      <c r="W67" s="153"/>
      <c r="X67" s="153"/>
      <c r="Y67" s="153"/>
      <c r="Z67" s="153"/>
      <c r="AA67" s="153"/>
      <c r="AB67" s="153"/>
      <c r="AC67" s="153"/>
      <c r="AD67" s="153"/>
      <c r="AE67" s="153"/>
      <c r="AF67" s="153"/>
      <c r="AG67" s="153"/>
      <c r="AH67" s="153"/>
      <c r="AI67" s="153"/>
      <c r="AJ67" s="153"/>
      <c r="AK67" s="155"/>
    </row>
    <row r="68" spans="2:37" x14ac:dyDescent="0.2">
      <c r="B68" s="144" t="s">
        <v>681</v>
      </c>
      <c r="C68" s="14"/>
      <c r="D68" s="14"/>
      <c r="E68" s="14"/>
      <c r="F68" s="14"/>
      <c r="G68" s="14"/>
      <c r="H68" s="857">
        <f ca="1">SUM(H62:H67)</f>
        <v>307398839.51018274</v>
      </c>
      <c r="I68" s="857">
        <f ca="1">SUM(I62:I67)</f>
        <v>409865119.34691036</v>
      </c>
      <c r="J68" s="857">
        <f t="shared" ref="J68:AK68" ca="1" si="6">SUM(J62:J67)</f>
        <v>409865119.34691036</v>
      </c>
      <c r="K68" s="857">
        <f t="shared" ca="1" si="6"/>
        <v>409865119.34691036</v>
      </c>
      <c r="L68" s="857">
        <f t="shared" ca="1" si="6"/>
        <v>409865119.34691036</v>
      </c>
      <c r="M68" s="857">
        <f t="shared" ca="1" si="6"/>
        <v>409865119.34691036</v>
      </c>
      <c r="N68" s="857">
        <f t="shared" ca="1" si="6"/>
        <v>409865119.34691036</v>
      </c>
      <c r="O68" s="857">
        <f t="shared" ca="1" si="6"/>
        <v>409865119.34691036</v>
      </c>
      <c r="P68" s="857">
        <f t="shared" ca="1" si="6"/>
        <v>409865119.34691036</v>
      </c>
      <c r="Q68" s="857">
        <f t="shared" ca="1" si="6"/>
        <v>409865119.34691036</v>
      </c>
      <c r="R68" s="857">
        <f t="shared" ca="1" si="6"/>
        <v>409865119.34691036</v>
      </c>
      <c r="S68" s="857">
        <f t="shared" ca="1" si="6"/>
        <v>409865119.34691036</v>
      </c>
      <c r="T68" s="857">
        <f t="shared" ca="1" si="6"/>
        <v>409865119.34691036</v>
      </c>
      <c r="U68" s="857">
        <f t="shared" ca="1" si="6"/>
        <v>409865119.34691036</v>
      </c>
      <c r="V68" s="857">
        <f t="shared" ca="1" si="6"/>
        <v>409865119.34691036</v>
      </c>
      <c r="W68" s="857">
        <f t="shared" ca="1" si="6"/>
        <v>409865119.34691036</v>
      </c>
      <c r="X68" s="857">
        <f t="shared" ca="1" si="6"/>
        <v>409865119.34691036</v>
      </c>
      <c r="Y68" s="857">
        <f t="shared" ca="1" si="6"/>
        <v>409865119.34691036</v>
      </c>
      <c r="Z68" s="857">
        <f t="shared" ca="1" si="6"/>
        <v>409865119.34691036</v>
      </c>
      <c r="AA68" s="857">
        <f t="shared" ca="1" si="6"/>
        <v>409865119.34691036</v>
      </c>
      <c r="AB68" s="857">
        <f t="shared" ca="1" si="6"/>
        <v>409865119.34691036</v>
      </c>
      <c r="AC68" s="857">
        <f t="shared" ca="1" si="6"/>
        <v>409865119.34691036</v>
      </c>
      <c r="AD68" s="857">
        <f t="shared" ca="1" si="6"/>
        <v>409865119.34691036</v>
      </c>
      <c r="AE68" s="857">
        <f t="shared" ca="1" si="6"/>
        <v>409865119.34691036</v>
      </c>
      <c r="AF68" s="857">
        <f t="shared" ca="1" si="6"/>
        <v>409865119.34691036</v>
      </c>
      <c r="AG68" s="857">
        <f t="shared" ca="1" si="6"/>
        <v>409865119.34691036</v>
      </c>
      <c r="AH68" s="857">
        <f t="shared" ca="1" si="6"/>
        <v>409865119.34691036</v>
      </c>
      <c r="AI68" s="857">
        <f t="shared" ca="1" si="6"/>
        <v>409865119.34691036</v>
      </c>
      <c r="AJ68" s="857">
        <f t="shared" ca="1" si="6"/>
        <v>409865119.34691036</v>
      </c>
      <c r="AK68" s="858">
        <f t="shared" ca="1" si="6"/>
        <v>409865119.34691036</v>
      </c>
    </row>
    <row r="69" spans="2:37" x14ac:dyDescent="0.2">
      <c r="B69" s="123"/>
      <c r="AK69" s="140"/>
    </row>
    <row r="70" spans="2:37" x14ac:dyDescent="0.2">
      <c r="B70" s="123" t="s">
        <v>682</v>
      </c>
      <c r="AK70" s="140"/>
    </row>
    <row r="71" spans="2:37" x14ac:dyDescent="0.2">
      <c r="B71" s="123"/>
      <c r="C71" t="s">
        <v>3000</v>
      </c>
      <c r="H71" s="101">
        <f ca="1">+D5*(1-$D$26)+D5*$D$26*$D$27</f>
        <v>105899394.70461226</v>
      </c>
      <c r="I71" s="132">
        <f t="shared" ref="I71:AK71" ca="1" si="7">+$D$5</f>
        <v>141199192.93948302</v>
      </c>
      <c r="J71" s="132">
        <f t="shared" ca="1" si="7"/>
        <v>141199192.93948302</v>
      </c>
      <c r="K71" s="132">
        <f t="shared" ca="1" si="7"/>
        <v>141199192.93948302</v>
      </c>
      <c r="L71" s="132">
        <f t="shared" ca="1" si="7"/>
        <v>141199192.93948302</v>
      </c>
      <c r="M71" s="132">
        <f t="shared" ca="1" si="7"/>
        <v>141199192.93948302</v>
      </c>
      <c r="N71" s="132">
        <f t="shared" ca="1" si="7"/>
        <v>141199192.93948302</v>
      </c>
      <c r="O71" s="132">
        <f t="shared" ca="1" si="7"/>
        <v>141199192.93948302</v>
      </c>
      <c r="P71" s="132">
        <f t="shared" ca="1" si="7"/>
        <v>141199192.93948302</v>
      </c>
      <c r="Q71" s="132">
        <f t="shared" ca="1" si="7"/>
        <v>141199192.93948302</v>
      </c>
      <c r="R71" s="132">
        <f t="shared" ca="1" si="7"/>
        <v>141199192.93948302</v>
      </c>
      <c r="S71" s="132">
        <f t="shared" ca="1" si="7"/>
        <v>141199192.93948302</v>
      </c>
      <c r="T71" s="132">
        <f t="shared" ca="1" si="7"/>
        <v>141199192.93948302</v>
      </c>
      <c r="U71" s="132">
        <f t="shared" ca="1" si="7"/>
        <v>141199192.93948302</v>
      </c>
      <c r="V71" s="132">
        <f t="shared" ca="1" si="7"/>
        <v>141199192.93948302</v>
      </c>
      <c r="W71" s="132">
        <f t="shared" ca="1" si="7"/>
        <v>141199192.93948302</v>
      </c>
      <c r="X71" s="132">
        <f t="shared" ca="1" si="7"/>
        <v>141199192.93948302</v>
      </c>
      <c r="Y71" s="132">
        <f t="shared" ca="1" si="7"/>
        <v>141199192.93948302</v>
      </c>
      <c r="Z71" s="132">
        <f t="shared" ca="1" si="7"/>
        <v>141199192.93948302</v>
      </c>
      <c r="AA71" s="132">
        <f t="shared" ca="1" si="7"/>
        <v>141199192.93948302</v>
      </c>
      <c r="AB71" s="132">
        <f t="shared" ca="1" si="7"/>
        <v>141199192.93948302</v>
      </c>
      <c r="AC71" s="132">
        <f t="shared" ca="1" si="7"/>
        <v>141199192.93948302</v>
      </c>
      <c r="AD71" s="132">
        <f t="shared" ca="1" si="7"/>
        <v>141199192.93948302</v>
      </c>
      <c r="AE71" s="132">
        <f t="shared" ca="1" si="7"/>
        <v>141199192.93948302</v>
      </c>
      <c r="AF71" s="132">
        <f t="shared" ca="1" si="7"/>
        <v>141199192.93948302</v>
      </c>
      <c r="AG71" s="132">
        <f t="shared" ca="1" si="7"/>
        <v>141199192.93948302</v>
      </c>
      <c r="AH71" s="132">
        <f t="shared" ca="1" si="7"/>
        <v>141199192.93948302</v>
      </c>
      <c r="AI71" s="132">
        <f t="shared" ca="1" si="7"/>
        <v>141199192.93948302</v>
      </c>
      <c r="AJ71" s="132">
        <f t="shared" ca="1" si="7"/>
        <v>141199192.93948302</v>
      </c>
      <c r="AK71" s="124">
        <f t="shared" ca="1" si="7"/>
        <v>141199192.93948302</v>
      </c>
    </row>
    <row r="72" spans="2:37" x14ac:dyDescent="0.2">
      <c r="B72" s="123"/>
      <c r="H72" s="132"/>
      <c r="I72" s="132"/>
      <c r="J72" s="132"/>
      <c r="K72" s="132"/>
      <c r="L72" s="132"/>
      <c r="M72" s="132"/>
      <c r="N72" s="132"/>
      <c r="O72" s="132"/>
      <c r="P72" s="132"/>
      <c r="Q72" s="132"/>
      <c r="R72" s="132"/>
      <c r="S72" s="132"/>
      <c r="T72" s="132"/>
      <c r="U72" s="132"/>
      <c r="V72" s="132"/>
      <c r="W72" s="132"/>
      <c r="X72" s="132"/>
      <c r="Y72" s="132"/>
      <c r="Z72" s="132"/>
      <c r="AA72" s="132"/>
      <c r="AB72" s="132"/>
      <c r="AC72" s="132"/>
      <c r="AD72" s="132"/>
      <c r="AE72" s="132"/>
      <c r="AF72" s="132"/>
      <c r="AG72" s="132"/>
      <c r="AH72" s="132"/>
      <c r="AI72" s="132"/>
      <c r="AJ72" s="132"/>
      <c r="AK72" s="124"/>
    </row>
    <row r="73" spans="2:37" x14ac:dyDescent="0.2">
      <c r="B73" s="861" t="s">
        <v>3001</v>
      </c>
      <c r="C73" s="19"/>
      <c r="D73" s="19"/>
      <c r="E73" s="19"/>
      <c r="F73" s="19"/>
      <c r="G73" s="19"/>
      <c r="H73" s="862">
        <f t="shared" ref="H73:AK73" ca="1" si="8">SUM(H71:H72)</f>
        <v>105899394.70461226</v>
      </c>
      <c r="I73" s="862">
        <f t="shared" ca="1" si="8"/>
        <v>141199192.93948302</v>
      </c>
      <c r="J73" s="862">
        <f t="shared" ca="1" si="8"/>
        <v>141199192.93948302</v>
      </c>
      <c r="K73" s="862">
        <f t="shared" ca="1" si="8"/>
        <v>141199192.93948302</v>
      </c>
      <c r="L73" s="862">
        <f t="shared" ca="1" si="8"/>
        <v>141199192.93948302</v>
      </c>
      <c r="M73" s="862">
        <f t="shared" ca="1" si="8"/>
        <v>141199192.93948302</v>
      </c>
      <c r="N73" s="862">
        <f t="shared" ca="1" si="8"/>
        <v>141199192.93948302</v>
      </c>
      <c r="O73" s="862">
        <f t="shared" ca="1" si="8"/>
        <v>141199192.93948302</v>
      </c>
      <c r="P73" s="862">
        <f t="shared" ca="1" si="8"/>
        <v>141199192.93948302</v>
      </c>
      <c r="Q73" s="862">
        <f t="shared" ca="1" si="8"/>
        <v>141199192.93948302</v>
      </c>
      <c r="R73" s="862">
        <f t="shared" ca="1" si="8"/>
        <v>141199192.93948302</v>
      </c>
      <c r="S73" s="862">
        <f t="shared" ca="1" si="8"/>
        <v>141199192.93948302</v>
      </c>
      <c r="T73" s="862">
        <f t="shared" ca="1" si="8"/>
        <v>141199192.93948302</v>
      </c>
      <c r="U73" s="862">
        <f t="shared" ca="1" si="8"/>
        <v>141199192.93948302</v>
      </c>
      <c r="V73" s="862">
        <f t="shared" ca="1" si="8"/>
        <v>141199192.93948302</v>
      </c>
      <c r="W73" s="862">
        <f t="shared" ca="1" si="8"/>
        <v>141199192.93948302</v>
      </c>
      <c r="X73" s="862">
        <f t="shared" ca="1" si="8"/>
        <v>141199192.93948302</v>
      </c>
      <c r="Y73" s="862">
        <f t="shared" ca="1" si="8"/>
        <v>141199192.93948302</v>
      </c>
      <c r="Z73" s="862">
        <f t="shared" ca="1" si="8"/>
        <v>141199192.93948302</v>
      </c>
      <c r="AA73" s="862">
        <f t="shared" ca="1" si="8"/>
        <v>141199192.93948302</v>
      </c>
      <c r="AB73" s="862">
        <f t="shared" ca="1" si="8"/>
        <v>141199192.93948302</v>
      </c>
      <c r="AC73" s="862">
        <f t="shared" ca="1" si="8"/>
        <v>141199192.93948302</v>
      </c>
      <c r="AD73" s="862">
        <f t="shared" ca="1" si="8"/>
        <v>141199192.93948302</v>
      </c>
      <c r="AE73" s="862">
        <f t="shared" ca="1" si="8"/>
        <v>141199192.93948302</v>
      </c>
      <c r="AF73" s="862">
        <f t="shared" ca="1" si="8"/>
        <v>141199192.93948302</v>
      </c>
      <c r="AG73" s="862">
        <f t="shared" ca="1" si="8"/>
        <v>141199192.93948302</v>
      </c>
      <c r="AH73" s="862">
        <f t="shared" ca="1" si="8"/>
        <v>141199192.93948302</v>
      </c>
      <c r="AI73" s="862">
        <f t="shared" ca="1" si="8"/>
        <v>141199192.93948302</v>
      </c>
      <c r="AJ73" s="862">
        <f t="shared" ca="1" si="8"/>
        <v>141199192.93948302</v>
      </c>
      <c r="AK73" s="863">
        <f t="shared" ca="1" si="8"/>
        <v>141199192.93948302</v>
      </c>
    </row>
    <row r="74" spans="2:37" x14ac:dyDescent="0.2">
      <c r="B74" s="123"/>
      <c r="AK74" s="140"/>
    </row>
    <row r="75" spans="2:37" x14ac:dyDescent="0.2">
      <c r="B75" s="864" t="s">
        <v>652</v>
      </c>
      <c r="AK75" s="140"/>
    </row>
    <row r="76" spans="2:37" x14ac:dyDescent="0.2">
      <c r="B76" s="123"/>
      <c r="H76" s="156">
        <v>0.1429</v>
      </c>
      <c r="I76" s="157">
        <v>0.24490000000000001</v>
      </c>
      <c r="J76" s="157">
        <v>0.1749</v>
      </c>
      <c r="K76" s="157">
        <v>0.1249</v>
      </c>
      <c r="L76" s="157">
        <v>8.9300000000000004E-2</v>
      </c>
      <c r="M76" s="157">
        <v>8.9200000000000002E-2</v>
      </c>
      <c r="N76" s="157">
        <v>8.9300000000000004E-2</v>
      </c>
      <c r="O76" s="157">
        <v>4.4600000000000001E-2</v>
      </c>
      <c r="P76" s="131">
        <v>0</v>
      </c>
      <c r="Q76" s="131">
        <v>0</v>
      </c>
      <c r="R76" s="131">
        <v>0</v>
      </c>
      <c r="S76" s="131">
        <v>0</v>
      </c>
      <c r="T76" s="131">
        <v>0</v>
      </c>
      <c r="U76" s="131">
        <v>0</v>
      </c>
      <c r="V76" s="131">
        <v>0</v>
      </c>
      <c r="W76" s="131">
        <v>0</v>
      </c>
      <c r="X76" s="131">
        <v>0</v>
      </c>
      <c r="Y76" s="131">
        <v>0</v>
      </c>
      <c r="Z76" s="131">
        <v>0</v>
      </c>
      <c r="AA76" s="131">
        <v>0</v>
      </c>
      <c r="AB76" s="131">
        <v>0</v>
      </c>
      <c r="AC76" s="131">
        <v>0</v>
      </c>
      <c r="AD76" s="131">
        <v>0</v>
      </c>
      <c r="AE76" s="131">
        <v>0</v>
      </c>
      <c r="AF76" s="131">
        <v>0</v>
      </c>
      <c r="AG76" s="131">
        <v>0</v>
      </c>
      <c r="AH76" s="131">
        <v>0</v>
      </c>
      <c r="AI76" s="131">
        <v>0</v>
      </c>
      <c r="AJ76" s="131">
        <v>0</v>
      </c>
      <c r="AK76" s="158">
        <v>0</v>
      </c>
    </row>
    <row r="77" spans="2:37" x14ac:dyDescent="0.2">
      <c r="B77" s="123"/>
      <c r="H77" s="865">
        <f ca="1">H$76*$D$6</f>
        <v>298921402.66408265</v>
      </c>
      <c r="I77" s="865">
        <f t="shared" ref="I77:AK77" ca="1" si="9">I$76*$D$6</f>
        <v>512287274.40471548</v>
      </c>
      <c r="J77" s="865">
        <f t="shared" ca="1" si="9"/>
        <v>365859715.36702627</v>
      </c>
      <c r="K77" s="865">
        <f t="shared" ca="1" si="9"/>
        <v>261268601.76867685</v>
      </c>
      <c r="L77" s="865">
        <f t="shared" ca="1" si="9"/>
        <v>186799728.88665205</v>
      </c>
      <c r="M77" s="865">
        <f t="shared" ca="1" si="9"/>
        <v>186590546.65945536</v>
      </c>
      <c r="N77" s="865">
        <f t="shared" ca="1" si="9"/>
        <v>186799728.88665205</v>
      </c>
      <c r="O77" s="865">
        <f t="shared" ca="1" si="9"/>
        <v>93295273.329727679</v>
      </c>
      <c r="P77" s="153">
        <f t="shared" ca="1" si="9"/>
        <v>0</v>
      </c>
      <c r="Q77" s="153">
        <f t="shared" ca="1" si="9"/>
        <v>0</v>
      </c>
      <c r="R77" s="153">
        <f t="shared" ca="1" si="9"/>
        <v>0</v>
      </c>
      <c r="S77" s="153">
        <f t="shared" ca="1" si="9"/>
        <v>0</v>
      </c>
      <c r="T77" s="153">
        <f t="shared" ca="1" si="9"/>
        <v>0</v>
      </c>
      <c r="U77" s="153">
        <f t="shared" ca="1" si="9"/>
        <v>0</v>
      </c>
      <c r="V77" s="153">
        <f t="shared" ca="1" si="9"/>
        <v>0</v>
      </c>
      <c r="W77" s="153">
        <f t="shared" ca="1" si="9"/>
        <v>0</v>
      </c>
      <c r="X77" s="153">
        <f t="shared" ca="1" si="9"/>
        <v>0</v>
      </c>
      <c r="Y77" s="153">
        <f t="shared" ca="1" si="9"/>
        <v>0</v>
      </c>
      <c r="Z77" s="153">
        <f t="shared" ca="1" si="9"/>
        <v>0</v>
      </c>
      <c r="AA77" s="153">
        <f t="shared" ca="1" si="9"/>
        <v>0</v>
      </c>
      <c r="AB77" s="153">
        <f t="shared" ca="1" si="9"/>
        <v>0</v>
      </c>
      <c r="AC77" s="153">
        <f t="shared" ca="1" si="9"/>
        <v>0</v>
      </c>
      <c r="AD77" s="153">
        <f t="shared" ca="1" si="9"/>
        <v>0</v>
      </c>
      <c r="AE77" s="153">
        <f t="shared" ca="1" si="9"/>
        <v>0</v>
      </c>
      <c r="AF77" s="153">
        <f t="shared" ca="1" si="9"/>
        <v>0</v>
      </c>
      <c r="AG77" s="153">
        <f t="shared" ca="1" si="9"/>
        <v>0</v>
      </c>
      <c r="AH77" s="153">
        <f t="shared" ca="1" si="9"/>
        <v>0</v>
      </c>
      <c r="AI77" s="153">
        <f t="shared" ca="1" si="9"/>
        <v>0</v>
      </c>
      <c r="AJ77" s="153">
        <f t="shared" ca="1" si="9"/>
        <v>0</v>
      </c>
      <c r="AK77" s="155">
        <f t="shared" ca="1" si="9"/>
        <v>0</v>
      </c>
    </row>
    <row r="78" spans="2:37" x14ac:dyDescent="0.2">
      <c r="B78" s="123"/>
      <c r="AK78" s="140"/>
    </row>
    <row r="79" spans="2:37" x14ac:dyDescent="0.2">
      <c r="B79" s="123" t="s">
        <v>683</v>
      </c>
      <c r="H79" s="132">
        <f t="shared" ref="H79:AK79" ca="1" si="10">+H68-H60-H73-H77</f>
        <v>-284467880.04034913</v>
      </c>
      <c r="I79" s="132">
        <f t="shared" ca="1" si="10"/>
        <v>-430667270.17912507</v>
      </c>
      <c r="J79" s="132">
        <f t="shared" ca="1" si="10"/>
        <v>-284239711.14143586</v>
      </c>
      <c r="K79" s="132">
        <f t="shared" ca="1" si="10"/>
        <v>-179648597.54308644</v>
      </c>
      <c r="L79" s="132">
        <f t="shared" ca="1" si="10"/>
        <v>-105179724.66106164</v>
      </c>
      <c r="M79" s="132">
        <f t="shared" ca="1" si="10"/>
        <v>-104970542.43386495</v>
      </c>
      <c r="N79" s="132">
        <f t="shared" ca="1" si="10"/>
        <v>-105179724.66106164</v>
      </c>
      <c r="O79" s="132">
        <f t="shared" ca="1" si="10"/>
        <v>-11675269.104137272</v>
      </c>
      <c r="P79" s="132">
        <f t="shared" ca="1" si="10"/>
        <v>81620004.225590408</v>
      </c>
      <c r="Q79" s="132">
        <f t="shared" ca="1" si="10"/>
        <v>81620004.225590408</v>
      </c>
      <c r="R79" s="132">
        <f t="shared" ca="1" si="10"/>
        <v>268665926.40742731</v>
      </c>
      <c r="S79" s="132">
        <f t="shared" ca="1" si="10"/>
        <v>268665926.40742731</v>
      </c>
      <c r="T79" s="132">
        <f t="shared" ca="1" si="10"/>
        <v>268665926.40742731</v>
      </c>
      <c r="U79" s="132">
        <f t="shared" ca="1" si="10"/>
        <v>268665926.40742731</v>
      </c>
      <c r="V79" s="132">
        <f t="shared" ca="1" si="10"/>
        <v>268665926.40742731</v>
      </c>
      <c r="W79" s="132">
        <f t="shared" ca="1" si="10"/>
        <v>268665926.40742731</v>
      </c>
      <c r="X79" s="132">
        <f t="shared" ca="1" si="10"/>
        <v>268665926.40742731</v>
      </c>
      <c r="Y79" s="132">
        <f t="shared" ca="1" si="10"/>
        <v>268665926.40742731</v>
      </c>
      <c r="Z79" s="132">
        <f t="shared" ca="1" si="10"/>
        <v>268665926.40742731</v>
      </c>
      <c r="AA79" s="132">
        <f t="shared" ca="1" si="10"/>
        <v>268665926.40742731</v>
      </c>
      <c r="AB79" s="132">
        <f t="shared" ca="1" si="10"/>
        <v>268665926.40742731</v>
      </c>
      <c r="AC79" s="132">
        <f t="shared" ca="1" si="10"/>
        <v>268665926.40742731</v>
      </c>
      <c r="AD79" s="132">
        <f t="shared" ca="1" si="10"/>
        <v>268665926.40742731</v>
      </c>
      <c r="AE79" s="132">
        <f t="shared" ca="1" si="10"/>
        <v>268665926.40742731</v>
      </c>
      <c r="AF79" s="132">
        <f t="shared" ca="1" si="10"/>
        <v>268665926.40742731</v>
      </c>
      <c r="AG79" s="132">
        <f t="shared" ca="1" si="10"/>
        <v>268665926.40742731</v>
      </c>
      <c r="AH79" s="132">
        <f t="shared" ca="1" si="10"/>
        <v>268665926.40742731</v>
      </c>
      <c r="AI79" s="132">
        <f t="shared" ca="1" si="10"/>
        <v>268665926.40742731</v>
      </c>
      <c r="AJ79" s="132">
        <f t="shared" ca="1" si="10"/>
        <v>268665926.40742731</v>
      </c>
      <c r="AK79" s="124">
        <f t="shared" ca="1" si="10"/>
        <v>268665926.40742731</v>
      </c>
    </row>
    <row r="80" spans="2:37" x14ac:dyDescent="0.2">
      <c r="B80" s="123" t="s">
        <v>684</v>
      </c>
      <c r="H80" s="141">
        <v>0</v>
      </c>
      <c r="I80" s="101">
        <f t="shared" ref="I80:AK80" ca="1" si="11">IF(H81&lt;0,H81,0)</f>
        <v>-284467880.04034913</v>
      </c>
      <c r="J80" s="101">
        <f t="shared" ca="1" si="11"/>
        <v>-715135150.2194742</v>
      </c>
      <c r="K80" s="101">
        <f t="shared" ca="1" si="11"/>
        <v>-999374861.36091006</v>
      </c>
      <c r="L80" s="101">
        <f t="shared" ca="1" si="11"/>
        <v>-1179023458.9039965</v>
      </c>
      <c r="M80" s="101">
        <f t="shared" ca="1" si="11"/>
        <v>-1284203183.5650582</v>
      </c>
      <c r="N80" s="101">
        <f t="shared" ca="1" si="11"/>
        <v>-1389173725.9989233</v>
      </c>
      <c r="O80" s="101">
        <f t="shared" ca="1" si="11"/>
        <v>-1494353450.6599851</v>
      </c>
      <c r="P80" s="101">
        <f t="shared" ca="1" si="11"/>
        <v>-1506028719.7641222</v>
      </c>
      <c r="Q80" s="101">
        <f t="shared" ca="1" si="11"/>
        <v>-1424408715.5385318</v>
      </c>
      <c r="R80" s="101">
        <f t="shared" ca="1" si="11"/>
        <v>-1342788711.3129413</v>
      </c>
      <c r="S80" s="101">
        <f t="shared" ca="1" si="11"/>
        <v>-1074122784.905514</v>
      </c>
      <c r="T80" s="101">
        <f t="shared" ca="1" si="11"/>
        <v>-805456858.49808669</v>
      </c>
      <c r="U80" s="101">
        <f t="shared" ca="1" si="11"/>
        <v>-536790932.09065938</v>
      </c>
      <c r="V80" s="101">
        <f t="shared" ca="1" si="11"/>
        <v>-268125005.68323207</v>
      </c>
      <c r="W80" s="101">
        <f t="shared" ca="1" si="11"/>
        <v>0</v>
      </c>
      <c r="X80" s="101">
        <f t="shared" ca="1" si="11"/>
        <v>0</v>
      </c>
      <c r="Y80" s="101">
        <f t="shared" ca="1" si="11"/>
        <v>0</v>
      </c>
      <c r="Z80" s="101">
        <f t="shared" ca="1" si="11"/>
        <v>0</v>
      </c>
      <c r="AA80" s="101">
        <f t="shared" ca="1" si="11"/>
        <v>0</v>
      </c>
      <c r="AB80" s="101">
        <f t="shared" ca="1" si="11"/>
        <v>0</v>
      </c>
      <c r="AC80" s="101">
        <f t="shared" ca="1" si="11"/>
        <v>0</v>
      </c>
      <c r="AD80" s="101">
        <f t="shared" ca="1" si="11"/>
        <v>0</v>
      </c>
      <c r="AE80" s="101">
        <f t="shared" ca="1" si="11"/>
        <v>0</v>
      </c>
      <c r="AF80" s="101">
        <f t="shared" ca="1" si="11"/>
        <v>0</v>
      </c>
      <c r="AG80" s="101">
        <f t="shared" ca="1" si="11"/>
        <v>0</v>
      </c>
      <c r="AH80" s="101">
        <f t="shared" ca="1" si="11"/>
        <v>0</v>
      </c>
      <c r="AI80" s="101">
        <f t="shared" ca="1" si="11"/>
        <v>0</v>
      </c>
      <c r="AJ80" s="101">
        <f t="shared" ca="1" si="11"/>
        <v>0</v>
      </c>
      <c r="AK80" s="150">
        <f t="shared" ca="1" si="11"/>
        <v>0</v>
      </c>
    </row>
    <row r="81" spans="2:37" x14ac:dyDescent="0.2">
      <c r="B81" s="123" t="s">
        <v>685</v>
      </c>
      <c r="H81" s="153">
        <f ca="1">+H80+H79</f>
        <v>-284467880.04034913</v>
      </c>
      <c r="I81" s="153">
        <f t="shared" ref="I81:AK81" ca="1" si="12">+I80+I79</f>
        <v>-715135150.2194742</v>
      </c>
      <c r="J81" s="153">
        <f t="shared" ca="1" si="12"/>
        <v>-999374861.36091006</v>
      </c>
      <c r="K81" s="153">
        <f t="shared" ca="1" si="12"/>
        <v>-1179023458.9039965</v>
      </c>
      <c r="L81" s="153">
        <f t="shared" ca="1" si="12"/>
        <v>-1284203183.5650582</v>
      </c>
      <c r="M81" s="153">
        <f t="shared" ca="1" si="12"/>
        <v>-1389173725.9989233</v>
      </c>
      <c r="N81" s="153">
        <f t="shared" ca="1" si="12"/>
        <v>-1494353450.6599851</v>
      </c>
      <c r="O81" s="153">
        <f t="shared" ca="1" si="12"/>
        <v>-1506028719.7641222</v>
      </c>
      <c r="P81" s="153">
        <f t="shared" ca="1" si="12"/>
        <v>-1424408715.5385318</v>
      </c>
      <c r="Q81" s="153">
        <f t="shared" ca="1" si="12"/>
        <v>-1342788711.3129413</v>
      </c>
      <c r="R81" s="153">
        <f t="shared" ca="1" si="12"/>
        <v>-1074122784.905514</v>
      </c>
      <c r="S81" s="153">
        <f t="shared" ca="1" si="12"/>
        <v>-805456858.49808669</v>
      </c>
      <c r="T81" s="153">
        <f t="shared" ca="1" si="12"/>
        <v>-536790932.09065938</v>
      </c>
      <c r="U81" s="153">
        <f t="shared" ca="1" si="12"/>
        <v>-268125005.68323207</v>
      </c>
      <c r="V81" s="153">
        <f t="shared" ca="1" si="12"/>
        <v>540920.72419524193</v>
      </c>
      <c r="W81" s="153">
        <f t="shared" ca="1" si="12"/>
        <v>268665926.40742731</v>
      </c>
      <c r="X81" s="153">
        <f t="shared" ca="1" si="12"/>
        <v>268665926.40742731</v>
      </c>
      <c r="Y81" s="153">
        <f t="shared" ca="1" si="12"/>
        <v>268665926.40742731</v>
      </c>
      <c r="Z81" s="153">
        <f t="shared" ca="1" si="12"/>
        <v>268665926.40742731</v>
      </c>
      <c r="AA81" s="153">
        <f t="shared" ca="1" si="12"/>
        <v>268665926.40742731</v>
      </c>
      <c r="AB81" s="153">
        <f t="shared" ca="1" si="12"/>
        <v>268665926.40742731</v>
      </c>
      <c r="AC81" s="153">
        <f t="shared" ca="1" si="12"/>
        <v>268665926.40742731</v>
      </c>
      <c r="AD81" s="153">
        <f t="shared" ca="1" si="12"/>
        <v>268665926.40742731</v>
      </c>
      <c r="AE81" s="153">
        <f t="shared" ca="1" si="12"/>
        <v>268665926.40742731</v>
      </c>
      <c r="AF81" s="153">
        <f t="shared" ca="1" si="12"/>
        <v>268665926.40742731</v>
      </c>
      <c r="AG81" s="153">
        <f t="shared" ca="1" si="12"/>
        <v>268665926.40742731</v>
      </c>
      <c r="AH81" s="153">
        <f t="shared" ca="1" si="12"/>
        <v>268665926.40742731</v>
      </c>
      <c r="AI81" s="153">
        <f t="shared" ca="1" si="12"/>
        <v>268665926.40742731</v>
      </c>
      <c r="AJ81" s="153">
        <f t="shared" ca="1" si="12"/>
        <v>268665926.40742731</v>
      </c>
      <c r="AK81" s="155">
        <f t="shared" ca="1" si="12"/>
        <v>268665926.40742731</v>
      </c>
    </row>
    <row r="82" spans="2:37" x14ac:dyDescent="0.2">
      <c r="B82" s="868" t="s">
        <v>3002</v>
      </c>
      <c r="C82" s="866"/>
      <c r="D82" s="866"/>
      <c r="E82" s="866"/>
      <c r="F82" s="866"/>
      <c r="G82" s="866"/>
      <c r="H82" s="866">
        <f ca="1">IF(H81*($D$37)&lt;0,0,H81*$D$37)</f>
        <v>0</v>
      </c>
      <c r="I82" s="866">
        <f t="shared" ref="I82:AK82" ca="1" si="13">IF(I81*($D$37)&lt;0,0,I81*$D$37)</f>
        <v>0</v>
      </c>
      <c r="J82" s="866">
        <f t="shared" ca="1" si="13"/>
        <v>0</v>
      </c>
      <c r="K82" s="866">
        <f t="shared" ca="1" si="13"/>
        <v>0</v>
      </c>
      <c r="L82" s="866">
        <f t="shared" ca="1" si="13"/>
        <v>0</v>
      </c>
      <c r="M82" s="866">
        <f t="shared" ca="1" si="13"/>
        <v>0</v>
      </c>
      <c r="N82" s="866">
        <f t="shared" ca="1" si="13"/>
        <v>0</v>
      </c>
      <c r="O82" s="866">
        <f t="shared" ca="1" si="13"/>
        <v>0</v>
      </c>
      <c r="P82" s="866">
        <f t="shared" ca="1" si="13"/>
        <v>0</v>
      </c>
      <c r="Q82" s="866">
        <f t="shared" ca="1" si="13"/>
        <v>0</v>
      </c>
      <c r="R82" s="866">
        <f t="shared" ca="1" si="13"/>
        <v>0</v>
      </c>
      <c r="S82" s="866">
        <f t="shared" ca="1" si="13"/>
        <v>0</v>
      </c>
      <c r="T82" s="866">
        <f t="shared" ca="1" si="13"/>
        <v>0</v>
      </c>
      <c r="U82" s="866">
        <f t="shared" ca="1" si="13"/>
        <v>0</v>
      </c>
      <c r="V82" s="866">
        <f t="shared" ca="1" si="13"/>
        <v>189322.25346833467</v>
      </c>
      <c r="W82" s="866">
        <f t="shared" ca="1" si="13"/>
        <v>94033074.242599547</v>
      </c>
      <c r="X82" s="866">
        <f t="shared" ca="1" si="13"/>
        <v>94033074.242599547</v>
      </c>
      <c r="Y82" s="866">
        <f t="shared" ca="1" si="13"/>
        <v>94033074.242599547</v>
      </c>
      <c r="Z82" s="866">
        <f t="shared" ca="1" si="13"/>
        <v>94033074.242599547</v>
      </c>
      <c r="AA82" s="866">
        <f t="shared" ca="1" si="13"/>
        <v>94033074.242599547</v>
      </c>
      <c r="AB82" s="866">
        <f t="shared" ca="1" si="13"/>
        <v>94033074.242599547</v>
      </c>
      <c r="AC82" s="866">
        <f t="shared" ca="1" si="13"/>
        <v>94033074.242599547</v>
      </c>
      <c r="AD82" s="866">
        <f t="shared" ca="1" si="13"/>
        <v>94033074.242599547</v>
      </c>
      <c r="AE82" s="866">
        <f t="shared" ca="1" si="13"/>
        <v>94033074.242599547</v>
      </c>
      <c r="AF82" s="866">
        <f t="shared" ca="1" si="13"/>
        <v>94033074.242599547</v>
      </c>
      <c r="AG82" s="866">
        <f t="shared" ca="1" si="13"/>
        <v>94033074.242599547</v>
      </c>
      <c r="AH82" s="866">
        <f t="shared" ca="1" si="13"/>
        <v>94033074.242599547</v>
      </c>
      <c r="AI82" s="866">
        <f t="shared" ca="1" si="13"/>
        <v>94033074.242599547</v>
      </c>
      <c r="AJ82" s="866">
        <f t="shared" ca="1" si="13"/>
        <v>94033074.242599547</v>
      </c>
      <c r="AK82" s="867">
        <f t="shared" ca="1" si="13"/>
        <v>94033074.242599547</v>
      </c>
    </row>
    <row r="83" spans="2:37" x14ac:dyDescent="0.2">
      <c r="B83" s="123"/>
      <c r="AK83" s="140"/>
    </row>
    <row r="84" spans="2:37" x14ac:dyDescent="0.2">
      <c r="B84" s="123" t="s">
        <v>3004</v>
      </c>
      <c r="H84" s="153">
        <f ca="1">+H68-H60-H73-H82</f>
        <v>14453522.62373355</v>
      </c>
      <c r="I84" s="153">
        <f t="shared" ref="I84:Y84" ca="1" si="14">+I68-I60-I73-I82</f>
        <v>81620004.225590408</v>
      </c>
      <c r="J84" s="153">
        <f t="shared" ca="1" si="14"/>
        <v>81620004.225590408</v>
      </c>
      <c r="K84" s="153">
        <f t="shared" ca="1" si="14"/>
        <v>81620004.225590408</v>
      </c>
      <c r="L84" s="153">
        <f t="shared" ca="1" si="14"/>
        <v>81620004.225590408</v>
      </c>
      <c r="M84" s="153">
        <f t="shared" ca="1" si="14"/>
        <v>81620004.225590408</v>
      </c>
      <c r="N84" s="153">
        <f t="shared" ca="1" si="14"/>
        <v>81620004.225590408</v>
      </c>
      <c r="O84" s="153">
        <f t="shared" ca="1" si="14"/>
        <v>81620004.225590408</v>
      </c>
      <c r="P84" s="153">
        <f t="shared" ca="1" si="14"/>
        <v>81620004.225590408</v>
      </c>
      <c r="Q84" s="153">
        <f t="shared" ca="1" si="14"/>
        <v>81620004.225590408</v>
      </c>
      <c r="R84" s="153">
        <f t="shared" ca="1" si="14"/>
        <v>268665926.40742731</v>
      </c>
      <c r="S84" s="153">
        <f t="shared" ca="1" si="14"/>
        <v>268665926.40742731</v>
      </c>
      <c r="T84" s="153">
        <f t="shared" ca="1" si="14"/>
        <v>268665926.40742731</v>
      </c>
      <c r="U84" s="153">
        <f t="shared" ca="1" si="14"/>
        <v>268665926.40742731</v>
      </c>
      <c r="V84" s="153">
        <f t="shared" ca="1" si="14"/>
        <v>268476604.15395898</v>
      </c>
      <c r="W84" s="153">
        <f t="shared" ca="1" si="14"/>
        <v>174632852.16482776</v>
      </c>
      <c r="X84" s="153">
        <f t="shared" ca="1" si="14"/>
        <v>174632852.16482776</v>
      </c>
      <c r="Y84" s="153">
        <f t="shared" ca="1" si="14"/>
        <v>174632852.16482776</v>
      </c>
      <c r="Z84" s="153">
        <f t="shared" ref="Z84:AK84" ca="1" si="15">+Z68-Z56-Z73-Z82</f>
        <v>174632852.16482776</v>
      </c>
      <c r="AA84" s="153">
        <f t="shared" ca="1" si="15"/>
        <v>174632852.16482776</v>
      </c>
      <c r="AB84" s="153">
        <f t="shared" ca="1" si="15"/>
        <v>174632852.16482776</v>
      </c>
      <c r="AC84" s="153">
        <f t="shared" ca="1" si="15"/>
        <v>174632852.16482776</v>
      </c>
      <c r="AD84" s="153">
        <f t="shared" ca="1" si="15"/>
        <v>174632852.16482776</v>
      </c>
      <c r="AE84" s="153">
        <f t="shared" ca="1" si="15"/>
        <v>174632852.16482776</v>
      </c>
      <c r="AF84" s="153">
        <f t="shared" ca="1" si="15"/>
        <v>174632852.16482776</v>
      </c>
      <c r="AG84" s="153">
        <f t="shared" ca="1" si="15"/>
        <v>174632852.16482776</v>
      </c>
      <c r="AH84" s="153">
        <f t="shared" ca="1" si="15"/>
        <v>174632852.16482776</v>
      </c>
      <c r="AI84" s="153">
        <f t="shared" ca="1" si="15"/>
        <v>174632852.16482776</v>
      </c>
      <c r="AJ84" s="153">
        <f t="shared" ca="1" si="15"/>
        <v>174632852.16482776</v>
      </c>
      <c r="AK84" s="155">
        <f t="shared" ca="1" si="15"/>
        <v>174632852.16482776</v>
      </c>
    </row>
    <row r="85" spans="2:37" x14ac:dyDescent="0.2">
      <c r="B85" s="123" t="s">
        <v>3003</v>
      </c>
      <c r="E85" s="166">
        <f t="shared" ref="E85:AK85" si="16">1/(1+$D$36)^E51</f>
        <v>1.2100000000000002</v>
      </c>
      <c r="F85" s="166">
        <f t="shared" si="16"/>
        <v>1.1000000000000001</v>
      </c>
      <c r="G85" s="166">
        <f t="shared" si="16"/>
        <v>1</v>
      </c>
      <c r="H85" s="166">
        <f t="shared" si="16"/>
        <v>0.90909090909090906</v>
      </c>
      <c r="I85" s="166">
        <f t="shared" si="16"/>
        <v>0.82644628099173545</v>
      </c>
      <c r="J85" s="166">
        <f t="shared" si="16"/>
        <v>0.75131480090157754</v>
      </c>
      <c r="K85" s="166">
        <f t="shared" si="16"/>
        <v>0.68301345536507052</v>
      </c>
      <c r="L85" s="166">
        <f t="shared" si="16"/>
        <v>0.62092132305915493</v>
      </c>
      <c r="M85" s="166">
        <f t="shared" si="16"/>
        <v>0.56447393005377722</v>
      </c>
      <c r="N85" s="166">
        <f t="shared" si="16"/>
        <v>0.51315811823070645</v>
      </c>
      <c r="O85" s="166">
        <f t="shared" si="16"/>
        <v>0.46650738020973315</v>
      </c>
      <c r="P85" s="166">
        <f t="shared" si="16"/>
        <v>0.42409761837248466</v>
      </c>
      <c r="Q85" s="166">
        <f t="shared" si="16"/>
        <v>0.38554328942953148</v>
      </c>
      <c r="R85" s="166">
        <f t="shared" si="16"/>
        <v>0.3504938994813922</v>
      </c>
      <c r="S85" s="166">
        <f t="shared" si="16"/>
        <v>0.31863081771035656</v>
      </c>
      <c r="T85" s="166">
        <f t="shared" si="16"/>
        <v>0.28966437973668779</v>
      </c>
      <c r="U85" s="166">
        <f t="shared" si="16"/>
        <v>0.26333125430607973</v>
      </c>
      <c r="V85" s="166">
        <f t="shared" si="16"/>
        <v>0.23939204936916339</v>
      </c>
      <c r="W85" s="166">
        <f t="shared" si="16"/>
        <v>0.21762913579014853</v>
      </c>
      <c r="X85" s="166">
        <f t="shared" si="16"/>
        <v>0.19784466890013502</v>
      </c>
      <c r="Y85" s="166">
        <f t="shared" si="16"/>
        <v>0.17985878990921364</v>
      </c>
      <c r="Z85" s="166">
        <f t="shared" si="16"/>
        <v>0.16350799082655781</v>
      </c>
      <c r="AA85" s="166">
        <f t="shared" si="16"/>
        <v>0.14864362802414349</v>
      </c>
      <c r="AB85" s="166">
        <f t="shared" si="16"/>
        <v>0.13513057093103953</v>
      </c>
      <c r="AC85" s="166">
        <f t="shared" si="16"/>
        <v>0.12284597357367227</v>
      </c>
      <c r="AD85" s="166">
        <f t="shared" si="16"/>
        <v>0.11167815779424752</v>
      </c>
      <c r="AE85" s="166">
        <f t="shared" si="16"/>
        <v>0.10152559799477048</v>
      </c>
      <c r="AF85" s="166">
        <f t="shared" si="16"/>
        <v>9.2295998177064048E-2</v>
      </c>
      <c r="AG85" s="166">
        <f t="shared" si="16"/>
        <v>8.3905452888240042E-2</v>
      </c>
      <c r="AH85" s="166">
        <f t="shared" si="16"/>
        <v>7.6277684443854576E-2</v>
      </c>
      <c r="AI85" s="166">
        <f t="shared" si="16"/>
        <v>6.9343349494413245E-2</v>
      </c>
      <c r="AJ85" s="166">
        <f t="shared" si="16"/>
        <v>6.3039408631284766E-2</v>
      </c>
      <c r="AK85" s="869">
        <f t="shared" si="16"/>
        <v>5.7308553301167964E-2</v>
      </c>
    </row>
    <row r="86" spans="2:37" x14ac:dyDescent="0.2">
      <c r="B86" s="871" t="s">
        <v>3005</v>
      </c>
      <c r="D86" s="872">
        <f ca="1">SUM(H86:AK86)</f>
        <v>1151050018.639024</v>
      </c>
      <c r="H86" s="873">
        <f ca="1">+H85*H84</f>
        <v>13139566.021575954</v>
      </c>
      <c r="I86" s="873">
        <f ca="1">+I85*I84</f>
        <v>67454548.946768925</v>
      </c>
      <c r="J86" s="873">
        <f t="shared" ref="J86:AK86" ca="1" si="17">+J85*J84</f>
        <v>61322317.224335372</v>
      </c>
      <c r="K86" s="873">
        <f t="shared" ca="1" si="17"/>
        <v>55747561.113032162</v>
      </c>
      <c r="L86" s="873">
        <f t="shared" ca="1" si="17"/>
        <v>50679601.011847414</v>
      </c>
      <c r="M86" s="873">
        <f t="shared" ca="1" si="17"/>
        <v>46072364.55622492</v>
      </c>
      <c r="N86" s="873">
        <f t="shared" ca="1" si="17"/>
        <v>41883967.77838628</v>
      </c>
      <c r="O86" s="873">
        <f t="shared" ca="1" si="17"/>
        <v>38076334.343987532</v>
      </c>
      <c r="P86" s="873">
        <f t="shared" ca="1" si="17"/>
        <v>34614849.403625026</v>
      </c>
      <c r="Q86" s="873">
        <f t="shared" ca="1" si="17"/>
        <v>31468044.912386384</v>
      </c>
      <c r="R86" s="873">
        <f ca="1">+R85*R84</f>
        <v>94165768.204319939</v>
      </c>
      <c r="S86" s="873">
        <f t="shared" ca="1" si="17"/>
        <v>85605243.822109044</v>
      </c>
      <c r="T86" s="873">
        <f t="shared" ca="1" si="17"/>
        <v>77822948.92919004</v>
      </c>
      <c r="U86" s="873">
        <f t="shared" ca="1" si="17"/>
        <v>70748135.39017275</v>
      </c>
      <c r="V86" s="873">
        <f t="shared" ca="1" si="17"/>
        <v>64271164.476089887</v>
      </c>
      <c r="W86" s="873">
        <f t="shared" ca="1" si="17"/>
        <v>38005196.697200239</v>
      </c>
      <c r="X86" s="873">
        <f t="shared" ca="1" si="17"/>
        <v>34550178.815636575</v>
      </c>
      <c r="Y86" s="873">
        <f t="shared" ca="1" si="17"/>
        <v>31409253.46876052</v>
      </c>
      <c r="Z86" s="873">
        <f t="shared" ca="1" si="17"/>
        <v>28553866.789782286</v>
      </c>
      <c r="AA86" s="873">
        <f t="shared" ca="1" si="17"/>
        <v>25958060.717983902</v>
      </c>
      <c r="AB86" s="873">
        <f t="shared" ca="1" si="17"/>
        <v>23598237.016348999</v>
      </c>
      <c r="AC86" s="873">
        <f t="shared" ca="1" si="17"/>
        <v>21452942.74213545</v>
      </c>
      <c r="AD86" s="873">
        <f t="shared" ca="1" si="17"/>
        <v>19502675.220123135</v>
      </c>
      <c r="AE86" s="873">
        <f t="shared" ca="1" si="17"/>
        <v>17729704.745566487</v>
      </c>
      <c r="AF86" s="873">
        <f t="shared" ca="1" si="17"/>
        <v>16117913.405060438</v>
      </c>
      <c r="AG86" s="873">
        <f t="shared" ca="1" si="17"/>
        <v>14652648.550054943</v>
      </c>
      <c r="AH86" s="873">
        <f t="shared" ca="1" si="17"/>
        <v>13320589.590959039</v>
      </c>
      <c r="AI86" s="873">
        <f t="shared" ca="1" si="17"/>
        <v>12109626.900871852</v>
      </c>
      <c r="AJ86" s="873">
        <f t="shared" ca="1" si="17"/>
        <v>11008751.728065319</v>
      </c>
      <c r="AK86" s="874">
        <f t="shared" ca="1" si="17"/>
        <v>10007956.116423016</v>
      </c>
    </row>
    <row r="87" spans="2:37" x14ac:dyDescent="0.2">
      <c r="B87" s="870" t="s">
        <v>3006</v>
      </c>
      <c r="E87" s="875">
        <f ca="1">+SUM(E52,E57,E53)*E85</f>
        <v>493059244.08079499</v>
      </c>
      <c r="F87" s="875">
        <f ca="1">+(F52+F57)*F85</f>
        <v>526469829.40865171</v>
      </c>
      <c r="G87" s="875">
        <f ca="1">+(G52+G57+G54)*G85</f>
        <v>539690146.16748309</v>
      </c>
      <c r="AK87" s="140"/>
    </row>
    <row r="88" spans="2:37" x14ac:dyDescent="0.2">
      <c r="B88" s="123"/>
      <c r="AK88" s="140"/>
    </row>
    <row r="89" spans="2:37" x14ac:dyDescent="0.2">
      <c r="B89" s="123" t="s">
        <v>686</v>
      </c>
      <c r="D89" s="132">
        <f ca="1">E89</f>
        <v>379665742.36200845</v>
      </c>
      <c r="E89" s="101">
        <f ca="1">E53*E85</f>
        <v>379665742.36200845</v>
      </c>
      <c r="AK89" s="140"/>
    </row>
    <row r="90" spans="2:37" x14ac:dyDescent="0.2">
      <c r="B90" s="877" t="s">
        <v>3007</v>
      </c>
      <c r="C90" s="10"/>
      <c r="D90" s="878">
        <f ca="1">SUM(H90:AK90)</f>
        <v>3770612259.5973458</v>
      </c>
      <c r="H90" s="876">
        <f ca="1">H85*H68</f>
        <v>279453490.46380246</v>
      </c>
      <c r="I90" s="876">
        <f t="shared" ref="I90:AK90" ca="1" si="18">I85*I68</f>
        <v>338731503.59248787</v>
      </c>
      <c r="J90" s="876">
        <f t="shared" ca="1" si="18"/>
        <v>307937730.5386253</v>
      </c>
      <c r="K90" s="876">
        <f t="shared" ca="1" si="18"/>
        <v>279943391.39875025</v>
      </c>
      <c r="L90" s="876">
        <f t="shared" ca="1" si="18"/>
        <v>254493992.180682</v>
      </c>
      <c r="M90" s="876">
        <f t="shared" ca="1" si="18"/>
        <v>231358174.70971093</v>
      </c>
      <c r="N90" s="876">
        <f t="shared" ca="1" si="18"/>
        <v>210325613.37246445</v>
      </c>
      <c r="O90" s="876">
        <f t="shared" ca="1" si="18"/>
        <v>191205103.06587675</v>
      </c>
      <c r="P90" s="876">
        <f t="shared" ca="1" si="18"/>
        <v>173822820.96897888</v>
      </c>
      <c r="Q90" s="876">
        <f t="shared" ca="1" si="18"/>
        <v>158020746.33543533</v>
      </c>
      <c r="R90" s="876">
        <f t="shared" ca="1" si="18"/>
        <v>143655223.9413048</v>
      </c>
      <c r="S90" s="876">
        <f t="shared" ca="1" si="18"/>
        <v>130595658.12845893</v>
      </c>
      <c r="T90" s="876">
        <f t="shared" ca="1" si="18"/>
        <v>118723325.5713263</v>
      </c>
      <c r="U90" s="876">
        <f t="shared" ca="1" si="18"/>
        <v>107930295.97393297</v>
      </c>
      <c r="V90" s="876">
        <f t="shared" ca="1" si="18"/>
        <v>98118450.885393605</v>
      </c>
      <c r="W90" s="876">
        <f t="shared" ca="1" si="18"/>
        <v>89198591.71399419</v>
      </c>
      <c r="X90" s="876">
        <f t="shared" ca="1" si="18"/>
        <v>81089628.830903798</v>
      </c>
      <c r="Y90" s="876">
        <f t="shared" ca="1" si="18"/>
        <v>73717844.391730726</v>
      </c>
      <c r="Z90" s="876">
        <f t="shared" ca="1" si="18"/>
        <v>67016222.174300641</v>
      </c>
      <c r="AA90" s="876">
        <f t="shared" ca="1" si="18"/>
        <v>60923838.340273321</v>
      </c>
      <c r="AB90" s="876">
        <f t="shared" ca="1" si="18"/>
        <v>55385307.582066655</v>
      </c>
      <c r="AC90" s="876">
        <f t="shared" ca="1" si="18"/>
        <v>50350279.620060585</v>
      </c>
      <c r="AD90" s="876">
        <f t="shared" ca="1" si="18"/>
        <v>45772981.472782344</v>
      </c>
      <c r="AE90" s="876">
        <f t="shared" ca="1" si="18"/>
        <v>41611801.338893048</v>
      </c>
      <c r="AF90" s="876">
        <f t="shared" ca="1" si="18"/>
        <v>37828910.308084577</v>
      </c>
      <c r="AG90" s="876">
        <f t="shared" ca="1" si="18"/>
        <v>34389918.461895071</v>
      </c>
      <c r="AH90" s="876">
        <f t="shared" ca="1" si="18"/>
        <v>31263562.238086425</v>
      </c>
      <c r="AI90" s="876">
        <f t="shared" ca="1" si="18"/>
        <v>28421420.216442201</v>
      </c>
      <c r="AJ90" s="876">
        <f t="shared" ca="1" si="18"/>
        <v>25837654.742220182</v>
      </c>
      <c r="AK90" s="1143">
        <f t="shared" ca="1" si="18"/>
        <v>23488777.038381983</v>
      </c>
    </row>
    <row r="91" spans="2:37" x14ac:dyDescent="0.2">
      <c r="B91" s="123" t="s">
        <v>687</v>
      </c>
      <c r="D91" s="132">
        <f ca="1">SUM(H91:AK91)</f>
        <v>171264031.28338781</v>
      </c>
      <c r="H91" s="153">
        <f ca="1">+H85*H82</f>
        <v>0</v>
      </c>
      <c r="I91" s="153">
        <f t="shared" ref="I91:AK91" ca="1" si="19">+I85*I82</f>
        <v>0</v>
      </c>
      <c r="J91" s="153">
        <f t="shared" ca="1" si="19"/>
        <v>0</v>
      </c>
      <c r="K91" s="153">
        <f t="shared" ca="1" si="19"/>
        <v>0</v>
      </c>
      <c r="L91" s="153">
        <f t="shared" ca="1" si="19"/>
        <v>0</v>
      </c>
      <c r="M91" s="153">
        <f t="shared" ca="1" si="19"/>
        <v>0</v>
      </c>
      <c r="N91" s="153">
        <f t="shared" ca="1" si="19"/>
        <v>0</v>
      </c>
      <c r="O91" s="153">
        <f t="shared" ca="1" si="19"/>
        <v>0</v>
      </c>
      <c r="P91" s="153">
        <f t="shared" ca="1" si="19"/>
        <v>0</v>
      </c>
      <c r="Q91" s="153">
        <f t="shared" ca="1" si="19"/>
        <v>0</v>
      </c>
      <c r="R91" s="153">
        <f t="shared" ca="1" si="19"/>
        <v>0</v>
      </c>
      <c r="S91" s="153">
        <f t="shared" ca="1" si="19"/>
        <v>0</v>
      </c>
      <c r="T91" s="153">
        <f t="shared" ca="1" si="19"/>
        <v>0</v>
      </c>
      <c r="U91" s="153">
        <f t="shared" ca="1" si="19"/>
        <v>0</v>
      </c>
      <c r="V91" s="153">
        <f t="shared" ca="1" si="19"/>
        <v>45322.242248972841</v>
      </c>
      <c r="W91" s="153">
        <f t="shared" ca="1" si="19"/>
        <v>20464336.683107816</v>
      </c>
      <c r="X91" s="153">
        <f t="shared" ca="1" si="19"/>
        <v>18603942.439188924</v>
      </c>
      <c r="Y91" s="153">
        <f t="shared" ca="1" si="19"/>
        <v>16912674.944717199</v>
      </c>
      <c r="Z91" s="153">
        <f t="shared" ca="1" si="19"/>
        <v>15375159.040651996</v>
      </c>
      <c r="AA91" s="153">
        <f ca="1">+AA85*AA82</f>
        <v>13977417.309683636</v>
      </c>
      <c r="AB91" s="153">
        <f t="shared" ca="1" si="19"/>
        <v>12706743.008803304</v>
      </c>
      <c r="AC91" s="153">
        <f t="shared" ca="1" si="19"/>
        <v>11551584.553457547</v>
      </c>
      <c r="AD91" s="153">
        <f t="shared" ca="1" si="19"/>
        <v>10501440.503143223</v>
      </c>
      <c r="AE91" s="153">
        <f t="shared" ca="1" si="19"/>
        <v>9546764.0937665682</v>
      </c>
      <c r="AF91" s="153">
        <f t="shared" ca="1" si="19"/>
        <v>8678876.4488786962</v>
      </c>
      <c r="AG91" s="153">
        <f t="shared" ca="1" si="19"/>
        <v>7889887.6807988146</v>
      </c>
      <c r="AH91" s="153">
        <f t="shared" ca="1" si="19"/>
        <v>7172625.1643625582</v>
      </c>
      <c r="AI91" s="153">
        <f t="shared" ca="1" si="19"/>
        <v>6520568.331238688</v>
      </c>
      <c r="AJ91" s="153">
        <f t="shared" ca="1" si="19"/>
        <v>5927789.3920351714</v>
      </c>
      <c r="AK91" s="155">
        <f t="shared" ca="1" si="19"/>
        <v>5388899.4473047005</v>
      </c>
    </row>
    <row r="92" spans="2:37" x14ac:dyDescent="0.2">
      <c r="B92" s="877" t="s">
        <v>688</v>
      </c>
      <c r="C92" s="10"/>
      <c r="D92" s="878">
        <f ca="1">SUM(H92:AK92)</f>
        <v>1298981988.980222</v>
      </c>
      <c r="H92" s="879">
        <f t="shared" ref="H92:AK92" ca="1" si="20">H85*H71</f>
        <v>96272177.004192963</v>
      </c>
      <c r="I92" s="879">
        <f t="shared" ca="1" si="20"/>
        <v>116693547.88387024</v>
      </c>
      <c r="J92" s="879">
        <f t="shared" ca="1" si="20"/>
        <v>106085043.53079112</v>
      </c>
      <c r="K92" s="879">
        <f t="shared" ca="1" si="20"/>
        <v>96440948.664355561</v>
      </c>
      <c r="L92" s="879">
        <f t="shared" ca="1" si="20"/>
        <v>87673589.694868684</v>
      </c>
      <c r="M92" s="879">
        <f t="shared" ca="1" si="20"/>
        <v>79703263.358971536</v>
      </c>
      <c r="N92" s="879">
        <f t="shared" ca="1" si="20"/>
        <v>72457512.144519553</v>
      </c>
      <c r="O92" s="879">
        <f t="shared" ca="1" si="20"/>
        <v>65870465.585926875</v>
      </c>
      <c r="P92" s="879">
        <f t="shared" ca="1" si="20"/>
        <v>59882241.441751696</v>
      </c>
      <c r="Q92" s="879">
        <f t="shared" ca="1" si="20"/>
        <v>54438401.310683355</v>
      </c>
      <c r="R92" s="879">
        <f t="shared" ca="1" si="20"/>
        <v>49489455.736984864</v>
      </c>
      <c r="S92" s="879">
        <f t="shared" ca="1" si="20"/>
        <v>44990414.306349881</v>
      </c>
      <c r="T92" s="879">
        <f t="shared" ca="1" si="20"/>
        <v>40900376.642136253</v>
      </c>
      <c r="U92" s="879">
        <f t="shared" ca="1" si="20"/>
        <v>37182160.583760217</v>
      </c>
      <c r="V92" s="879">
        <f t="shared" ca="1" si="20"/>
        <v>33801964.167054743</v>
      </c>
      <c r="W92" s="879">
        <f t="shared" ca="1" si="20"/>
        <v>30729058.333686132</v>
      </c>
      <c r="X92" s="879">
        <f t="shared" ca="1" si="20"/>
        <v>27935507.576078299</v>
      </c>
      <c r="Y92" s="879">
        <f t="shared" ca="1" si="20"/>
        <v>25395915.978252999</v>
      </c>
      <c r="Z92" s="879">
        <f t="shared" ca="1" si="20"/>
        <v>23087196.343866356</v>
      </c>
      <c r="AA92" s="879">
        <f t="shared" ca="1" si="20"/>
        <v>20988360.312605783</v>
      </c>
      <c r="AB92" s="879">
        <f t="shared" ca="1" si="20"/>
        <v>19080327.556914344</v>
      </c>
      <c r="AC92" s="879">
        <f t="shared" ca="1" si="20"/>
        <v>17345752.324467584</v>
      </c>
      <c r="AD92" s="879">
        <f t="shared" ca="1" si="20"/>
        <v>15768865.749515984</v>
      </c>
      <c r="AE92" s="879">
        <f t="shared" ca="1" si="20"/>
        <v>14335332.499559987</v>
      </c>
      <c r="AF92" s="879">
        <f t="shared" ca="1" si="20"/>
        <v>13032120.454145439</v>
      </c>
      <c r="AG92" s="879">
        <f t="shared" ca="1" si="20"/>
        <v>11847382.231041308</v>
      </c>
      <c r="AH92" s="879">
        <f t="shared" ca="1" si="20"/>
        <v>10770347.482764825</v>
      </c>
      <c r="AI92" s="879">
        <f t="shared" ca="1" si="20"/>
        <v>9791224.9843316581</v>
      </c>
      <c r="AJ92" s="879">
        <f t="shared" ca="1" si="20"/>
        <v>8901113.6221196894</v>
      </c>
      <c r="AK92" s="880">
        <f t="shared" ca="1" si="20"/>
        <v>8091921.474654262</v>
      </c>
    </row>
    <row r="93" spans="2:37" x14ac:dyDescent="0.2">
      <c r="B93" s="123" t="s">
        <v>689</v>
      </c>
      <c r="D93" s="132">
        <f ca="1">SUM(E93:G93)</f>
        <v>1000727774.9090074</v>
      </c>
      <c r="E93" s="101">
        <f ca="1">E52*E85</f>
        <v>101244197.96320227</v>
      </c>
      <c r="F93" s="101">
        <f ca="1">F52*F85</f>
        <v>460200899.83273751</v>
      </c>
      <c r="G93" s="101">
        <f ca="1">G52*G85+G54*G85</f>
        <v>439282677.11306763</v>
      </c>
      <c r="AK93" s="140"/>
    </row>
    <row r="94" spans="2:37" x14ac:dyDescent="0.2">
      <c r="B94" s="877" t="s">
        <v>690</v>
      </c>
      <c r="C94" s="10"/>
      <c r="D94" s="879">
        <f ca="1">SUM(H94:AK94)</f>
        <v>229375466.39305761</v>
      </c>
      <c r="H94" s="879">
        <f ca="1">SUM(H62,H63,H65,H66)*H85</f>
        <v>16999831.936351791</v>
      </c>
      <c r="I94" s="879">
        <f t="shared" ref="I94:AK94" ca="1" si="21">SUM(I62,I63,I65,I66)*I85</f>
        <v>20605856.892547626</v>
      </c>
      <c r="J94" s="879">
        <f t="shared" ca="1" si="21"/>
        <v>18732597.175043292</v>
      </c>
      <c r="K94" s="879">
        <f t="shared" ca="1" si="21"/>
        <v>17029633.795493901</v>
      </c>
      <c r="L94" s="879">
        <f t="shared" ca="1" si="21"/>
        <v>15481485.268630818</v>
      </c>
      <c r="M94" s="879">
        <f t="shared" ca="1" si="21"/>
        <v>14074077.516937107</v>
      </c>
      <c r="N94" s="879">
        <f t="shared" ca="1" si="21"/>
        <v>12794615.924488276</v>
      </c>
      <c r="O94" s="879">
        <f t="shared" ca="1" si="21"/>
        <v>11631469.02226207</v>
      </c>
      <c r="P94" s="879">
        <f t="shared" ca="1" si="21"/>
        <v>10574062.747510973</v>
      </c>
      <c r="Q94" s="879">
        <f t="shared" ca="1" si="21"/>
        <v>9612784.3159190658</v>
      </c>
      <c r="R94" s="879">
        <f t="shared" ca="1" si="21"/>
        <v>8738894.8326536939</v>
      </c>
      <c r="S94" s="879">
        <f t="shared" ca="1" si="21"/>
        <v>7944449.8478669953</v>
      </c>
      <c r="T94" s="879">
        <f t="shared" ca="1" si="21"/>
        <v>7222227.1344245411</v>
      </c>
      <c r="U94" s="879">
        <f t="shared" ca="1" si="21"/>
        <v>6565661.031295036</v>
      </c>
      <c r="V94" s="879">
        <f t="shared" ca="1" si="21"/>
        <v>5968782.7557227593</v>
      </c>
      <c r="W94" s="879">
        <f t="shared" ca="1" si="21"/>
        <v>5426166.1415661452</v>
      </c>
      <c r="X94" s="879">
        <f t="shared" ca="1" si="21"/>
        <v>4932878.3105146773</v>
      </c>
      <c r="Y94" s="879">
        <f t="shared" ca="1" si="21"/>
        <v>4484434.8277406152</v>
      </c>
      <c r="Z94" s="879">
        <f t="shared" ca="1" si="21"/>
        <v>4076758.9343096488</v>
      </c>
      <c r="AA94" s="879">
        <f t="shared" ca="1" si="21"/>
        <v>3706144.4857360451</v>
      </c>
      <c r="AB94" s="879">
        <f t="shared" ca="1" si="21"/>
        <v>3369222.2597600408</v>
      </c>
      <c r="AC94" s="879">
        <f t="shared" ca="1" si="21"/>
        <v>3062929.3270545821</v>
      </c>
      <c r="AD94" s="879">
        <f t="shared" ca="1" si="21"/>
        <v>2784481.206413256</v>
      </c>
      <c r="AE94" s="879">
        <f t="shared" ca="1" si="21"/>
        <v>2531346.5512847789</v>
      </c>
      <c r="AF94" s="879">
        <f t="shared" ca="1" si="21"/>
        <v>2301224.1375316163</v>
      </c>
      <c r="AG94" s="879">
        <f t="shared" ca="1" si="21"/>
        <v>2092021.9432105604</v>
      </c>
      <c r="AH94" s="879">
        <f t="shared" ca="1" si="21"/>
        <v>1901838.1301914183</v>
      </c>
      <c r="AI94" s="879">
        <f t="shared" ca="1" si="21"/>
        <v>1728943.7547194709</v>
      </c>
      <c r="AJ94" s="879">
        <f t="shared" ca="1" si="21"/>
        <v>1571767.0497449734</v>
      </c>
      <c r="AK94" s="880">
        <f t="shared" ca="1" si="21"/>
        <v>1428879.136131794</v>
      </c>
    </row>
    <row r="95" spans="2:37" x14ac:dyDescent="0.2">
      <c r="B95" s="123"/>
      <c r="AK95" s="140"/>
    </row>
    <row r="96" spans="2:37" x14ac:dyDescent="0.2">
      <c r="B96" s="123" t="s">
        <v>692</v>
      </c>
      <c r="D96" s="101">
        <f ca="1">SUM(H96:AK96)</f>
        <v>1489417.7397244014</v>
      </c>
      <c r="E96">
        <f ca="1">D96/D94</f>
        <v>6.4933611390336592E-3</v>
      </c>
      <c r="G96" s="132"/>
      <c r="H96" s="101">
        <f t="shared" ref="H96:AK96" ca="1" si="22">H62*H85</f>
        <v>110386.04806561007</v>
      </c>
      <c r="I96" s="101">
        <f t="shared" ca="1" si="22"/>
        <v>133801.27038255765</v>
      </c>
      <c r="J96" s="101">
        <f t="shared" ca="1" si="22"/>
        <v>121637.51852959783</v>
      </c>
      <c r="K96" s="101">
        <f t="shared" ca="1" si="22"/>
        <v>110579.5622996344</v>
      </c>
      <c r="L96" s="101">
        <f t="shared" ca="1" si="22"/>
        <v>100526.87481784944</v>
      </c>
      <c r="M96" s="101">
        <f t="shared" ca="1" si="22"/>
        <v>91388.068016226767</v>
      </c>
      <c r="N96" s="101">
        <f t="shared" ca="1" si="22"/>
        <v>83080.061832933396</v>
      </c>
      <c r="O96" s="101">
        <f t="shared" ca="1" si="22"/>
        <v>75527.328939030369</v>
      </c>
      <c r="P96" s="101">
        <f t="shared" ca="1" si="22"/>
        <v>68661.208126391241</v>
      </c>
      <c r="Q96" s="101">
        <f t="shared" ca="1" si="22"/>
        <v>62419.280114901121</v>
      </c>
      <c r="R96" s="101">
        <f t="shared" ca="1" si="22"/>
        <v>56744.800104455557</v>
      </c>
      <c r="S96" s="101">
        <f t="shared" ca="1" si="22"/>
        <v>51586.181913141416</v>
      </c>
      <c r="T96" s="101">
        <f t="shared" ca="1" si="22"/>
        <v>46896.529011946746</v>
      </c>
      <c r="U96" s="101">
        <f t="shared" ca="1" si="22"/>
        <v>42633.208192678845</v>
      </c>
      <c r="V96" s="101">
        <f t="shared" ca="1" si="22"/>
        <v>38757.461993344405</v>
      </c>
      <c r="W96" s="101">
        <f t="shared" ca="1" si="22"/>
        <v>35234.056357585825</v>
      </c>
      <c r="X96" s="101">
        <f t="shared" ca="1" si="22"/>
        <v>32030.96032507802</v>
      </c>
      <c r="Y96" s="101">
        <f t="shared" ca="1" si="22"/>
        <v>29119.054840980014</v>
      </c>
      <c r="Z96" s="101">
        <f t="shared" ca="1" si="22"/>
        <v>26471.868037254553</v>
      </c>
      <c r="AA96" s="101">
        <f t="shared" ca="1" si="22"/>
        <v>24065.334579322323</v>
      </c>
      <c r="AB96" s="101">
        <f t="shared" ca="1" si="22"/>
        <v>21877.576890293021</v>
      </c>
      <c r="AC96" s="101">
        <f t="shared" ca="1" si="22"/>
        <v>19888.706263902743</v>
      </c>
      <c r="AD96" s="101">
        <f t="shared" ca="1" si="22"/>
        <v>18080.642058093399</v>
      </c>
      <c r="AE96" s="101">
        <f t="shared" ca="1" si="22"/>
        <v>16436.947325539459</v>
      </c>
      <c r="AF96" s="101">
        <f t="shared" ca="1" si="22"/>
        <v>14942.679386854048</v>
      </c>
      <c r="AG96" s="101">
        <f t="shared" ca="1" si="22"/>
        <v>13584.253988049135</v>
      </c>
      <c r="AH96" s="101">
        <f t="shared" ca="1" si="22"/>
        <v>12349.321807317394</v>
      </c>
      <c r="AI96" s="101">
        <f t="shared" ca="1" si="22"/>
        <v>11226.656188470357</v>
      </c>
      <c r="AJ96" s="101">
        <f t="shared" ca="1" si="22"/>
        <v>10206.051080427596</v>
      </c>
      <c r="AK96" s="150">
        <f t="shared" ca="1" si="22"/>
        <v>9278.228254934178</v>
      </c>
    </row>
    <row r="97" spans="2:37" x14ac:dyDescent="0.2">
      <c r="B97" s="123" t="s">
        <v>693</v>
      </c>
      <c r="D97" s="101">
        <f ca="1">SUM(H97:AK97)</f>
        <v>20620331.796957653</v>
      </c>
      <c r="E97">
        <f ca="1">D97/D94</f>
        <v>8.9897721500967628E-2</v>
      </c>
      <c r="H97" s="101">
        <f t="shared" ref="H97:AK97" ca="1" si="23">H66*H85</f>
        <v>1528246.156977409</v>
      </c>
      <c r="I97" s="101">
        <f t="shared" ca="1" si="23"/>
        <v>1852419.5842150412</v>
      </c>
      <c r="J97" s="101">
        <f t="shared" ca="1" si="23"/>
        <v>1684017.8038318553</v>
      </c>
      <c r="K97" s="101">
        <f t="shared" ca="1" si="23"/>
        <v>1530925.2762107777</v>
      </c>
      <c r="L97" s="101">
        <f t="shared" ca="1" si="23"/>
        <v>1391750.2511007066</v>
      </c>
      <c r="M97" s="101">
        <f t="shared" ca="1" si="23"/>
        <v>1265227.5010006425</v>
      </c>
      <c r="N97" s="101">
        <f t="shared" ca="1" si="23"/>
        <v>1150206.819091493</v>
      </c>
      <c r="O97" s="101">
        <f t="shared" ca="1" si="23"/>
        <v>1045642.5628104481</v>
      </c>
      <c r="P97" s="101">
        <f t="shared" ca="1" si="23"/>
        <v>950584.14800949825</v>
      </c>
      <c r="Q97" s="101">
        <f t="shared" ca="1" si="23"/>
        <v>864167.40728136199</v>
      </c>
      <c r="R97" s="101">
        <f t="shared" ca="1" si="23"/>
        <v>785606.7338921472</v>
      </c>
      <c r="S97" s="101">
        <f t="shared" ca="1" si="23"/>
        <v>714187.93990195205</v>
      </c>
      <c r="T97" s="101">
        <f t="shared" ca="1" si="23"/>
        <v>649261.76354722911</v>
      </c>
      <c r="U97" s="101">
        <f t="shared" ca="1" si="23"/>
        <v>590237.96686111717</v>
      </c>
      <c r="V97" s="101">
        <f t="shared" ca="1" si="23"/>
        <v>536579.9698737429</v>
      </c>
      <c r="W97" s="101">
        <f t="shared" ca="1" si="23"/>
        <v>487799.97261249356</v>
      </c>
      <c r="X97" s="101">
        <f t="shared" ca="1" si="23"/>
        <v>443454.52055681229</v>
      </c>
      <c r="Y97" s="101">
        <f t="shared" ca="1" si="23"/>
        <v>403140.47323346569</v>
      </c>
      <c r="Z97" s="101">
        <f t="shared" ca="1" si="23"/>
        <v>366491.33930315054</v>
      </c>
      <c r="AA97" s="101">
        <f t="shared" ca="1" si="23"/>
        <v>333173.94482104597</v>
      </c>
      <c r="AB97" s="101">
        <f t="shared" ca="1" si="23"/>
        <v>302885.40438276908</v>
      </c>
      <c r="AC97" s="101">
        <f t="shared" ca="1" si="23"/>
        <v>275350.36762069911</v>
      </c>
      <c r="AD97" s="101">
        <f t="shared" ca="1" si="23"/>
        <v>250318.51601881735</v>
      </c>
      <c r="AE97" s="101">
        <f t="shared" ca="1" si="23"/>
        <v>227562.28728983397</v>
      </c>
      <c r="AF97" s="101">
        <f t="shared" ca="1" si="23"/>
        <v>206874.80662712172</v>
      </c>
      <c r="AG97" s="101">
        <f t="shared" ca="1" si="23"/>
        <v>188068.00602465612</v>
      </c>
      <c r="AH97" s="101">
        <f t="shared" ca="1" si="23"/>
        <v>170970.91456786919</v>
      </c>
      <c r="AI97" s="101">
        <f t="shared" ca="1" si="23"/>
        <v>155428.10415260834</v>
      </c>
      <c r="AJ97" s="101">
        <f t="shared" ca="1" si="23"/>
        <v>141298.27650237121</v>
      </c>
      <c r="AK97" s="150">
        <f t="shared" ca="1" si="23"/>
        <v>128452.97863851927</v>
      </c>
    </row>
    <row r="98" spans="2:37" x14ac:dyDescent="0.2">
      <c r="B98" s="123"/>
      <c r="AK98" s="140"/>
    </row>
    <row r="99" spans="2:37" x14ac:dyDescent="0.2">
      <c r="B99" s="123" t="s">
        <v>3304</v>
      </c>
      <c r="D99" s="132">
        <f ca="1">D86-SUM(E87:G87)</f>
        <v>-408169201.01790571</v>
      </c>
      <c r="AK99" s="140"/>
    </row>
    <row r="100" spans="2:37" ht="16" thickBot="1" x14ac:dyDescent="0.25">
      <c r="B100" s="152"/>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c r="AH100" s="69"/>
      <c r="AI100" s="69"/>
      <c r="AJ100" s="69"/>
      <c r="AK100" s="193"/>
    </row>
    <row r="102" spans="2:37" ht="16" thickBot="1" x14ac:dyDescent="0.25"/>
    <row r="103" spans="2:37" ht="16" thickBot="1" x14ac:dyDescent="0.25">
      <c r="B103" s="62" t="s">
        <v>3305</v>
      </c>
    </row>
    <row r="104" spans="2:37" x14ac:dyDescent="0.2">
      <c r="B104" s="59" t="s">
        <v>519</v>
      </c>
      <c r="C104" s="60">
        <f t="shared" ref="C104:AI104" si="24">E51</f>
        <v>-2</v>
      </c>
      <c r="D104" s="60">
        <f t="shared" si="24"/>
        <v>-1</v>
      </c>
      <c r="E104" s="60">
        <f t="shared" si="24"/>
        <v>0</v>
      </c>
      <c r="F104" s="60">
        <f t="shared" si="24"/>
        <v>1</v>
      </c>
      <c r="G104" s="60">
        <f t="shared" si="24"/>
        <v>2</v>
      </c>
      <c r="H104" s="60">
        <f t="shared" si="24"/>
        <v>3</v>
      </c>
      <c r="I104" s="60">
        <f t="shared" si="24"/>
        <v>4</v>
      </c>
      <c r="J104" s="60">
        <f t="shared" si="24"/>
        <v>5</v>
      </c>
      <c r="K104" s="60">
        <f t="shared" si="24"/>
        <v>6</v>
      </c>
      <c r="L104" s="60">
        <f t="shared" si="24"/>
        <v>7</v>
      </c>
      <c r="M104" s="60">
        <f t="shared" si="24"/>
        <v>8</v>
      </c>
      <c r="N104" s="60">
        <f t="shared" si="24"/>
        <v>9</v>
      </c>
      <c r="O104" s="60">
        <f t="shared" si="24"/>
        <v>10</v>
      </c>
      <c r="P104" s="60">
        <f t="shared" si="24"/>
        <v>11</v>
      </c>
      <c r="Q104" s="60">
        <f t="shared" si="24"/>
        <v>12</v>
      </c>
      <c r="R104" s="60">
        <f t="shared" si="24"/>
        <v>13</v>
      </c>
      <c r="S104" s="60">
        <f t="shared" si="24"/>
        <v>14</v>
      </c>
      <c r="T104" s="60">
        <f t="shared" si="24"/>
        <v>15</v>
      </c>
      <c r="U104" s="60">
        <f t="shared" si="24"/>
        <v>16</v>
      </c>
      <c r="V104" s="60">
        <f t="shared" si="24"/>
        <v>17</v>
      </c>
      <c r="W104" s="60">
        <f t="shared" si="24"/>
        <v>18</v>
      </c>
      <c r="X104" s="60">
        <f t="shared" si="24"/>
        <v>19</v>
      </c>
      <c r="Y104" s="60">
        <f t="shared" si="24"/>
        <v>20</v>
      </c>
      <c r="Z104" s="60">
        <f t="shared" si="24"/>
        <v>21</v>
      </c>
      <c r="AA104" s="60">
        <f t="shared" si="24"/>
        <v>22</v>
      </c>
      <c r="AB104" s="60">
        <f t="shared" si="24"/>
        <v>23</v>
      </c>
      <c r="AC104" s="60">
        <f t="shared" si="24"/>
        <v>24</v>
      </c>
      <c r="AD104" s="60">
        <f t="shared" si="24"/>
        <v>25</v>
      </c>
      <c r="AE104" s="60">
        <f t="shared" si="24"/>
        <v>26</v>
      </c>
      <c r="AF104" s="60">
        <f t="shared" si="24"/>
        <v>27</v>
      </c>
      <c r="AG104" s="60">
        <f t="shared" si="24"/>
        <v>28</v>
      </c>
      <c r="AH104" s="60">
        <f t="shared" si="24"/>
        <v>29</v>
      </c>
      <c r="AI104" s="106">
        <f t="shared" si="24"/>
        <v>30</v>
      </c>
    </row>
    <row r="105" spans="2:37" x14ac:dyDescent="0.2">
      <c r="B105" s="123" t="s">
        <v>694</v>
      </c>
      <c r="C105" s="132">
        <f ca="1">SUM(E52:E54)/(10^6)</f>
        <v>397.44623167372777</v>
      </c>
      <c r="D105" s="132">
        <f ca="1">SUM(F52:F54)/(10^6)</f>
        <v>418.36445439339769</v>
      </c>
      <c r="E105" s="132">
        <f ca="1">SUM(G52:G54)/(10^6)</f>
        <v>439.28267711306762</v>
      </c>
      <c r="AI105" s="140"/>
    </row>
    <row r="106" spans="2:37" x14ac:dyDescent="0.2">
      <c r="B106" s="123" t="s">
        <v>695</v>
      </c>
      <c r="F106">
        <f ca="1">H82/(10^6)</f>
        <v>0</v>
      </c>
      <c r="G106">
        <f t="shared" ref="G106:Q106" ca="1" si="25">I82/(10^6)</f>
        <v>0</v>
      </c>
      <c r="H106">
        <f t="shared" ca="1" si="25"/>
        <v>0</v>
      </c>
      <c r="I106">
        <f t="shared" ca="1" si="25"/>
        <v>0</v>
      </c>
      <c r="J106">
        <f t="shared" ca="1" si="25"/>
        <v>0</v>
      </c>
      <c r="K106">
        <f t="shared" ca="1" si="25"/>
        <v>0</v>
      </c>
      <c r="L106">
        <f t="shared" ca="1" si="25"/>
        <v>0</v>
      </c>
      <c r="M106">
        <f t="shared" ca="1" si="25"/>
        <v>0</v>
      </c>
      <c r="N106">
        <f t="shared" ca="1" si="25"/>
        <v>0</v>
      </c>
      <c r="O106">
        <f t="shared" ca="1" si="25"/>
        <v>0</v>
      </c>
      <c r="P106">
        <f t="shared" ca="1" si="25"/>
        <v>0</v>
      </c>
      <c r="Q106">
        <f t="shared" ca="1" si="25"/>
        <v>0</v>
      </c>
      <c r="R106">
        <f ca="1">T82/(10^6)*-1</f>
        <v>0</v>
      </c>
      <c r="S106">
        <f ca="1">U82/(10^6)*-1</f>
        <v>0</v>
      </c>
      <c r="T106">
        <f ca="1">V82/(10^6)*-1</f>
        <v>-0.18932225346833467</v>
      </c>
      <c r="U106">
        <f t="shared" ref="U106:AI106" ca="1" si="26">W82/(10^6)*-1</f>
        <v>-94.033074242599554</v>
      </c>
      <c r="V106">
        <f t="shared" ca="1" si="26"/>
        <v>-94.033074242599554</v>
      </c>
      <c r="W106">
        <f t="shared" ca="1" si="26"/>
        <v>-94.033074242599554</v>
      </c>
      <c r="X106">
        <f t="shared" ca="1" si="26"/>
        <v>-94.033074242599554</v>
      </c>
      <c r="Y106">
        <f t="shared" ca="1" si="26"/>
        <v>-94.033074242599554</v>
      </c>
      <c r="Z106">
        <f t="shared" ca="1" si="26"/>
        <v>-94.033074242599554</v>
      </c>
      <c r="AA106">
        <f t="shared" ca="1" si="26"/>
        <v>-94.033074242599554</v>
      </c>
      <c r="AB106">
        <f t="shared" ca="1" si="26"/>
        <v>-94.033074242599554</v>
      </c>
      <c r="AC106">
        <f t="shared" ca="1" si="26"/>
        <v>-94.033074242599554</v>
      </c>
      <c r="AD106">
        <f t="shared" ca="1" si="26"/>
        <v>-94.033074242599554</v>
      </c>
      <c r="AE106">
        <f t="shared" ca="1" si="26"/>
        <v>-94.033074242599554</v>
      </c>
      <c r="AF106">
        <f t="shared" ca="1" si="26"/>
        <v>-94.033074242599554</v>
      </c>
      <c r="AG106">
        <f t="shared" ca="1" si="26"/>
        <v>-94.033074242599554</v>
      </c>
      <c r="AH106">
        <f t="shared" ca="1" si="26"/>
        <v>-94.033074242599554</v>
      </c>
      <c r="AI106" s="140">
        <f t="shared" ca="1" si="26"/>
        <v>-94.033074242599554</v>
      </c>
    </row>
    <row r="107" spans="2:37" x14ac:dyDescent="0.2">
      <c r="B107" s="123" t="s">
        <v>652</v>
      </c>
      <c r="E107" s="132">
        <f ca="1">(H77*-1)/10^6</f>
        <v>-298.92140266408262</v>
      </c>
      <c r="F107" s="132">
        <f t="shared" ref="F107:AI107" ca="1" si="27">(I77*-1)/10^6</f>
        <v>-512.2872744047155</v>
      </c>
      <c r="G107" s="132">
        <f t="shared" ca="1" si="27"/>
        <v>-365.8597153670263</v>
      </c>
      <c r="H107" s="132">
        <f t="shared" ca="1" si="27"/>
        <v>-261.26860176867683</v>
      </c>
      <c r="I107" s="132">
        <f t="shared" ca="1" si="27"/>
        <v>-186.79972888665205</v>
      </c>
      <c r="J107" s="132">
        <f t="shared" ca="1" si="27"/>
        <v>-186.59054665945536</v>
      </c>
      <c r="K107" s="132">
        <f t="shared" ca="1" si="27"/>
        <v>-186.79972888665205</v>
      </c>
      <c r="L107" s="132">
        <f t="shared" ca="1" si="27"/>
        <v>-93.295273329727678</v>
      </c>
      <c r="M107" s="132">
        <f t="shared" ca="1" si="27"/>
        <v>0</v>
      </c>
      <c r="N107" s="132">
        <f t="shared" ca="1" si="27"/>
        <v>0</v>
      </c>
      <c r="O107" s="132">
        <f t="shared" ca="1" si="27"/>
        <v>0</v>
      </c>
      <c r="P107" s="132">
        <f t="shared" ca="1" si="27"/>
        <v>0</v>
      </c>
      <c r="Q107" s="132">
        <f t="shared" ca="1" si="27"/>
        <v>0</v>
      </c>
      <c r="R107" s="132">
        <f t="shared" ca="1" si="27"/>
        <v>0</v>
      </c>
      <c r="S107" s="132">
        <f t="shared" ca="1" si="27"/>
        <v>0</v>
      </c>
      <c r="T107" s="132">
        <f t="shared" ca="1" si="27"/>
        <v>0</v>
      </c>
      <c r="U107" s="132">
        <f t="shared" ca="1" si="27"/>
        <v>0</v>
      </c>
      <c r="V107" s="132">
        <f t="shared" ca="1" si="27"/>
        <v>0</v>
      </c>
      <c r="W107" s="132">
        <f t="shared" ca="1" si="27"/>
        <v>0</v>
      </c>
      <c r="X107" s="132">
        <f t="shared" ca="1" si="27"/>
        <v>0</v>
      </c>
      <c r="Y107" s="132">
        <f t="shared" ca="1" si="27"/>
        <v>0</v>
      </c>
      <c r="Z107" s="132">
        <f t="shared" ca="1" si="27"/>
        <v>0</v>
      </c>
      <c r="AA107" s="132">
        <f t="shared" ca="1" si="27"/>
        <v>0</v>
      </c>
      <c r="AB107" s="132">
        <f t="shared" ca="1" si="27"/>
        <v>0</v>
      </c>
      <c r="AC107" s="132">
        <f t="shared" ca="1" si="27"/>
        <v>0</v>
      </c>
      <c r="AD107" s="132">
        <f t="shared" ca="1" si="27"/>
        <v>0</v>
      </c>
      <c r="AE107" s="132">
        <f t="shared" ca="1" si="27"/>
        <v>0</v>
      </c>
      <c r="AF107" s="132">
        <f t="shared" ca="1" si="27"/>
        <v>0</v>
      </c>
      <c r="AG107" s="132">
        <f t="shared" ca="1" si="27"/>
        <v>0</v>
      </c>
      <c r="AH107" s="132">
        <f t="shared" ca="1" si="27"/>
        <v>0</v>
      </c>
      <c r="AI107" s="124">
        <f t="shared" si="27"/>
        <v>0</v>
      </c>
    </row>
    <row r="108" spans="2:37" x14ac:dyDescent="0.2">
      <c r="B108" s="123" t="s">
        <v>677</v>
      </c>
      <c r="C108" s="132">
        <f t="shared" ref="C108:AI108" ca="1" si="28">(E57*-1)/(10^6)</f>
        <v>-10.040746905441544</v>
      </c>
      <c r="D108" s="132">
        <f t="shared" ca="1" si="28"/>
        <v>-60.244481432649259</v>
      </c>
      <c r="E108" s="132">
        <f t="shared" ca="1" si="28"/>
        <v>-100.40746905441543</v>
      </c>
      <c r="F108" s="132">
        <f t="shared" ca="1" si="28"/>
        <v>-100.40746905441543</v>
      </c>
      <c r="G108" s="132">
        <f t="shared" ca="1" si="28"/>
        <v>-93.476392804221703</v>
      </c>
      <c r="H108" s="132">
        <f t="shared" ca="1" si="28"/>
        <v>-85.990830454012496</v>
      </c>
      <c r="I108" s="132">
        <f t="shared" ca="1" si="28"/>
        <v>-77.906423115786538</v>
      </c>
      <c r="J108" s="132">
        <f t="shared" ca="1" si="28"/>
        <v>-69.175263190502491</v>
      </c>
      <c r="K108" s="132">
        <f t="shared" ca="1" si="28"/>
        <v>-59.745610471195747</v>
      </c>
      <c r="L108" s="132">
        <f t="shared" ca="1" si="28"/>
        <v>-49.561585534344445</v>
      </c>
      <c r="M108" s="132">
        <f t="shared" ca="1" si="28"/>
        <v>-38.562838602545042</v>
      </c>
      <c r="N108" s="132">
        <f t="shared" ca="1" si="28"/>
        <v>-26.684191916201687</v>
      </c>
      <c r="O108" s="132">
        <f t="shared" ca="1" si="28"/>
        <v>-13.855253494950865</v>
      </c>
      <c r="P108" s="132">
        <f t="shared" ca="1" si="28"/>
        <v>1.8626451492309572E-14</v>
      </c>
      <c r="Q108" s="132">
        <f t="shared" ca="1" si="28"/>
        <v>2.0116567611694336E-14</v>
      </c>
      <c r="R108" s="132">
        <f t="shared" ca="1" si="28"/>
        <v>2.1725893020629887E-14</v>
      </c>
      <c r="S108" s="132">
        <f t="shared" ca="1" si="28"/>
        <v>2.3463964462280273E-14</v>
      </c>
      <c r="T108" s="132">
        <f t="shared" ca="1" si="28"/>
        <v>2.5341081619262696E-14</v>
      </c>
      <c r="U108" s="132">
        <f t="shared" ca="1" si="28"/>
        <v>2.7368368148803711E-14</v>
      </c>
      <c r="V108" s="132">
        <f t="shared" ca="1" si="28"/>
        <v>2.9557837600708006E-14</v>
      </c>
      <c r="W108" s="132">
        <f t="shared" ca="1" si="28"/>
        <v>3.1922464608764651E-14</v>
      </c>
      <c r="X108" s="132">
        <f t="shared" ca="1" si="28"/>
        <v>3.4476261777465822E-14</v>
      </c>
      <c r="Y108" s="132">
        <f t="shared" ca="1" si="28"/>
        <v>3.7234362719663093E-14</v>
      </c>
      <c r="Z108" s="132">
        <f t="shared" ca="1" si="28"/>
        <v>4.0213111737236139E-14</v>
      </c>
      <c r="AA108" s="132">
        <f t="shared" ca="1" si="28"/>
        <v>4.3430160676215033E-14</v>
      </c>
      <c r="AB108" s="132">
        <f t="shared" ca="1" si="28"/>
        <v>4.6904573530312234E-14</v>
      </c>
      <c r="AC108" s="132">
        <f t="shared" ca="1" si="28"/>
        <v>5.0656939412737217E-14</v>
      </c>
      <c r="AD108" s="132">
        <f t="shared" ca="1" si="28"/>
        <v>5.4709494565756189E-14</v>
      </c>
      <c r="AE108" s="132">
        <f t="shared" ca="1" si="28"/>
        <v>5.9086254131016691E-14</v>
      </c>
      <c r="AF108" s="132">
        <f t="shared" ca="1" si="28"/>
        <v>6.3813154461498039E-14</v>
      </c>
      <c r="AG108" s="132">
        <f t="shared" ca="1" si="28"/>
        <v>6.8918206818417875E-14</v>
      </c>
      <c r="AH108" s="132">
        <f t="shared" ca="1" si="28"/>
        <v>7.4431663363891301E-14</v>
      </c>
      <c r="AI108" s="124">
        <f t="shared" ca="1" si="28"/>
        <v>8.038619643300261E-14</v>
      </c>
    </row>
    <row r="109" spans="2:37" x14ac:dyDescent="0.2">
      <c r="B109" s="123" t="s">
        <v>3312</v>
      </c>
      <c r="F109" s="101">
        <f t="shared" ref="F109:AI109" ca="1" si="29">(H71*-1)/10^6</f>
        <v>-105.89939470461225</v>
      </c>
      <c r="G109" s="101">
        <f t="shared" ca="1" si="29"/>
        <v>-141.19919293948303</v>
      </c>
      <c r="H109" s="101">
        <f t="shared" ca="1" si="29"/>
        <v>-141.19919293948303</v>
      </c>
      <c r="I109" s="101">
        <f t="shared" ca="1" si="29"/>
        <v>-141.19919293948303</v>
      </c>
      <c r="J109" s="101">
        <f t="shared" ca="1" si="29"/>
        <v>-141.19919293948303</v>
      </c>
      <c r="K109" s="101">
        <f t="shared" ca="1" si="29"/>
        <v>-141.19919293948303</v>
      </c>
      <c r="L109" s="101">
        <f t="shared" ca="1" si="29"/>
        <v>-141.19919293948303</v>
      </c>
      <c r="M109" s="101">
        <f t="shared" ca="1" si="29"/>
        <v>-141.19919293948303</v>
      </c>
      <c r="N109" s="101">
        <f t="shared" ca="1" si="29"/>
        <v>-141.19919293948303</v>
      </c>
      <c r="O109" s="101">
        <f t="shared" ca="1" si="29"/>
        <v>-141.19919293948303</v>
      </c>
      <c r="P109" s="101">
        <f t="shared" ca="1" si="29"/>
        <v>-141.19919293948303</v>
      </c>
      <c r="Q109" s="101">
        <f t="shared" ca="1" si="29"/>
        <v>-141.19919293948303</v>
      </c>
      <c r="R109" s="101">
        <f t="shared" ca="1" si="29"/>
        <v>-141.19919293948303</v>
      </c>
      <c r="S109" s="101">
        <f t="shared" ca="1" si="29"/>
        <v>-141.19919293948303</v>
      </c>
      <c r="T109" s="101">
        <f t="shared" ca="1" si="29"/>
        <v>-141.19919293948303</v>
      </c>
      <c r="U109" s="101">
        <f t="shared" ca="1" si="29"/>
        <v>-141.19919293948303</v>
      </c>
      <c r="V109" s="101">
        <f t="shared" ca="1" si="29"/>
        <v>-141.19919293948303</v>
      </c>
      <c r="W109" s="101">
        <f t="shared" ca="1" si="29"/>
        <v>-141.19919293948303</v>
      </c>
      <c r="X109" s="101">
        <f t="shared" ca="1" si="29"/>
        <v>-141.19919293948303</v>
      </c>
      <c r="Y109" s="101">
        <f t="shared" ca="1" si="29"/>
        <v>-141.19919293948303</v>
      </c>
      <c r="Z109" s="101">
        <f t="shared" ca="1" si="29"/>
        <v>-141.19919293948303</v>
      </c>
      <c r="AA109" s="101">
        <f t="shared" ca="1" si="29"/>
        <v>-141.19919293948303</v>
      </c>
      <c r="AB109" s="101">
        <f t="shared" ca="1" si="29"/>
        <v>-141.19919293948303</v>
      </c>
      <c r="AC109" s="101">
        <f t="shared" ca="1" si="29"/>
        <v>-141.19919293948303</v>
      </c>
      <c r="AD109" s="101">
        <f t="shared" ca="1" si="29"/>
        <v>-141.19919293948303</v>
      </c>
      <c r="AE109" s="101">
        <f t="shared" ca="1" si="29"/>
        <v>-141.19919293948303</v>
      </c>
      <c r="AF109" s="101">
        <f t="shared" ca="1" si="29"/>
        <v>-141.19919293948303</v>
      </c>
      <c r="AG109" s="101">
        <f t="shared" ca="1" si="29"/>
        <v>-141.19919293948303</v>
      </c>
      <c r="AH109" s="101">
        <f t="shared" ca="1" si="29"/>
        <v>-141.19919293948303</v>
      </c>
      <c r="AI109" s="150">
        <f t="shared" ca="1" si="29"/>
        <v>-141.19919293948303</v>
      </c>
    </row>
    <row r="110" spans="2:37" x14ac:dyDescent="0.2">
      <c r="B110" s="123" t="s">
        <v>696</v>
      </c>
      <c r="F110" s="132">
        <f ca="1">H86/(10^6)</f>
        <v>13.139566021575954</v>
      </c>
      <c r="G110" s="132">
        <f t="shared" ref="G110:AI110" ca="1" si="30">I86/(10^6)</f>
        <v>67.454548946768924</v>
      </c>
      <c r="H110" s="132">
        <f t="shared" ca="1" si="30"/>
        <v>61.322317224335372</v>
      </c>
      <c r="I110" s="132">
        <f t="shared" ca="1" si="30"/>
        <v>55.747561113032162</v>
      </c>
      <c r="J110" s="132">
        <f t="shared" ca="1" si="30"/>
        <v>50.679601011847417</v>
      </c>
      <c r="K110" s="132">
        <f t="shared" ca="1" si="30"/>
        <v>46.072364556224919</v>
      </c>
      <c r="L110" s="132">
        <f t="shared" ca="1" si="30"/>
        <v>41.883967778386278</v>
      </c>
      <c r="M110" s="132">
        <f t="shared" ca="1" si="30"/>
        <v>38.076334343987533</v>
      </c>
      <c r="N110" s="132">
        <f t="shared" ca="1" si="30"/>
        <v>34.61484940362503</v>
      </c>
      <c r="O110" s="132">
        <f t="shared" ca="1" si="30"/>
        <v>31.468044912386382</v>
      </c>
      <c r="P110" s="132">
        <f t="shared" ca="1" si="30"/>
        <v>94.165768204319946</v>
      </c>
      <c r="Q110" s="132">
        <f t="shared" ca="1" si="30"/>
        <v>85.605243822109045</v>
      </c>
      <c r="R110" s="132">
        <f t="shared" ca="1" si="30"/>
        <v>77.822948929190034</v>
      </c>
      <c r="S110" s="132">
        <f t="shared" ca="1" si="30"/>
        <v>70.748135390172749</v>
      </c>
      <c r="T110" s="132">
        <f t="shared" ca="1" si="30"/>
        <v>64.271164476089893</v>
      </c>
      <c r="U110" s="132">
        <f t="shared" ca="1" si="30"/>
        <v>38.00519669720024</v>
      </c>
      <c r="V110" s="132">
        <f t="shared" ca="1" si="30"/>
        <v>34.550178815636578</v>
      </c>
      <c r="W110" s="132">
        <f t="shared" ca="1" si="30"/>
        <v>31.409253468760522</v>
      </c>
      <c r="X110" s="132">
        <f t="shared" ca="1" si="30"/>
        <v>28.553866789782287</v>
      </c>
      <c r="Y110" s="132">
        <f t="shared" ca="1" si="30"/>
        <v>25.958060717983901</v>
      </c>
      <c r="Z110" s="132">
        <f t="shared" ca="1" si="30"/>
        <v>23.598237016349</v>
      </c>
      <c r="AA110" s="132">
        <f t="shared" ca="1" si="30"/>
        <v>21.452942742135452</v>
      </c>
      <c r="AB110" s="132">
        <f t="shared" ca="1" si="30"/>
        <v>19.502675220123134</v>
      </c>
      <c r="AC110" s="132">
        <f t="shared" ca="1" si="30"/>
        <v>17.729704745566487</v>
      </c>
      <c r="AD110" s="132">
        <f t="shared" ca="1" si="30"/>
        <v>16.117913405060438</v>
      </c>
      <c r="AE110" s="132">
        <f t="shared" ca="1" si="30"/>
        <v>14.652648550054943</v>
      </c>
      <c r="AF110" s="132">
        <f t="shared" ca="1" si="30"/>
        <v>13.320589590959038</v>
      </c>
      <c r="AG110" s="132">
        <f t="shared" ca="1" si="30"/>
        <v>12.109626900871852</v>
      </c>
      <c r="AH110" s="132">
        <f t="shared" ca="1" si="30"/>
        <v>11.00875172806532</v>
      </c>
      <c r="AI110" s="124">
        <f t="shared" ca="1" si="30"/>
        <v>10.007956116423017</v>
      </c>
    </row>
    <row r="111" spans="2:37" x14ac:dyDescent="0.2">
      <c r="B111" s="123" t="s">
        <v>673</v>
      </c>
      <c r="F111" s="132">
        <f ca="1">(H86-SUM($E$87:$G$87))/(10^6)</f>
        <v>-1546.0796536353539</v>
      </c>
      <c r="G111" s="132">
        <f ca="1">(SUM($H$86:I86)-SUM($E$87:$G$87))/(10^6)</f>
        <v>-1478.6251046885848</v>
      </c>
      <c r="H111" s="132">
        <f ca="1">(SUM($H$86:J86)-SUM($E$87:$G$87))/(10^6)</f>
        <v>-1417.3027874642496</v>
      </c>
      <c r="I111" s="132">
        <f ca="1">(SUM($H$86:K86)-SUM($E$87:$G$87))/(10^6)</f>
        <v>-1361.5552263512172</v>
      </c>
      <c r="J111" s="132">
        <f ca="1">(SUM($H$86:L86)-SUM($E$87:$G$87))/(10^6)</f>
        <v>-1310.8756253393701</v>
      </c>
      <c r="K111" s="132">
        <f ca="1">(SUM($H$86:M86)-SUM($E$87:$G$87))/(10^6)</f>
        <v>-1264.8032607831449</v>
      </c>
      <c r="L111" s="132">
        <f ca="1">(SUM($H$86:N86)-SUM($E$87:$G$87))/(10^6)</f>
        <v>-1222.9192930047589</v>
      </c>
      <c r="M111" s="132">
        <f ca="1">(SUM($H$86:O86)-SUM($E$87:$G$87))/(10^6)</f>
        <v>-1184.842958660771</v>
      </c>
      <c r="N111" s="132">
        <f ca="1">(SUM($H$86:P86)-SUM($E$87:$G$87))/(10^6)</f>
        <v>-1150.2281092571461</v>
      </c>
      <c r="O111" s="132">
        <f ca="1">(SUM($H$86:Q86)-SUM($E$87:$G$87))/(10^6)</f>
        <v>-1118.7600643447599</v>
      </c>
      <c r="P111" s="132">
        <f ca="1">(SUM($H$86:R86)-SUM($E$87:$G$87))/(10^6)</f>
        <v>-1024.5942961404398</v>
      </c>
      <c r="Q111" s="132">
        <f ca="1">(SUM($H$86:S86)-SUM($E$87:$G$87))/(10^6)</f>
        <v>-938.98905231833078</v>
      </c>
      <c r="R111" s="132">
        <f ca="1">(SUM($H$86:T86)-SUM($E$87:$G$87))/(10^6)</f>
        <v>-861.16610338914074</v>
      </c>
      <c r="S111" s="132">
        <f ca="1">(SUM($H$86:U86)-SUM($E$87:$G$87))/(10^6)</f>
        <v>-790.41796799896804</v>
      </c>
      <c r="T111" s="132">
        <f ca="1">(SUM($H$86:V86)-SUM($E$87:$G$87))/(10^6)</f>
        <v>-726.14680352287814</v>
      </c>
      <c r="U111" s="132">
        <f ca="1">(SUM($H$86:W86)-SUM($E$87:$G$87))/(10^6)</f>
        <v>-688.14160682567785</v>
      </c>
      <c r="V111" s="132">
        <f ca="1">(SUM($H$86:X86)-SUM($E$87:$G$87))/(10^6)</f>
        <v>-653.59142801004123</v>
      </c>
      <c r="W111" s="132">
        <f ca="1">(SUM($H$86:Y86)-SUM($E$87:$G$87))/(10^6)</f>
        <v>-622.1821745412808</v>
      </c>
      <c r="X111" s="132">
        <f ca="1">(SUM($H$86:Z86)-SUM($E$87:$G$87))/(10^6)</f>
        <v>-593.62830775149848</v>
      </c>
      <c r="Y111" s="132">
        <f ca="1">(SUM($H$86:AA86)-SUM($E$87:$G$87))/(10^6)</f>
        <v>-567.67024703351456</v>
      </c>
      <c r="Z111" s="132">
        <f ca="1">(SUM($H$86:AB86)-SUM($E$87:$G$87))/(10^6)</f>
        <v>-544.07201001716555</v>
      </c>
      <c r="AA111" s="132">
        <f ca="1">(SUM($H$86:AC86)-SUM($E$87:$G$87))/(10^6)</f>
        <v>-522.61906727503015</v>
      </c>
      <c r="AB111" s="132">
        <f ca="1">(SUM($H$86:AD86)-SUM($E$87:$G$87))/(10^6)</f>
        <v>-503.11639205490695</v>
      </c>
      <c r="AC111" s="132">
        <f ca="1">(SUM($H$86:AE86)-SUM($E$87:$G$87))/(10^6)</f>
        <v>-485.38668730934046</v>
      </c>
      <c r="AD111" s="132">
        <f ca="1">(SUM($H$86:AF86)-SUM($E$87:$G$87))/(10^6)</f>
        <v>-469.26877390427995</v>
      </c>
      <c r="AE111" s="132">
        <f ca="1">(SUM($H$86:AG86)-SUM($E$87:$G$87))/(10^6)</f>
        <v>-454.61612535422495</v>
      </c>
      <c r="AF111" s="132">
        <f ca="1">(SUM($H$86:AH86)-SUM($E$87:$G$87))/(10^6)</f>
        <v>-441.29553576326583</v>
      </c>
      <c r="AG111" s="132">
        <f ca="1">(SUM($H$86:AI86)-SUM($E$87:$G$87))/(10^6)</f>
        <v>-429.18590886239411</v>
      </c>
      <c r="AH111" s="132">
        <f ca="1">(SUM($H$86:AJ86)-SUM($E$87:$G$87))/(10^6)</f>
        <v>-418.17715713432887</v>
      </c>
      <c r="AI111" s="124">
        <f ca="1">(SUM($H$86:AK86)-SUM($E$87:$G$87))/(10^6)</f>
        <v>-408.16920101790572</v>
      </c>
    </row>
    <row r="112" spans="2:37" ht="16" thickBot="1" x14ac:dyDescent="0.25">
      <c r="B112" s="152"/>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69"/>
      <c r="AG112" s="69"/>
      <c r="AH112" s="69"/>
      <c r="AI112" s="193"/>
    </row>
    <row r="114" spans="2:8" ht="16" thickBot="1" x14ac:dyDescent="0.25">
      <c r="E114" s="104"/>
      <c r="F114" s="104"/>
      <c r="G114" s="104"/>
      <c r="H114" s="104"/>
    </row>
    <row r="115" spans="2:8" ht="16" thickBot="1" x14ac:dyDescent="0.25">
      <c r="B115" s="1475" t="s">
        <v>3306</v>
      </c>
      <c r="C115" s="1476"/>
      <c r="D115" s="1477"/>
    </row>
    <row r="116" spans="2:8" x14ac:dyDescent="0.2">
      <c r="B116" s="59"/>
      <c r="C116" s="60"/>
      <c r="D116" s="60"/>
      <c r="E116" s="60"/>
      <c r="F116" s="60"/>
      <c r="G116" s="60"/>
      <c r="H116" s="106"/>
    </row>
    <row r="117" spans="2:8" x14ac:dyDescent="0.2">
      <c r="B117" s="1484" t="s">
        <v>2987</v>
      </c>
      <c r="C117" s="1485"/>
      <c r="D117" s="1486"/>
      <c r="H117" s="140"/>
    </row>
    <row r="118" spans="2:8" x14ac:dyDescent="0.2">
      <c r="B118" s="1151" t="s">
        <v>580</v>
      </c>
      <c r="C118" s="135" t="s">
        <v>372</v>
      </c>
      <c r="D118" s="9" t="s">
        <v>2988</v>
      </c>
      <c r="H118" s="140"/>
    </row>
    <row r="119" spans="2:8" x14ac:dyDescent="0.2">
      <c r="B119" s="162" t="s">
        <v>687</v>
      </c>
      <c r="C119" s="110" t="s">
        <v>2980</v>
      </c>
      <c r="D119" s="852">
        <f ca="1">D91</f>
        <v>171264031.28338781</v>
      </c>
      <c r="H119" s="140"/>
    </row>
    <row r="120" spans="2:8" x14ac:dyDescent="0.2">
      <c r="B120" s="123" t="s">
        <v>2989</v>
      </c>
      <c r="C120" t="s">
        <v>2980</v>
      </c>
      <c r="D120" s="853">
        <f ca="1">D92</f>
        <v>1298981988.980222</v>
      </c>
      <c r="H120" s="140"/>
    </row>
    <row r="121" spans="2:8" x14ac:dyDescent="0.2">
      <c r="B121" s="123" t="s">
        <v>2990</v>
      </c>
      <c r="C121" t="s">
        <v>2980</v>
      </c>
      <c r="D121" s="853">
        <f ca="1">D93</f>
        <v>1000727774.9090074</v>
      </c>
      <c r="H121" s="140"/>
    </row>
    <row r="122" spans="2:8" x14ac:dyDescent="0.2">
      <c r="B122" s="123" t="s">
        <v>690</v>
      </c>
      <c r="C122" t="s">
        <v>2980</v>
      </c>
      <c r="D122" s="853">
        <f ca="1">D94</f>
        <v>229375466.39305761</v>
      </c>
      <c r="H122" s="140"/>
    </row>
    <row r="123" spans="2:8" x14ac:dyDescent="0.2">
      <c r="B123" s="165" t="s">
        <v>2991</v>
      </c>
      <c r="C123" s="118" t="s">
        <v>360</v>
      </c>
      <c r="D123" s="854">
        <f>D43</f>
        <v>756.75</v>
      </c>
      <c r="H123" s="140"/>
    </row>
    <row r="124" spans="2:8" x14ac:dyDescent="0.2">
      <c r="B124" s="123"/>
      <c r="H124" s="140"/>
    </row>
    <row r="125" spans="2:8" x14ac:dyDescent="0.2">
      <c r="B125" s="1484" t="s">
        <v>2992</v>
      </c>
      <c r="C125" s="1485"/>
      <c r="D125" s="1485"/>
      <c r="H125" s="140"/>
    </row>
    <row r="126" spans="2:8" x14ac:dyDescent="0.2">
      <c r="B126" s="162" t="s">
        <v>2993</v>
      </c>
      <c r="C126" s="110" t="s">
        <v>2980</v>
      </c>
      <c r="D126" s="852">
        <f ca="1">SUM(D119:D121)</f>
        <v>2470973795.1726174</v>
      </c>
      <c r="H126" s="140"/>
    </row>
    <row r="127" spans="2:8" x14ac:dyDescent="0.2">
      <c r="B127" s="162" t="s">
        <v>687</v>
      </c>
      <c r="C127" s="110" t="s">
        <v>275</v>
      </c>
      <c r="D127" s="112">
        <f ca="1">D119/D$126*(1+D$130)</f>
        <v>7.5744276597294449E-2</v>
      </c>
      <c r="H127" s="140"/>
    </row>
    <row r="128" spans="2:8" x14ac:dyDescent="0.2">
      <c r="B128" s="123" t="s">
        <v>2989</v>
      </c>
      <c r="C128" t="s">
        <v>275</v>
      </c>
      <c r="D128" s="127">
        <f ca="1">D120/D$126*(1+D$130)</f>
        <v>0.57449570894087232</v>
      </c>
      <c r="H128" s="140"/>
    </row>
    <row r="129" spans="2:8" x14ac:dyDescent="0.2">
      <c r="B129" s="123" t="s">
        <v>2990</v>
      </c>
      <c r="C129" t="s">
        <v>275</v>
      </c>
      <c r="D129" s="127">
        <f ca="1">D121/D$126*(1+D$130)</f>
        <v>0.44258797841724767</v>
      </c>
      <c r="H129" s="140"/>
    </row>
    <row r="130" spans="2:8" x14ac:dyDescent="0.2">
      <c r="B130" s="165" t="s">
        <v>690</v>
      </c>
      <c r="C130" s="118" t="s">
        <v>275</v>
      </c>
      <c r="D130" s="120">
        <f ca="1">D122/D126</f>
        <v>9.2827963955414539E-2</v>
      </c>
      <c r="H130" s="140"/>
    </row>
    <row r="131" spans="2:8" x14ac:dyDescent="0.2">
      <c r="B131" s="162" t="s">
        <v>687</v>
      </c>
      <c r="C131" s="110" t="s">
        <v>2994</v>
      </c>
      <c r="D131" s="852">
        <f ca="1">D127*D$123</f>
        <v>57.319481315002577</v>
      </c>
      <c r="H131" s="140"/>
    </row>
    <row r="132" spans="2:8" x14ac:dyDescent="0.2">
      <c r="B132" s="123" t="s">
        <v>2989</v>
      </c>
      <c r="C132" t="s">
        <v>2994</v>
      </c>
      <c r="D132" s="853">
        <f ca="1">D128*D$123</f>
        <v>434.7496277410051</v>
      </c>
      <c r="H132" s="140"/>
    </row>
    <row r="133" spans="2:8" x14ac:dyDescent="0.2">
      <c r="B133" s="123" t="s">
        <v>2990</v>
      </c>
      <c r="C133" t="s">
        <v>2994</v>
      </c>
      <c r="D133" s="853">
        <f ca="1">D129*D$123</f>
        <v>334.9284526672522</v>
      </c>
      <c r="H133" s="140"/>
    </row>
    <row r="134" spans="2:8" x14ac:dyDescent="0.2">
      <c r="B134" s="165" t="s">
        <v>690</v>
      </c>
      <c r="C134" s="118" t="s">
        <v>2994</v>
      </c>
      <c r="D134" s="855">
        <f ca="1">D130*D$123</f>
        <v>70.247561723259949</v>
      </c>
      <c r="H134" s="140"/>
    </row>
    <row r="135" spans="2:8" x14ac:dyDescent="0.2">
      <c r="B135" s="1152" t="s">
        <v>2995</v>
      </c>
      <c r="C135" s="31"/>
      <c r="D135" s="856">
        <f ca="1">SUM(D131:D133)-D134</f>
        <v>756.74999999999989</v>
      </c>
      <c r="H135" s="140"/>
    </row>
    <row r="136" spans="2:8" x14ac:dyDescent="0.2">
      <c r="B136" s="123"/>
      <c r="H136" s="140"/>
    </row>
    <row r="137" spans="2:8" x14ac:dyDescent="0.2">
      <c r="B137" s="1168" t="s">
        <v>3309</v>
      </c>
      <c r="C137" s="1155"/>
      <c r="D137" s="1155"/>
      <c r="E137" s="1155"/>
      <c r="F137" s="1155"/>
      <c r="G137" s="1155"/>
      <c r="H137" s="1156"/>
    </row>
    <row r="138" spans="2:8" x14ac:dyDescent="0.2">
      <c r="B138" s="162"/>
      <c r="C138" s="110"/>
      <c r="D138" s="110"/>
      <c r="E138" s="110" t="s">
        <v>3040</v>
      </c>
      <c r="F138" s="110" t="s">
        <v>3041</v>
      </c>
      <c r="G138" s="110" t="s">
        <v>3042</v>
      </c>
      <c r="H138" s="167"/>
    </row>
    <row r="139" spans="2:8" x14ac:dyDescent="0.2">
      <c r="B139" s="123" t="s">
        <v>2982</v>
      </c>
      <c r="C139" t="s">
        <v>639</v>
      </c>
      <c r="E139" s="141">
        <v>0.45</v>
      </c>
      <c r="F139" s="141">
        <v>1.2</v>
      </c>
      <c r="G139" s="965">
        <v>0.38</v>
      </c>
      <c r="H139" s="140"/>
    </row>
    <row r="140" spans="2:8" x14ac:dyDescent="0.2">
      <c r="B140" s="123" t="s">
        <v>2983</v>
      </c>
      <c r="C140" t="s">
        <v>639</v>
      </c>
      <c r="E140" s="141">
        <v>1.8</v>
      </c>
      <c r="F140" s="141">
        <v>2</v>
      </c>
      <c r="G140" s="141">
        <v>1.5</v>
      </c>
      <c r="H140" s="140"/>
    </row>
    <row r="141" spans="2:8" x14ac:dyDescent="0.2">
      <c r="B141" s="123" t="s">
        <v>3037</v>
      </c>
      <c r="C141" t="s">
        <v>639</v>
      </c>
      <c r="E141" s="141">
        <v>572.29</v>
      </c>
      <c r="F141" s="141">
        <v>97.89</v>
      </c>
      <c r="G141" s="141">
        <v>756.75</v>
      </c>
      <c r="H141" s="140"/>
    </row>
    <row r="142" spans="2:8" x14ac:dyDescent="0.2">
      <c r="B142" s="123" t="s">
        <v>3043</v>
      </c>
      <c r="C142" t="s">
        <v>639</v>
      </c>
      <c r="E142" s="141">
        <v>60</v>
      </c>
      <c r="F142" s="141">
        <v>180</v>
      </c>
      <c r="G142" s="141">
        <v>15</v>
      </c>
      <c r="H142" s="140"/>
    </row>
    <row r="143" spans="2:8" x14ac:dyDescent="0.2">
      <c r="B143" s="165" t="s">
        <v>667</v>
      </c>
      <c r="C143" s="118" t="s">
        <v>639</v>
      </c>
      <c r="D143" s="118"/>
      <c r="E143" s="966">
        <v>0.03</v>
      </c>
      <c r="F143" s="966">
        <v>0.05</v>
      </c>
      <c r="G143" s="966">
        <v>0.01</v>
      </c>
      <c r="H143" s="169"/>
    </row>
    <row r="144" spans="2:8" x14ac:dyDescent="0.2">
      <c r="B144" s="123"/>
      <c r="H144" s="140"/>
    </row>
    <row r="145" spans="2:8" x14ac:dyDescent="0.2">
      <c r="B145" s="1168" t="s">
        <v>3310</v>
      </c>
      <c r="C145" s="1155"/>
      <c r="D145" s="1155"/>
      <c r="E145" s="1155"/>
      <c r="F145" s="1155"/>
      <c r="G145" s="1155"/>
      <c r="H145" s="1156"/>
    </row>
    <row r="146" spans="2:8" x14ac:dyDescent="0.2">
      <c r="B146" s="162" t="s">
        <v>3035</v>
      </c>
      <c r="C146" s="110"/>
      <c r="D146" s="110"/>
      <c r="E146" s="110" t="s">
        <v>3040</v>
      </c>
      <c r="F146" s="110" t="s">
        <v>3041</v>
      </c>
      <c r="G146" s="110" t="s">
        <v>3042</v>
      </c>
      <c r="H146" s="167"/>
    </row>
    <row r="147" spans="2:8" x14ac:dyDescent="0.2">
      <c r="B147" s="123" t="s">
        <v>2982</v>
      </c>
      <c r="C147" t="s">
        <v>639</v>
      </c>
      <c r="E147" s="141">
        <v>0.45</v>
      </c>
      <c r="F147" s="141">
        <v>1.2</v>
      </c>
      <c r="G147" s="965">
        <v>0.38</v>
      </c>
      <c r="H147" s="140"/>
    </row>
    <row r="148" spans="2:8" x14ac:dyDescent="0.2">
      <c r="B148" s="123" t="s">
        <v>2983</v>
      </c>
      <c r="C148" t="s">
        <v>639</v>
      </c>
      <c r="E148" s="141">
        <v>1.8</v>
      </c>
      <c r="F148" s="141">
        <v>2</v>
      </c>
      <c r="G148" s="141">
        <v>1.5</v>
      </c>
      <c r="H148" s="140"/>
    </row>
    <row r="149" spans="2:8" x14ac:dyDescent="0.2">
      <c r="B149" s="123" t="s">
        <v>3037</v>
      </c>
      <c r="C149" t="s">
        <v>639</v>
      </c>
      <c r="E149" s="141">
        <v>391.15</v>
      </c>
      <c r="F149" s="141">
        <v>-206.37</v>
      </c>
      <c r="G149" s="141">
        <v>623.66999999999996</v>
      </c>
      <c r="H149" s="140"/>
    </row>
    <row r="150" spans="2:8" x14ac:dyDescent="0.2">
      <c r="B150" s="123" t="s">
        <v>3043</v>
      </c>
      <c r="C150" t="s">
        <v>639</v>
      </c>
      <c r="E150" s="141">
        <v>60</v>
      </c>
      <c r="F150" s="141">
        <v>180</v>
      </c>
      <c r="G150" s="141">
        <v>15</v>
      </c>
      <c r="H150" s="140"/>
    </row>
    <row r="151" spans="2:8" x14ac:dyDescent="0.2">
      <c r="B151" s="165" t="s">
        <v>667</v>
      </c>
      <c r="C151" s="118" t="s">
        <v>639</v>
      </c>
      <c r="D151" s="118"/>
      <c r="E151" s="966">
        <v>0.03</v>
      </c>
      <c r="F151" s="966">
        <v>0.05</v>
      </c>
      <c r="G151" s="966">
        <v>0.01</v>
      </c>
      <c r="H151" s="169"/>
    </row>
    <row r="152" spans="2:8" ht="16" thickBot="1" x14ac:dyDescent="0.25">
      <c r="B152" s="152"/>
      <c r="C152" s="69"/>
      <c r="D152" s="69"/>
      <c r="E152" s="69"/>
      <c r="F152" s="69"/>
      <c r="G152" s="69"/>
      <c r="H152" s="193"/>
    </row>
    <row r="156" spans="2:8" ht="16" thickBot="1" x14ac:dyDescent="0.25"/>
    <row r="157" spans="2:8" ht="16" thickBot="1" x14ac:dyDescent="0.25">
      <c r="C157" s="1157" t="s">
        <v>3026</v>
      </c>
    </row>
    <row r="158" spans="2:8" x14ac:dyDescent="0.2">
      <c r="B158" s="59" t="s">
        <v>753</v>
      </c>
      <c r="C158" s="1150">
        <f ca="1">(CAPEX!B545/SUM(CAPEX!B$545:B$558)*D$133)+(OPEX!B666/SUM(OPEX!B$666:B$682)*D$132)</f>
        <v>204.96382700838049</v>
      </c>
    </row>
    <row r="159" spans="2:8" x14ac:dyDescent="0.2">
      <c r="B159" s="123" t="s">
        <v>2317</v>
      </c>
      <c r="C159" s="150">
        <f ca="1">(CAPEX!B546/SUM(CAPEX!B$545:B$558)*D$133)+(OPEX!B667/SUM(OPEX!B$666:B$682)*D$132)</f>
        <v>9.7303113633323353</v>
      </c>
    </row>
    <row r="160" spans="2:8" x14ac:dyDescent="0.2">
      <c r="B160" s="123" t="s">
        <v>2318</v>
      </c>
      <c r="C160" s="150">
        <f ca="1">(CAPEX!B547/SUM(CAPEX!B$545:B$558)*D$133)+(OPEX!B668/SUM(OPEX!B$666:B$682)*D$132)</f>
        <v>15.041992676693713</v>
      </c>
    </row>
    <row r="161" spans="2:6" x14ac:dyDescent="0.2">
      <c r="B161" s="123" t="s">
        <v>1415</v>
      </c>
      <c r="C161" s="150">
        <f ca="1">(CAPEX!B548/SUM(CAPEX!B$545:B$558)*D$133)+(OPEX!B669/SUM(OPEX!B$666:B$682)*D$132)</f>
        <v>26.021488946040396</v>
      </c>
    </row>
    <row r="162" spans="2:6" x14ac:dyDescent="0.2">
      <c r="B162" s="123" t="s">
        <v>2978</v>
      </c>
      <c r="C162" s="150">
        <f ca="1">(CAPEX!B549/SUM(CAPEX!B$545:B$558)*D$133)+(OPEX!B670/SUM(OPEX!B$666:B$682)*D$132)</f>
        <v>9.8703157987601493</v>
      </c>
    </row>
    <row r="163" spans="2:6" x14ac:dyDescent="0.2">
      <c r="B163" s="123" t="s">
        <v>2792</v>
      </c>
      <c r="C163" s="150">
        <f ca="1">(CAPEX!B550/SUM(CAPEX!B$545:B$558)*D$133)+(OPEX!B671/SUM(OPEX!B$666:B$682)*D$132)</f>
        <v>11.823844217289993</v>
      </c>
    </row>
    <row r="164" spans="2:6" x14ac:dyDescent="0.2">
      <c r="B164" s="123" t="s">
        <v>2979</v>
      </c>
      <c r="C164" s="150">
        <f ca="1">(CAPEX!B551/SUM(CAPEX!B$545:B$558)*D$133)+(OPEX!B672/SUM(OPEX!B$666:B$682)*D$132)</f>
        <v>30.740880095921064</v>
      </c>
    </row>
    <row r="165" spans="2:6" x14ac:dyDescent="0.2">
      <c r="B165" s="123" t="s">
        <v>1561</v>
      </c>
      <c r="C165" s="150">
        <f ca="1">(CAPEX!B552/SUM(CAPEX!B$545:B$558)*D$133)+(OPEX!B673/SUM(OPEX!B$666:B$682)*D$132)</f>
        <v>92.950189140626449</v>
      </c>
    </row>
    <row r="166" spans="2:6" x14ac:dyDescent="0.2">
      <c r="B166" s="123" t="s">
        <v>537</v>
      </c>
      <c r="C166" s="150">
        <f ca="1">(CAPEX!B553/SUM(CAPEX!B$545:B$558)*D$133)+(OPEX!B674/SUM(OPEX!B$666:B$682)*D$132)</f>
        <v>93.252987807181128</v>
      </c>
      <c r="F166" s="101"/>
    </row>
    <row r="167" spans="2:6" x14ac:dyDescent="0.2">
      <c r="B167" s="123" t="s">
        <v>534</v>
      </c>
      <c r="C167" s="150">
        <f ca="1">(CAPEX!$B$588/SUM(CAPEX!$B$578:$B$592)*D$133)+(OPEX!$B$704/SUM(OPEX!$B$694:$B$711)*D$132)</f>
        <v>11.835853185698918</v>
      </c>
      <c r="F167" s="101"/>
    </row>
    <row r="168" spans="2:6" x14ac:dyDescent="0.2">
      <c r="B168" s="123" t="s">
        <v>3038</v>
      </c>
      <c r="C168" s="150">
        <f ca="1">(SUM(CAPEX!$B$589,CAPEX!$B$590)/SUM(CAPEX!$B$578:$B$592)*D$133)+((OPEX!$B$705+OPEX!$B$706)/SUM(OPEX!$B$694:$B$711)*D$132)</f>
        <v>9.8032828988229728</v>
      </c>
      <c r="F168" s="101"/>
    </row>
    <row r="169" spans="2:6" x14ac:dyDescent="0.2">
      <c r="B169" s="123" t="s">
        <v>754</v>
      </c>
      <c r="C169" s="150">
        <f ca="1">(CAPEX!$B$587/SUM(CAPEX!$B$578:$B$592)*D$133)+(OPEX!$B$703/SUM(OPEX!$B$694:$B$711)*D$132)</f>
        <v>23.382340956777938</v>
      </c>
      <c r="F169" s="101"/>
    </row>
    <row r="170" spans="2:6" x14ac:dyDescent="0.2">
      <c r="B170" s="123" t="s">
        <v>755</v>
      </c>
      <c r="C170" s="150">
        <f ca="1">(CAPEX!$B$591/SUM(CAPEX!$B$578:$B$592)*D$133)+(OPEX!$B$707)/SUM(OPEX!$B$694:$B$711)*D$132</f>
        <v>4.7817965543372649</v>
      </c>
      <c r="F170" s="101"/>
    </row>
    <row r="171" spans="2:6" x14ac:dyDescent="0.2">
      <c r="B171" s="123" t="s">
        <v>3039</v>
      </c>
      <c r="C171" s="150">
        <f ca="1">(CAPEX!$B$592/SUM(CAPEX!$B$578:$B$592)*D$133)+(OPEX!$B$708/SUM(OPEX!$B$694:$B$711)*D$132)</f>
        <v>264.98985357236057</v>
      </c>
      <c r="F171" s="101"/>
    </row>
    <row r="172" spans="2:6" x14ac:dyDescent="0.2">
      <c r="B172" s="123" t="s">
        <v>2395</v>
      </c>
      <c r="C172" s="150">
        <f ca="1">(OPEX!$B$709/SUM(OPEX!$B$694:$B$711)*D$132)</f>
        <v>66.519844320612549</v>
      </c>
      <c r="F172" s="101"/>
    </row>
    <row r="173" spans="2:6" x14ac:dyDescent="0.2">
      <c r="B173" s="123" t="s">
        <v>2397</v>
      </c>
      <c r="C173" s="150">
        <f ca="1">(OPEX!$B$710)/SUM(OPEX!$B$694:$B$711)*D$132</f>
        <v>193.22042890735835</v>
      </c>
      <c r="F173" s="101"/>
    </row>
    <row r="174" spans="2:6" x14ac:dyDescent="0.2">
      <c r="B174" s="123" t="s">
        <v>2981</v>
      </c>
      <c r="C174" s="150">
        <f ca="1">(OPEX!$B$711/SUM(OPEX!$B$694:$B$711)*D$132)</f>
        <v>45.084766745050281</v>
      </c>
      <c r="F174" s="101"/>
    </row>
    <row r="175" spans="2:6" x14ac:dyDescent="0.2">
      <c r="B175" s="123" t="s">
        <v>695</v>
      </c>
      <c r="C175" s="150">
        <f ca="1">D131</f>
        <v>57.319481315002577</v>
      </c>
      <c r="F175" s="101"/>
    </row>
    <row r="176" spans="2:6" x14ac:dyDescent="0.2">
      <c r="B176" s="123" t="s">
        <v>2996</v>
      </c>
      <c r="C176" s="150">
        <f ca="1">D41/SUM(D41,D42,D44,D45)*D134*-1</f>
        <v>-1.5804661607364583</v>
      </c>
      <c r="F176" s="101"/>
    </row>
    <row r="177" spans="2:7" x14ac:dyDescent="0.2">
      <c r="B177" s="123" t="s">
        <v>2997</v>
      </c>
      <c r="C177" s="150">
        <f ca="1">1.8/SUM(D41,D42,D44,D45)*D134*-1</f>
        <v>-7.4864186561200654</v>
      </c>
      <c r="F177" s="101"/>
    </row>
    <row r="178" spans="2:7" x14ac:dyDescent="0.2">
      <c r="B178" s="123" t="s">
        <v>664</v>
      </c>
      <c r="C178" s="150">
        <f ca="1">D42/SUM(D41,D42,D44,D45)*D134*-1</f>
        <v>-6.2386822134333881</v>
      </c>
      <c r="F178" s="101"/>
    </row>
    <row r="179" spans="2:7" x14ac:dyDescent="0.2">
      <c r="B179" s="123" t="s">
        <v>3043</v>
      </c>
      <c r="C179" s="150">
        <f ca="1">D44/SUM(D41,D42,D44,D45)*D134*-1</f>
        <v>-62.386822134333883</v>
      </c>
      <c r="F179" s="101"/>
    </row>
    <row r="180" spans="2:7" x14ac:dyDescent="0.2">
      <c r="B180" s="123" t="s">
        <v>667</v>
      </c>
      <c r="C180" s="150">
        <f ca="1">D45/SUM(D41,D42,D44,D45)*D134*-1</f>
        <v>-4.1591214756222586E-2</v>
      </c>
      <c r="F180" s="101"/>
    </row>
    <row r="181" spans="2:7" x14ac:dyDescent="0.2">
      <c r="B181" s="123" t="s">
        <v>2998</v>
      </c>
      <c r="C181" s="150">
        <f ca="1">D135</f>
        <v>756.74999999999989</v>
      </c>
      <c r="F181" s="101"/>
    </row>
    <row r="182" spans="2:7" ht="16" thickBot="1" x14ac:dyDescent="0.25">
      <c r="B182" s="152" t="s">
        <v>3044</v>
      </c>
      <c r="C182" s="346">
        <v>198</v>
      </c>
      <c r="E182" s="1"/>
      <c r="F182" s="1"/>
      <c r="G182" s="1"/>
    </row>
    <row r="183" spans="2:7" x14ac:dyDescent="0.2">
      <c r="C183" s="1"/>
      <c r="E183" s="1"/>
      <c r="F183" s="1"/>
      <c r="G183" s="1"/>
    </row>
    <row r="185" spans="2:7" ht="16" thickBot="1" x14ac:dyDescent="0.25"/>
    <row r="186" spans="2:7" ht="16" thickBot="1" x14ac:dyDescent="0.25">
      <c r="B186" s="1855" t="s">
        <v>3027</v>
      </c>
      <c r="C186" s="1856"/>
      <c r="D186" s="1856"/>
      <c r="E186" s="1856"/>
      <c r="F186" s="1857"/>
    </row>
    <row r="187" spans="2:7" ht="16" thickBot="1" x14ac:dyDescent="0.25">
      <c r="B187" s="59"/>
      <c r="C187" s="60"/>
      <c r="D187" s="1146" t="s">
        <v>3028</v>
      </c>
      <c r="E187" s="1146" t="s">
        <v>3029</v>
      </c>
      <c r="F187" s="1146" t="s">
        <v>3030</v>
      </c>
      <c r="G187" s="106"/>
    </row>
    <row r="188" spans="2:7" x14ac:dyDescent="0.2">
      <c r="B188" s="59" t="s">
        <v>753</v>
      </c>
      <c r="C188" s="60"/>
      <c r="D188" s="101">
        <v>171.72547948706139</v>
      </c>
      <c r="E188" s="141">
        <v>48.405837852492596</v>
      </c>
      <c r="F188" s="1158">
        <v>169.86833985168488</v>
      </c>
      <c r="G188" s="106"/>
    </row>
    <row r="189" spans="2:7" x14ac:dyDescent="0.2">
      <c r="B189" s="123" t="s">
        <v>2317</v>
      </c>
      <c r="D189" s="101">
        <v>8.9289820483153832</v>
      </c>
      <c r="E189" s="141">
        <v>2.5168941645094476</v>
      </c>
      <c r="F189" s="141">
        <v>8.8324188212682202</v>
      </c>
      <c r="G189" s="140"/>
    </row>
    <row r="190" spans="2:7" x14ac:dyDescent="0.2">
      <c r="B190" s="123" t="s">
        <v>2318</v>
      </c>
      <c r="D190" s="101">
        <v>16.618444291605517</v>
      </c>
      <c r="E190" s="141">
        <v>4.6843934991065037</v>
      </c>
      <c r="F190" s="141">
        <v>16.438722728652696</v>
      </c>
      <c r="G190" s="140"/>
    </row>
    <row r="191" spans="2:7" x14ac:dyDescent="0.2">
      <c r="B191" s="123" t="s">
        <v>1415</v>
      </c>
      <c r="D191" s="101">
        <v>31.68707495944982</v>
      </c>
      <c r="E191" s="141">
        <v>8.9319268001954999</v>
      </c>
      <c r="F191" s="141">
        <v>31.344392423275714</v>
      </c>
      <c r="G191" s="140"/>
    </row>
    <row r="192" spans="2:7" x14ac:dyDescent="0.2">
      <c r="B192" s="123" t="s">
        <v>2978</v>
      </c>
      <c r="D192" s="101">
        <v>7.9870100087229075</v>
      </c>
      <c r="E192" s="141">
        <v>2.2513718556110143</v>
      </c>
      <c r="F192" s="141">
        <v>7.9006338174922659</v>
      </c>
      <c r="G192" s="140"/>
    </row>
    <row r="193" spans="2:7" x14ac:dyDescent="0.2">
      <c r="B193" s="123" t="s">
        <v>2792</v>
      </c>
      <c r="D193" s="101">
        <v>10.668803367381352</v>
      </c>
      <c r="E193" s="141">
        <v>3.0073135764369736</v>
      </c>
      <c r="F193" s="141">
        <v>10.553424696407282</v>
      </c>
      <c r="G193" s="140"/>
    </row>
    <row r="194" spans="2:7" x14ac:dyDescent="0.2">
      <c r="B194" s="123" t="s">
        <v>2979</v>
      </c>
      <c r="D194" s="101">
        <v>35.808696663622158</v>
      </c>
      <c r="E194" s="141">
        <v>10.093726158668176</v>
      </c>
      <c r="F194" s="141">
        <v>35.421440503011482</v>
      </c>
      <c r="G194" s="140"/>
    </row>
    <row r="195" spans="2:7" x14ac:dyDescent="0.2">
      <c r="B195" s="123" t="s">
        <v>1561</v>
      </c>
      <c r="D195" s="101">
        <v>92.515791348549939</v>
      </c>
      <c r="E195" s="141">
        <v>26.078275676908866</v>
      </c>
      <c r="F195" s="141">
        <v>91.515271544937676</v>
      </c>
      <c r="G195" s="140"/>
    </row>
    <row r="196" spans="2:7" x14ac:dyDescent="0.2">
      <c r="B196" s="123" t="s">
        <v>537</v>
      </c>
      <c r="D196" s="101">
        <v>109.6018669620821</v>
      </c>
      <c r="E196" s="141">
        <v>30.894484710970005</v>
      </c>
      <c r="F196" s="141">
        <v>108.4165683572709</v>
      </c>
      <c r="G196" s="140"/>
    </row>
    <row r="197" spans="2:7" x14ac:dyDescent="0.2">
      <c r="B197" s="123" t="s">
        <v>534</v>
      </c>
      <c r="D197" s="101">
        <v>13.947676955013563</v>
      </c>
      <c r="E197" s="141">
        <v>3.9315597843720278</v>
      </c>
      <c r="F197" s="141">
        <v>13.796838629961545</v>
      </c>
      <c r="G197" s="140"/>
    </row>
    <row r="198" spans="2:7" x14ac:dyDescent="0.2">
      <c r="B198" s="123" t="s">
        <v>3038</v>
      </c>
      <c r="D198" s="101">
        <v>9.9490149086070971</v>
      </c>
      <c r="E198" s="141">
        <v>2.8044201937683439</v>
      </c>
      <c r="F198" s="141">
        <v>9.8414204504351623</v>
      </c>
      <c r="G198" s="140"/>
    </row>
    <row r="199" spans="2:7" x14ac:dyDescent="0.2">
      <c r="B199" s="123" t="s">
        <v>754</v>
      </c>
      <c r="D199" s="101">
        <v>29.773129566709109</v>
      </c>
      <c r="E199" s="141">
        <v>8.3924254366455884</v>
      </c>
      <c r="F199" s="141">
        <v>29.451145553895788</v>
      </c>
      <c r="G199" s="140"/>
    </row>
    <row r="200" spans="2:7" x14ac:dyDescent="0.2">
      <c r="B200" s="123" t="s">
        <v>755</v>
      </c>
      <c r="D200" s="101">
        <v>5.1285822993508932</v>
      </c>
      <c r="E200" s="141">
        <v>1.4456405883219419</v>
      </c>
      <c r="F200" s="141">
        <v>5.0731188148996385</v>
      </c>
      <c r="G200" s="140"/>
    </row>
    <row r="201" spans="2:7" x14ac:dyDescent="0.2">
      <c r="B201" s="123" t="s">
        <v>3039</v>
      </c>
      <c r="D201" s="101">
        <v>274.59365480401152</v>
      </c>
      <c r="E201" s="141">
        <v>77.402235064178598</v>
      </c>
      <c r="F201" s="141">
        <v>271.62403863824125</v>
      </c>
      <c r="G201" s="140"/>
    </row>
    <row r="202" spans="2:7" x14ac:dyDescent="0.2">
      <c r="B202" s="123" t="s">
        <v>2395</v>
      </c>
      <c r="D202" s="101">
        <v>46.19424915025575</v>
      </c>
      <c r="E202" s="141">
        <v>13.021197208265184</v>
      </c>
      <c r="F202" s="141">
        <v>45.694677559134583</v>
      </c>
      <c r="G202" s="140"/>
    </row>
    <row r="203" spans="2:7" x14ac:dyDescent="0.2">
      <c r="B203" s="123" t="s">
        <v>2397</v>
      </c>
      <c r="D203" s="101">
        <v>559.04313905553067</v>
      </c>
      <c r="E203" s="141">
        <v>157.58262328048642</v>
      </c>
      <c r="F203" s="141">
        <v>552.99732002782173</v>
      </c>
      <c r="G203" s="140"/>
    </row>
    <row r="204" spans="2:7" x14ac:dyDescent="0.2">
      <c r="B204" s="123" t="s">
        <v>2981</v>
      </c>
      <c r="D204" s="101">
        <v>47.722016279946921</v>
      </c>
      <c r="E204" s="141">
        <v>13.451842958546932</v>
      </c>
      <c r="F204" s="141">
        <v>47.205922522757852</v>
      </c>
      <c r="G204" s="140"/>
    </row>
    <row r="205" spans="2:7" x14ac:dyDescent="0.2">
      <c r="B205" s="123" t="s">
        <v>695</v>
      </c>
      <c r="D205" s="101">
        <v>100.29359222027301</v>
      </c>
      <c r="E205" s="141">
        <v>28.270118516466297</v>
      </c>
      <c r="F205" s="141">
        <v>99.211139650287336</v>
      </c>
      <c r="G205" s="140"/>
    </row>
    <row r="206" spans="2:7" x14ac:dyDescent="0.2">
      <c r="B206" s="123" t="s">
        <v>2996</v>
      </c>
      <c r="D206" s="101">
        <v>-2.1270166758098883</v>
      </c>
      <c r="E206" s="141">
        <v>-0.95872582416267937</v>
      </c>
      <c r="F206" s="141">
        <v>-2.2621951869793859</v>
      </c>
      <c r="G206" s="140"/>
    </row>
    <row r="207" spans="2:7" x14ac:dyDescent="0.2">
      <c r="B207" s="123" t="s">
        <v>2997</v>
      </c>
      <c r="D207" s="101">
        <v>-8.5080667032395532</v>
      </c>
      <c r="E207" s="141">
        <v>-1.4380887362440189</v>
      </c>
      <c r="F207" s="141">
        <v>-10.715661412007616</v>
      </c>
      <c r="G207" s="140"/>
    </row>
    <row r="208" spans="2:7" x14ac:dyDescent="0.2">
      <c r="B208" s="123" t="s">
        <v>664</v>
      </c>
      <c r="D208" s="101">
        <v>-8.5080667032395532</v>
      </c>
      <c r="E208" s="141">
        <v>-1.5978763736044657</v>
      </c>
      <c r="F208" s="141">
        <v>-8.9297178433396809</v>
      </c>
      <c r="G208" s="140"/>
    </row>
    <row r="209" spans="2:7" x14ac:dyDescent="0.2">
      <c r="B209" s="123" t="s">
        <v>3043</v>
      </c>
      <c r="D209" s="101">
        <v>-283.60222344131847</v>
      </c>
      <c r="E209" s="141">
        <v>-143.80887362440191</v>
      </c>
      <c r="F209" s="141">
        <v>-89.297178433396809</v>
      </c>
      <c r="G209" s="140"/>
    </row>
    <row r="210" spans="2:7" x14ac:dyDescent="0.2">
      <c r="B210" s="123" t="s">
        <v>667</v>
      </c>
      <c r="D210" s="101">
        <v>-0.14180111172065923</v>
      </c>
      <c r="E210" s="141">
        <v>-3.9946909340111643E-2</v>
      </c>
      <c r="F210" s="141">
        <v>-5.9531452288931197E-2</v>
      </c>
      <c r="G210" s="140"/>
    </row>
    <row r="211" spans="2:7" x14ac:dyDescent="0.2">
      <c r="B211" s="123" t="s">
        <v>2998</v>
      </c>
      <c r="C211" s="141"/>
      <c r="D211" s="141">
        <v>572.29</v>
      </c>
      <c r="E211" s="141">
        <v>97.889999999999958</v>
      </c>
      <c r="F211" s="141">
        <v>756.75000000000011</v>
      </c>
      <c r="G211" s="137"/>
    </row>
    <row r="212" spans="2:7" ht="16" thickBot="1" x14ac:dyDescent="0.25">
      <c r="B212" s="152" t="s">
        <v>634</v>
      </c>
      <c r="C212" s="196">
        <v>198</v>
      </c>
      <c r="D212" s="196">
        <v>198</v>
      </c>
      <c r="E212" s="141">
        <v>198</v>
      </c>
      <c r="F212" s="196">
        <v>198</v>
      </c>
      <c r="G212" s="346">
        <v>198</v>
      </c>
    </row>
    <row r="216" spans="2:7" ht="16" thickBot="1" x14ac:dyDescent="0.25"/>
    <row r="217" spans="2:7" ht="16" thickBot="1" x14ac:dyDescent="0.25">
      <c r="B217" s="1855" t="s">
        <v>3313</v>
      </c>
      <c r="C217" s="1856"/>
      <c r="D217" s="1856"/>
      <c r="E217" s="1856"/>
      <c r="F217" s="1857"/>
    </row>
    <row r="218" spans="2:7" x14ac:dyDescent="0.2">
      <c r="B218" s="59"/>
      <c r="C218" s="1146" t="s">
        <v>639</v>
      </c>
      <c r="D218" s="60" t="s">
        <v>3028</v>
      </c>
      <c r="E218" s="60" t="s">
        <v>3029</v>
      </c>
      <c r="F218" s="60" t="s">
        <v>3030</v>
      </c>
      <c r="G218" s="106"/>
    </row>
    <row r="219" spans="2:7" x14ac:dyDescent="0.2">
      <c r="B219" s="123" t="s">
        <v>753</v>
      </c>
      <c r="D219" s="101">
        <v>101.00273768096125</v>
      </c>
      <c r="E219" s="101">
        <v>-97.440457992027405</v>
      </c>
      <c r="F219" s="101">
        <v>109.12024897447631</v>
      </c>
      <c r="G219" s="140"/>
    </row>
    <row r="220" spans="2:7" x14ac:dyDescent="0.2">
      <c r="B220" s="123" t="s">
        <v>2317</v>
      </c>
      <c r="D220" s="101">
        <v>5.9342069265730428</v>
      </c>
      <c r="E220" s="101">
        <v>-5.7249125520855442</v>
      </c>
      <c r="F220" s="101">
        <v>6.4111345114140637</v>
      </c>
      <c r="G220" s="140"/>
    </row>
    <row r="221" spans="2:7" x14ac:dyDescent="0.2">
      <c r="B221" s="123" t="s">
        <v>2318</v>
      </c>
      <c r="D221" s="101">
        <v>15.377834421680291</v>
      </c>
      <c r="E221" s="101">
        <v>-14.835471427588248</v>
      </c>
      <c r="F221" s="101">
        <v>16.613738986783229</v>
      </c>
      <c r="G221" s="140"/>
    </row>
    <row r="222" spans="2:7" x14ac:dyDescent="0.2">
      <c r="B222" s="123" t="s">
        <v>1415</v>
      </c>
      <c r="D222" s="101">
        <v>30.298394706951658</v>
      </c>
      <c r="E222" s="101">
        <v>-29.229796384272539</v>
      </c>
      <c r="F222" s="101">
        <v>32.733453071269814</v>
      </c>
      <c r="G222" s="140"/>
    </row>
    <row r="223" spans="2:7" x14ac:dyDescent="0.2">
      <c r="B223" s="123" t="s">
        <v>2978</v>
      </c>
      <c r="D223" s="101">
        <v>4.0333105374984886</v>
      </c>
      <c r="E223" s="101">
        <v>-3.8910591437562978</v>
      </c>
      <c r="F223" s="101">
        <v>4.3574645613410405</v>
      </c>
      <c r="G223" s="140"/>
    </row>
    <row r="224" spans="2:7" x14ac:dyDescent="0.2">
      <c r="B224" s="123" t="s">
        <v>2792</v>
      </c>
      <c r="D224" s="101">
        <v>7.0970349465332871</v>
      </c>
      <c r="E224" s="101">
        <v>-6.8467286278912454</v>
      </c>
      <c r="F224" s="101">
        <v>7.6674181128879395</v>
      </c>
      <c r="G224" s="140"/>
    </row>
    <row r="225" spans="2:7" x14ac:dyDescent="0.2">
      <c r="B225" s="123" t="s">
        <v>2979</v>
      </c>
      <c r="D225" s="101">
        <v>35.487991895812769</v>
      </c>
      <c r="E225" s="101">
        <v>-34.236360943681341</v>
      </c>
      <c r="F225" s="101">
        <v>38.340134140792067</v>
      </c>
      <c r="G225" s="140"/>
    </row>
    <row r="226" spans="2:7" x14ac:dyDescent="0.2">
      <c r="B226" s="123" t="s">
        <v>1561</v>
      </c>
      <c r="D226" s="101">
        <v>66.269077825479826</v>
      </c>
      <c r="E226" s="101">
        <v>-63.931824446390664</v>
      </c>
      <c r="F226" s="101">
        <v>71.595071952078257</v>
      </c>
      <c r="G226" s="140"/>
    </row>
    <row r="227" spans="2:7" x14ac:dyDescent="0.2">
      <c r="B227" s="123" t="s">
        <v>537</v>
      </c>
      <c r="D227" s="101">
        <v>105.05498979862067</v>
      </c>
      <c r="E227" s="101">
        <v>-101.34979066270338</v>
      </c>
      <c r="F227" s="101">
        <v>113.49817743601044</v>
      </c>
      <c r="G227" s="140"/>
    </row>
    <row r="228" spans="2:7" x14ac:dyDescent="0.2">
      <c r="B228" s="123" t="s">
        <v>534</v>
      </c>
      <c r="D228" s="101">
        <v>15.014523949157473</v>
      </c>
      <c r="E228" s="101">
        <v>-14.484974602960135</v>
      </c>
      <c r="F228" s="101">
        <v>16.221229534792428</v>
      </c>
      <c r="G228" s="140"/>
    </row>
    <row r="229" spans="2:7" x14ac:dyDescent="0.2">
      <c r="B229" s="123" t="s">
        <v>3038</v>
      </c>
      <c r="D229" s="101">
        <v>8.3284237974019319</v>
      </c>
      <c r="E229" s="101">
        <v>-8.0346874530660841</v>
      </c>
      <c r="F229" s="101">
        <v>8.9977727258056159</v>
      </c>
      <c r="G229" s="140"/>
    </row>
    <row r="230" spans="2:7" x14ac:dyDescent="0.2">
      <c r="B230" s="123" t="s">
        <v>754</v>
      </c>
      <c r="D230" s="101">
        <v>34.131179384292921</v>
      </c>
      <c r="E230" s="101">
        <v>-32.927402042493775</v>
      </c>
      <c r="F230" s="101">
        <v>36.874275665387202</v>
      </c>
      <c r="G230" s="140"/>
    </row>
    <row r="231" spans="2:7" x14ac:dyDescent="0.2">
      <c r="B231" s="123" t="s">
        <v>755</v>
      </c>
      <c r="D231" s="101">
        <v>4.4907365398734829</v>
      </c>
      <c r="E231" s="101">
        <v>-4.3323521244443173</v>
      </c>
      <c r="F231" s="101">
        <v>4.8516535349530638</v>
      </c>
      <c r="G231" s="140"/>
    </row>
    <row r="232" spans="2:7" x14ac:dyDescent="0.2">
      <c r="B232" s="123" t="s">
        <v>3039</v>
      </c>
      <c r="D232" s="101">
        <v>218.39483774379462</v>
      </c>
      <c r="E232" s="101">
        <v>-210.69223965066027</v>
      </c>
      <c r="F232" s="101">
        <v>235.94706060957952</v>
      </c>
      <c r="G232" s="140"/>
    </row>
    <row r="233" spans="2:7" x14ac:dyDescent="0.2">
      <c r="B233" s="123" t="s">
        <v>2395</v>
      </c>
      <c r="D233" s="101">
        <v>18.85337936982944</v>
      </c>
      <c r="E233" s="101">
        <v>-18.188436894616046</v>
      </c>
      <c r="F233" s="101">
        <v>20.368610773149737</v>
      </c>
      <c r="G233" s="140"/>
    </row>
    <row r="234" spans="2:7" x14ac:dyDescent="0.2">
      <c r="B234" s="123" t="s">
        <v>2397</v>
      </c>
      <c r="D234" s="101">
        <v>466.19664174108533</v>
      </c>
      <c r="E234" s="101">
        <v>-449.75428714700308</v>
      </c>
      <c r="F234" s="101">
        <v>503.66450242705758</v>
      </c>
      <c r="G234" s="140"/>
    </row>
    <row r="235" spans="2:7" x14ac:dyDescent="0.2">
      <c r="B235" s="123" t="s">
        <v>2981</v>
      </c>
      <c r="D235" s="101">
        <v>39.796291506968551</v>
      </c>
      <c r="E235" s="101">
        <v>-38.392710532975933</v>
      </c>
      <c r="F235" s="101">
        <v>42.994688433280068</v>
      </c>
      <c r="G235" s="140"/>
    </row>
    <row r="236" spans="2:7" x14ac:dyDescent="0.2">
      <c r="B236" s="123" t="s">
        <v>695</v>
      </c>
      <c r="D236" s="101">
        <v>83.637023937825859</v>
      </c>
      <c r="E236" s="101">
        <v>-80.687513819797999</v>
      </c>
      <c r="F236" s="101">
        <v>90.357668425382656</v>
      </c>
      <c r="G236" s="140"/>
    </row>
    <row r="237" spans="2:7" x14ac:dyDescent="0.2">
      <c r="B237" s="123" t="s">
        <v>2996</v>
      </c>
      <c r="D237" s="101">
        <v>-2.1743639319939692</v>
      </c>
      <c r="E237" s="101">
        <v>3.0208117534910617</v>
      </c>
      <c r="F237" s="101">
        <v>-2.790555728146328</v>
      </c>
      <c r="G237" s="140"/>
    </row>
    <row r="238" spans="2:7" x14ac:dyDescent="0.2">
      <c r="B238" s="123" t="s">
        <v>2997</v>
      </c>
      <c r="D238" s="101">
        <v>-8.6974557279758766</v>
      </c>
      <c r="E238" s="101">
        <v>4.5312176302365925</v>
      </c>
      <c r="F238" s="101">
        <v>-13.218421870166814</v>
      </c>
      <c r="G238" s="140"/>
    </row>
    <row r="239" spans="2:7" x14ac:dyDescent="0.2">
      <c r="B239" s="123" t="s">
        <v>664</v>
      </c>
      <c r="D239" s="101">
        <v>-8.6974557279758766</v>
      </c>
      <c r="E239" s="101">
        <v>5.0346862558184364</v>
      </c>
      <c r="F239" s="101">
        <v>-11.015351558472346</v>
      </c>
      <c r="G239" s="140"/>
    </row>
    <row r="240" spans="2:7" x14ac:dyDescent="0.2">
      <c r="B240" s="123" t="s">
        <v>3043</v>
      </c>
      <c r="D240" s="101">
        <v>-289.91519093252919</v>
      </c>
      <c r="E240" s="101">
        <v>453.12176302365924</v>
      </c>
      <c r="F240" s="101">
        <v>-110.15351558472346</v>
      </c>
      <c r="G240" s="140"/>
    </row>
    <row r="241" spans="2:7" x14ac:dyDescent="0.2">
      <c r="B241" s="123" t="s">
        <v>667</v>
      </c>
      <c r="D241" s="101">
        <v>-0.1449575954662646</v>
      </c>
      <c r="E241" s="101">
        <v>0.12586715639546092</v>
      </c>
      <c r="F241" s="101">
        <v>-7.343567705648231E-2</v>
      </c>
      <c r="G241" s="140"/>
    </row>
    <row r="242" spans="2:7" x14ac:dyDescent="0.2">
      <c r="B242" s="123" t="s">
        <v>2998</v>
      </c>
      <c r="C242" s="141"/>
      <c r="D242" s="141">
        <v>391.15000000000003</v>
      </c>
      <c r="E242" s="101">
        <v>-206.37</v>
      </c>
      <c r="F242" s="141">
        <v>623.66999999999996</v>
      </c>
      <c r="G242" s="137"/>
    </row>
    <row r="243" spans="2:7" x14ac:dyDescent="0.2">
      <c r="B243" s="123" t="s">
        <v>3044</v>
      </c>
      <c r="C243" s="141"/>
      <c r="D243" s="141">
        <v>198</v>
      </c>
      <c r="E243" s="101">
        <v>198</v>
      </c>
      <c r="F243" s="141">
        <v>198</v>
      </c>
      <c r="G243" s="137"/>
    </row>
    <row r="244" spans="2:7" ht="16" thickBot="1" x14ac:dyDescent="0.25">
      <c r="B244" s="152"/>
      <c r="C244" s="69"/>
      <c r="D244" s="196"/>
      <c r="E244" s="196"/>
      <c r="F244" s="69"/>
      <c r="G244" s="193"/>
    </row>
    <row r="245" spans="2:7" ht="16" thickBot="1" x14ac:dyDescent="0.25"/>
    <row r="246" spans="2:7" ht="16" thickBot="1" x14ac:dyDescent="0.25">
      <c r="B246" s="1855" t="s">
        <v>3314</v>
      </c>
      <c r="C246" s="1856"/>
      <c r="D246" s="1856"/>
      <c r="E246" s="1856"/>
      <c r="F246" s="1857"/>
    </row>
    <row r="247" spans="2:7" x14ac:dyDescent="0.2">
      <c r="B247" s="59"/>
      <c r="C247" s="60" t="s">
        <v>639</v>
      </c>
      <c r="D247" s="60" t="s">
        <v>3028</v>
      </c>
      <c r="E247" s="60" t="s">
        <v>3029</v>
      </c>
      <c r="F247" s="60" t="s">
        <v>3030</v>
      </c>
      <c r="G247" s="106"/>
    </row>
    <row r="248" spans="2:7" x14ac:dyDescent="0.2">
      <c r="B248" s="123" t="s">
        <v>753</v>
      </c>
      <c r="D248" s="101">
        <v>171.72547948706139</v>
      </c>
      <c r="E248" s="141">
        <v>48.405837852492596</v>
      </c>
      <c r="F248" s="141">
        <v>169.86833985168488</v>
      </c>
      <c r="G248" s="140"/>
    </row>
    <row r="249" spans="2:7" x14ac:dyDescent="0.2">
      <c r="B249" s="123" t="s">
        <v>2317</v>
      </c>
      <c r="D249" s="101">
        <v>8.9289820483153832</v>
      </c>
      <c r="E249" s="141">
        <v>2.5168941645094476</v>
      </c>
      <c r="F249" s="141">
        <v>8.8324188212682202</v>
      </c>
      <c r="G249" s="140"/>
    </row>
    <row r="250" spans="2:7" x14ac:dyDescent="0.2">
      <c r="B250" s="123" t="s">
        <v>2318</v>
      </c>
      <c r="D250" s="101">
        <v>16.618444291605517</v>
      </c>
      <c r="E250" s="141">
        <v>4.6843934991065037</v>
      </c>
      <c r="F250" s="141">
        <v>16.438722728652696</v>
      </c>
      <c r="G250" s="140"/>
    </row>
    <row r="251" spans="2:7" x14ac:dyDescent="0.2">
      <c r="B251" s="123" t="s">
        <v>1415</v>
      </c>
      <c r="D251" s="101">
        <v>31.68707495944982</v>
      </c>
      <c r="E251" s="141">
        <v>8.9319268001954999</v>
      </c>
      <c r="F251" s="141">
        <v>31.344392423275714</v>
      </c>
      <c r="G251" s="140"/>
    </row>
    <row r="252" spans="2:7" x14ac:dyDescent="0.2">
      <c r="B252" s="123" t="s">
        <v>2978</v>
      </c>
      <c r="D252" s="101">
        <v>7.9870100087229075</v>
      </c>
      <c r="E252" s="141">
        <v>2.2513718556110143</v>
      </c>
      <c r="F252" s="141">
        <v>7.9006338174922659</v>
      </c>
      <c r="G252" s="140"/>
    </row>
    <row r="253" spans="2:7" x14ac:dyDescent="0.2">
      <c r="B253" s="123" t="s">
        <v>2792</v>
      </c>
      <c r="D253" s="101">
        <v>10.668803367381352</v>
      </c>
      <c r="E253" s="141">
        <v>3.0073135764369736</v>
      </c>
      <c r="F253" s="141">
        <v>10.553424696407282</v>
      </c>
      <c r="G253" s="140"/>
    </row>
    <row r="254" spans="2:7" x14ac:dyDescent="0.2">
      <c r="B254" s="123" t="s">
        <v>2979</v>
      </c>
      <c r="D254" s="101">
        <v>35.808696663622158</v>
      </c>
      <c r="E254" s="141">
        <v>10.093726158668176</v>
      </c>
      <c r="F254" s="141">
        <v>35.421440503011482</v>
      </c>
      <c r="G254" s="140"/>
    </row>
    <row r="255" spans="2:7" x14ac:dyDescent="0.2">
      <c r="B255" s="123" t="s">
        <v>1561</v>
      </c>
      <c r="D255" s="101">
        <v>92.515791348549939</v>
      </c>
      <c r="E255" s="141">
        <v>26.078275676908866</v>
      </c>
      <c r="F255" s="141">
        <v>91.515271544937676</v>
      </c>
      <c r="G255" s="140"/>
    </row>
    <row r="256" spans="2:7" x14ac:dyDescent="0.2">
      <c r="B256" s="123" t="s">
        <v>537</v>
      </c>
      <c r="D256" s="101">
        <v>109.6018669620821</v>
      </c>
      <c r="E256" s="141">
        <v>30.894484710970005</v>
      </c>
      <c r="F256" s="141">
        <v>108.4165683572709</v>
      </c>
      <c r="G256" s="140"/>
    </row>
    <row r="257" spans="2:7" x14ac:dyDescent="0.2">
      <c r="B257" s="123" t="s">
        <v>534</v>
      </c>
      <c r="D257" s="101">
        <v>13.947676955013563</v>
      </c>
      <c r="E257" s="141">
        <v>3.9315597843720278</v>
      </c>
      <c r="F257" s="141">
        <v>13.796838629961545</v>
      </c>
      <c r="G257" s="140"/>
    </row>
    <row r="258" spans="2:7" x14ac:dyDescent="0.2">
      <c r="B258" s="123" t="s">
        <v>3038</v>
      </c>
      <c r="D258" s="101">
        <v>9.9490149086070971</v>
      </c>
      <c r="E258" s="141">
        <v>2.8044201937683439</v>
      </c>
      <c r="F258" s="141">
        <v>9.8414204504351623</v>
      </c>
      <c r="G258" s="140"/>
    </row>
    <row r="259" spans="2:7" x14ac:dyDescent="0.2">
      <c r="B259" s="123" t="s">
        <v>754</v>
      </c>
      <c r="D259" s="101">
        <v>29.773129566709109</v>
      </c>
      <c r="E259" s="141">
        <v>8.3924254366455884</v>
      </c>
      <c r="F259" s="141">
        <v>29.451145553895788</v>
      </c>
      <c r="G259" s="140"/>
    </row>
    <row r="260" spans="2:7" x14ac:dyDescent="0.2">
      <c r="B260" s="123" t="s">
        <v>755</v>
      </c>
      <c r="D260" s="101">
        <v>5.1285822993508932</v>
      </c>
      <c r="E260" s="141">
        <v>1.4456405883219419</v>
      </c>
      <c r="F260" s="141">
        <v>5.0731188148996385</v>
      </c>
      <c r="G260" s="140"/>
    </row>
    <row r="261" spans="2:7" x14ac:dyDescent="0.2">
      <c r="B261" s="123" t="s">
        <v>3039</v>
      </c>
      <c r="D261" s="101">
        <v>274.59365480401152</v>
      </c>
      <c r="E261" s="141">
        <v>77.402235064178598</v>
      </c>
      <c r="F261" s="141">
        <v>271.62403863824125</v>
      </c>
      <c r="G261" s="140"/>
    </row>
    <row r="262" spans="2:7" x14ac:dyDescent="0.2">
      <c r="B262" s="123" t="s">
        <v>2395</v>
      </c>
      <c r="D262" s="101">
        <v>46.19424915025575</v>
      </c>
      <c r="E262" s="141">
        <v>13.021197208265184</v>
      </c>
      <c r="F262" s="141">
        <v>45.694677559134583</v>
      </c>
      <c r="G262" s="140"/>
    </row>
    <row r="263" spans="2:7" x14ac:dyDescent="0.2">
      <c r="B263" s="123" t="s">
        <v>2397</v>
      </c>
      <c r="D263" s="101">
        <v>559.04313905553067</v>
      </c>
      <c r="E263" s="141">
        <v>157.58262328048642</v>
      </c>
      <c r="F263" s="141">
        <v>552.99732002782173</v>
      </c>
      <c r="G263" s="140"/>
    </row>
    <row r="264" spans="2:7" x14ac:dyDescent="0.2">
      <c r="B264" s="123" t="s">
        <v>2981</v>
      </c>
      <c r="D264" s="101">
        <v>47.722016279946921</v>
      </c>
      <c r="E264" s="141">
        <v>13.451842958546932</v>
      </c>
      <c r="F264" s="141">
        <v>47.205922522757852</v>
      </c>
      <c r="G264" s="140"/>
    </row>
    <row r="265" spans="2:7" x14ac:dyDescent="0.2">
      <c r="B265" s="123" t="s">
        <v>695</v>
      </c>
      <c r="D265" s="101">
        <v>100.29359222027301</v>
      </c>
      <c r="E265" s="141">
        <v>28.270118516466297</v>
      </c>
      <c r="F265" s="141">
        <v>99.211139650287336</v>
      </c>
      <c r="G265" s="140"/>
    </row>
    <row r="266" spans="2:7" x14ac:dyDescent="0.2">
      <c r="B266" s="123" t="s">
        <v>2996</v>
      </c>
      <c r="D266" s="101">
        <v>-2.1270166758098883</v>
      </c>
      <c r="E266" s="141">
        <v>-0.95872582416267937</v>
      </c>
      <c r="F266" s="141">
        <v>-2.2621951869793859</v>
      </c>
      <c r="G266" s="140"/>
    </row>
    <row r="267" spans="2:7" x14ac:dyDescent="0.2">
      <c r="B267" s="123" t="s">
        <v>2997</v>
      </c>
      <c r="D267" s="101">
        <v>-8.5080667032395532</v>
      </c>
      <c r="E267" s="141">
        <v>-1.4380887362440189</v>
      </c>
      <c r="F267" s="141">
        <v>-10.715661412007616</v>
      </c>
      <c r="G267" s="140"/>
    </row>
    <row r="268" spans="2:7" x14ac:dyDescent="0.2">
      <c r="B268" s="123" t="s">
        <v>664</v>
      </c>
      <c r="D268" s="101">
        <v>-8.5080667032395532</v>
      </c>
      <c r="E268" s="141">
        <v>-1.5978763736044657</v>
      </c>
      <c r="F268" s="141">
        <v>-8.9297178433396809</v>
      </c>
      <c r="G268" s="140"/>
    </row>
    <row r="269" spans="2:7" x14ac:dyDescent="0.2">
      <c r="B269" s="123" t="s">
        <v>3043</v>
      </c>
      <c r="D269" s="101">
        <v>-283.60222344131847</v>
      </c>
      <c r="E269" s="141">
        <v>-143.80887362440191</v>
      </c>
      <c r="F269" s="141">
        <v>-89.297178433396809</v>
      </c>
      <c r="G269" s="140"/>
    </row>
    <row r="270" spans="2:7" x14ac:dyDescent="0.2">
      <c r="B270" s="123" t="s">
        <v>667</v>
      </c>
      <c r="D270" s="101">
        <v>-0.14180111172065923</v>
      </c>
      <c r="E270" s="141">
        <v>-3.9946909340111643E-2</v>
      </c>
      <c r="F270" s="141">
        <v>-5.9531452288931197E-2</v>
      </c>
      <c r="G270" s="140"/>
    </row>
    <row r="271" spans="2:7" x14ac:dyDescent="0.2">
      <c r="B271" s="123" t="s">
        <v>2998</v>
      </c>
      <c r="C271" s="141"/>
      <c r="D271" s="141">
        <v>572.29</v>
      </c>
      <c r="E271" s="141">
        <v>97.889999999999958</v>
      </c>
      <c r="F271" s="141">
        <v>756.75000000000011</v>
      </c>
      <c r="G271" s="137"/>
    </row>
    <row r="272" spans="2:7" x14ac:dyDescent="0.2">
      <c r="B272" s="123" t="s">
        <v>3044</v>
      </c>
      <c r="C272" s="141">
        <v>0.8</v>
      </c>
      <c r="D272" s="141">
        <v>198</v>
      </c>
      <c r="E272" s="141">
        <v>198</v>
      </c>
      <c r="F272" s="141">
        <v>198</v>
      </c>
      <c r="G272" s="137">
        <v>0.8</v>
      </c>
    </row>
    <row r="273" spans="2:7" ht="16" thickBot="1" x14ac:dyDescent="0.25">
      <c r="B273" s="152"/>
      <c r="C273" s="69"/>
      <c r="D273" s="69"/>
      <c r="E273" s="69"/>
      <c r="F273" s="69"/>
      <c r="G273" s="193"/>
    </row>
  </sheetData>
  <mergeCells count="17">
    <mergeCell ref="B19:D19"/>
    <mergeCell ref="G2:J2"/>
    <mergeCell ref="B2:D2"/>
    <mergeCell ref="B4:D4"/>
    <mergeCell ref="B10:D10"/>
    <mergeCell ref="B16:D16"/>
    <mergeCell ref="B217:F217"/>
    <mergeCell ref="B246:F246"/>
    <mergeCell ref="B125:D125"/>
    <mergeCell ref="B186:F186"/>
    <mergeCell ref="B25:D25"/>
    <mergeCell ref="B35:D35"/>
    <mergeCell ref="B39:D39"/>
    <mergeCell ref="B115:D115"/>
    <mergeCell ref="G14:I14"/>
    <mergeCell ref="B49:D49"/>
    <mergeCell ref="B117:D117"/>
  </mergeCells>
  <pageMargins left="0.7" right="0.7" top="0.75" bottom="0.75" header="0.3" footer="0.3"/>
  <pageSetup orientation="portrait" horizontalDpi="0" verticalDpi="0"/>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D4087-E970-4DB1-BDE6-703588ADA570}">
  <sheetPr codeName="Sheet8"/>
  <dimension ref="B1:AK384"/>
  <sheetViews>
    <sheetView zoomScale="80" zoomScaleNormal="80" workbookViewId="0">
      <selection activeCell="J27" sqref="J27"/>
    </sheetView>
  </sheetViews>
  <sheetFormatPr baseColWidth="10" defaultColWidth="8.83203125" defaultRowHeight="15" x14ac:dyDescent="0.2"/>
  <cols>
    <col min="2" max="2" width="39.5" bestFit="1" customWidth="1"/>
    <col min="3" max="3" width="22.33203125" bestFit="1" customWidth="1"/>
    <col min="4" max="4" width="25.1640625" customWidth="1"/>
    <col min="5" max="5" width="22" bestFit="1" customWidth="1"/>
    <col min="6" max="6" width="18.83203125" bestFit="1" customWidth="1"/>
    <col min="7" max="7" width="24.5" customWidth="1"/>
    <col min="8" max="8" width="20.6640625" bestFit="1" customWidth="1"/>
    <col min="9" max="9" width="20.5" customWidth="1"/>
    <col min="10" max="10" width="17.6640625" bestFit="1" customWidth="1"/>
    <col min="11" max="13" width="18.1640625" bestFit="1" customWidth="1"/>
    <col min="14" max="14" width="17.6640625" bestFit="1" customWidth="1"/>
    <col min="15" max="15" width="17.33203125" bestFit="1" customWidth="1"/>
    <col min="16" max="18" width="17.6640625" bestFit="1" customWidth="1"/>
    <col min="19" max="20" width="17.33203125" bestFit="1" customWidth="1"/>
    <col min="21" max="23" width="17.6640625" bestFit="1" customWidth="1"/>
    <col min="24" max="24" width="17.33203125" bestFit="1" customWidth="1"/>
    <col min="25" max="25" width="16.83203125" bestFit="1" customWidth="1"/>
    <col min="26" max="26" width="17.6640625" bestFit="1" customWidth="1"/>
    <col min="27" max="27" width="16" bestFit="1" customWidth="1"/>
    <col min="28" max="28" width="16.83203125" bestFit="1" customWidth="1"/>
    <col min="29" max="30" width="16" bestFit="1" customWidth="1"/>
    <col min="31" max="31" width="16.83203125" bestFit="1" customWidth="1"/>
    <col min="32" max="32" width="16" bestFit="1" customWidth="1"/>
    <col min="33" max="33" width="16.83203125" bestFit="1" customWidth="1"/>
    <col min="34" max="36" width="16" bestFit="1" customWidth="1"/>
    <col min="37" max="37" width="16.83203125" bestFit="1" customWidth="1"/>
  </cols>
  <sheetData>
    <row r="1" spans="2:16" ht="16" thickBot="1" x14ac:dyDescent="0.25"/>
    <row r="2" spans="2:16" ht="23" thickBot="1" x14ac:dyDescent="0.35">
      <c r="B2" s="1496" t="s">
        <v>630</v>
      </c>
      <c r="C2" s="1497"/>
      <c r="D2" s="1498"/>
      <c r="G2" s="1490" t="s">
        <v>3311</v>
      </c>
      <c r="H2" s="1491"/>
      <c r="I2" s="1491"/>
      <c r="J2" s="1492"/>
      <c r="P2" s="1140"/>
    </row>
    <row r="3" spans="2:16" x14ac:dyDescent="0.2">
      <c r="B3" s="59"/>
      <c r="C3" s="60"/>
      <c r="D3" s="106"/>
      <c r="G3" s="59"/>
      <c r="H3" s="1132" t="s">
        <v>631</v>
      </c>
      <c r="I3" s="1132" t="s">
        <v>632</v>
      </c>
      <c r="J3" s="1133" t="s">
        <v>633</v>
      </c>
      <c r="P3" s="1140"/>
    </row>
    <row r="4" spans="2:16" x14ac:dyDescent="0.2">
      <c r="B4" s="1499" t="s">
        <v>635</v>
      </c>
      <c r="C4" s="1500"/>
      <c r="D4" s="1501"/>
      <c r="G4" s="1134" t="s">
        <v>636</v>
      </c>
      <c r="H4" s="107">
        <f ca="1">$D$43*J4</f>
        <v>0.24414906745487869</v>
      </c>
      <c r="I4" s="108">
        <f ca="1">D99</f>
        <v>1941098267.5385718</v>
      </c>
      <c r="J4" s="1135">
        <f ca="1">I4/$I$8</f>
        <v>0.54255348323306374</v>
      </c>
      <c r="P4" s="1140"/>
    </row>
    <row r="5" spans="2:16" x14ac:dyDescent="0.2">
      <c r="B5" s="113" t="s">
        <v>637</v>
      </c>
      <c r="C5" s="114"/>
      <c r="D5" s="115">
        <f ca="1">A_DCFROR!D5+B_DCFROR!D5</f>
        <v>210997158.63485163</v>
      </c>
      <c r="E5" s="1"/>
      <c r="G5" s="1134" t="s">
        <v>638</v>
      </c>
      <c r="H5" s="107">
        <f ca="1">$D$43*J5</f>
        <v>0.14923334767326271</v>
      </c>
      <c r="I5" s="116">
        <f ca="1">D100</f>
        <v>1186474294.7711112</v>
      </c>
      <c r="J5" s="1135">
        <f ca="1">I5/$I$8</f>
        <v>0.33162966149613937</v>
      </c>
      <c r="P5" s="1140"/>
    </row>
    <row r="6" spans="2:16" x14ac:dyDescent="0.2">
      <c r="B6" s="113" t="s">
        <v>640</v>
      </c>
      <c r="C6" s="114"/>
      <c r="D6" s="115">
        <f ca="1">A_DCFROR!D6+B_DCFROR!D6</f>
        <v>2480088408.8024898</v>
      </c>
      <c r="E6" s="1"/>
      <c r="G6" s="1134" t="s">
        <v>641</v>
      </c>
      <c r="H6" s="107">
        <f ca="1">$D$43*J6</f>
        <v>0</v>
      </c>
      <c r="I6" s="108">
        <f ca="1">D98</f>
        <v>0</v>
      </c>
      <c r="J6" s="1135">
        <f ca="1">I6/$I$8</f>
        <v>0</v>
      </c>
      <c r="P6" s="1140"/>
    </row>
    <row r="7" spans="2:16" x14ac:dyDescent="0.2">
      <c r="B7" s="113" t="s">
        <v>642</v>
      </c>
      <c r="C7" s="114"/>
      <c r="D7" s="121">
        <f ca="1">D6*0.15</f>
        <v>372013261.32037348</v>
      </c>
      <c r="G7" s="1134" t="s">
        <v>540</v>
      </c>
      <c r="H7" s="107">
        <f ca="1">$D$43*J7</f>
        <v>5.6617584871858667E-2</v>
      </c>
      <c r="I7" s="116">
        <f ca="1">D96</f>
        <v>450136046.19765198</v>
      </c>
      <c r="J7" s="1135">
        <f ca="1">I7/$I$8</f>
        <v>0.12581685527079703</v>
      </c>
      <c r="P7" s="1140"/>
    </row>
    <row r="8" spans="2:16" ht="16" thickBot="1" x14ac:dyDescent="0.25">
      <c r="B8" s="113" t="s">
        <v>643</v>
      </c>
      <c r="C8" s="114"/>
      <c r="D8" s="121">
        <f ca="1">D6*0.05</f>
        <v>124004420.4401245</v>
      </c>
      <c r="E8" s="122"/>
      <c r="G8" s="1136" t="s">
        <v>586</v>
      </c>
      <c r="H8" s="1137">
        <f ca="1">SUM(H4:H7)</f>
        <v>0.45000000000000007</v>
      </c>
      <c r="I8" s="1138">
        <f ca="1">SUM(I4:I7)</f>
        <v>3577708608.5073347</v>
      </c>
      <c r="J8" s="1139">
        <f ca="1">SUM(J4:J7)</f>
        <v>1.0000000000000002</v>
      </c>
      <c r="P8" s="1140"/>
    </row>
    <row r="9" spans="2:16" ht="16" thickBot="1" x14ac:dyDescent="0.25">
      <c r="B9" s="123"/>
      <c r="D9" s="124"/>
      <c r="H9" s="125"/>
      <c r="I9" s="122"/>
      <c r="P9" s="1140"/>
    </row>
    <row r="10" spans="2:16" x14ac:dyDescent="0.2">
      <c r="B10" s="1502" t="s">
        <v>644</v>
      </c>
      <c r="C10" s="1503"/>
      <c r="D10" s="1504"/>
      <c r="G10" s="1475" t="s">
        <v>750</v>
      </c>
      <c r="H10" s="1476"/>
      <c r="I10" s="1477"/>
      <c r="P10" s="1140"/>
    </row>
    <row r="11" spans="2:16" x14ac:dyDescent="0.2">
      <c r="B11" s="128" t="s">
        <v>645</v>
      </c>
      <c r="C11" s="129"/>
      <c r="D11" s="130">
        <v>0.4</v>
      </c>
      <c r="E11" s="131"/>
      <c r="G11" s="123" t="s">
        <v>751</v>
      </c>
      <c r="H11" s="100">
        <f ca="1">SUM(D29:D32)</f>
        <v>7486828.4376269691</v>
      </c>
      <c r="I11" s="140" t="s">
        <v>267</v>
      </c>
    </row>
    <row r="12" spans="2:16" x14ac:dyDescent="0.2">
      <c r="B12" s="128" t="s">
        <v>646</v>
      </c>
      <c r="C12" s="129"/>
      <c r="D12" s="130">
        <v>0.08</v>
      </c>
      <c r="E12" s="131"/>
      <c r="F12" s="2081"/>
      <c r="G12" s="123" t="str">
        <f>B29</f>
        <v>&gt;90% Ammonia Sulfate</v>
      </c>
      <c r="H12" s="850">
        <f ca="1">D29/H$11</f>
        <v>0.11381359066419497</v>
      </c>
      <c r="I12" s="140"/>
      <c r="J12" s="2008"/>
      <c r="K12" s="2008"/>
      <c r="M12" s="125"/>
    </row>
    <row r="13" spans="2:16" x14ac:dyDescent="0.2">
      <c r="B13" s="128" t="s">
        <v>647</v>
      </c>
      <c r="C13" s="129"/>
      <c r="D13" s="134">
        <v>10</v>
      </c>
      <c r="E13" s="123"/>
      <c r="F13" s="2081"/>
      <c r="G13" s="123" t="str">
        <f>B30</f>
        <v>&gt;90% Magnesium Sulfate</v>
      </c>
      <c r="H13" s="850">
        <f ca="1">D30/H$11</f>
        <v>4.9013994001812777E-2</v>
      </c>
      <c r="I13" s="140"/>
      <c r="J13" s="2008"/>
      <c r="K13" s="2008"/>
    </row>
    <row r="14" spans="2:16" x14ac:dyDescent="0.2">
      <c r="B14" s="128" t="s">
        <v>651</v>
      </c>
      <c r="C14" s="129"/>
      <c r="D14" s="136">
        <f ca="1">-PMT(D12,D13,D6*(1-D11))</f>
        <v>221763784.49242702</v>
      </c>
      <c r="E14" s="123"/>
      <c r="F14" s="2008"/>
      <c r="G14" s="123" t="str">
        <f>B31</f>
        <v>Jet Fuel (Hydrocarbon C8-C16)</v>
      </c>
      <c r="H14" s="850">
        <f ca="1">D31/H$11</f>
        <v>0.82085932215603707</v>
      </c>
      <c r="I14" s="140"/>
      <c r="J14" s="2008"/>
      <c r="K14" s="2008"/>
    </row>
    <row r="15" spans="2:16" ht="16" thickBot="1" x14ac:dyDescent="0.25">
      <c r="B15" s="123"/>
      <c r="C15" s="101"/>
      <c r="D15" s="137"/>
      <c r="E15" s="123"/>
      <c r="F15" s="2008"/>
      <c r="G15" s="152" t="str">
        <f>B32</f>
        <v>Naphtha (Hydrocarbon &lt;C8)</v>
      </c>
      <c r="H15" s="851">
        <f ca="1">D32/H$11</f>
        <v>1.6313093177955155E-2</v>
      </c>
      <c r="I15" s="193"/>
      <c r="J15" s="2008"/>
      <c r="K15" s="2008"/>
    </row>
    <row r="16" spans="2:16" x14ac:dyDescent="0.2">
      <c r="B16" s="1505" t="s">
        <v>652</v>
      </c>
      <c r="C16" s="1506"/>
      <c r="D16" s="1507"/>
      <c r="F16" s="2008"/>
      <c r="G16" s="141"/>
      <c r="H16" s="141"/>
      <c r="I16" s="2008"/>
      <c r="J16" s="2008"/>
      <c r="K16" s="2008"/>
    </row>
    <row r="17" spans="2:11" x14ac:dyDescent="0.2">
      <c r="B17" s="138" t="s">
        <v>653</v>
      </c>
      <c r="C17" s="11" t="s">
        <v>654</v>
      </c>
      <c r="D17" s="139">
        <v>7</v>
      </c>
      <c r="F17" s="2008"/>
      <c r="G17" s="2082"/>
      <c r="H17" s="2082"/>
      <c r="I17" s="2008"/>
      <c r="J17" s="2008"/>
      <c r="K17" s="2008"/>
    </row>
    <row r="18" spans="2:11" x14ac:dyDescent="0.2">
      <c r="B18" s="123"/>
      <c r="D18" s="140"/>
      <c r="G18" s="101"/>
      <c r="H18" s="101"/>
    </row>
    <row r="19" spans="2:11" x14ac:dyDescent="0.2">
      <c r="B19" s="1508" t="s">
        <v>655</v>
      </c>
      <c r="C19" s="1509"/>
      <c r="D19" s="1510"/>
      <c r="G19" s="101"/>
      <c r="H19" s="141"/>
    </row>
    <row r="20" spans="2:11" x14ac:dyDescent="0.2">
      <c r="B20" s="210" t="s">
        <v>656</v>
      </c>
      <c r="C20" s="211"/>
      <c r="D20" s="212">
        <v>3</v>
      </c>
    </row>
    <row r="21" spans="2:11" x14ac:dyDescent="0.2">
      <c r="B21" s="210"/>
      <c r="C21" s="211" t="s">
        <v>657</v>
      </c>
      <c r="D21" s="213">
        <v>0.1</v>
      </c>
    </row>
    <row r="22" spans="2:11" x14ac:dyDescent="0.2">
      <c r="B22" s="210"/>
      <c r="C22" s="211" t="s">
        <v>658</v>
      </c>
      <c r="D22" s="213">
        <v>0.5</v>
      </c>
    </row>
    <row r="23" spans="2:11" x14ac:dyDescent="0.2">
      <c r="B23" s="210"/>
      <c r="C23" s="211" t="s">
        <v>659</v>
      </c>
      <c r="D23" s="213">
        <v>0.4</v>
      </c>
    </row>
    <row r="24" spans="2:11" x14ac:dyDescent="0.2">
      <c r="B24" s="123"/>
      <c r="D24" s="140"/>
    </row>
    <row r="25" spans="2:11" x14ac:dyDescent="0.2">
      <c r="B25" s="1511" t="s">
        <v>660</v>
      </c>
      <c r="C25" s="1512"/>
      <c r="D25" s="1513"/>
    </row>
    <row r="26" spans="2:11" x14ac:dyDescent="0.2">
      <c r="B26" s="214" t="s">
        <v>661</v>
      </c>
      <c r="C26" s="215" t="s">
        <v>654</v>
      </c>
      <c r="D26" s="216">
        <v>0.5</v>
      </c>
    </row>
    <row r="27" spans="2:11" x14ac:dyDescent="0.2">
      <c r="B27" s="214" t="s">
        <v>662</v>
      </c>
      <c r="C27" s="215" t="s">
        <v>663</v>
      </c>
      <c r="D27" s="217">
        <v>0.5</v>
      </c>
    </row>
    <row r="28" spans="2:11" x14ac:dyDescent="0.2">
      <c r="B28" s="214"/>
      <c r="C28" s="215"/>
      <c r="D28" s="218"/>
    </row>
    <row r="29" spans="2:11" x14ac:dyDescent="0.2">
      <c r="B29" s="214" t="s">
        <v>2982</v>
      </c>
      <c r="C29" s="215" t="s">
        <v>566</v>
      </c>
      <c r="D29" s="218">
        <f ca="1">SUM(A_DCFROR!D29+B_DCFROR!D29)</f>
        <v>852102.82717313024</v>
      </c>
    </row>
    <row r="30" spans="2:11" x14ac:dyDescent="0.2">
      <c r="B30" s="214" t="s">
        <v>2983</v>
      </c>
      <c r="C30" s="215" t="s">
        <v>566</v>
      </c>
      <c r="D30" s="218">
        <f ca="1">SUM(A_DCFROR!D30,B_DCFROR!D30)</f>
        <v>366959.36413444957</v>
      </c>
    </row>
    <row r="31" spans="2:11" x14ac:dyDescent="0.2">
      <c r="B31" s="214" t="s">
        <v>3207</v>
      </c>
      <c r="C31" s="215" t="s">
        <v>566</v>
      </c>
      <c r="D31" s="218">
        <f ca="1">ExpBase!$C$1151*Inputs!$F$3/1.02</f>
        <v>6145632.9164090157</v>
      </c>
      <c r="E31" s="100"/>
    </row>
    <row r="32" spans="2:11" x14ac:dyDescent="0.2">
      <c r="B32" s="214" t="s">
        <v>3208</v>
      </c>
      <c r="C32" s="215" t="s">
        <v>566</v>
      </c>
      <c r="D32" s="218">
        <f ca="1">ExpBase!$C$1150*Inputs!$F$3/1.02</f>
        <v>122133.32991037316</v>
      </c>
      <c r="E32" s="100"/>
    </row>
    <row r="33" spans="2:10" x14ac:dyDescent="0.2">
      <c r="B33" s="214" t="s">
        <v>2136</v>
      </c>
      <c r="C33" s="215" t="s">
        <v>566</v>
      </c>
      <c r="D33" s="218">
        <f ca="1">B_DCFROR!D31</f>
        <v>508664.72746207827</v>
      </c>
      <c r="E33" s="100"/>
    </row>
    <row r="34" spans="2:10" x14ac:dyDescent="0.2">
      <c r="B34" s="214" t="s">
        <v>3036</v>
      </c>
      <c r="C34" s="215" t="s">
        <v>566</v>
      </c>
      <c r="D34" s="218">
        <f ca="1">B_DCFROR!D32</f>
        <v>1483636.0055212465</v>
      </c>
      <c r="E34" s="100"/>
    </row>
    <row r="35" spans="2:10" x14ac:dyDescent="0.2">
      <c r="B35" s="214" t="s">
        <v>667</v>
      </c>
      <c r="C35" s="215" t="s">
        <v>566</v>
      </c>
      <c r="D35" s="218">
        <f ca="1">(A_DCFROR!D33+B_DCFROR!D33)</f>
        <v>448285539.38003999</v>
      </c>
    </row>
    <row r="36" spans="2:10" x14ac:dyDescent="0.2">
      <c r="B36" s="123"/>
      <c r="D36" s="143"/>
    </row>
    <row r="37" spans="2:10" x14ac:dyDescent="0.2">
      <c r="B37" s="1478" t="s">
        <v>668</v>
      </c>
      <c r="C37" s="1479"/>
      <c r="D37" s="1480"/>
    </row>
    <row r="38" spans="2:10" x14ac:dyDescent="0.2">
      <c r="B38" s="144" t="s">
        <v>669</v>
      </c>
      <c r="C38" s="14"/>
      <c r="D38" s="145">
        <v>0.1</v>
      </c>
    </row>
    <row r="39" spans="2:10" ht="16" thickBot="1" x14ac:dyDescent="0.25">
      <c r="B39" s="146" t="s">
        <v>670</v>
      </c>
      <c r="C39" s="147"/>
      <c r="D39" s="148">
        <v>0.35</v>
      </c>
    </row>
    <row r="40" spans="2:10" ht="16" thickBot="1" x14ac:dyDescent="0.25">
      <c r="D40" s="131"/>
    </row>
    <row r="41" spans="2:10" ht="23" thickBot="1" x14ac:dyDescent="0.35">
      <c r="B41" s="1481" t="s">
        <v>671</v>
      </c>
      <c r="C41" s="1482"/>
      <c r="D41" s="1483"/>
    </row>
    <row r="42" spans="2:10" x14ac:dyDescent="0.2">
      <c r="B42" s="59"/>
      <c r="C42" s="60"/>
      <c r="D42" s="106"/>
    </row>
    <row r="43" spans="2:10" x14ac:dyDescent="0.2">
      <c r="B43" s="123" t="s">
        <v>2982</v>
      </c>
      <c r="C43" t="s">
        <v>639</v>
      </c>
      <c r="D43" s="140">
        <v>0.45</v>
      </c>
    </row>
    <row r="44" spans="2:10" x14ac:dyDescent="0.2">
      <c r="B44" s="123" t="s">
        <v>2983</v>
      </c>
      <c r="C44" t="s">
        <v>639</v>
      </c>
      <c r="D44" s="140">
        <v>1.8</v>
      </c>
      <c r="J44" s="101"/>
    </row>
    <row r="45" spans="2:10" x14ac:dyDescent="0.2">
      <c r="B45" s="123" t="s">
        <v>672</v>
      </c>
      <c r="C45" t="s">
        <v>639</v>
      </c>
      <c r="D45" s="140">
        <v>0.8</v>
      </c>
    </row>
    <row r="46" spans="2:10" x14ac:dyDescent="0.2">
      <c r="B46" s="123" t="s">
        <v>664</v>
      </c>
      <c r="C46" t="s">
        <v>639</v>
      </c>
      <c r="D46" s="140">
        <v>0.65</v>
      </c>
    </row>
    <row r="47" spans="2:10" x14ac:dyDescent="0.2">
      <c r="B47" s="123" t="s">
        <v>2136</v>
      </c>
      <c r="C47" t="s">
        <v>639</v>
      </c>
      <c r="D47" s="140">
        <v>180</v>
      </c>
    </row>
    <row r="48" spans="2:10" x14ac:dyDescent="0.2">
      <c r="B48" s="123" t="s">
        <v>3036</v>
      </c>
      <c r="C48" t="s">
        <v>639</v>
      </c>
      <c r="D48" s="140">
        <v>145</v>
      </c>
    </row>
    <row r="49" spans="2:37" x14ac:dyDescent="0.2">
      <c r="B49" s="123" t="s">
        <v>667</v>
      </c>
      <c r="C49" t="s">
        <v>639</v>
      </c>
      <c r="D49" s="140">
        <v>-0.03</v>
      </c>
    </row>
    <row r="50" spans="2:37" x14ac:dyDescent="0.2">
      <c r="B50" s="123"/>
      <c r="D50" s="151"/>
    </row>
    <row r="51" spans="2:37" ht="16" thickBot="1" x14ac:dyDescent="0.25">
      <c r="B51" s="152" t="s">
        <v>673</v>
      </c>
      <c r="C51" s="69"/>
      <c r="D51" s="71">
        <f ca="1">D93-SUM(E94:G94)</f>
        <v>-2399116901.7848482</v>
      </c>
      <c r="F51" s="243"/>
    </row>
    <row r="52" spans="2:37" ht="16" thickBot="1" x14ac:dyDescent="0.25"/>
    <row r="53" spans="2:37" ht="23" thickBot="1" x14ac:dyDescent="0.35">
      <c r="B53" s="1481" t="s">
        <v>674</v>
      </c>
      <c r="C53" s="1482"/>
      <c r="D53" s="1483"/>
    </row>
    <row r="54" spans="2:37" x14ac:dyDescent="0.2">
      <c r="B54" s="59"/>
      <c r="C54" s="60"/>
      <c r="D54" s="60"/>
      <c r="E54" s="60"/>
      <c r="F54" s="60"/>
      <c r="G54" s="60"/>
      <c r="H54" s="60"/>
      <c r="I54" s="60"/>
      <c r="J54" s="60"/>
      <c r="K54" s="60"/>
      <c r="L54" s="60"/>
      <c r="M54" s="60"/>
      <c r="N54" s="60"/>
      <c r="O54" s="60"/>
      <c r="P54" s="60"/>
      <c r="Q54" s="60"/>
      <c r="R54" s="60"/>
      <c r="S54" s="60"/>
      <c r="T54" s="60"/>
      <c r="U54" s="60"/>
      <c r="V54" s="60"/>
      <c r="W54" s="60"/>
      <c r="X54" s="60"/>
      <c r="Y54" s="60"/>
      <c r="Z54" s="60"/>
      <c r="AA54" s="60"/>
      <c r="AB54" s="60"/>
      <c r="AC54" s="60"/>
      <c r="AD54" s="60"/>
      <c r="AE54" s="60"/>
      <c r="AF54" s="60"/>
      <c r="AG54" s="60"/>
      <c r="AH54" s="60"/>
      <c r="AI54" s="60"/>
      <c r="AJ54" s="60"/>
      <c r="AK54" s="106"/>
    </row>
    <row r="55" spans="2:37" x14ac:dyDescent="0.2">
      <c r="B55" s="123" t="s">
        <v>519</v>
      </c>
      <c r="E55">
        <v>-2</v>
      </c>
      <c r="F55">
        <v>-1</v>
      </c>
      <c r="G55">
        <v>0</v>
      </c>
      <c r="H55">
        <v>1</v>
      </c>
      <c r="I55">
        <v>2</v>
      </c>
      <c r="J55">
        <v>3</v>
      </c>
      <c r="K55">
        <v>4</v>
      </c>
      <c r="L55">
        <v>5</v>
      </c>
      <c r="M55">
        <v>6</v>
      </c>
      <c r="N55">
        <v>7</v>
      </c>
      <c r="O55">
        <v>8</v>
      </c>
      <c r="P55">
        <v>9</v>
      </c>
      <c r="Q55">
        <v>10</v>
      </c>
      <c r="R55">
        <v>11</v>
      </c>
      <c r="S55">
        <v>12</v>
      </c>
      <c r="T55">
        <v>13</v>
      </c>
      <c r="U55">
        <v>14</v>
      </c>
      <c r="V55">
        <v>15</v>
      </c>
      <c r="W55">
        <v>16</v>
      </c>
      <c r="X55">
        <v>17</v>
      </c>
      <c r="Y55">
        <v>18</v>
      </c>
      <c r="Z55">
        <v>19</v>
      </c>
      <c r="AA55">
        <v>20</v>
      </c>
      <c r="AB55">
        <v>21</v>
      </c>
      <c r="AC55">
        <v>22</v>
      </c>
      <c r="AD55">
        <v>23</v>
      </c>
      <c r="AE55">
        <v>24</v>
      </c>
      <c r="AF55">
        <v>25</v>
      </c>
      <c r="AG55">
        <v>26</v>
      </c>
      <c r="AH55">
        <v>27</v>
      </c>
      <c r="AI55">
        <v>28</v>
      </c>
      <c r="AJ55">
        <v>29</v>
      </c>
      <c r="AK55" s="140">
        <v>30</v>
      </c>
    </row>
    <row r="56" spans="2:37" x14ac:dyDescent="0.2">
      <c r="B56" s="123" t="s">
        <v>675</v>
      </c>
      <c r="D56" s="153"/>
      <c r="E56" s="153">
        <f ca="1">($D$6*D21*$D$11)</f>
        <v>99203536.352099597</v>
      </c>
      <c r="F56" s="153">
        <f ca="1">($D$6*D22*$D$11)</f>
        <v>496017681.76049799</v>
      </c>
      <c r="G56" s="153">
        <f ca="1">$D$6*D23*$D$11</f>
        <v>396814145.40839839</v>
      </c>
      <c r="AK56" s="140"/>
    </row>
    <row r="57" spans="2:37" x14ac:dyDescent="0.2">
      <c r="B57" s="123" t="s">
        <v>676</v>
      </c>
      <c r="D57" s="153"/>
      <c r="E57" s="153">
        <f ca="1">D7</f>
        <v>372013261.32037348</v>
      </c>
      <c r="F57" s="153"/>
      <c r="AK57" s="140"/>
    </row>
    <row r="58" spans="2:37" x14ac:dyDescent="0.2">
      <c r="B58" s="123" t="s">
        <v>643</v>
      </c>
      <c r="D58" s="153"/>
      <c r="E58" s="153"/>
      <c r="F58" s="153"/>
      <c r="G58" s="153">
        <f ca="1">D8</f>
        <v>124004420.4401245</v>
      </c>
      <c r="AK58" s="140"/>
    </row>
    <row r="59" spans="2:37" x14ac:dyDescent="0.2">
      <c r="B59" s="123"/>
      <c r="AK59" s="140"/>
    </row>
    <row r="60" spans="2:37" x14ac:dyDescent="0.2">
      <c r="B60" s="123" t="s">
        <v>677</v>
      </c>
      <c r="E60" s="132">
        <f ca="1">E61</f>
        <v>11904424.362251952</v>
      </c>
      <c r="F60" s="132">
        <f ca="1">F61</f>
        <v>71426546.173511714</v>
      </c>
      <c r="G60" s="132">
        <f ca="1">G61</f>
        <v>119044243.62251951</v>
      </c>
      <c r="H60" s="154">
        <f ca="1">D14</f>
        <v>221763784.49242702</v>
      </c>
      <c r="I60" s="153">
        <f t="shared" ref="I60:AK60" ca="1" si="0">IF($D$13&gt;H55,$D$14,0)</f>
        <v>221763784.49242702</v>
      </c>
      <c r="J60" s="153">
        <f t="shared" ca="1" si="0"/>
        <v>221763784.49242702</v>
      </c>
      <c r="K60" s="153">
        <f t="shared" ca="1" si="0"/>
        <v>221763784.49242702</v>
      </c>
      <c r="L60" s="153">
        <f t="shared" ca="1" si="0"/>
        <v>221763784.49242702</v>
      </c>
      <c r="M60" s="153">
        <f t="shared" ca="1" si="0"/>
        <v>221763784.49242702</v>
      </c>
      <c r="N60" s="153">
        <f t="shared" ca="1" si="0"/>
        <v>221763784.49242702</v>
      </c>
      <c r="O60" s="153">
        <f t="shared" ca="1" si="0"/>
        <v>221763784.49242702</v>
      </c>
      <c r="P60" s="153">
        <f t="shared" ca="1" si="0"/>
        <v>221763784.49242702</v>
      </c>
      <c r="Q60" s="153">
        <f t="shared" ca="1" si="0"/>
        <v>221763784.49242702</v>
      </c>
      <c r="R60" s="153">
        <f t="shared" si="0"/>
        <v>0</v>
      </c>
      <c r="S60" s="153">
        <f t="shared" si="0"/>
        <v>0</v>
      </c>
      <c r="T60" s="153">
        <f t="shared" si="0"/>
        <v>0</v>
      </c>
      <c r="U60" s="153">
        <f t="shared" si="0"/>
        <v>0</v>
      </c>
      <c r="V60" s="153">
        <f t="shared" si="0"/>
        <v>0</v>
      </c>
      <c r="W60" s="153">
        <f t="shared" si="0"/>
        <v>0</v>
      </c>
      <c r="X60" s="153">
        <f t="shared" si="0"/>
        <v>0</v>
      </c>
      <c r="Y60" s="153">
        <f t="shared" si="0"/>
        <v>0</v>
      </c>
      <c r="Z60" s="153">
        <f t="shared" si="0"/>
        <v>0</v>
      </c>
      <c r="AA60" s="153">
        <f t="shared" si="0"/>
        <v>0</v>
      </c>
      <c r="AB60" s="153">
        <f t="shared" si="0"/>
        <v>0</v>
      </c>
      <c r="AC60" s="153">
        <f t="shared" si="0"/>
        <v>0</v>
      </c>
      <c r="AD60" s="153">
        <f t="shared" si="0"/>
        <v>0</v>
      </c>
      <c r="AE60" s="153">
        <f t="shared" si="0"/>
        <v>0</v>
      </c>
      <c r="AF60" s="153">
        <f t="shared" si="0"/>
        <v>0</v>
      </c>
      <c r="AG60" s="153">
        <f t="shared" si="0"/>
        <v>0</v>
      </c>
      <c r="AH60" s="153">
        <f t="shared" si="0"/>
        <v>0</v>
      </c>
      <c r="AI60" s="153">
        <f t="shared" si="0"/>
        <v>0</v>
      </c>
      <c r="AJ60" s="153">
        <f t="shared" si="0"/>
        <v>0</v>
      </c>
      <c r="AK60" s="155">
        <f t="shared" si="0"/>
        <v>0</v>
      </c>
    </row>
    <row r="61" spans="2:37" x14ac:dyDescent="0.2">
      <c r="B61" s="123"/>
      <c r="C61" t="s">
        <v>678</v>
      </c>
      <c r="D61" s="141"/>
      <c r="E61" s="153">
        <f ca="1">E62*$D$12</f>
        <v>11904424.362251952</v>
      </c>
      <c r="F61" s="153">
        <f ca="1">+F62*$D$12</f>
        <v>71426546.173511714</v>
      </c>
      <c r="G61" s="153">
        <f ca="1">+G62*$D$12</f>
        <v>119044243.62251951</v>
      </c>
      <c r="H61" s="153">
        <f ca="1">D6*(1-D11)*D12</f>
        <v>119044243.62251951</v>
      </c>
      <c r="I61" s="153">
        <f ca="1">+H62*$D$12</f>
        <v>110826680.35292691</v>
      </c>
      <c r="J61" s="153">
        <f t="shared" ref="J61:AK61" ca="1" si="1">+I62*$D$12</f>
        <v>101951712.0217669</v>
      </c>
      <c r="K61" s="153">
        <f t="shared" ca="1" si="1"/>
        <v>92366746.224114075</v>
      </c>
      <c r="L61" s="153">
        <f t="shared" ca="1" si="1"/>
        <v>82014983.162649035</v>
      </c>
      <c r="M61" s="153">
        <f t="shared" ca="1" si="1"/>
        <v>70835079.0562668</v>
      </c>
      <c r="N61" s="153">
        <f t="shared" ca="1" si="1"/>
        <v>58760782.621373989</v>
      </c>
      <c r="O61" s="153">
        <f t="shared" ca="1" si="1"/>
        <v>45720542.471689753</v>
      </c>
      <c r="P61" s="153">
        <f t="shared" ca="1" si="1"/>
        <v>31637083.11003077</v>
      </c>
      <c r="Q61" s="153">
        <f t="shared" ca="1" si="1"/>
        <v>16426946.99943907</v>
      </c>
      <c r="R61" s="153">
        <f t="shared" ca="1" si="1"/>
        <v>3.4123659133911133E-8</v>
      </c>
      <c r="S61" s="153">
        <f t="shared" ca="1" si="1"/>
        <v>3.6853551864624021E-8</v>
      </c>
      <c r="T61" s="153">
        <f t="shared" ca="1" si="1"/>
        <v>3.980183601379394E-8</v>
      </c>
      <c r="U61" s="153">
        <f t="shared" ca="1" si="1"/>
        <v>4.2985982894897462E-8</v>
      </c>
      <c r="V61" s="153">
        <f t="shared" ca="1" si="1"/>
        <v>4.6424861526489256E-8</v>
      </c>
      <c r="W61" s="153">
        <f t="shared" ca="1" si="1"/>
        <v>5.0138850448608397E-8</v>
      </c>
      <c r="X61" s="153">
        <f t="shared" ca="1" si="1"/>
        <v>5.4149958484497067E-8</v>
      </c>
      <c r="Y61" s="153">
        <f t="shared" ca="1" si="1"/>
        <v>5.8481955163256829E-8</v>
      </c>
      <c r="Z61" s="153">
        <f t="shared" ca="1" si="1"/>
        <v>6.3160511576317371E-8</v>
      </c>
      <c r="AA61" s="153">
        <f t="shared" ca="1" si="1"/>
        <v>6.8213352502422764E-8</v>
      </c>
      <c r="AB61" s="153">
        <f t="shared" ca="1" si="1"/>
        <v>7.3670420702616595E-8</v>
      </c>
      <c r="AC61" s="153">
        <f t="shared" ca="1" si="1"/>
        <v>7.9564054358825915E-8</v>
      </c>
      <c r="AD61" s="153">
        <f t="shared" ca="1" si="1"/>
        <v>8.5929178707531993E-8</v>
      </c>
      <c r="AE61" s="153">
        <f t="shared" ca="1" si="1"/>
        <v>9.2803513004134548E-8</v>
      </c>
      <c r="AF61" s="153">
        <f t="shared" ca="1" si="1"/>
        <v>1.0022779404446531E-7</v>
      </c>
      <c r="AG61" s="153">
        <f t="shared" ca="1" si="1"/>
        <v>1.0824601756802254E-7</v>
      </c>
      <c r="AH61" s="153">
        <f t="shared" ca="1" si="1"/>
        <v>1.1690569897346433E-7</v>
      </c>
      <c r="AI61" s="153">
        <f t="shared" ca="1" si="1"/>
        <v>1.2625815489134147E-7</v>
      </c>
      <c r="AJ61" s="153">
        <f t="shared" ca="1" si="1"/>
        <v>1.3635880728264878E-7</v>
      </c>
      <c r="AK61" s="155">
        <f t="shared" ca="1" si="1"/>
        <v>1.4726751186526069E-7</v>
      </c>
    </row>
    <row r="62" spans="2:37" x14ac:dyDescent="0.2">
      <c r="B62" s="123"/>
      <c r="C62" t="s">
        <v>679</v>
      </c>
      <c r="D62" s="141"/>
      <c r="E62" s="153">
        <f ca="1">$D$6*(1-$D$11)*$D$21</f>
        <v>148805304.5281494</v>
      </c>
      <c r="F62" s="141">
        <f ca="1">$D$6*(1-$D$11)*$D$22+E62</f>
        <v>892831827.16889632</v>
      </c>
      <c r="G62" s="153">
        <f ca="1">$D$6*(1-$D$11)*$D$23+F62</f>
        <v>1488053045.2814939</v>
      </c>
      <c r="H62" s="153">
        <f ca="1">D6*(1-D11)-H60+H61</f>
        <v>1385333504.4115863</v>
      </c>
      <c r="I62" s="153">
        <f ca="1">+H62-I60+I61</f>
        <v>1274396400.2720861</v>
      </c>
      <c r="J62" s="153">
        <f t="shared" ref="J62:AK62" ca="1" si="2">+I62-J60+J61</f>
        <v>1154584327.8014259</v>
      </c>
      <c r="K62" s="153">
        <f t="shared" ca="1" si="2"/>
        <v>1025187289.533113</v>
      </c>
      <c r="L62" s="153">
        <f t="shared" ca="1" si="2"/>
        <v>885438488.20333505</v>
      </c>
      <c r="M62" s="153">
        <f t="shared" ca="1" si="2"/>
        <v>734509782.76717484</v>
      </c>
      <c r="N62" s="153">
        <f t="shared" ca="1" si="2"/>
        <v>571506780.89612186</v>
      </c>
      <c r="O62" s="153">
        <f t="shared" ca="1" si="2"/>
        <v>395463538.87538463</v>
      </c>
      <c r="P62" s="153">
        <f t="shared" ca="1" si="2"/>
        <v>205336837.49298838</v>
      </c>
      <c r="Q62" s="153">
        <f t="shared" ca="1" si="2"/>
        <v>4.2654573917388916E-7</v>
      </c>
      <c r="R62" s="153">
        <f t="shared" ca="1" si="2"/>
        <v>4.6066939830780028E-7</v>
      </c>
      <c r="S62" s="153">
        <f t="shared" ca="1" si="2"/>
        <v>4.9752295017242428E-7</v>
      </c>
      <c r="T62" s="153">
        <f t="shared" ca="1" si="2"/>
        <v>5.3732478618621823E-7</v>
      </c>
      <c r="U62" s="153">
        <f t="shared" ca="1" si="2"/>
        <v>5.8031076908111566E-7</v>
      </c>
      <c r="V62" s="153">
        <f t="shared" ca="1" si="2"/>
        <v>6.2673563060760494E-7</v>
      </c>
      <c r="W62" s="153">
        <f t="shared" ca="1" si="2"/>
        <v>6.7687448105621334E-7</v>
      </c>
      <c r="X62" s="153">
        <f t="shared" ca="1" si="2"/>
        <v>7.3102443954071036E-7</v>
      </c>
      <c r="Y62" s="153">
        <f t="shared" ca="1" si="2"/>
        <v>7.8950639470396721E-7</v>
      </c>
      <c r="Z62" s="153">
        <f t="shared" ca="1" si="2"/>
        <v>8.526669062802846E-7</v>
      </c>
      <c r="AA62" s="153">
        <f t="shared" ca="1" si="2"/>
        <v>9.2088025878270737E-7</v>
      </c>
      <c r="AB62" s="153">
        <f t="shared" ca="1" si="2"/>
        <v>9.9455067948532394E-7</v>
      </c>
      <c r="AC62" s="153">
        <f t="shared" ca="1" si="2"/>
        <v>1.0741147338441498E-6</v>
      </c>
      <c r="AD62" s="153">
        <f t="shared" ca="1" si="2"/>
        <v>1.1600439125516818E-6</v>
      </c>
      <c r="AE62" s="153">
        <f t="shared" ca="1" si="2"/>
        <v>1.2528474255558163E-6</v>
      </c>
      <c r="AF62" s="153">
        <f t="shared" ca="1" si="2"/>
        <v>1.3530752196002817E-6</v>
      </c>
      <c r="AG62" s="153">
        <f t="shared" ca="1" si="2"/>
        <v>1.4613212371683041E-6</v>
      </c>
      <c r="AH62" s="153">
        <f t="shared" ca="1" si="2"/>
        <v>1.5782269361417684E-6</v>
      </c>
      <c r="AI62" s="153">
        <f t="shared" ca="1" si="2"/>
        <v>1.7044850910331098E-6</v>
      </c>
      <c r="AJ62" s="153">
        <f t="shared" ca="1" si="2"/>
        <v>1.8408438983157587E-6</v>
      </c>
      <c r="AK62" s="155">
        <f t="shared" ca="1" si="2"/>
        <v>1.9881114101810192E-6</v>
      </c>
    </row>
    <row r="63" spans="2:37" x14ac:dyDescent="0.2">
      <c r="B63" s="123"/>
      <c r="D63" s="141"/>
      <c r="E63" s="153"/>
      <c r="F63" s="141"/>
      <c r="G63" s="153"/>
      <c r="H63" s="153"/>
      <c r="I63" s="153"/>
      <c r="J63" s="153"/>
      <c r="K63" s="153"/>
      <c r="L63" s="153"/>
      <c r="M63" s="153"/>
      <c r="N63" s="153"/>
      <c r="O63" s="153"/>
      <c r="P63" s="153"/>
      <c r="Q63" s="153"/>
      <c r="R63" s="153"/>
      <c r="S63" s="153"/>
      <c r="T63" s="153"/>
      <c r="U63" s="153"/>
      <c r="V63" s="153"/>
      <c r="W63" s="153"/>
      <c r="X63" s="153"/>
      <c r="Y63" s="153"/>
      <c r="Z63" s="153"/>
      <c r="AA63" s="153"/>
      <c r="AB63" s="153"/>
      <c r="AC63" s="153"/>
      <c r="AD63" s="153"/>
      <c r="AE63" s="153"/>
      <c r="AF63" s="153"/>
      <c r="AG63" s="153"/>
      <c r="AH63" s="153"/>
      <c r="AI63" s="153"/>
      <c r="AJ63" s="153"/>
      <c r="AK63" s="155"/>
    </row>
    <row r="64" spans="2:37" x14ac:dyDescent="0.2">
      <c r="B64" s="123"/>
      <c r="C64" s="142" t="s">
        <v>2999</v>
      </c>
      <c r="D64" s="142"/>
      <c r="E64" s="859">
        <f ca="1">E60</f>
        <v>11904424.362251952</v>
      </c>
      <c r="F64" s="859">
        <f ca="1">F60</f>
        <v>71426546.173511714</v>
      </c>
      <c r="G64" s="859">
        <f ca="1">G60</f>
        <v>119044243.62251951</v>
      </c>
      <c r="H64" s="860">
        <f ca="1">H60+H63</f>
        <v>221763784.49242702</v>
      </c>
      <c r="I64" s="860">
        <f t="shared" ref="I64:R64" ca="1" si="3">I60+I63</f>
        <v>221763784.49242702</v>
      </c>
      <c r="J64" s="860">
        <f t="shared" ca="1" si="3"/>
        <v>221763784.49242702</v>
      </c>
      <c r="K64" s="860">
        <f t="shared" ca="1" si="3"/>
        <v>221763784.49242702</v>
      </c>
      <c r="L64" s="860">
        <f t="shared" ca="1" si="3"/>
        <v>221763784.49242702</v>
      </c>
      <c r="M64" s="860">
        <f t="shared" ca="1" si="3"/>
        <v>221763784.49242702</v>
      </c>
      <c r="N64" s="860">
        <f t="shared" ca="1" si="3"/>
        <v>221763784.49242702</v>
      </c>
      <c r="O64" s="860">
        <f t="shared" ca="1" si="3"/>
        <v>221763784.49242702</v>
      </c>
      <c r="P64" s="860">
        <f t="shared" ca="1" si="3"/>
        <v>221763784.49242702</v>
      </c>
      <c r="Q64" s="860">
        <f t="shared" ca="1" si="3"/>
        <v>221763784.49242702</v>
      </c>
      <c r="R64" s="154">
        <f t="shared" si="3"/>
        <v>0</v>
      </c>
      <c r="AK64" s="140"/>
    </row>
    <row r="65" spans="2:37" x14ac:dyDescent="0.2">
      <c r="B65" s="123" t="s">
        <v>680</v>
      </c>
      <c r="AK65" s="140"/>
    </row>
    <row r="66" spans="2:37" x14ac:dyDescent="0.2">
      <c r="B66" s="123"/>
      <c r="C66" t="str">
        <f>B29</f>
        <v>&gt;90% Ammonia Sulfate</v>
      </c>
      <c r="H66" s="153">
        <f t="shared" ref="H66:H72" ca="1" si="4">($D29*$D43)*(1-$D$26)+($D29*$D43)*$D$26*$D$27</f>
        <v>287584.70417093148</v>
      </c>
      <c r="I66" s="153">
        <f t="shared" ref="I66:AK66" ca="1" si="5">+$D29*$D43</f>
        <v>383446.2722279086</v>
      </c>
      <c r="J66" s="153">
        <f t="shared" ca="1" si="5"/>
        <v>383446.2722279086</v>
      </c>
      <c r="K66" s="153">
        <f t="shared" ca="1" si="5"/>
        <v>383446.2722279086</v>
      </c>
      <c r="L66" s="153">
        <f t="shared" ca="1" si="5"/>
        <v>383446.2722279086</v>
      </c>
      <c r="M66" s="153">
        <f t="shared" ca="1" si="5"/>
        <v>383446.2722279086</v>
      </c>
      <c r="N66" s="153">
        <f t="shared" ca="1" si="5"/>
        <v>383446.2722279086</v>
      </c>
      <c r="O66" s="153">
        <f t="shared" ca="1" si="5"/>
        <v>383446.2722279086</v>
      </c>
      <c r="P66" s="153">
        <f t="shared" ca="1" si="5"/>
        <v>383446.2722279086</v>
      </c>
      <c r="Q66" s="153">
        <f t="shared" ca="1" si="5"/>
        <v>383446.2722279086</v>
      </c>
      <c r="R66" s="153">
        <f t="shared" ca="1" si="5"/>
        <v>383446.2722279086</v>
      </c>
      <c r="S66" s="153">
        <f t="shared" ca="1" si="5"/>
        <v>383446.2722279086</v>
      </c>
      <c r="T66" s="153">
        <f t="shared" ca="1" si="5"/>
        <v>383446.2722279086</v>
      </c>
      <c r="U66" s="153">
        <f t="shared" ca="1" si="5"/>
        <v>383446.2722279086</v>
      </c>
      <c r="V66" s="153">
        <f t="shared" ca="1" si="5"/>
        <v>383446.2722279086</v>
      </c>
      <c r="W66" s="153">
        <f t="shared" ca="1" si="5"/>
        <v>383446.2722279086</v>
      </c>
      <c r="X66" s="153">
        <f t="shared" ca="1" si="5"/>
        <v>383446.2722279086</v>
      </c>
      <c r="Y66" s="153">
        <f t="shared" ca="1" si="5"/>
        <v>383446.2722279086</v>
      </c>
      <c r="Z66" s="153">
        <f t="shared" ca="1" si="5"/>
        <v>383446.2722279086</v>
      </c>
      <c r="AA66" s="153">
        <f t="shared" ca="1" si="5"/>
        <v>383446.2722279086</v>
      </c>
      <c r="AB66" s="153">
        <f t="shared" ca="1" si="5"/>
        <v>383446.2722279086</v>
      </c>
      <c r="AC66" s="153">
        <f t="shared" ca="1" si="5"/>
        <v>383446.2722279086</v>
      </c>
      <c r="AD66" s="153">
        <f t="shared" ca="1" si="5"/>
        <v>383446.2722279086</v>
      </c>
      <c r="AE66" s="153">
        <f t="shared" ca="1" si="5"/>
        <v>383446.2722279086</v>
      </c>
      <c r="AF66" s="153">
        <f t="shared" ca="1" si="5"/>
        <v>383446.2722279086</v>
      </c>
      <c r="AG66" s="153">
        <f t="shared" ca="1" si="5"/>
        <v>383446.2722279086</v>
      </c>
      <c r="AH66" s="153">
        <f t="shared" ca="1" si="5"/>
        <v>383446.2722279086</v>
      </c>
      <c r="AI66" s="153">
        <f t="shared" ca="1" si="5"/>
        <v>383446.2722279086</v>
      </c>
      <c r="AJ66" s="153">
        <f t="shared" ca="1" si="5"/>
        <v>383446.2722279086</v>
      </c>
      <c r="AK66" s="155">
        <f t="shared" ca="1" si="5"/>
        <v>383446.2722279086</v>
      </c>
    </row>
    <row r="67" spans="2:37" x14ac:dyDescent="0.2">
      <c r="B67" s="123"/>
      <c r="C67" t="str">
        <f>B30</f>
        <v>&gt;90% Magnesium Sulfate</v>
      </c>
      <c r="H67" s="153">
        <f t="shared" ca="1" si="4"/>
        <v>495395.14158150693</v>
      </c>
      <c r="I67" s="153">
        <f t="shared" ref="I67:AK67" ca="1" si="6">+$D30*$D44</f>
        <v>660526.85544200928</v>
      </c>
      <c r="J67" s="153">
        <f t="shared" ca="1" si="6"/>
        <v>660526.85544200928</v>
      </c>
      <c r="K67" s="153">
        <f t="shared" ca="1" si="6"/>
        <v>660526.85544200928</v>
      </c>
      <c r="L67" s="153">
        <f t="shared" ca="1" si="6"/>
        <v>660526.85544200928</v>
      </c>
      <c r="M67" s="153">
        <f t="shared" ca="1" si="6"/>
        <v>660526.85544200928</v>
      </c>
      <c r="N67" s="153">
        <f t="shared" ca="1" si="6"/>
        <v>660526.85544200928</v>
      </c>
      <c r="O67" s="153">
        <f t="shared" ca="1" si="6"/>
        <v>660526.85544200928</v>
      </c>
      <c r="P67" s="153">
        <f t="shared" ca="1" si="6"/>
        <v>660526.85544200928</v>
      </c>
      <c r="Q67" s="153">
        <f t="shared" ca="1" si="6"/>
        <v>660526.85544200928</v>
      </c>
      <c r="R67" s="153">
        <f t="shared" ca="1" si="6"/>
        <v>660526.85544200928</v>
      </c>
      <c r="S67" s="153">
        <f t="shared" ca="1" si="6"/>
        <v>660526.85544200928</v>
      </c>
      <c r="T67" s="153">
        <f t="shared" ca="1" si="6"/>
        <v>660526.85544200928</v>
      </c>
      <c r="U67" s="153">
        <f t="shared" ca="1" si="6"/>
        <v>660526.85544200928</v>
      </c>
      <c r="V67" s="153">
        <f t="shared" ca="1" si="6"/>
        <v>660526.85544200928</v>
      </c>
      <c r="W67" s="153">
        <f t="shared" ca="1" si="6"/>
        <v>660526.85544200928</v>
      </c>
      <c r="X67" s="153">
        <f t="shared" ca="1" si="6"/>
        <v>660526.85544200928</v>
      </c>
      <c r="Y67" s="153">
        <f t="shared" ca="1" si="6"/>
        <v>660526.85544200928</v>
      </c>
      <c r="Z67" s="153">
        <f t="shared" ca="1" si="6"/>
        <v>660526.85544200928</v>
      </c>
      <c r="AA67" s="153">
        <f t="shared" ca="1" si="6"/>
        <v>660526.85544200928</v>
      </c>
      <c r="AB67" s="153">
        <f t="shared" ca="1" si="6"/>
        <v>660526.85544200928</v>
      </c>
      <c r="AC67" s="153">
        <f t="shared" ca="1" si="6"/>
        <v>660526.85544200928</v>
      </c>
      <c r="AD67" s="153">
        <f t="shared" ca="1" si="6"/>
        <v>660526.85544200928</v>
      </c>
      <c r="AE67" s="153">
        <f t="shared" ca="1" si="6"/>
        <v>660526.85544200928</v>
      </c>
      <c r="AF67" s="153">
        <f t="shared" ca="1" si="6"/>
        <v>660526.85544200928</v>
      </c>
      <c r="AG67" s="153">
        <f t="shared" ca="1" si="6"/>
        <v>660526.85544200928</v>
      </c>
      <c r="AH67" s="153">
        <f t="shared" ca="1" si="6"/>
        <v>660526.85544200928</v>
      </c>
      <c r="AI67" s="153">
        <f t="shared" ca="1" si="6"/>
        <v>660526.85544200928</v>
      </c>
      <c r="AJ67" s="153">
        <f t="shared" ca="1" si="6"/>
        <v>660526.85544200928</v>
      </c>
      <c r="AK67" s="155">
        <f t="shared" ca="1" si="6"/>
        <v>660526.85544200928</v>
      </c>
    </row>
    <row r="68" spans="2:37" x14ac:dyDescent="0.2">
      <c r="B68" s="123"/>
      <c r="C68" t="s">
        <v>666</v>
      </c>
      <c r="H68" s="153">
        <f ca="1">($D31*$D45)*(1-$D$26)+($D31*$D45)*$D$26*$D$27</f>
        <v>3687379.7498454098</v>
      </c>
      <c r="I68" s="153">
        <f ca="1">+$D31*$D45</f>
        <v>4916506.3331272127</v>
      </c>
      <c r="J68" s="153">
        <f ca="1">+$D31*$D45</f>
        <v>4916506.3331272127</v>
      </c>
      <c r="K68" s="153">
        <f t="shared" ref="K68:AK68" ca="1" si="7">+$D31*$D45</f>
        <v>4916506.3331272127</v>
      </c>
      <c r="L68" s="153">
        <f t="shared" ca="1" si="7"/>
        <v>4916506.3331272127</v>
      </c>
      <c r="M68" s="153">
        <f t="shared" ca="1" si="7"/>
        <v>4916506.3331272127</v>
      </c>
      <c r="N68" s="153">
        <f t="shared" ca="1" si="7"/>
        <v>4916506.3331272127</v>
      </c>
      <c r="O68" s="153">
        <f t="shared" ca="1" si="7"/>
        <v>4916506.3331272127</v>
      </c>
      <c r="P68" s="153">
        <f t="shared" ca="1" si="7"/>
        <v>4916506.3331272127</v>
      </c>
      <c r="Q68" s="153">
        <f t="shared" ca="1" si="7"/>
        <v>4916506.3331272127</v>
      </c>
      <c r="R68" s="153">
        <f t="shared" ca="1" si="7"/>
        <v>4916506.3331272127</v>
      </c>
      <c r="S68" s="153">
        <f t="shared" ca="1" si="7"/>
        <v>4916506.3331272127</v>
      </c>
      <c r="T68" s="153">
        <f t="shared" ca="1" si="7"/>
        <v>4916506.3331272127</v>
      </c>
      <c r="U68" s="153">
        <f t="shared" ca="1" si="7"/>
        <v>4916506.3331272127</v>
      </c>
      <c r="V68" s="153">
        <f t="shared" ca="1" si="7"/>
        <v>4916506.3331272127</v>
      </c>
      <c r="W68" s="153">
        <f t="shared" ca="1" si="7"/>
        <v>4916506.3331272127</v>
      </c>
      <c r="X68" s="153">
        <f t="shared" ca="1" si="7"/>
        <v>4916506.3331272127</v>
      </c>
      <c r="Y68" s="153">
        <f t="shared" ca="1" si="7"/>
        <v>4916506.3331272127</v>
      </c>
      <c r="Z68" s="153">
        <f t="shared" ca="1" si="7"/>
        <v>4916506.3331272127</v>
      </c>
      <c r="AA68" s="153">
        <f t="shared" ca="1" si="7"/>
        <v>4916506.3331272127</v>
      </c>
      <c r="AB68" s="153">
        <f t="shared" ca="1" si="7"/>
        <v>4916506.3331272127</v>
      </c>
      <c r="AC68" s="153">
        <f t="shared" ca="1" si="7"/>
        <v>4916506.3331272127</v>
      </c>
      <c r="AD68" s="153">
        <f t="shared" ca="1" si="7"/>
        <v>4916506.3331272127</v>
      </c>
      <c r="AE68" s="153">
        <f t="shared" ca="1" si="7"/>
        <v>4916506.3331272127</v>
      </c>
      <c r="AF68" s="153">
        <f t="shared" ca="1" si="7"/>
        <v>4916506.3331272127</v>
      </c>
      <c r="AG68" s="153">
        <f t="shared" ca="1" si="7"/>
        <v>4916506.3331272127</v>
      </c>
      <c r="AH68" s="153">
        <f t="shared" ca="1" si="7"/>
        <v>4916506.3331272127</v>
      </c>
      <c r="AI68" s="153">
        <f t="shared" ca="1" si="7"/>
        <v>4916506.3331272127</v>
      </c>
      <c r="AJ68" s="153">
        <f t="shared" ca="1" si="7"/>
        <v>4916506.3331272127</v>
      </c>
      <c r="AK68" s="155">
        <f t="shared" ca="1" si="7"/>
        <v>4916506.3331272127</v>
      </c>
    </row>
    <row r="69" spans="2:37" x14ac:dyDescent="0.2">
      <c r="B69" s="123"/>
      <c r="C69" t="s">
        <v>664</v>
      </c>
      <c r="H69" s="153">
        <f t="shared" ca="1" si="4"/>
        <v>59539.998331306917</v>
      </c>
      <c r="I69" s="153">
        <f ca="1">+$D32*$D46</f>
        <v>79386.664441742556</v>
      </c>
      <c r="J69" s="153">
        <f ca="1">+$D32*$D46</f>
        <v>79386.664441742556</v>
      </c>
      <c r="K69" s="153">
        <f t="shared" ref="K69:AK69" ca="1" si="8">+$D32*$D46</f>
        <v>79386.664441742556</v>
      </c>
      <c r="L69" s="153">
        <f t="shared" ca="1" si="8"/>
        <v>79386.664441742556</v>
      </c>
      <c r="M69" s="153">
        <f t="shared" ca="1" si="8"/>
        <v>79386.664441742556</v>
      </c>
      <c r="N69" s="153">
        <f t="shared" ca="1" si="8"/>
        <v>79386.664441742556</v>
      </c>
      <c r="O69" s="153">
        <f t="shared" ca="1" si="8"/>
        <v>79386.664441742556</v>
      </c>
      <c r="P69" s="153">
        <f t="shared" ca="1" si="8"/>
        <v>79386.664441742556</v>
      </c>
      <c r="Q69" s="153">
        <f t="shared" ca="1" si="8"/>
        <v>79386.664441742556</v>
      </c>
      <c r="R69" s="153">
        <f t="shared" ca="1" si="8"/>
        <v>79386.664441742556</v>
      </c>
      <c r="S69" s="153">
        <f t="shared" ca="1" si="8"/>
        <v>79386.664441742556</v>
      </c>
      <c r="T69" s="153">
        <f t="shared" ca="1" si="8"/>
        <v>79386.664441742556</v>
      </c>
      <c r="U69" s="153">
        <f t="shared" ca="1" si="8"/>
        <v>79386.664441742556</v>
      </c>
      <c r="V69" s="153">
        <f t="shared" ca="1" si="8"/>
        <v>79386.664441742556</v>
      </c>
      <c r="W69" s="153">
        <f t="shared" ca="1" si="8"/>
        <v>79386.664441742556</v>
      </c>
      <c r="X69" s="153">
        <f t="shared" ca="1" si="8"/>
        <v>79386.664441742556</v>
      </c>
      <c r="Y69" s="153">
        <f t="shared" ca="1" si="8"/>
        <v>79386.664441742556</v>
      </c>
      <c r="Z69" s="153">
        <f t="shared" ca="1" si="8"/>
        <v>79386.664441742556</v>
      </c>
      <c r="AA69" s="153">
        <f t="shared" ca="1" si="8"/>
        <v>79386.664441742556</v>
      </c>
      <c r="AB69" s="153">
        <f t="shared" ca="1" si="8"/>
        <v>79386.664441742556</v>
      </c>
      <c r="AC69" s="153">
        <f t="shared" ca="1" si="8"/>
        <v>79386.664441742556</v>
      </c>
      <c r="AD69" s="153">
        <f t="shared" ca="1" si="8"/>
        <v>79386.664441742556</v>
      </c>
      <c r="AE69" s="153">
        <f t="shared" ca="1" si="8"/>
        <v>79386.664441742556</v>
      </c>
      <c r="AF69" s="153">
        <f t="shared" ca="1" si="8"/>
        <v>79386.664441742556</v>
      </c>
      <c r="AG69" s="153">
        <f t="shared" ca="1" si="8"/>
        <v>79386.664441742556</v>
      </c>
      <c r="AH69" s="153">
        <f t="shared" ca="1" si="8"/>
        <v>79386.664441742556</v>
      </c>
      <c r="AI69" s="153">
        <f t="shared" ca="1" si="8"/>
        <v>79386.664441742556</v>
      </c>
      <c r="AJ69" s="153">
        <f t="shared" ca="1" si="8"/>
        <v>79386.664441742556</v>
      </c>
      <c r="AK69" s="155">
        <f t="shared" ca="1" si="8"/>
        <v>79386.664441742556</v>
      </c>
    </row>
    <row r="70" spans="2:37" x14ac:dyDescent="0.2">
      <c r="B70" s="123"/>
      <c r="C70" t="s">
        <v>2136</v>
      </c>
      <c r="H70" s="153">
        <f t="shared" ca="1" si="4"/>
        <v>68669738.207380563</v>
      </c>
      <c r="I70" s="1015">
        <f ca="1">$D$33*$D$47</f>
        <v>91559650.943174094</v>
      </c>
      <c r="J70" s="1015">
        <f t="shared" ref="J70:AK70" ca="1" si="9">$D$33*$D$47</f>
        <v>91559650.943174094</v>
      </c>
      <c r="K70" s="1015">
        <f t="shared" ca="1" si="9"/>
        <v>91559650.943174094</v>
      </c>
      <c r="L70" s="1015">
        <f t="shared" ca="1" si="9"/>
        <v>91559650.943174094</v>
      </c>
      <c r="M70" s="1015">
        <f t="shared" ca="1" si="9"/>
        <v>91559650.943174094</v>
      </c>
      <c r="N70" s="1015">
        <f t="shared" ca="1" si="9"/>
        <v>91559650.943174094</v>
      </c>
      <c r="O70" s="1015">
        <f t="shared" ca="1" si="9"/>
        <v>91559650.943174094</v>
      </c>
      <c r="P70" s="1015">
        <f t="shared" ca="1" si="9"/>
        <v>91559650.943174094</v>
      </c>
      <c r="Q70" s="1015">
        <f t="shared" ca="1" si="9"/>
        <v>91559650.943174094</v>
      </c>
      <c r="R70" s="1015">
        <f t="shared" ca="1" si="9"/>
        <v>91559650.943174094</v>
      </c>
      <c r="S70" s="1015">
        <f t="shared" ca="1" si="9"/>
        <v>91559650.943174094</v>
      </c>
      <c r="T70" s="1015">
        <f t="shared" ca="1" si="9"/>
        <v>91559650.943174094</v>
      </c>
      <c r="U70" s="1015">
        <f t="shared" ca="1" si="9"/>
        <v>91559650.943174094</v>
      </c>
      <c r="V70" s="1015">
        <f t="shared" ca="1" si="9"/>
        <v>91559650.943174094</v>
      </c>
      <c r="W70" s="1015">
        <f t="shared" ca="1" si="9"/>
        <v>91559650.943174094</v>
      </c>
      <c r="X70" s="1015">
        <f t="shared" ca="1" si="9"/>
        <v>91559650.943174094</v>
      </c>
      <c r="Y70" s="1015">
        <f t="shared" ca="1" si="9"/>
        <v>91559650.943174094</v>
      </c>
      <c r="Z70" s="1015">
        <f t="shared" ca="1" si="9"/>
        <v>91559650.943174094</v>
      </c>
      <c r="AA70" s="1015">
        <f t="shared" ca="1" si="9"/>
        <v>91559650.943174094</v>
      </c>
      <c r="AB70" s="1015">
        <f t="shared" ca="1" si="9"/>
        <v>91559650.943174094</v>
      </c>
      <c r="AC70" s="1015">
        <f t="shared" ca="1" si="9"/>
        <v>91559650.943174094</v>
      </c>
      <c r="AD70" s="1015">
        <f t="shared" ca="1" si="9"/>
        <v>91559650.943174094</v>
      </c>
      <c r="AE70" s="1015">
        <f t="shared" ca="1" si="9"/>
        <v>91559650.943174094</v>
      </c>
      <c r="AF70" s="1015">
        <f t="shared" ca="1" si="9"/>
        <v>91559650.943174094</v>
      </c>
      <c r="AG70" s="1015">
        <f t="shared" ca="1" si="9"/>
        <v>91559650.943174094</v>
      </c>
      <c r="AH70" s="1015">
        <f t="shared" ca="1" si="9"/>
        <v>91559650.943174094</v>
      </c>
      <c r="AI70" s="1015">
        <f t="shared" ca="1" si="9"/>
        <v>91559650.943174094</v>
      </c>
      <c r="AJ70" s="1015">
        <f t="shared" ca="1" si="9"/>
        <v>91559650.943174094</v>
      </c>
      <c r="AK70" s="1173">
        <f t="shared" ca="1" si="9"/>
        <v>91559650.943174094</v>
      </c>
    </row>
    <row r="71" spans="2:37" x14ac:dyDescent="0.2">
      <c r="B71" s="123"/>
      <c r="C71" t="s">
        <v>3043</v>
      </c>
      <c r="H71" s="153">
        <f t="shared" ca="1" si="4"/>
        <v>161345415.60043555</v>
      </c>
      <c r="I71" s="153">
        <f ca="1">$D$48*$D$34</f>
        <v>215127220.80058074</v>
      </c>
      <c r="J71" s="153">
        <f t="shared" ref="J71:AK71" ca="1" si="10">$D$48*$D$34</f>
        <v>215127220.80058074</v>
      </c>
      <c r="K71" s="153">
        <f t="shared" ca="1" si="10"/>
        <v>215127220.80058074</v>
      </c>
      <c r="L71" s="153">
        <f t="shared" ca="1" si="10"/>
        <v>215127220.80058074</v>
      </c>
      <c r="M71" s="153">
        <f t="shared" ca="1" si="10"/>
        <v>215127220.80058074</v>
      </c>
      <c r="N71" s="153">
        <f t="shared" ca="1" si="10"/>
        <v>215127220.80058074</v>
      </c>
      <c r="O71" s="153">
        <f t="shared" ca="1" si="10"/>
        <v>215127220.80058074</v>
      </c>
      <c r="P71" s="153">
        <f t="shared" ca="1" si="10"/>
        <v>215127220.80058074</v>
      </c>
      <c r="Q71" s="153">
        <f t="shared" ca="1" si="10"/>
        <v>215127220.80058074</v>
      </c>
      <c r="R71" s="153">
        <f t="shared" ca="1" si="10"/>
        <v>215127220.80058074</v>
      </c>
      <c r="S71" s="153">
        <f t="shared" ca="1" si="10"/>
        <v>215127220.80058074</v>
      </c>
      <c r="T71" s="153">
        <f t="shared" ca="1" si="10"/>
        <v>215127220.80058074</v>
      </c>
      <c r="U71" s="153">
        <f t="shared" ca="1" si="10"/>
        <v>215127220.80058074</v>
      </c>
      <c r="V71" s="153">
        <f t="shared" ca="1" si="10"/>
        <v>215127220.80058074</v>
      </c>
      <c r="W71" s="153">
        <f t="shared" ca="1" si="10"/>
        <v>215127220.80058074</v>
      </c>
      <c r="X71" s="153">
        <f t="shared" ca="1" si="10"/>
        <v>215127220.80058074</v>
      </c>
      <c r="Y71" s="153">
        <f t="shared" ca="1" si="10"/>
        <v>215127220.80058074</v>
      </c>
      <c r="Z71" s="153">
        <f t="shared" ca="1" si="10"/>
        <v>215127220.80058074</v>
      </c>
      <c r="AA71" s="153">
        <f t="shared" ca="1" si="10"/>
        <v>215127220.80058074</v>
      </c>
      <c r="AB71" s="153">
        <f t="shared" ca="1" si="10"/>
        <v>215127220.80058074</v>
      </c>
      <c r="AC71" s="153">
        <f t="shared" ca="1" si="10"/>
        <v>215127220.80058074</v>
      </c>
      <c r="AD71" s="153">
        <f t="shared" ca="1" si="10"/>
        <v>215127220.80058074</v>
      </c>
      <c r="AE71" s="153">
        <f t="shared" ca="1" si="10"/>
        <v>215127220.80058074</v>
      </c>
      <c r="AF71" s="153">
        <f t="shared" ca="1" si="10"/>
        <v>215127220.80058074</v>
      </c>
      <c r="AG71" s="153">
        <f t="shared" ca="1" si="10"/>
        <v>215127220.80058074</v>
      </c>
      <c r="AH71" s="153">
        <f t="shared" ca="1" si="10"/>
        <v>215127220.80058074</v>
      </c>
      <c r="AI71" s="153">
        <f t="shared" ca="1" si="10"/>
        <v>215127220.80058074</v>
      </c>
      <c r="AJ71" s="153">
        <f t="shared" ca="1" si="10"/>
        <v>215127220.80058074</v>
      </c>
      <c r="AK71" s="155">
        <f t="shared" ca="1" si="10"/>
        <v>215127220.80058074</v>
      </c>
    </row>
    <row r="72" spans="2:37" x14ac:dyDescent="0.2">
      <c r="B72" s="123"/>
      <c r="C72" t="str">
        <f>B35</f>
        <v>Waste Collection</v>
      </c>
      <c r="H72" s="153">
        <f t="shared" ca="1" si="4"/>
        <v>-10086424.636050899</v>
      </c>
      <c r="I72" s="153">
        <f t="shared" ref="I72:AK72" ca="1" si="11">+$D35*$D49</f>
        <v>-13448566.181401199</v>
      </c>
      <c r="J72" s="153">
        <f t="shared" ca="1" si="11"/>
        <v>-13448566.181401199</v>
      </c>
      <c r="K72" s="153">
        <f t="shared" ca="1" si="11"/>
        <v>-13448566.181401199</v>
      </c>
      <c r="L72" s="153">
        <f t="shared" ca="1" si="11"/>
        <v>-13448566.181401199</v>
      </c>
      <c r="M72" s="153">
        <f t="shared" ca="1" si="11"/>
        <v>-13448566.181401199</v>
      </c>
      <c r="N72" s="153">
        <f t="shared" ca="1" si="11"/>
        <v>-13448566.181401199</v>
      </c>
      <c r="O72" s="153">
        <f t="shared" ca="1" si="11"/>
        <v>-13448566.181401199</v>
      </c>
      <c r="P72" s="153">
        <f t="shared" ca="1" si="11"/>
        <v>-13448566.181401199</v>
      </c>
      <c r="Q72" s="153">
        <f t="shared" ca="1" si="11"/>
        <v>-13448566.181401199</v>
      </c>
      <c r="R72" s="153">
        <f t="shared" ca="1" si="11"/>
        <v>-13448566.181401199</v>
      </c>
      <c r="S72" s="153">
        <f t="shared" ca="1" si="11"/>
        <v>-13448566.181401199</v>
      </c>
      <c r="T72" s="153">
        <f t="shared" ca="1" si="11"/>
        <v>-13448566.181401199</v>
      </c>
      <c r="U72" s="153">
        <f t="shared" ca="1" si="11"/>
        <v>-13448566.181401199</v>
      </c>
      <c r="V72" s="153">
        <f t="shared" ca="1" si="11"/>
        <v>-13448566.181401199</v>
      </c>
      <c r="W72" s="153">
        <f t="shared" ca="1" si="11"/>
        <v>-13448566.181401199</v>
      </c>
      <c r="X72" s="153">
        <f t="shared" ca="1" si="11"/>
        <v>-13448566.181401199</v>
      </c>
      <c r="Y72" s="153">
        <f t="shared" ca="1" si="11"/>
        <v>-13448566.181401199</v>
      </c>
      <c r="Z72" s="153">
        <f t="shared" ca="1" si="11"/>
        <v>-13448566.181401199</v>
      </c>
      <c r="AA72" s="153">
        <f t="shared" ca="1" si="11"/>
        <v>-13448566.181401199</v>
      </c>
      <c r="AB72" s="153">
        <f t="shared" ca="1" si="11"/>
        <v>-13448566.181401199</v>
      </c>
      <c r="AC72" s="153">
        <f t="shared" ca="1" si="11"/>
        <v>-13448566.181401199</v>
      </c>
      <c r="AD72" s="153">
        <f t="shared" ca="1" si="11"/>
        <v>-13448566.181401199</v>
      </c>
      <c r="AE72" s="153">
        <f t="shared" ca="1" si="11"/>
        <v>-13448566.181401199</v>
      </c>
      <c r="AF72" s="153">
        <f t="shared" ca="1" si="11"/>
        <v>-13448566.181401199</v>
      </c>
      <c r="AG72" s="153">
        <f t="shared" ca="1" si="11"/>
        <v>-13448566.181401199</v>
      </c>
      <c r="AH72" s="153">
        <f t="shared" ca="1" si="11"/>
        <v>-13448566.181401199</v>
      </c>
      <c r="AI72" s="153">
        <f t="shared" ca="1" si="11"/>
        <v>-13448566.181401199</v>
      </c>
      <c r="AJ72" s="153">
        <f t="shared" ca="1" si="11"/>
        <v>-13448566.181401199</v>
      </c>
      <c r="AK72" s="155">
        <f t="shared" ca="1" si="11"/>
        <v>-13448566.181401199</v>
      </c>
    </row>
    <row r="73" spans="2:37" x14ac:dyDescent="0.2">
      <c r="B73" s="123"/>
      <c r="H73" s="153"/>
      <c r="I73" s="153"/>
      <c r="J73" s="153"/>
      <c r="K73" s="153"/>
      <c r="L73" s="153"/>
      <c r="M73" s="153"/>
      <c r="N73" s="153"/>
      <c r="O73" s="153"/>
      <c r="P73" s="153"/>
      <c r="Q73" s="153"/>
      <c r="R73" s="153"/>
      <c r="S73" s="153"/>
      <c r="T73" s="153"/>
      <c r="U73" s="153"/>
      <c r="V73" s="153"/>
      <c r="W73" s="153"/>
      <c r="X73" s="153"/>
      <c r="Y73" s="153"/>
      <c r="Z73" s="153"/>
      <c r="AA73" s="153"/>
      <c r="AB73" s="153"/>
      <c r="AC73" s="153"/>
      <c r="AD73" s="153"/>
      <c r="AE73" s="153"/>
      <c r="AF73" s="153"/>
      <c r="AG73" s="153"/>
      <c r="AH73" s="153"/>
      <c r="AI73" s="153"/>
      <c r="AJ73" s="153"/>
      <c r="AK73" s="155"/>
    </row>
    <row r="74" spans="2:37" x14ac:dyDescent="0.2">
      <c r="B74" s="123"/>
      <c r="H74" s="153"/>
      <c r="I74" s="153"/>
      <c r="J74" s="153"/>
      <c r="K74" s="153"/>
      <c r="L74" s="153"/>
      <c r="M74" s="153"/>
      <c r="N74" s="153"/>
      <c r="O74" s="153"/>
      <c r="P74" s="153"/>
      <c r="Q74" s="153"/>
      <c r="R74" s="153"/>
      <c r="S74" s="153"/>
      <c r="T74" s="153"/>
      <c r="U74" s="153"/>
      <c r="V74" s="153"/>
      <c r="W74" s="153"/>
      <c r="X74" s="153"/>
      <c r="Y74" s="153"/>
      <c r="Z74" s="153"/>
      <c r="AA74" s="153"/>
      <c r="AB74" s="153"/>
      <c r="AC74" s="153"/>
      <c r="AD74" s="153"/>
      <c r="AE74" s="153"/>
      <c r="AF74" s="153"/>
      <c r="AG74" s="153"/>
      <c r="AH74" s="153"/>
      <c r="AI74" s="153"/>
      <c r="AJ74" s="153"/>
      <c r="AK74" s="155"/>
    </row>
    <row r="75" spans="2:37" x14ac:dyDescent="0.2">
      <c r="B75" s="144" t="s">
        <v>681</v>
      </c>
      <c r="C75" s="14"/>
      <c r="D75" s="14"/>
      <c r="E75" s="14"/>
      <c r="F75" s="14"/>
      <c r="G75" s="14"/>
      <c r="H75" s="857">
        <f ca="1">SUM(H66:H74)</f>
        <v>224458628.76569435</v>
      </c>
      <c r="I75" s="857">
        <f ca="1">SUM(I66:I74)</f>
        <v>299278171.68759251</v>
      </c>
      <c r="J75" s="857">
        <f t="shared" ref="J75:AK75" ca="1" si="12">SUM(J66:J74)</f>
        <v>299278171.68759251</v>
      </c>
      <c r="K75" s="857">
        <f t="shared" ca="1" si="12"/>
        <v>299278171.68759251</v>
      </c>
      <c r="L75" s="857">
        <f ca="1">SUM(L66:L74)</f>
        <v>299278171.68759251</v>
      </c>
      <c r="M75" s="857">
        <f t="shared" ca="1" si="12"/>
        <v>299278171.68759251</v>
      </c>
      <c r="N75" s="857">
        <f t="shared" ca="1" si="12"/>
        <v>299278171.68759251</v>
      </c>
      <c r="O75" s="857">
        <f t="shared" ca="1" si="12"/>
        <v>299278171.68759251</v>
      </c>
      <c r="P75" s="857">
        <f t="shared" ca="1" si="12"/>
        <v>299278171.68759251</v>
      </c>
      <c r="Q75" s="857">
        <f t="shared" ca="1" si="12"/>
        <v>299278171.68759251</v>
      </c>
      <c r="R75" s="857">
        <f t="shared" ca="1" si="12"/>
        <v>299278171.68759251</v>
      </c>
      <c r="S75" s="857">
        <f t="shared" ca="1" si="12"/>
        <v>299278171.68759251</v>
      </c>
      <c r="T75" s="857">
        <f t="shared" ca="1" si="12"/>
        <v>299278171.68759251</v>
      </c>
      <c r="U75" s="857">
        <f t="shared" ca="1" si="12"/>
        <v>299278171.68759251</v>
      </c>
      <c r="V75" s="857">
        <f t="shared" ca="1" si="12"/>
        <v>299278171.68759251</v>
      </c>
      <c r="W75" s="857">
        <f t="shared" ca="1" si="12"/>
        <v>299278171.68759251</v>
      </c>
      <c r="X75" s="857">
        <f t="shared" ca="1" si="12"/>
        <v>299278171.68759251</v>
      </c>
      <c r="Y75" s="857">
        <f t="shared" ca="1" si="12"/>
        <v>299278171.68759251</v>
      </c>
      <c r="Z75" s="857">
        <f t="shared" ca="1" si="12"/>
        <v>299278171.68759251</v>
      </c>
      <c r="AA75" s="857">
        <f t="shared" ca="1" si="12"/>
        <v>299278171.68759251</v>
      </c>
      <c r="AB75" s="857">
        <f t="shared" ca="1" si="12"/>
        <v>299278171.68759251</v>
      </c>
      <c r="AC75" s="857">
        <f t="shared" ca="1" si="12"/>
        <v>299278171.68759251</v>
      </c>
      <c r="AD75" s="857">
        <f t="shared" ca="1" si="12"/>
        <v>299278171.68759251</v>
      </c>
      <c r="AE75" s="857">
        <f t="shared" ca="1" si="12"/>
        <v>299278171.68759251</v>
      </c>
      <c r="AF75" s="857">
        <f t="shared" ca="1" si="12"/>
        <v>299278171.68759251</v>
      </c>
      <c r="AG75" s="857">
        <f t="shared" ca="1" si="12"/>
        <v>299278171.68759251</v>
      </c>
      <c r="AH75" s="857">
        <f t="shared" ca="1" si="12"/>
        <v>299278171.68759251</v>
      </c>
      <c r="AI75" s="857">
        <f t="shared" ca="1" si="12"/>
        <v>299278171.68759251</v>
      </c>
      <c r="AJ75" s="857">
        <f t="shared" ca="1" si="12"/>
        <v>299278171.68759251</v>
      </c>
      <c r="AK75" s="858">
        <f t="shared" ca="1" si="12"/>
        <v>299278171.68759251</v>
      </c>
    </row>
    <row r="76" spans="2:37" x14ac:dyDescent="0.2">
      <c r="B76" s="123"/>
      <c r="AK76" s="140"/>
    </row>
    <row r="77" spans="2:37" x14ac:dyDescent="0.2">
      <c r="B77" s="123" t="s">
        <v>682</v>
      </c>
      <c r="AK77" s="140"/>
    </row>
    <row r="78" spans="2:37" x14ac:dyDescent="0.2">
      <c r="B78" s="123"/>
      <c r="C78" t="s">
        <v>3000</v>
      </c>
      <c r="H78" s="101">
        <f ca="1">+D5*(1-$D$26)+D5*$D$26*$D$27</f>
        <v>158247868.97613871</v>
      </c>
      <c r="I78" s="132">
        <f t="shared" ref="I78:AK78" ca="1" si="13">+$D$5</f>
        <v>210997158.63485163</v>
      </c>
      <c r="J78" s="132">
        <f t="shared" ca="1" si="13"/>
        <v>210997158.63485163</v>
      </c>
      <c r="K78" s="132">
        <f t="shared" ca="1" si="13"/>
        <v>210997158.63485163</v>
      </c>
      <c r="L78" s="132">
        <f t="shared" ca="1" si="13"/>
        <v>210997158.63485163</v>
      </c>
      <c r="M78" s="132">
        <f t="shared" ca="1" si="13"/>
        <v>210997158.63485163</v>
      </c>
      <c r="N78" s="132">
        <f t="shared" ca="1" si="13"/>
        <v>210997158.63485163</v>
      </c>
      <c r="O78" s="132">
        <f t="shared" ca="1" si="13"/>
        <v>210997158.63485163</v>
      </c>
      <c r="P78" s="132">
        <f t="shared" ca="1" si="13"/>
        <v>210997158.63485163</v>
      </c>
      <c r="Q78" s="132">
        <f t="shared" ca="1" si="13"/>
        <v>210997158.63485163</v>
      </c>
      <c r="R78" s="132">
        <f t="shared" ca="1" si="13"/>
        <v>210997158.63485163</v>
      </c>
      <c r="S78" s="132">
        <f t="shared" ca="1" si="13"/>
        <v>210997158.63485163</v>
      </c>
      <c r="T78" s="132">
        <f t="shared" ca="1" si="13"/>
        <v>210997158.63485163</v>
      </c>
      <c r="U78" s="132">
        <f t="shared" ca="1" si="13"/>
        <v>210997158.63485163</v>
      </c>
      <c r="V78" s="132">
        <f t="shared" ca="1" si="13"/>
        <v>210997158.63485163</v>
      </c>
      <c r="W78" s="132">
        <f t="shared" ca="1" si="13"/>
        <v>210997158.63485163</v>
      </c>
      <c r="X78" s="132">
        <f t="shared" ca="1" si="13"/>
        <v>210997158.63485163</v>
      </c>
      <c r="Y78" s="132">
        <f t="shared" ca="1" si="13"/>
        <v>210997158.63485163</v>
      </c>
      <c r="Z78" s="132">
        <f t="shared" ca="1" si="13"/>
        <v>210997158.63485163</v>
      </c>
      <c r="AA78" s="132">
        <f t="shared" ca="1" si="13"/>
        <v>210997158.63485163</v>
      </c>
      <c r="AB78" s="132">
        <f t="shared" ca="1" si="13"/>
        <v>210997158.63485163</v>
      </c>
      <c r="AC78" s="132">
        <f t="shared" ca="1" si="13"/>
        <v>210997158.63485163</v>
      </c>
      <c r="AD78" s="132">
        <f t="shared" ca="1" si="13"/>
        <v>210997158.63485163</v>
      </c>
      <c r="AE78" s="132">
        <f t="shared" ca="1" si="13"/>
        <v>210997158.63485163</v>
      </c>
      <c r="AF78" s="132">
        <f t="shared" ca="1" si="13"/>
        <v>210997158.63485163</v>
      </c>
      <c r="AG78" s="132">
        <f t="shared" ca="1" si="13"/>
        <v>210997158.63485163</v>
      </c>
      <c r="AH78" s="132">
        <f t="shared" ca="1" si="13"/>
        <v>210997158.63485163</v>
      </c>
      <c r="AI78" s="132">
        <f t="shared" ca="1" si="13"/>
        <v>210997158.63485163</v>
      </c>
      <c r="AJ78" s="132">
        <f t="shared" ca="1" si="13"/>
        <v>210997158.63485163</v>
      </c>
      <c r="AK78" s="124">
        <f t="shared" ca="1" si="13"/>
        <v>210997158.63485163</v>
      </c>
    </row>
    <row r="79" spans="2:37" x14ac:dyDescent="0.2">
      <c r="B79" s="123"/>
      <c r="H79" s="132"/>
      <c r="I79" s="132"/>
      <c r="J79" s="132"/>
      <c r="K79" s="132"/>
      <c r="L79" s="132"/>
      <c r="M79" s="132"/>
      <c r="N79" s="132"/>
      <c r="O79" s="132"/>
      <c r="P79" s="132"/>
      <c r="Q79" s="132"/>
      <c r="R79" s="132"/>
      <c r="S79" s="132"/>
      <c r="T79" s="132"/>
      <c r="U79" s="132"/>
      <c r="V79" s="132"/>
      <c r="W79" s="132"/>
      <c r="X79" s="132"/>
      <c r="Y79" s="132"/>
      <c r="Z79" s="132"/>
      <c r="AA79" s="132"/>
      <c r="AB79" s="132"/>
      <c r="AC79" s="132"/>
      <c r="AD79" s="132"/>
      <c r="AE79" s="132"/>
      <c r="AF79" s="132"/>
      <c r="AG79" s="132"/>
      <c r="AH79" s="132"/>
      <c r="AI79" s="132"/>
      <c r="AJ79" s="132"/>
      <c r="AK79" s="124"/>
    </row>
    <row r="80" spans="2:37" x14ac:dyDescent="0.2">
      <c r="B80" s="861" t="s">
        <v>3001</v>
      </c>
      <c r="C80" s="19"/>
      <c r="D80" s="19"/>
      <c r="E80" s="19"/>
      <c r="F80" s="19"/>
      <c r="G80" s="19"/>
      <c r="H80" s="862">
        <f t="shared" ref="H80:AK80" ca="1" si="14">SUM(H78:H79)</f>
        <v>158247868.97613871</v>
      </c>
      <c r="I80" s="862">
        <f t="shared" ca="1" si="14"/>
        <v>210997158.63485163</v>
      </c>
      <c r="J80" s="862">
        <f t="shared" ca="1" si="14"/>
        <v>210997158.63485163</v>
      </c>
      <c r="K80" s="862">
        <f t="shared" ca="1" si="14"/>
        <v>210997158.63485163</v>
      </c>
      <c r="L80" s="862">
        <f t="shared" ca="1" si="14"/>
        <v>210997158.63485163</v>
      </c>
      <c r="M80" s="862">
        <f t="shared" ca="1" si="14"/>
        <v>210997158.63485163</v>
      </c>
      <c r="N80" s="862">
        <f t="shared" ca="1" si="14"/>
        <v>210997158.63485163</v>
      </c>
      <c r="O80" s="862">
        <f t="shared" ca="1" si="14"/>
        <v>210997158.63485163</v>
      </c>
      <c r="P80" s="862">
        <f t="shared" ca="1" si="14"/>
        <v>210997158.63485163</v>
      </c>
      <c r="Q80" s="862">
        <f t="shared" ca="1" si="14"/>
        <v>210997158.63485163</v>
      </c>
      <c r="R80" s="862">
        <f t="shared" ca="1" si="14"/>
        <v>210997158.63485163</v>
      </c>
      <c r="S80" s="862">
        <f t="shared" ca="1" si="14"/>
        <v>210997158.63485163</v>
      </c>
      <c r="T80" s="862">
        <f t="shared" ca="1" si="14"/>
        <v>210997158.63485163</v>
      </c>
      <c r="U80" s="862">
        <f t="shared" ca="1" si="14"/>
        <v>210997158.63485163</v>
      </c>
      <c r="V80" s="862">
        <f t="shared" ca="1" si="14"/>
        <v>210997158.63485163</v>
      </c>
      <c r="W80" s="862">
        <f t="shared" ca="1" si="14"/>
        <v>210997158.63485163</v>
      </c>
      <c r="X80" s="862">
        <f t="shared" ca="1" si="14"/>
        <v>210997158.63485163</v>
      </c>
      <c r="Y80" s="862">
        <f t="shared" ca="1" si="14"/>
        <v>210997158.63485163</v>
      </c>
      <c r="Z80" s="862">
        <f t="shared" ca="1" si="14"/>
        <v>210997158.63485163</v>
      </c>
      <c r="AA80" s="862">
        <f t="shared" ca="1" si="14"/>
        <v>210997158.63485163</v>
      </c>
      <c r="AB80" s="862">
        <f t="shared" ca="1" si="14"/>
        <v>210997158.63485163</v>
      </c>
      <c r="AC80" s="862">
        <f t="shared" ca="1" si="14"/>
        <v>210997158.63485163</v>
      </c>
      <c r="AD80" s="862">
        <f t="shared" ca="1" si="14"/>
        <v>210997158.63485163</v>
      </c>
      <c r="AE80" s="862">
        <f t="shared" ca="1" si="14"/>
        <v>210997158.63485163</v>
      </c>
      <c r="AF80" s="862">
        <f t="shared" ca="1" si="14"/>
        <v>210997158.63485163</v>
      </c>
      <c r="AG80" s="862">
        <f t="shared" ca="1" si="14"/>
        <v>210997158.63485163</v>
      </c>
      <c r="AH80" s="862">
        <f t="shared" ca="1" si="14"/>
        <v>210997158.63485163</v>
      </c>
      <c r="AI80" s="862">
        <f t="shared" ca="1" si="14"/>
        <v>210997158.63485163</v>
      </c>
      <c r="AJ80" s="862">
        <f t="shared" ca="1" si="14"/>
        <v>210997158.63485163</v>
      </c>
      <c r="AK80" s="863">
        <f t="shared" ca="1" si="14"/>
        <v>210997158.63485163</v>
      </c>
    </row>
    <row r="81" spans="2:37" x14ac:dyDescent="0.2">
      <c r="B81" s="123"/>
      <c r="AK81" s="140"/>
    </row>
    <row r="82" spans="2:37" x14ac:dyDescent="0.2">
      <c r="B82" s="864" t="s">
        <v>652</v>
      </c>
      <c r="AK82" s="140"/>
    </row>
    <row r="83" spans="2:37" x14ac:dyDescent="0.2">
      <c r="B83" s="123"/>
      <c r="H83" s="156">
        <v>0.1429</v>
      </c>
      <c r="I83" s="157">
        <v>0.24490000000000001</v>
      </c>
      <c r="J83" s="157">
        <v>0.1749</v>
      </c>
      <c r="K83" s="157">
        <v>0.1249</v>
      </c>
      <c r="L83" s="157">
        <v>8.9300000000000004E-2</v>
      </c>
      <c r="M83" s="157">
        <v>8.9200000000000002E-2</v>
      </c>
      <c r="N83" s="157">
        <v>8.9300000000000004E-2</v>
      </c>
      <c r="O83" s="157">
        <v>4.4600000000000001E-2</v>
      </c>
      <c r="P83" s="131">
        <v>0</v>
      </c>
      <c r="Q83" s="131">
        <v>0</v>
      </c>
      <c r="R83" s="131">
        <v>0</v>
      </c>
      <c r="S83" s="131">
        <v>0</v>
      </c>
      <c r="T83" s="131">
        <v>0</v>
      </c>
      <c r="U83" s="131">
        <v>0</v>
      </c>
      <c r="V83" s="131">
        <v>0</v>
      </c>
      <c r="W83" s="131">
        <v>0</v>
      </c>
      <c r="X83" s="131">
        <v>0</v>
      </c>
      <c r="Y83" s="131">
        <v>0</v>
      </c>
      <c r="Z83" s="131">
        <v>0</v>
      </c>
      <c r="AA83" s="131">
        <v>0</v>
      </c>
      <c r="AB83" s="131">
        <v>0</v>
      </c>
      <c r="AC83" s="131">
        <v>0</v>
      </c>
      <c r="AD83" s="131">
        <v>0</v>
      </c>
      <c r="AE83" s="131">
        <v>0</v>
      </c>
      <c r="AF83" s="131">
        <v>0</v>
      </c>
      <c r="AG83" s="131">
        <v>0</v>
      </c>
      <c r="AH83" s="131">
        <v>0</v>
      </c>
      <c r="AI83" s="131">
        <v>0</v>
      </c>
      <c r="AJ83" s="131">
        <v>0</v>
      </c>
      <c r="AK83" s="158">
        <v>0</v>
      </c>
    </row>
    <row r="84" spans="2:37" x14ac:dyDescent="0.2">
      <c r="B84" s="123"/>
      <c r="H84" s="865">
        <f ca="1">H$83*$D$6</f>
        <v>354404633.61787575</v>
      </c>
      <c r="I84" s="865">
        <f t="shared" ref="I84:AK84" ca="1" si="15">I$83*$D$6</f>
        <v>607373651.31572974</v>
      </c>
      <c r="J84" s="865">
        <f t="shared" ca="1" si="15"/>
        <v>433767462.69955546</v>
      </c>
      <c r="K84" s="865">
        <f t="shared" ca="1" si="15"/>
        <v>309763042.25943094</v>
      </c>
      <c r="L84" s="865">
        <f t="shared" ca="1" si="15"/>
        <v>221471894.90606233</v>
      </c>
      <c r="M84" s="865">
        <f t="shared" ca="1" si="15"/>
        <v>221223886.06518209</v>
      </c>
      <c r="N84" s="865">
        <f t="shared" ca="1" si="15"/>
        <v>221471894.90606233</v>
      </c>
      <c r="O84" s="865">
        <f t="shared" ca="1" si="15"/>
        <v>110611943.03259104</v>
      </c>
      <c r="P84" s="153">
        <f t="shared" ca="1" si="15"/>
        <v>0</v>
      </c>
      <c r="Q84" s="153">
        <f t="shared" ca="1" si="15"/>
        <v>0</v>
      </c>
      <c r="R84" s="153">
        <f t="shared" ca="1" si="15"/>
        <v>0</v>
      </c>
      <c r="S84" s="153">
        <f t="shared" ca="1" si="15"/>
        <v>0</v>
      </c>
      <c r="T84" s="153">
        <f t="shared" ca="1" si="15"/>
        <v>0</v>
      </c>
      <c r="U84" s="153">
        <f t="shared" ca="1" si="15"/>
        <v>0</v>
      </c>
      <c r="V84" s="153">
        <f t="shared" ca="1" si="15"/>
        <v>0</v>
      </c>
      <c r="W84" s="153">
        <f t="shared" ca="1" si="15"/>
        <v>0</v>
      </c>
      <c r="X84" s="153">
        <f t="shared" ca="1" si="15"/>
        <v>0</v>
      </c>
      <c r="Y84" s="153">
        <f t="shared" ca="1" si="15"/>
        <v>0</v>
      </c>
      <c r="Z84" s="153">
        <f t="shared" ca="1" si="15"/>
        <v>0</v>
      </c>
      <c r="AA84" s="153">
        <f t="shared" ca="1" si="15"/>
        <v>0</v>
      </c>
      <c r="AB84" s="153">
        <f t="shared" ca="1" si="15"/>
        <v>0</v>
      </c>
      <c r="AC84" s="153">
        <f t="shared" ca="1" si="15"/>
        <v>0</v>
      </c>
      <c r="AD84" s="153">
        <f t="shared" ca="1" si="15"/>
        <v>0</v>
      </c>
      <c r="AE84" s="153">
        <f t="shared" ca="1" si="15"/>
        <v>0</v>
      </c>
      <c r="AF84" s="153">
        <f t="shared" ca="1" si="15"/>
        <v>0</v>
      </c>
      <c r="AG84" s="153">
        <f t="shared" ca="1" si="15"/>
        <v>0</v>
      </c>
      <c r="AH84" s="153">
        <f t="shared" ca="1" si="15"/>
        <v>0</v>
      </c>
      <c r="AI84" s="153">
        <f t="shared" ca="1" si="15"/>
        <v>0</v>
      </c>
      <c r="AJ84" s="153">
        <f t="shared" ca="1" si="15"/>
        <v>0</v>
      </c>
      <c r="AK84" s="155">
        <f t="shared" ca="1" si="15"/>
        <v>0</v>
      </c>
    </row>
    <row r="85" spans="2:37" x14ac:dyDescent="0.2">
      <c r="B85" s="123"/>
      <c r="AK85" s="140"/>
    </row>
    <row r="86" spans="2:37" x14ac:dyDescent="0.2">
      <c r="B86" s="123" t="s">
        <v>683</v>
      </c>
      <c r="H86" s="132">
        <f ca="1">+H75-H64-H80-H84</f>
        <v>-509957658.32074714</v>
      </c>
      <c r="I86" s="132">
        <f t="shared" ref="I86:AK86" ca="1" si="16">+I75-I64-I80-I84</f>
        <v>-740856422.75541592</v>
      </c>
      <c r="J86" s="132">
        <f t="shared" ca="1" si="16"/>
        <v>-567250234.13924158</v>
      </c>
      <c r="K86" s="132">
        <f t="shared" ca="1" si="16"/>
        <v>-443245813.69911706</v>
      </c>
      <c r="L86" s="132">
        <f t="shared" ca="1" si="16"/>
        <v>-354954666.34574848</v>
      </c>
      <c r="M86" s="132">
        <f t="shared" ca="1" si="16"/>
        <v>-354706657.50486827</v>
      </c>
      <c r="N86" s="132">
        <f t="shared" ca="1" si="16"/>
        <v>-354954666.34574848</v>
      </c>
      <c r="O86" s="132">
        <f t="shared" ca="1" si="16"/>
        <v>-244094714.47227719</v>
      </c>
      <c r="P86" s="132">
        <f t="shared" ca="1" si="16"/>
        <v>-133482771.43968615</v>
      </c>
      <c r="Q86" s="132">
        <f t="shared" ca="1" si="16"/>
        <v>-133482771.43968615</v>
      </c>
      <c r="R86" s="132">
        <f t="shared" ca="1" si="16"/>
        <v>88281013.052740872</v>
      </c>
      <c r="S86" s="132">
        <f t="shared" ca="1" si="16"/>
        <v>88281013.052740872</v>
      </c>
      <c r="T86" s="132">
        <f t="shared" ca="1" si="16"/>
        <v>88281013.052740872</v>
      </c>
      <c r="U86" s="132">
        <f t="shared" ca="1" si="16"/>
        <v>88281013.052740872</v>
      </c>
      <c r="V86" s="132">
        <f t="shared" ca="1" si="16"/>
        <v>88281013.052740872</v>
      </c>
      <c r="W86" s="132">
        <f t="shared" ca="1" si="16"/>
        <v>88281013.052740872</v>
      </c>
      <c r="X86" s="132">
        <f t="shared" ca="1" si="16"/>
        <v>88281013.052740872</v>
      </c>
      <c r="Y86" s="132">
        <f t="shared" ca="1" si="16"/>
        <v>88281013.052740872</v>
      </c>
      <c r="Z86" s="132">
        <f t="shared" ca="1" si="16"/>
        <v>88281013.052740872</v>
      </c>
      <c r="AA86" s="132">
        <f t="shared" ca="1" si="16"/>
        <v>88281013.052740872</v>
      </c>
      <c r="AB86" s="132">
        <f t="shared" ca="1" si="16"/>
        <v>88281013.052740872</v>
      </c>
      <c r="AC86" s="132">
        <f t="shared" ca="1" si="16"/>
        <v>88281013.052740872</v>
      </c>
      <c r="AD86" s="132">
        <f t="shared" ca="1" si="16"/>
        <v>88281013.052740872</v>
      </c>
      <c r="AE86" s="132">
        <f t="shared" ca="1" si="16"/>
        <v>88281013.052740872</v>
      </c>
      <c r="AF86" s="132">
        <f t="shared" ca="1" si="16"/>
        <v>88281013.052740872</v>
      </c>
      <c r="AG86" s="132">
        <f t="shared" ca="1" si="16"/>
        <v>88281013.052740872</v>
      </c>
      <c r="AH86" s="132">
        <f t="shared" ca="1" si="16"/>
        <v>88281013.052740872</v>
      </c>
      <c r="AI86" s="132">
        <f t="shared" ca="1" si="16"/>
        <v>88281013.052740872</v>
      </c>
      <c r="AJ86" s="132">
        <f t="shared" ca="1" si="16"/>
        <v>88281013.052740872</v>
      </c>
      <c r="AK86" s="124">
        <f t="shared" ca="1" si="16"/>
        <v>88281013.052740872</v>
      </c>
    </row>
    <row r="87" spans="2:37" x14ac:dyDescent="0.2">
      <c r="B87" s="123" t="s">
        <v>684</v>
      </c>
      <c r="H87" s="141">
        <v>0</v>
      </c>
      <c r="I87" s="101">
        <f t="shared" ref="I87:AK87" ca="1" si="17">IF(H88&lt;0,H88,0)</f>
        <v>-509957658.32074714</v>
      </c>
      <c r="J87" s="101">
        <f t="shared" ca="1" si="17"/>
        <v>-1250814081.0761631</v>
      </c>
      <c r="K87" s="101">
        <f t="shared" ca="1" si="17"/>
        <v>-1818064315.2154045</v>
      </c>
      <c r="L87" s="101">
        <f t="shared" ca="1" si="17"/>
        <v>-2261310128.9145217</v>
      </c>
      <c r="M87" s="101">
        <f t="shared" ca="1" si="17"/>
        <v>-2616264795.2602701</v>
      </c>
      <c r="N87" s="101">
        <f t="shared" ca="1" si="17"/>
        <v>-2970971452.7651386</v>
      </c>
      <c r="O87" s="101">
        <f t="shared" ca="1" si="17"/>
        <v>-3325926119.1108871</v>
      </c>
      <c r="P87" s="101">
        <f t="shared" ca="1" si="17"/>
        <v>-3570020833.5831642</v>
      </c>
      <c r="Q87" s="101">
        <f t="shared" ca="1" si="17"/>
        <v>-3703503605.0228505</v>
      </c>
      <c r="R87" s="101">
        <f t="shared" ca="1" si="17"/>
        <v>-3836986376.4625368</v>
      </c>
      <c r="S87" s="101">
        <f t="shared" ca="1" si="17"/>
        <v>-3748705363.4097958</v>
      </c>
      <c r="T87" s="101">
        <f t="shared" ca="1" si="17"/>
        <v>-3660424350.3570547</v>
      </c>
      <c r="U87" s="101">
        <f t="shared" ca="1" si="17"/>
        <v>-3572143337.3043137</v>
      </c>
      <c r="V87" s="101">
        <f t="shared" ca="1" si="17"/>
        <v>-3483862324.2515726</v>
      </c>
      <c r="W87" s="101">
        <f t="shared" ca="1" si="17"/>
        <v>-3395581311.1988316</v>
      </c>
      <c r="X87" s="101">
        <f t="shared" ca="1" si="17"/>
        <v>-3307300298.1460905</v>
      </c>
      <c r="Y87" s="101">
        <f t="shared" ca="1" si="17"/>
        <v>-3219019285.0933495</v>
      </c>
      <c r="Z87" s="101">
        <f t="shared" ca="1" si="17"/>
        <v>-3130738272.0406084</v>
      </c>
      <c r="AA87" s="101">
        <f t="shared" ca="1" si="17"/>
        <v>-3042457258.9878674</v>
      </c>
      <c r="AB87" s="101">
        <f t="shared" ca="1" si="17"/>
        <v>-2954176245.9351263</v>
      </c>
      <c r="AC87" s="101">
        <f t="shared" ca="1" si="17"/>
        <v>-2865895232.8823853</v>
      </c>
      <c r="AD87" s="101">
        <f t="shared" ca="1" si="17"/>
        <v>-2777614219.8296442</v>
      </c>
      <c r="AE87" s="101">
        <f t="shared" ca="1" si="17"/>
        <v>-2689333206.7769032</v>
      </c>
      <c r="AF87" s="101">
        <f t="shared" ca="1" si="17"/>
        <v>-2601052193.7241621</v>
      </c>
      <c r="AG87" s="101">
        <f t="shared" ca="1" si="17"/>
        <v>-2512771180.6714211</v>
      </c>
      <c r="AH87" s="101">
        <f t="shared" ca="1" si="17"/>
        <v>-2424490167.61868</v>
      </c>
      <c r="AI87" s="101">
        <f t="shared" ca="1" si="17"/>
        <v>-2336209154.5659389</v>
      </c>
      <c r="AJ87" s="101">
        <f t="shared" ca="1" si="17"/>
        <v>-2247928141.5131979</v>
      </c>
      <c r="AK87" s="150">
        <f t="shared" ca="1" si="17"/>
        <v>-2159647128.4604568</v>
      </c>
    </row>
    <row r="88" spans="2:37" x14ac:dyDescent="0.2">
      <c r="B88" s="123" t="s">
        <v>685</v>
      </c>
      <c r="H88" s="153">
        <f ca="1">+H87+H86</f>
        <v>-509957658.32074714</v>
      </c>
      <c r="I88" s="153">
        <f t="shared" ref="I88:AK88" ca="1" si="18">+I87+I86</f>
        <v>-1250814081.0761631</v>
      </c>
      <c r="J88" s="153">
        <f t="shared" ca="1" si="18"/>
        <v>-1818064315.2154045</v>
      </c>
      <c r="K88" s="153">
        <f t="shared" ca="1" si="18"/>
        <v>-2261310128.9145217</v>
      </c>
      <c r="L88" s="153">
        <f t="shared" ca="1" si="18"/>
        <v>-2616264795.2602701</v>
      </c>
      <c r="M88" s="153">
        <f t="shared" ca="1" si="18"/>
        <v>-2970971452.7651386</v>
      </c>
      <c r="N88" s="153">
        <f t="shared" ca="1" si="18"/>
        <v>-3325926119.1108871</v>
      </c>
      <c r="O88" s="153">
        <f t="shared" ca="1" si="18"/>
        <v>-3570020833.5831642</v>
      </c>
      <c r="P88" s="153">
        <f t="shared" ca="1" si="18"/>
        <v>-3703503605.0228505</v>
      </c>
      <c r="Q88" s="153">
        <f t="shared" ca="1" si="18"/>
        <v>-3836986376.4625368</v>
      </c>
      <c r="R88" s="153">
        <f t="shared" ca="1" si="18"/>
        <v>-3748705363.4097958</v>
      </c>
      <c r="S88" s="153">
        <f t="shared" ca="1" si="18"/>
        <v>-3660424350.3570547</v>
      </c>
      <c r="T88" s="153">
        <f t="shared" ca="1" si="18"/>
        <v>-3572143337.3043137</v>
      </c>
      <c r="U88" s="153">
        <f t="shared" ca="1" si="18"/>
        <v>-3483862324.2515726</v>
      </c>
      <c r="V88" s="153">
        <f t="shared" ca="1" si="18"/>
        <v>-3395581311.1988316</v>
      </c>
      <c r="W88" s="153">
        <f t="shared" ca="1" si="18"/>
        <v>-3307300298.1460905</v>
      </c>
      <c r="X88" s="153">
        <f t="shared" ca="1" si="18"/>
        <v>-3219019285.0933495</v>
      </c>
      <c r="Y88" s="153">
        <f t="shared" ca="1" si="18"/>
        <v>-3130738272.0406084</v>
      </c>
      <c r="Z88" s="153">
        <f t="shared" ca="1" si="18"/>
        <v>-3042457258.9878674</v>
      </c>
      <c r="AA88" s="153">
        <f t="shared" ca="1" si="18"/>
        <v>-2954176245.9351263</v>
      </c>
      <c r="AB88" s="153">
        <f t="shared" ca="1" si="18"/>
        <v>-2865895232.8823853</v>
      </c>
      <c r="AC88" s="153">
        <f t="shared" ca="1" si="18"/>
        <v>-2777614219.8296442</v>
      </c>
      <c r="AD88" s="153">
        <f t="shared" ca="1" si="18"/>
        <v>-2689333206.7769032</v>
      </c>
      <c r="AE88" s="153">
        <f t="shared" ca="1" si="18"/>
        <v>-2601052193.7241621</v>
      </c>
      <c r="AF88" s="153">
        <f t="shared" ca="1" si="18"/>
        <v>-2512771180.6714211</v>
      </c>
      <c r="AG88" s="153">
        <f t="shared" ca="1" si="18"/>
        <v>-2424490167.61868</v>
      </c>
      <c r="AH88" s="153">
        <f t="shared" ca="1" si="18"/>
        <v>-2336209154.5659389</v>
      </c>
      <c r="AI88" s="153">
        <f t="shared" ca="1" si="18"/>
        <v>-2247928141.5131979</v>
      </c>
      <c r="AJ88" s="153">
        <f t="shared" ca="1" si="18"/>
        <v>-2159647128.4604568</v>
      </c>
      <c r="AK88" s="155">
        <f t="shared" ca="1" si="18"/>
        <v>-2071366115.407716</v>
      </c>
    </row>
    <row r="89" spans="2:37" x14ac:dyDescent="0.2">
      <c r="B89" s="868" t="s">
        <v>3002</v>
      </c>
      <c r="C89" s="866"/>
      <c r="D89" s="866"/>
      <c r="E89" s="866"/>
      <c r="F89" s="866"/>
      <c r="G89" s="866"/>
      <c r="H89" s="866">
        <f ca="1">IF(H88*($D$39)&lt;0,0,H88*$D$39)</f>
        <v>0</v>
      </c>
      <c r="I89" s="866">
        <f t="shared" ref="I89:AK89" ca="1" si="19">IF(I88*($D$39)&lt;0,0,I88*$D$39)</f>
        <v>0</v>
      </c>
      <c r="J89" s="866">
        <f t="shared" ca="1" si="19"/>
        <v>0</v>
      </c>
      <c r="K89" s="866">
        <f t="shared" ca="1" si="19"/>
        <v>0</v>
      </c>
      <c r="L89" s="866">
        <f t="shared" ca="1" si="19"/>
        <v>0</v>
      </c>
      <c r="M89" s="866">
        <f t="shared" ca="1" si="19"/>
        <v>0</v>
      </c>
      <c r="N89" s="866">
        <f t="shared" ca="1" si="19"/>
        <v>0</v>
      </c>
      <c r="O89" s="866">
        <f t="shared" ca="1" si="19"/>
        <v>0</v>
      </c>
      <c r="P89" s="866">
        <f t="shared" ca="1" si="19"/>
        <v>0</v>
      </c>
      <c r="Q89" s="866">
        <f t="shared" ca="1" si="19"/>
        <v>0</v>
      </c>
      <c r="R89" s="866">
        <f t="shared" ca="1" si="19"/>
        <v>0</v>
      </c>
      <c r="S89" s="866">
        <f t="shared" ca="1" si="19"/>
        <v>0</v>
      </c>
      <c r="T89" s="866">
        <f t="shared" ca="1" si="19"/>
        <v>0</v>
      </c>
      <c r="U89" s="866">
        <f t="shared" ca="1" si="19"/>
        <v>0</v>
      </c>
      <c r="V89" s="866">
        <f t="shared" ca="1" si="19"/>
        <v>0</v>
      </c>
      <c r="W89" s="866">
        <f t="shared" ca="1" si="19"/>
        <v>0</v>
      </c>
      <c r="X89" s="866">
        <f t="shared" ca="1" si="19"/>
        <v>0</v>
      </c>
      <c r="Y89" s="866">
        <f t="shared" ca="1" si="19"/>
        <v>0</v>
      </c>
      <c r="Z89" s="866">
        <f t="shared" ca="1" si="19"/>
        <v>0</v>
      </c>
      <c r="AA89" s="866">
        <f t="shared" ca="1" si="19"/>
        <v>0</v>
      </c>
      <c r="AB89" s="866">
        <f t="shared" ca="1" si="19"/>
        <v>0</v>
      </c>
      <c r="AC89" s="866">
        <f t="shared" ca="1" si="19"/>
        <v>0</v>
      </c>
      <c r="AD89" s="866">
        <f t="shared" ca="1" si="19"/>
        <v>0</v>
      </c>
      <c r="AE89" s="866">
        <f t="shared" ca="1" si="19"/>
        <v>0</v>
      </c>
      <c r="AF89" s="866">
        <f t="shared" ca="1" si="19"/>
        <v>0</v>
      </c>
      <c r="AG89" s="866">
        <f t="shared" ca="1" si="19"/>
        <v>0</v>
      </c>
      <c r="AH89" s="866">
        <f t="shared" ca="1" si="19"/>
        <v>0</v>
      </c>
      <c r="AI89" s="866">
        <f t="shared" ca="1" si="19"/>
        <v>0</v>
      </c>
      <c r="AJ89" s="866">
        <f t="shared" ca="1" si="19"/>
        <v>0</v>
      </c>
      <c r="AK89" s="867">
        <f t="shared" ca="1" si="19"/>
        <v>0</v>
      </c>
    </row>
    <row r="90" spans="2:37" x14ac:dyDescent="0.2">
      <c r="B90" s="123"/>
      <c r="AK90" s="140"/>
    </row>
    <row r="91" spans="2:37" x14ac:dyDescent="0.2">
      <c r="B91" s="123" t="s">
        <v>3004</v>
      </c>
      <c r="H91" s="153">
        <f ca="1">+H75-H64-H80-H89</f>
        <v>-155553024.70287138</v>
      </c>
      <c r="I91" s="153">
        <f t="shared" ref="I91:Y91" ca="1" si="20">+I75-I64-I80-I89</f>
        <v>-133482771.43968615</v>
      </c>
      <c r="J91" s="153">
        <f t="shared" ca="1" si="20"/>
        <v>-133482771.43968615</v>
      </c>
      <c r="K91" s="153">
        <f t="shared" ca="1" si="20"/>
        <v>-133482771.43968615</v>
      </c>
      <c r="L91" s="153">
        <f t="shared" ca="1" si="20"/>
        <v>-133482771.43968615</v>
      </c>
      <c r="M91" s="153">
        <f t="shared" ca="1" si="20"/>
        <v>-133482771.43968615</v>
      </c>
      <c r="N91" s="153">
        <f t="shared" ca="1" si="20"/>
        <v>-133482771.43968615</v>
      </c>
      <c r="O91" s="153">
        <f t="shared" ca="1" si="20"/>
        <v>-133482771.43968615</v>
      </c>
      <c r="P91" s="153">
        <f t="shared" ca="1" si="20"/>
        <v>-133482771.43968615</v>
      </c>
      <c r="Q91" s="153">
        <f t="shared" ca="1" si="20"/>
        <v>-133482771.43968615</v>
      </c>
      <c r="R91" s="153">
        <f t="shared" ca="1" si="20"/>
        <v>88281013.052740872</v>
      </c>
      <c r="S91" s="153">
        <f t="shared" ca="1" si="20"/>
        <v>88281013.052740872</v>
      </c>
      <c r="T91" s="153">
        <f t="shared" ca="1" si="20"/>
        <v>88281013.052740872</v>
      </c>
      <c r="U91" s="153">
        <f t="shared" ca="1" si="20"/>
        <v>88281013.052740872</v>
      </c>
      <c r="V91" s="153">
        <f t="shared" ca="1" si="20"/>
        <v>88281013.052740872</v>
      </c>
      <c r="W91" s="153">
        <f t="shared" ca="1" si="20"/>
        <v>88281013.052740872</v>
      </c>
      <c r="X91" s="153">
        <f t="shared" ca="1" si="20"/>
        <v>88281013.052740872</v>
      </c>
      <c r="Y91" s="153">
        <f t="shared" ca="1" si="20"/>
        <v>88281013.052740872</v>
      </c>
      <c r="Z91" s="153">
        <f t="shared" ref="Z91:AK91" ca="1" si="21">+Z75-Z60-Z80-Z89</f>
        <v>88281013.052740872</v>
      </c>
      <c r="AA91" s="153">
        <f t="shared" ca="1" si="21"/>
        <v>88281013.052740872</v>
      </c>
      <c r="AB91" s="153">
        <f t="shared" ca="1" si="21"/>
        <v>88281013.052740872</v>
      </c>
      <c r="AC91" s="153">
        <f t="shared" ca="1" si="21"/>
        <v>88281013.052740872</v>
      </c>
      <c r="AD91" s="153">
        <f t="shared" ca="1" si="21"/>
        <v>88281013.052740872</v>
      </c>
      <c r="AE91" s="153">
        <f t="shared" ca="1" si="21"/>
        <v>88281013.052740872</v>
      </c>
      <c r="AF91" s="153">
        <f t="shared" ca="1" si="21"/>
        <v>88281013.052740872</v>
      </c>
      <c r="AG91" s="153">
        <f t="shared" ca="1" si="21"/>
        <v>88281013.052740872</v>
      </c>
      <c r="AH91" s="153">
        <f t="shared" ca="1" si="21"/>
        <v>88281013.052740872</v>
      </c>
      <c r="AI91" s="153">
        <f t="shared" ca="1" si="21"/>
        <v>88281013.052740872</v>
      </c>
      <c r="AJ91" s="153">
        <f t="shared" ca="1" si="21"/>
        <v>88281013.052740872</v>
      </c>
      <c r="AK91" s="155">
        <f t="shared" ca="1" si="21"/>
        <v>88281013.052740872</v>
      </c>
    </row>
    <row r="92" spans="2:37" x14ac:dyDescent="0.2">
      <c r="B92" s="123" t="s">
        <v>3003</v>
      </c>
      <c r="E92" s="166">
        <f t="shared" ref="E92:AK92" si="22">1/(1+$D$38)^E55</f>
        <v>1.2100000000000002</v>
      </c>
      <c r="F92" s="166">
        <f t="shared" si="22"/>
        <v>1.1000000000000001</v>
      </c>
      <c r="G92" s="166">
        <f t="shared" si="22"/>
        <v>1</v>
      </c>
      <c r="H92" s="166">
        <f t="shared" si="22"/>
        <v>0.90909090909090906</v>
      </c>
      <c r="I92" s="166">
        <f t="shared" si="22"/>
        <v>0.82644628099173545</v>
      </c>
      <c r="J92" s="166">
        <f t="shared" si="22"/>
        <v>0.75131480090157754</v>
      </c>
      <c r="K92" s="166">
        <f t="shared" si="22"/>
        <v>0.68301345536507052</v>
      </c>
      <c r="L92" s="166">
        <f t="shared" si="22"/>
        <v>0.62092132305915493</v>
      </c>
      <c r="M92" s="166">
        <f t="shared" si="22"/>
        <v>0.56447393005377722</v>
      </c>
      <c r="N92" s="166">
        <f t="shared" si="22"/>
        <v>0.51315811823070645</v>
      </c>
      <c r="O92" s="166">
        <f t="shared" si="22"/>
        <v>0.46650738020973315</v>
      </c>
      <c r="P92" s="166">
        <f t="shared" si="22"/>
        <v>0.42409761837248466</v>
      </c>
      <c r="Q92" s="166">
        <f t="shared" si="22"/>
        <v>0.38554328942953148</v>
      </c>
      <c r="R92" s="166">
        <f t="shared" si="22"/>
        <v>0.3504938994813922</v>
      </c>
      <c r="S92" s="166">
        <f t="shared" si="22"/>
        <v>0.31863081771035656</v>
      </c>
      <c r="T92" s="166">
        <f t="shared" si="22"/>
        <v>0.28966437973668779</v>
      </c>
      <c r="U92" s="166">
        <f t="shared" si="22"/>
        <v>0.26333125430607973</v>
      </c>
      <c r="V92" s="166">
        <f t="shared" si="22"/>
        <v>0.23939204936916339</v>
      </c>
      <c r="W92" s="166">
        <f t="shared" si="22"/>
        <v>0.21762913579014853</v>
      </c>
      <c r="X92" s="166">
        <f t="shared" si="22"/>
        <v>0.19784466890013502</v>
      </c>
      <c r="Y92" s="166">
        <f t="shared" si="22"/>
        <v>0.17985878990921364</v>
      </c>
      <c r="Z92" s="166">
        <f t="shared" si="22"/>
        <v>0.16350799082655781</v>
      </c>
      <c r="AA92" s="166">
        <f t="shared" si="22"/>
        <v>0.14864362802414349</v>
      </c>
      <c r="AB92" s="166">
        <f t="shared" si="22"/>
        <v>0.13513057093103953</v>
      </c>
      <c r="AC92" s="166">
        <f t="shared" si="22"/>
        <v>0.12284597357367227</v>
      </c>
      <c r="AD92" s="166">
        <f t="shared" si="22"/>
        <v>0.11167815779424752</v>
      </c>
      <c r="AE92" s="166">
        <f t="shared" si="22"/>
        <v>0.10152559799477048</v>
      </c>
      <c r="AF92" s="166">
        <f t="shared" si="22"/>
        <v>9.2295998177064048E-2</v>
      </c>
      <c r="AG92" s="166">
        <f t="shared" si="22"/>
        <v>8.3905452888240042E-2</v>
      </c>
      <c r="AH92" s="166">
        <f t="shared" si="22"/>
        <v>7.6277684443854576E-2</v>
      </c>
      <c r="AI92" s="166">
        <f t="shared" si="22"/>
        <v>6.9343349494413245E-2</v>
      </c>
      <c r="AJ92" s="166">
        <f t="shared" si="22"/>
        <v>6.3039408631284766E-2</v>
      </c>
      <c r="AK92" s="869">
        <f t="shared" si="22"/>
        <v>5.7308553301167964E-2</v>
      </c>
    </row>
    <row r="93" spans="2:37" x14ac:dyDescent="0.2">
      <c r="B93" s="871" t="s">
        <v>3005</v>
      </c>
      <c r="D93" s="872">
        <f ca="1">SUM(H93:AK93)</f>
        <v>-550488762.92437744</v>
      </c>
      <c r="H93" s="873">
        <f ca="1">+H92*H91</f>
        <v>-141411840.63897398</v>
      </c>
      <c r="I93" s="873">
        <f ca="1">+I92*I91</f>
        <v>-110316340.03279845</v>
      </c>
      <c r="J93" s="873">
        <f t="shared" ref="J93:AK93" ca="1" si="23">+J92*J91</f>
        <v>-100287581.84799857</v>
      </c>
      <c r="K93" s="873">
        <f t="shared" ca="1" si="23"/>
        <v>-91170528.952725992</v>
      </c>
      <c r="L93" s="873">
        <f t="shared" ca="1" si="23"/>
        <v>-82882299.047932699</v>
      </c>
      <c r="M93" s="873">
        <f t="shared" ca="1" si="23"/>
        <v>-75347544.589029729</v>
      </c>
      <c r="N93" s="873">
        <f t="shared" ca="1" si="23"/>
        <v>-68497767.808208838</v>
      </c>
      <c r="O93" s="873">
        <f t="shared" ca="1" si="23"/>
        <v>-62270698.007462576</v>
      </c>
      <c r="P93" s="873">
        <f t="shared" ca="1" si="23"/>
        <v>-56609725.461329609</v>
      </c>
      <c r="Q93" s="873">
        <f t="shared" ca="1" si="23"/>
        <v>-51463386.783026919</v>
      </c>
      <c r="R93" s="873">
        <f ca="1">+R92*R91</f>
        <v>30941956.515022833</v>
      </c>
      <c r="S93" s="873">
        <f t="shared" ca="1" si="23"/>
        <v>28129051.377293486</v>
      </c>
      <c r="T93" s="873">
        <f t="shared" ca="1" si="23"/>
        <v>25571864.888448622</v>
      </c>
      <c r="U93" s="873">
        <f t="shared" ca="1" si="23"/>
        <v>23247149.898589652</v>
      </c>
      <c r="V93" s="873">
        <f t="shared" ca="1" si="23"/>
        <v>21133772.6350815</v>
      </c>
      <c r="W93" s="873">
        <f t="shared" ca="1" si="23"/>
        <v>19212520.577346817</v>
      </c>
      <c r="X93" s="873">
        <f t="shared" ca="1" si="23"/>
        <v>17465927.797588017</v>
      </c>
      <c r="Y93" s="873">
        <f t="shared" ca="1" si="23"/>
        <v>15878116.179625468</v>
      </c>
      <c r="Z93" s="873">
        <f t="shared" ca="1" si="23"/>
        <v>14434651.072386784</v>
      </c>
      <c r="AA93" s="873">
        <f t="shared" ca="1" si="23"/>
        <v>13122410.065806171</v>
      </c>
      <c r="AB93" s="873">
        <f t="shared" ca="1" si="23"/>
        <v>11929463.696187427</v>
      </c>
      <c r="AC93" s="873">
        <f t="shared" ca="1" si="23"/>
        <v>10844966.996534022</v>
      </c>
      <c r="AD93" s="873">
        <f t="shared" ca="1" si="23"/>
        <v>9859060.9059400205</v>
      </c>
      <c r="AE93" s="873">
        <f t="shared" ca="1" si="23"/>
        <v>8962782.6417636555</v>
      </c>
      <c r="AF93" s="873">
        <f t="shared" ca="1" si="23"/>
        <v>8147984.219785139</v>
      </c>
      <c r="AG93" s="873">
        <f t="shared" ca="1" si="23"/>
        <v>7407258.3816228537</v>
      </c>
      <c r="AH93" s="873">
        <f t="shared" ca="1" si="23"/>
        <v>6733871.2560207751</v>
      </c>
      <c r="AI93" s="873">
        <f t="shared" ca="1" si="23"/>
        <v>6121701.1418370679</v>
      </c>
      <c r="AJ93" s="873">
        <f t="shared" ca="1" si="23"/>
        <v>5565182.8562155161</v>
      </c>
      <c r="AK93" s="874">
        <f t="shared" ca="1" si="23"/>
        <v>5059257.1420141049</v>
      </c>
    </row>
    <row r="94" spans="2:37" x14ac:dyDescent="0.2">
      <c r="B94" s="870" t="s">
        <v>3006</v>
      </c>
      <c r="E94" s="875">
        <f ca="1">+SUM(E56,E61,E57)*E92</f>
        <v>584576678.66201735</v>
      </c>
      <c r="F94" s="875">
        <f ca="1">+(F56+F61)*F92</f>
        <v>624188650.72741067</v>
      </c>
      <c r="G94" s="875">
        <f ca="1">+(G56+G61+G58)*G92</f>
        <v>639862809.47104239</v>
      </c>
      <c r="AK94" s="140"/>
    </row>
    <row r="95" spans="2:37" x14ac:dyDescent="0.2">
      <c r="B95" s="123"/>
      <c r="AK95" s="140"/>
    </row>
    <row r="96" spans="2:37" x14ac:dyDescent="0.2">
      <c r="B96" s="123" t="s">
        <v>686</v>
      </c>
      <c r="D96" s="132">
        <f ca="1">E96</f>
        <v>450136046.19765198</v>
      </c>
      <c r="E96" s="101">
        <f ca="1">E57*E92</f>
        <v>450136046.19765198</v>
      </c>
      <c r="AK96" s="140"/>
    </row>
    <row r="97" spans="2:37" x14ac:dyDescent="0.2">
      <c r="B97" s="877" t="s">
        <v>3007</v>
      </c>
      <c r="C97" s="10"/>
      <c r="D97" s="878">
        <f ca="1">SUM(H97:AK97)</f>
        <v>2753251960.042943</v>
      </c>
      <c r="H97" s="876">
        <f ca="1">H92*H75</f>
        <v>204053298.87790394</v>
      </c>
      <c r="I97" s="876">
        <f t="shared" ref="I97:AK97" ca="1" si="24">I92*I75</f>
        <v>247337331.97321692</v>
      </c>
      <c r="J97" s="876">
        <f t="shared" ca="1" si="24"/>
        <v>224852119.97565171</v>
      </c>
      <c r="K97" s="876">
        <f t="shared" ca="1" si="24"/>
        <v>204411018.15968338</v>
      </c>
      <c r="L97" s="876">
        <f t="shared" ca="1" si="24"/>
        <v>185828198.32698485</v>
      </c>
      <c r="M97" s="876">
        <f t="shared" ca="1" si="24"/>
        <v>168934725.75180441</v>
      </c>
      <c r="N97" s="876">
        <f t="shared" ca="1" si="24"/>
        <v>153577023.41073126</v>
      </c>
      <c r="O97" s="876">
        <f t="shared" ca="1" si="24"/>
        <v>139615475.82793751</v>
      </c>
      <c r="P97" s="876">
        <f t="shared" ca="1" si="24"/>
        <v>126923159.84357955</v>
      </c>
      <c r="Q97" s="876">
        <f t="shared" ca="1" si="24"/>
        <v>115384690.7668905</v>
      </c>
      <c r="R97" s="876">
        <f t="shared" ca="1" si="24"/>
        <v>104895173.42444588</v>
      </c>
      <c r="S97" s="876">
        <f t="shared" ca="1" si="24"/>
        <v>95359248.567678079</v>
      </c>
      <c r="T97" s="876">
        <f t="shared" ca="1" si="24"/>
        <v>86690225.970616445</v>
      </c>
      <c r="U97" s="876">
        <f t="shared" ca="1" si="24"/>
        <v>78809296.336924016</v>
      </c>
      <c r="V97" s="876">
        <f t="shared" ca="1" si="24"/>
        <v>71644814.851749107</v>
      </c>
      <c r="W97" s="876">
        <f t="shared" ca="1" si="24"/>
        <v>65131649.865226455</v>
      </c>
      <c r="X97" s="876">
        <f t="shared" ca="1" si="24"/>
        <v>59210590.786569506</v>
      </c>
      <c r="Y97" s="876">
        <f t="shared" ca="1" si="24"/>
        <v>53827809.805972271</v>
      </c>
      <c r="Z97" s="876">
        <f t="shared" ca="1" si="24"/>
        <v>48934372.550883867</v>
      </c>
      <c r="AA97" s="876">
        <f t="shared" ca="1" si="24"/>
        <v>44485793.228076249</v>
      </c>
      <c r="AB97" s="876">
        <f t="shared" ca="1" si="24"/>
        <v>40441630.207342044</v>
      </c>
      <c r="AC97" s="876">
        <f t="shared" ca="1" si="24"/>
        <v>36765118.37031094</v>
      </c>
      <c r="AD97" s="876">
        <f t="shared" ca="1" si="24"/>
        <v>33422834.882100854</v>
      </c>
      <c r="AE97" s="876">
        <f t="shared" ca="1" si="24"/>
        <v>30384395.347364418</v>
      </c>
      <c r="AF97" s="876">
        <f t="shared" ca="1" si="24"/>
        <v>27622177.588513099</v>
      </c>
      <c r="AG97" s="876">
        <f t="shared" ca="1" si="24"/>
        <v>25111070.535011906</v>
      </c>
      <c r="AH97" s="876">
        <f t="shared" ca="1" si="24"/>
        <v>22828245.940919913</v>
      </c>
      <c r="AI97" s="876">
        <f t="shared" ca="1" si="24"/>
        <v>20752950.855381738</v>
      </c>
      <c r="AJ97" s="876">
        <f t="shared" ca="1" si="24"/>
        <v>18866318.959437944</v>
      </c>
      <c r="AK97" s="1143">
        <f t="shared" ca="1" si="24"/>
        <v>17151199.054034494</v>
      </c>
    </row>
    <row r="98" spans="2:37" x14ac:dyDescent="0.2">
      <c r="B98" s="123" t="s">
        <v>687</v>
      </c>
      <c r="D98" s="132">
        <f ca="1">SUM(H98:AK98)</f>
        <v>0</v>
      </c>
      <c r="H98" s="153">
        <f ca="1">+H92*H89</f>
        <v>0</v>
      </c>
      <c r="I98" s="153">
        <f t="shared" ref="I98:AK98" ca="1" si="25">+I92*I89</f>
        <v>0</v>
      </c>
      <c r="J98" s="153">
        <f t="shared" ca="1" si="25"/>
        <v>0</v>
      </c>
      <c r="K98" s="153">
        <f t="shared" ca="1" si="25"/>
        <v>0</v>
      </c>
      <c r="L98" s="153">
        <f t="shared" ca="1" si="25"/>
        <v>0</v>
      </c>
      <c r="M98" s="153">
        <f t="shared" ca="1" si="25"/>
        <v>0</v>
      </c>
      <c r="N98" s="153">
        <f t="shared" ca="1" si="25"/>
        <v>0</v>
      </c>
      <c r="O98" s="153">
        <f t="shared" ca="1" si="25"/>
        <v>0</v>
      </c>
      <c r="P98" s="153">
        <f t="shared" ca="1" si="25"/>
        <v>0</v>
      </c>
      <c r="Q98" s="153">
        <f t="shared" ca="1" si="25"/>
        <v>0</v>
      </c>
      <c r="R98" s="153">
        <f t="shared" ca="1" si="25"/>
        <v>0</v>
      </c>
      <c r="S98" s="153">
        <f t="shared" ca="1" si="25"/>
        <v>0</v>
      </c>
      <c r="T98" s="153">
        <f t="shared" ca="1" si="25"/>
        <v>0</v>
      </c>
      <c r="U98" s="153">
        <f t="shared" ca="1" si="25"/>
        <v>0</v>
      </c>
      <c r="V98" s="153">
        <f t="shared" ca="1" si="25"/>
        <v>0</v>
      </c>
      <c r="W98" s="153">
        <f t="shared" ca="1" si="25"/>
        <v>0</v>
      </c>
      <c r="X98" s="153">
        <f t="shared" ca="1" si="25"/>
        <v>0</v>
      </c>
      <c r="Y98" s="153">
        <f t="shared" ca="1" si="25"/>
        <v>0</v>
      </c>
      <c r="Z98" s="153">
        <f t="shared" ca="1" si="25"/>
        <v>0</v>
      </c>
      <c r="AA98" s="153">
        <f ca="1">+AA92*AA89</f>
        <v>0</v>
      </c>
      <c r="AB98" s="153">
        <f t="shared" ca="1" si="25"/>
        <v>0</v>
      </c>
      <c r="AC98" s="153">
        <f t="shared" ca="1" si="25"/>
        <v>0</v>
      </c>
      <c r="AD98" s="153">
        <f t="shared" ca="1" si="25"/>
        <v>0</v>
      </c>
      <c r="AE98" s="153">
        <f t="shared" ca="1" si="25"/>
        <v>0</v>
      </c>
      <c r="AF98" s="153">
        <f t="shared" ca="1" si="25"/>
        <v>0</v>
      </c>
      <c r="AG98" s="153">
        <f t="shared" ca="1" si="25"/>
        <v>0</v>
      </c>
      <c r="AH98" s="153">
        <f t="shared" ca="1" si="25"/>
        <v>0</v>
      </c>
      <c r="AI98" s="153">
        <f t="shared" ca="1" si="25"/>
        <v>0</v>
      </c>
      <c r="AJ98" s="153">
        <f t="shared" ca="1" si="25"/>
        <v>0</v>
      </c>
      <c r="AK98" s="155">
        <f t="shared" ca="1" si="25"/>
        <v>0</v>
      </c>
    </row>
    <row r="99" spans="2:37" x14ac:dyDescent="0.2">
      <c r="B99" s="877" t="s">
        <v>688</v>
      </c>
      <c r="C99" s="10"/>
      <c r="D99" s="878">
        <f ca="1">SUM(H99:AK99)</f>
        <v>1941098267.5385718</v>
      </c>
      <c r="H99" s="879">
        <f t="shared" ref="H99:AK99" ca="1" si="26">H92*H78</f>
        <v>143861699.069217</v>
      </c>
      <c r="I99" s="879">
        <f t="shared" ca="1" si="26"/>
        <v>174377817.05359638</v>
      </c>
      <c r="J99" s="879">
        <f t="shared" ca="1" si="26"/>
        <v>158525288.23054212</v>
      </c>
      <c r="K99" s="879">
        <f t="shared" ca="1" si="26"/>
        <v>144113898.39140195</v>
      </c>
      <c r="L99" s="879">
        <f t="shared" ca="1" si="26"/>
        <v>131012634.90127447</v>
      </c>
      <c r="M99" s="879">
        <f t="shared" ca="1" si="26"/>
        <v>119102395.36479498</v>
      </c>
      <c r="N99" s="879">
        <f t="shared" ca="1" si="26"/>
        <v>108274904.87708633</v>
      </c>
      <c r="O99" s="879">
        <f t="shared" ca="1" si="26"/>
        <v>98431731.706442118</v>
      </c>
      <c r="P99" s="879">
        <f t="shared" ca="1" si="26"/>
        <v>89483392.460401922</v>
      </c>
      <c r="Q99" s="879">
        <f t="shared" ca="1" si="26"/>
        <v>81348538.600365371</v>
      </c>
      <c r="R99" s="879">
        <f t="shared" ca="1" si="26"/>
        <v>73953216.909423053</v>
      </c>
      <c r="S99" s="879">
        <f t="shared" ca="1" si="26"/>
        <v>67230197.190384597</v>
      </c>
      <c r="T99" s="879">
        <f t="shared" ca="1" si="26"/>
        <v>61118361.082167819</v>
      </c>
      <c r="U99" s="879">
        <f t="shared" ca="1" si="26"/>
        <v>55562146.438334361</v>
      </c>
      <c r="V99" s="879">
        <f t="shared" ca="1" si="26"/>
        <v>50511042.2166676</v>
      </c>
      <c r="W99" s="879">
        <f t="shared" ca="1" si="26"/>
        <v>45919129.287879638</v>
      </c>
      <c r="X99" s="879">
        <f t="shared" ca="1" si="26"/>
        <v>41744662.988981485</v>
      </c>
      <c r="Y99" s="879">
        <f t="shared" ca="1" si="26"/>
        <v>37949693.626346804</v>
      </c>
      <c r="Z99" s="879">
        <f t="shared" ca="1" si="26"/>
        <v>34499721.478497088</v>
      </c>
      <c r="AA99" s="879">
        <f t="shared" ca="1" si="26"/>
        <v>31363383.162270084</v>
      </c>
      <c r="AB99" s="879">
        <f t="shared" ca="1" si="26"/>
        <v>28512166.511154618</v>
      </c>
      <c r="AC99" s="879">
        <f t="shared" ca="1" si="26"/>
        <v>25920151.37377692</v>
      </c>
      <c r="AD99" s="879">
        <f t="shared" ca="1" si="26"/>
        <v>23563773.976160835</v>
      </c>
      <c r="AE99" s="879">
        <f t="shared" ca="1" si="26"/>
        <v>21421612.705600761</v>
      </c>
      <c r="AF99" s="879">
        <f t="shared" ca="1" si="26"/>
        <v>19474193.36872796</v>
      </c>
      <c r="AG99" s="879">
        <f t="shared" ca="1" si="26"/>
        <v>17703812.153389055</v>
      </c>
      <c r="AH99" s="879">
        <f t="shared" ca="1" si="26"/>
        <v>16094374.684899138</v>
      </c>
      <c r="AI99" s="879">
        <f t="shared" ca="1" si="26"/>
        <v>14631249.71354467</v>
      </c>
      <c r="AJ99" s="879">
        <f t="shared" ca="1" si="26"/>
        <v>13301136.103222428</v>
      </c>
      <c r="AK99" s="880">
        <f t="shared" ca="1" si="26"/>
        <v>12091941.912020387</v>
      </c>
    </row>
    <row r="100" spans="2:37" x14ac:dyDescent="0.2">
      <c r="B100" s="123" t="s">
        <v>689</v>
      </c>
      <c r="D100" s="132">
        <f ca="1">SUM(E100:G100)</f>
        <v>1186474294.7711112</v>
      </c>
      <c r="E100" s="101">
        <f ca="1">E56*E92</f>
        <v>120036278.98604053</v>
      </c>
      <c r="F100" s="101">
        <f ca="1">F56*F92</f>
        <v>545619449.93654788</v>
      </c>
      <c r="G100" s="101">
        <f ca="1">G56*G92+G58*G92</f>
        <v>520818565.8485229</v>
      </c>
      <c r="AK100" s="140"/>
    </row>
    <row r="101" spans="2:37" x14ac:dyDescent="0.2">
      <c r="B101" s="1144" t="s">
        <v>690</v>
      </c>
      <c r="C101" s="1141"/>
      <c r="D101" s="1142">
        <f ca="1">SUM(H101:AK101)</f>
        <v>2708021863.1671305</v>
      </c>
      <c r="H101" s="879">
        <f ca="1">SUM(H66,H67,H69,H70,H71,H72)*H92</f>
        <v>200701135.46895361</v>
      </c>
      <c r="I101" s="879">
        <f t="shared" ref="I101:AK101" ca="1" si="27">SUM(I66,I67,I69,I70,I71,I72)*I92</f>
        <v>243274103.59873164</v>
      </c>
      <c r="J101" s="879">
        <f t="shared" ca="1" si="27"/>
        <v>221158275.99884689</v>
      </c>
      <c r="K101" s="879">
        <f t="shared" ca="1" si="27"/>
        <v>201052978.18076992</v>
      </c>
      <c r="L101" s="879">
        <f t="shared" ca="1" si="27"/>
        <v>182775434.7097908</v>
      </c>
      <c r="M101" s="879">
        <f t="shared" ca="1" si="27"/>
        <v>166159486.09980983</v>
      </c>
      <c r="N101" s="879">
        <f t="shared" ca="1" si="27"/>
        <v>151054078.27255437</v>
      </c>
      <c r="O101" s="879">
        <f t="shared" ca="1" si="27"/>
        <v>137321889.33868578</v>
      </c>
      <c r="P101" s="879">
        <f t="shared" ca="1" si="27"/>
        <v>124838081.21698707</v>
      </c>
      <c r="Q101" s="879">
        <f t="shared" ca="1" si="27"/>
        <v>113489164.74271551</v>
      </c>
      <c r="R101" s="879">
        <f t="shared" ca="1" si="27"/>
        <v>103171967.94792317</v>
      </c>
      <c r="S101" s="879">
        <f t="shared" ca="1" si="27"/>
        <v>93792698.134475619</v>
      </c>
      <c r="T101" s="879">
        <f t="shared" ca="1" si="27"/>
        <v>85266089.213159651</v>
      </c>
      <c r="U101" s="879">
        <f t="shared" ca="1" si="27"/>
        <v>77514626.55741784</v>
      </c>
      <c r="V101" s="879">
        <f t="shared" ca="1" si="27"/>
        <v>70467842.324925318</v>
      </c>
      <c r="W101" s="879">
        <f t="shared" ca="1" si="27"/>
        <v>64061674.840841189</v>
      </c>
      <c r="X101" s="879">
        <f t="shared" ca="1" si="27"/>
        <v>58237886.218946539</v>
      </c>
      <c r="Y101" s="879">
        <f t="shared" ca="1" si="27"/>
        <v>52943532.926315024</v>
      </c>
      <c r="Z101" s="879">
        <f t="shared" ca="1" si="27"/>
        <v>48130484.478468195</v>
      </c>
      <c r="AA101" s="879">
        <f t="shared" ca="1" si="27"/>
        <v>43754985.889516547</v>
      </c>
      <c r="AB101" s="879">
        <f t="shared" ca="1" si="27"/>
        <v>39777259.899560496</v>
      </c>
      <c r="AC101" s="879">
        <f t="shared" ca="1" si="27"/>
        <v>36161145.363236807</v>
      </c>
      <c r="AD101" s="879">
        <f t="shared" ca="1" si="27"/>
        <v>32873768.512033459</v>
      </c>
      <c r="AE101" s="879">
        <f t="shared" ca="1" si="27"/>
        <v>29885244.101848602</v>
      </c>
      <c r="AF101" s="879">
        <f t="shared" ca="1" si="27"/>
        <v>27168403.728953268</v>
      </c>
      <c r="AG101" s="879">
        <f t="shared" ca="1" si="27"/>
        <v>24698548.844502971</v>
      </c>
      <c r="AH101" s="879">
        <f t="shared" ca="1" si="27"/>
        <v>22453226.222275425</v>
      </c>
      <c r="AI101" s="879">
        <f t="shared" ca="1" si="27"/>
        <v>20412023.838432204</v>
      </c>
      <c r="AJ101" s="879">
        <f t="shared" ca="1" si="27"/>
        <v>18556385.307665639</v>
      </c>
      <c r="AK101" s="880">
        <f t="shared" ca="1" si="27"/>
        <v>16869441.188786943</v>
      </c>
    </row>
    <row r="102" spans="2:37" x14ac:dyDescent="0.2">
      <c r="B102" s="123"/>
      <c r="AK102" s="140"/>
    </row>
    <row r="103" spans="2:37" x14ac:dyDescent="0.2">
      <c r="B103" s="123" t="s">
        <v>692</v>
      </c>
      <c r="D103" s="101">
        <f ca="1">SUM(H103:AK103)</f>
        <v>3527568.3309262125</v>
      </c>
      <c r="E103" s="850">
        <f ca="1">D103/D101</f>
        <v>1.3026365772396654E-3</v>
      </c>
      <c r="H103" s="101">
        <f t="shared" ref="H103:AK103" ca="1" si="28">H66*H92</f>
        <v>261440.64015539223</v>
      </c>
      <c r="I103" s="101">
        <f t="shared" ca="1" si="28"/>
        <v>316897.74564289965</v>
      </c>
      <c r="J103" s="101">
        <f t="shared" ca="1" si="28"/>
        <v>288088.85967536323</v>
      </c>
      <c r="K103" s="101">
        <f t="shared" ca="1" si="28"/>
        <v>261898.96334123935</v>
      </c>
      <c r="L103" s="101">
        <f t="shared" ca="1" si="28"/>
        <v>238089.96667385389</v>
      </c>
      <c r="M103" s="101">
        <f t="shared" ca="1" si="28"/>
        <v>216445.42424895809</v>
      </c>
      <c r="N103" s="101">
        <f t="shared" ca="1" si="28"/>
        <v>196768.56749905276</v>
      </c>
      <c r="O103" s="101">
        <f t="shared" ca="1" si="28"/>
        <v>178880.51590822981</v>
      </c>
      <c r="P103" s="101">
        <f t="shared" ca="1" si="28"/>
        <v>162618.65082566344</v>
      </c>
      <c r="Q103" s="101">
        <f t="shared" ca="1" si="28"/>
        <v>147835.13711423948</v>
      </c>
      <c r="R103" s="101">
        <f t="shared" ca="1" si="28"/>
        <v>134395.57919476315</v>
      </c>
      <c r="S103" s="101">
        <f t="shared" ca="1" si="28"/>
        <v>122177.7992679665</v>
      </c>
      <c r="T103" s="101">
        <f t="shared" ca="1" si="28"/>
        <v>111070.72660724228</v>
      </c>
      <c r="U103" s="101">
        <f t="shared" ca="1" si="28"/>
        <v>100973.38782476568</v>
      </c>
      <c r="V103" s="101">
        <f t="shared" ca="1" si="28"/>
        <v>91793.988931605156</v>
      </c>
      <c r="W103" s="101">
        <f t="shared" ca="1" si="28"/>
        <v>83449.080846913785</v>
      </c>
      <c r="X103" s="101">
        <f t="shared" ca="1" si="28"/>
        <v>75862.80076992161</v>
      </c>
      <c r="Y103" s="101">
        <f t="shared" ca="1" si="28"/>
        <v>68966.182518110552</v>
      </c>
      <c r="Z103" s="101">
        <f t="shared" ca="1" si="28"/>
        <v>62696.529561918673</v>
      </c>
      <c r="AA103" s="101">
        <f t="shared" ca="1" si="28"/>
        <v>56996.845056289712</v>
      </c>
      <c r="AB103" s="101">
        <f t="shared" ca="1" si="28"/>
        <v>51815.313687536094</v>
      </c>
      <c r="AC103" s="101">
        <f t="shared" ca="1" si="28"/>
        <v>47104.830625032802</v>
      </c>
      <c r="AD103" s="101">
        <f t="shared" ca="1" si="28"/>
        <v>42822.573295484362</v>
      </c>
      <c r="AE103" s="101">
        <f t="shared" ca="1" si="28"/>
        <v>38929.612086803972</v>
      </c>
      <c r="AF103" s="101">
        <f t="shared" ca="1" si="28"/>
        <v>35390.556442549059</v>
      </c>
      <c r="AG103" s="101">
        <f t="shared" ca="1" si="28"/>
        <v>32173.233129590051</v>
      </c>
      <c r="AH103" s="101">
        <f t="shared" ca="1" si="28"/>
        <v>29248.393754172772</v>
      </c>
      <c r="AI103" s="101">
        <f t="shared" ca="1" si="28"/>
        <v>26589.44886742979</v>
      </c>
      <c r="AJ103" s="101">
        <f t="shared" ca="1" si="28"/>
        <v>24172.226243117988</v>
      </c>
      <c r="AK103" s="150">
        <f t="shared" ca="1" si="28"/>
        <v>21974.751130107263</v>
      </c>
    </row>
    <row r="104" spans="2:37" x14ac:dyDescent="0.2">
      <c r="B104" s="123" t="s">
        <v>693</v>
      </c>
      <c r="D104" s="101">
        <f ca="1">SUM(H104:AK104)</f>
        <v>-123721990.78174593</v>
      </c>
      <c r="E104" s="850">
        <f ca="1">D104/D101</f>
        <v>-4.5687220057022929E-2</v>
      </c>
      <c r="H104" s="101">
        <f t="shared" ref="H104:AK104" ca="1" si="29">H72*H92</f>
        <v>-9169476.9418644533</v>
      </c>
      <c r="I104" s="101">
        <f t="shared" ca="1" si="29"/>
        <v>-11114517.505290246</v>
      </c>
      <c r="J104" s="101">
        <f t="shared" ca="1" si="29"/>
        <v>-10104106.822991131</v>
      </c>
      <c r="K104" s="101">
        <f t="shared" ca="1" si="29"/>
        <v>-9185551.6572646648</v>
      </c>
      <c r="L104" s="101">
        <f t="shared" ca="1" si="29"/>
        <v>-8350501.5066042393</v>
      </c>
      <c r="M104" s="101">
        <f t="shared" ca="1" si="29"/>
        <v>-7591365.0060038539</v>
      </c>
      <c r="N104" s="101">
        <f t="shared" ca="1" si="29"/>
        <v>-6901240.9145489568</v>
      </c>
      <c r="O104" s="101">
        <f t="shared" ca="1" si="29"/>
        <v>-6273855.376862688</v>
      </c>
      <c r="P104" s="101">
        <f t="shared" ca="1" si="29"/>
        <v>-5703504.8880569888</v>
      </c>
      <c r="Q104" s="101">
        <f t="shared" ca="1" si="29"/>
        <v>-5185004.443688171</v>
      </c>
      <c r="R104" s="101">
        <f t="shared" ca="1" si="29"/>
        <v>-4713640.4033528827</v>
      </c>
      <c r="S104" s="101">
        <f t="shared" ca="1" si="29"/>
        <v>-4285127.6394117111</v>
      </c>
      <c r="T104" s="101">
        <f t="shared" ca="1" si="29"/>
        <v>-3895570.5812833742</v>
      </c>
      <c r="U104" s="101">
        <f t="shared" ca="1" si="29"/>
        <v>-3541427.8011667025</v>
      </c>
      <c r="V104" s="101">
        <f t="shared" ca="1" si="29"/>
        <v>-3219479.8192424569</v>
      </c>
      <c r="W104" s="101">
        <f t="shared" ca="1" si="29"/>
        <v>-2926799.8356749606</v>
      </c>
      <c r="X104" s="101">
        <f t="shared" ca="1" si="29"/>
        <v>-2660727.1233408735</v>
      </c>
      <c r="Y104" s="101">
        <f t="shared" ca="1" si="29"/>
        <v>-2418842.8394007939</v>
      </c>
      <c r="Z104" s="101">
        <f t="shared" ca="1" si="29"/>
        <v>-2198948.0358189028</v>
      </c>
      <c r="AA104" s="101">
        <f t="shared" ca="1" si="29"/>
        <v>-1999043.6689262756</v>
      </c>
      <c r="AB104" s="101">
        <f t="shared" ca="1" si="29"/>
        <v>-1817312.4262966141</v>
      </c>
      <c r="AC104" s="101">
        <f t="shared" ca="1" si="29"/>
        <v>-1652102.2057241944</v>
      </c>
      <c r="AD104" s="101">
        <f t="shared" ca="1" si="29"/>
        <v>-1501911.0961129039</v>
      </c>
      <c r="AE104" s="101">
        <f t="shared" ca="1" si="29"/>
        <v>-1365373.7237390038</v>
      </c>
      <c r="AF104" s="101">
        <f t="shared" ca="1" si="29"/>
        <v>-1241248.8397627303</v>
      </c>
      <c r="AG104" s="101">
        <f t="shared" ca="1" si="29"/>
        <v>-1128408.0361479365</v>
      </c>
      <c r="AH104" s="101">
        <f t="shared" ca="1" si="29"/>
        <v>-1025825.4874072149</v>
      </c>
      <c r="AI104" s="101">
        <f t="shared" ca="1" si="29"/>
        <v>-932568.62491564988</v>
      </c>
      <c r="AJ104" s="101">
        <f t="shared" ca="1" si="29"/>
        <v>-847789.6590142271</v>
      </c>
      <c r="AK104" s="150">
        <f t="shared" ca="1" si="29"/>
        <v>-770717.87183111545</v>
      </c>
    </row>
    <row r="105" spans="2:37" x14ac:dyDescent="0.2">
      <c r="B105" s="123"/>
      <c r="AK105" s="140"/>
    </row>
    <row r="106" spans="2:37" x14ac:dyDescent="0.2">
      <c r="B106" s="7" t="s">
        <v>3304</v>
      </c>
      <c r="D106" s="132">
        <f ca="1">D93-SUM(E94:G94)</f>
        <v>-2399116901.7848482</v>
      </c>
      <c r="AK106" s="140"/>
    </row>
    <row r="107" spans="2:37" ht="16" thickBot="1" x14ac:dyDescent="0.25">
      <c r="B107" s="152"/>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c r="AF107" s="69"/>
      <c r="AG107" s="69"/>
      <c r="AH107" s="69"/>
      <c r="AI107" s="69"/>
      <c r="AJ107" s="69"/>
      <c r="AK107" s="193"/>
    </row>
    <row r="108" spans="2:37" ht="16" thickBot="1" x14ac:dyDescent="0.25"/>
    <row r="109" spans="2:37" ht="16" thickBot="1" x14ac:dyDescent="0.25">
      <c r="B109" s="1145" t="s">
        <v>3305</v>
      </c>
    </row>
    <row r="110" spans="2:37" x14ac:dyDescent="0.2">
      <c r="B110" s="59"/>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c r="AA110" s="60"/>
      <c r="AB110" s="60"/>
      <c r="AC110" s="60"/>
      <c r="AD110" s="60"/>
      <c r="AE110" s="60"/>
      <c r="AF110" s="60"/>
      <c r="AG110" s="60"/>
      <c r="AH110" s="60"/>
      <c r="AI110" s="106"/>
    </row>
    <row r="111" spans="2:37" x14ac:dyDescent="0.2">
      <c r="B111" s="123" t="s">
        <v>519</v>
      </c>
      <c r="C111">
        <f t="shared" ref="C111:AI111" si="30">E55</f>
        <v>-2</v>
      </c>
      <c r="D111">
        <f t="shared" si="30"/>
        <v>-1</v>
      </c>
      <c r="E111">
        <f t="shared" si="30"/>
        <v>0</v>
      </c>
      <c r="F111">
        <f t="shared" si="30"/>
        <v>1</v>
      </c>
      <c r="G111">
        <f t="shared" si="30"/>
        <v>2</v>
      </c>
      <c r="H111">
        <f t="shared" si="30"/>
        <v>3</v>
      </c>
      <c r="I111">
        <f t="shared" si="30"/>
        <v>4</v>
      </c>
      <c r="J111">
        <f t="shared" si="30"/>
        <v>5</v>
      </c>
      <c r="K111">
        <f t="shared" si="30"/>
        <v>6</v>
      </c>
      <c r="L111">
        <f t="shared" si="30"/>
        <v>7</v>
      </c>
      <c r="M111">
        <f t="shared" si="30"/>
        <v>8</v>
      </c>
      <c r="N111">
        <f t="shared" si="30"/>
        <v>9</v>
      </c>
      <c r="O111">
        <f t="shared" si="30"/>
        <v>10</v>
      </c>
      <c r="P111">
        <f t="shared" si="30"/>
        <v>11</v>
      </c>
      <c r="Q111">
        <f t="shared" si="30"/>
        <v>12</v>
      </c>
      <c r="R111">
        <f t="shared" si="30"/>
        <v>13</v>
      </c>
      <c r="S111">
        <f t="shared" si="30"/>
        <v>14</v>
      </c>
      <c r="T111">
        <f t="shared" si="30"/>
        <v>15</v>
      </c>
      <c r="U111">
        <f t="shared" si="30"/>
        <v>16</v>
      </c>
      <c r="V111">
        <f t="shared" si="30"/>
        <v>17</v>
      </c>
      <c r="W111">
        <f t="shared" si="30"/>
        <v>18</v>
      </c>
      <c r="X111">
        <f t="shared" si="30"/>
        <v>19</v>
      </c>
      <c r="Y111">
        <f t="shared" si="30"/>
        <v>20</v>
      </c>
      <c r="Z111">
        <f t="shared" si="30"/>
        <v>21</v>
      </c>
      <c r="AA111">
        <f t="shared" si="30"/>
        <v>22</v>
      </c>
      <c r="AB111">
        <f t="shared" si="30"/>
        <v>23</v>
      </c>
      <c r="AC111">
        <f t="shared" si="30"/>
        <v>24</v>
      </c>
      <c r="AD111">
        <f t="shared" si="30"/>
        <v>25</v>
      </c>
      <c r="AE111">
        <f t="shared" si="30"/>
        <v>26</v>
      </c>
      <c r="AF111">
        <f t="shared" si="30"/>
        <v>27</v>
      </c>
      <c r="AG111">
        <f t="shared" si="30"/>
        <v>28</v>
      </c>
      <c r="AH111">
        <f t="shared" si="30"/>
        <v>29</v>
      </c>
      <c r="AI111" s="140">
        <f t="shared" si="30"/>
        <v>30</v>
      </c>
    </row>
    <row r="112" spans="2:37" x14ac:dyDescent="0.2">
      <c r="B112" s="123" t="s">
        <v>694</v>
      </c>
      <c r="C112" s="132">
        <f ca="1">SUM(E56:E58)/(10^6)</f>
        <v>471.21679767247309</v>
      </c>
      <c r="D112" s="132">
        <f ca="1">SUM(F56:F58)/(10^6)</f>
        <v>496.01768176049796</v>
      </c>
      <c r="E112" s="132">
        <f ca="1">SUM(G56:G58)/(10^6)</f>
        <v>520.81856584852289</v>
      </c>
      <c r="AI112" s="140"/>
    </row>
    <row r="113" spans="2:35" x14ac:dyDescent="0.2">
      <c r="B113" s="123" t="s">
        <v>695</v>
      </c>
      <c r="F113">
        <f ca="1">H89/(10^6)</f>
        <v>0</v>
      </c>
      <c r="G113">
        <f t="shared" ref="G113:Q113" ca="1" si="31">I89/(10^6)</f>
        <v>0</v>
      </c>
      <c r="H113">
        <f t="shared" ca="1" si="31"/>
        <v>0</v>
      </c>
      <c r="I113">
        <f t="shared" ca="1" si="31"/>
        <v>0</v>
      </c>
      <c r="J113">
        <f t="shared" ca="1" si="31"/>
        <v>0</v>
      </c>
      <c r="K113">
        <f t="shared" ca="1" si="31"/>
        <v>0</v>
      </c>
      <c r="L113">
        <f t="shared" ca="1" si="31"/>
        <v>0</v>
      </c>
      <c r="M113">
        <f t="shared" ca="1" si="31"/>
        <v>0</v>
      </c>
      <c r="N113">
        <f t="shared" ca="1" si="31"/>
        <v>0</v>
      </c>
      <c r="O113">
        <f t="shared" ca="1" si="31"/>
        <v>0</v>
      </c>
      <c r="P113">
        <f t="shared" ca="1" si="31"/>
        <v>0</v>
      </c>
      <c r="Q113">
        <f t="shared" ca="1" si="31"/>
        <v>0</v>
      </c>
      <c r="R113">
        <f ca="1">T89/(10^6)*-1</f>
        <v>0</v>
      </c>
      <c r="S113">
        <f ca="1">U89/(10^6)*-1</f>
        <v>0</v>
      </c>
      <c r="T113">
        <f ca="1">V89/(10^6)*-1</f>
        <v>0</v>
      </c>
      <c r="U113">
        <f t="shared" ref="U113:AI113" ca="1" si="32">W89/(10^6)*-1</f>
        <v>0</v>
      </c>
      <c r="V113">
        <f t="shared" ca="1" si="32"/>
        <v>0</v>
      </c>
      <c r="W113">
        <f t="shared" ca="1" si="32"/>
        <v>0</v>
      </c>
      <c r="X113">
        <f t="shared" ca="1" si="32"/>
        <v>0</v>
      </c>
      <c r="Y113">
        <f t="shared" ca="1" si="32"/>
        <v>0</v>
      </c>
      <c r="Z113">
        <f t="shared" ca="1" si="32"/>
        <v>0</v>
      </c>
      <c r="AA113">
        <f t="shared" ca="1" si="32"/>
        <v>0</v>
      </c>
      <c r="AB113">
        <f t="shared" ca="1" si="32"/>
        <v>0</v>
      </c>
      <c r="AC113">
        <f t="shared" ca="1" si="32"/>
        <v>0</v>
      </c>
      <c r="AD113">
        <f t="shared" ca="1" si="32"/>
        <v>0</v>
      </c>
      <c r="AE113">
        <f t="shared" ca="1" si="32"/>
        <v>0</v>
      </c>
      <c r="AF113">
        <f t="shared" ca="1" si="32"/>
        <v>0</v>
      </c>
      <c r="AG113">
        <f t="shared" ca="1" si="32"/>
        <v>0</v>
      </c>
      <c r="AH113">
        <f t="shared" ca="1" si="32"/>
        <v>0</v>
      </c>
      <c r="AI113" s="140">
        <f t="shared" ca="1" si="32"/>
        <v>0</v>
      </c>
    </row>
    <row r="114" spans="2:35" x14ac:dyDescent="0.2">
      <c r="B114" s="123" t="s">
        <v>652</v>
      </c>
      <c r="E114" s="132">
        <f ca="1">(H84*-1)/10^6</f>
        <v>-354.40463361787573</v>
      </c>
      <c r="F114" s="132">
        <f t="shared" ref="F114:AI114" ca="1" si="33">(I84*-1)/10^6</f>
        <v>-607.37365131572972</v>
      </c>
      <c r="G114" s="132">
        <f t="shared" ca="1" si="33"/>
        <v>-433.76746269955544</v>
      </c>
      <c r="H114" s="132">
        <f t="shared" ca="1" si="33"/>
        <v>-309.76304225943096</v>
      </c>
      <c r="I114" s="132">
        <f t="shared" ca="1" si="33"/>
        <v>-221.47189490606235</v>
      </c>
      <c r="J114" s="132">
        <f t="shared" ca="1" si="33"/>
        <v>-221.22388606518209</v>
      </c>
      <c r="K114" s="132">
        <f t="shared" ca="1" si="33"/>
        <v>-221.47189490606235</v>
      </c>
      <c r="L114" s="132">
        <f t="shared" ca="1" si="33"/>
        <v>-110.61194303259104</v>
      </c>
      <c r="M114" s="132">
        <f t="shared" ca="1" si="33"/>
        <v>0</v>
      </c>
      <c r="N114" s="132">
        <f t="shared" ca="1" si="33"/>
        <v>0</v>
      </c>
      <c r="O114" s="132">
        <f t="shared" ca="1" si="33"/>
        <v>0</v>
      </c>
      <c r="P114" s="132">
        <f t="shared" ca="1" si="33"/>
        <v>0</v>
      </c>
      <c r="Q114" s="132">
        <f t="shared" ca="1" si="33"/>
        <v>0</v>
      </c>
      <c r="R114" s="132">
        <f t="shared" ca="1" si="33"/>
        <v>0</v>
      </c>
      <c r="S114" s="132">
        <f t="shared" ca="1" si="33"/>
        <v>0</v>
      </c>
      <c r="T114" s="132">
        <f t="shared" ca="1" si="33"/>
        <v>0</v>
      </c>
      <c r="U114" s="132">
        <f t="shared" ca="1" si="33"/>
        <v>0</v>
      </c>
      <c r="V114" s="132">
        <f t="shared" ca="1" si="33"/>
        <v>0</v>
      </c>
      <c r="W114" s="132">
        <f t="shared" ca="1" si="33"/>
        <v>0</v>
      </c>
      <c r="X114" s="132">
        <f t="shared" ca="1" si="33"/>
        <v>0</v>
      </c>
      <c r="Y114" s="132">
        <f t="shared" ca="1" si="33"/>
        <v>0</v>
      </c>
      <c r="Z114" s="132">
        <f t="shared" ca="1" si="33"/>
        <v>0</v>
      </c>
      <c r="AA114" s="132">
        <f t="shared" ca="1" si="33"/>
        <v>0</v>
      </c>
      <c r="AB114" s="132">
        <f t="shared" ca="1" si="33"/>
        <v>0</v>
      </c>
      <c r="AC114" s="132">
        <f t="shared" ca="1" si="33"/>
        <v>0</v>
      </c>
      <c r="AD114" s="132">
        <f t="shared" ca="1" si="33"/>
        <v>0</v>
      </c>
      <c r="AE114" s="132">
        <f t="shared" ca="1" si="33"/>
        <v>0</v>
      </c>
      <c r="AF114" s="132">
        <f t="shared" ca="1" si="33"/>
        <v>0</v>
      </c>
      <c r="AG114" s="132">
        <f t="shared" ca="1" si="33"/>
        <v>0</v>
      </c>
      <c r="AH114" s="132">
        <f t="shared" ca="1" si="33"/>
        <v>0</v>
      </c>
      <c r="AI114" s="124">
        <f t="shared" si="33"/>
        <v>0</v>
      </c>
    </row>
    <row r="115" spans="2:35" x14ac:dyDescent="0.2">
      <c r="B115" s="123" t="s">
        <v>677</v>
      </c>
      <c r="C115" s="132">
        <f t="shared" ref="C115:AI115" ca="1" si="34">(E61*-1)/(10^6)</f>
        <v>-11.904424362251952</v>
      </c>
      <c r="D115" s="132">
        <f t="shared" ca="1" si="34"/>
        <v>-71.42654617351171</v>
      </c>
      <c r="E115" s="132">
        <f t="shared" ca="1" si="34"/>
        <v>-119.0442436225195</v>
      </c>
      <c r="F115" s="132">
        <f t="shared" ca="1" si="34"/>
        <v>-119.0442436225195</v>
      </c>
      <c r="G115" s="132">
        <f t="shared" ca="1" si="34"/>
        <v>-110.82668035292691</v>
      </c>
      <c r="H115" s="132">
        <f t="shared" ca="1" si="34"/>
        <v>-101.95171202176689</v>
      </c>
      <c r="I115" s="132">
        <f t="shared" ca="1" si="34"/>
        <v>-92.366746224114081</v>
      </c>
      <c r="J115" s="132">
        <f t="shared" ca="1" si="34"/>
        <v>-82.014983162649031</v>
      </c>
      <c r="K115" s="132">
        <f t="shared" ca="1" si="34"/>
        <v>-70.835079056266807</v>
      </c>
      <c r="L115" s="132">
        <f t="shared" ca="1" si="34"/>
        <v>-58.760782621373991</v>
      </c>
      <c r="M115" s="132">
        <f t="shared" ca="1" si="34"/>
        <v>-45.720542471689754</v>
      </c>
      <c r="N115" s="132">
        <f t="shared" ca="1" si="34"/>
        <v>-31.637083110030769</v>
      </c>
      <c r="O115" s="132">
        <f t="shared" ca="1" si="34"/>
        <v>-16.426946999439071</v>
      </c>
      <c r="P115" s="132">
        <f t="shared" ca="1" si="34"/>
        <v>-3.4123659133911134E-14</v>
      </c>
      <c r="Q115" s="132">
        <f t="shared" ca="1" si="34"/>
        <v>-3.6853551864624022E-14</v>
      </c>
      <c r="R115" s="132">
        <f t="shared" ca="1" si="34"/>
        <v>-3.9801836013793942E-14</v>
      </c>
      <c r="S115" s="132">
        <f t="shared" ca="1" si="34"/>
        <v>-4.2985982894897461E-14</v>
      </c>
      <c r="T115" s="132">
        <f t="shared" ca="1" si="34"/>
        <v>-4.6424861526489253E-14</v>
      </c>
      <c r="U115" s="132">
        <f t="shared" ca="1" si="34"/>
        <v>-5.0138850448608397E-14</v>
      </c>
      <c r="V115" s="132">
        <f t="shared" ca="1" si="34"/>
        <v>-5.4149958484497065E-14</v>
      </c>
      <c r="W115" s="132">
        <f t="shared" ca="1" si="34"/>
        <v>-5.8481955163256824E-14</v>
      </c>
      <c r="X115" s="132">
        <f t="shared" ca="1" si="34"/>
        <v>-6.3160511576317375E-14</v>
      </c>
      <c r="Y115" s="132">
        <f t="shared" ca="1" si="34"/>
        <v>-6.8213352502422768E-14</v>
      </c>
      <c r="Z115" s="132">
        <f t="shared" ca="1" si="34"/>
        <v>-7.3670420702616588E-14</v>
      </c>
      <c r="AA115" s="132">
        <f t="shared" ca="1" si="34"/>
        <v>-7.956405435882591E-14</v>
      </c>
      <c r="AB115" s="132">
        <f t="shared" ca="1" si="34"/>
        <v>-8.5929178707531999E-14</v>
      </c>
      <c r="AC115" s="132">
        <f t="shared" ca="1" si="34"/>
        <v>-9.2803513004134551E-14</v>
      </c>
      <c r="AD115" s="132">
        <f t="shared" ca="1" si="34"/>
        <v>-1.0022779404446531E-13</v>
      </c>
      <c r="AE115" s="132">
        <f t="shared" ca="1" si="34"/>
        <v>-1.0824601756802254E-13</v>
      </c>
      <c r="AF115" s="132">
        <f t="shared" ca="1" si="34"/>
        <v>-1.1690569897346434E-13</v>
      </c>
      <c r="AG115" s="132">
        <f t="shared" ca="1" si="34"/>
        <v>-1.2625815489134149E-13</v>
      </c>
      <c r="AH115" s="132">
        <f t="shared" ca="1" si="34"/>
        <v>-1.3635880728264877E-13</v>
      </c>
      <c r="AI115" s="124">
        <f t="shared" ca="1" si="34"/>
        <v>-1.472675118652607E-13</v>
      </c>
    </row>
    <row r="116" spans="2:35" x14ac:dyDescent="0.2">
      <c r="B116" s="123" t="s">
        <v>648</v>
      </c>
      <c r="F116" s="101">
        <f t="shared" ref="F116:AI116" ca="1" si="35">(H78*-1)/10^6</f>
        <v>-158.2478689761387</v>
      </c>
      <c r="G116" s="101">
        <f t="shared" ca="1" si="35"/>
        <v>-210.99715863485164</v>
      </c>
      <c r="H116" s="101">
        <f t="shared" ca="1" si="35"/>
        <v>-210.99715863485164</v>
      </c>
      <c r="I116" s="101">
        <f t="shared" ca="1" si="35"/>
        <v>-210.99715863485164</v>
      </c>
      <c r="J116" s="101">
        <f t="shared" ca="1" si="35"/>
        <v>-210.99715863485164</v>
      </c>
      <c r="K116" s="101">
        <f t="shared" ca="1" si="35"/>
        <v>-210.99715863485164</v>
      </c>
      <c r="L116" s="101">
        <f t="shared" ca="1" si="35"/>
        <v>-210.99715863485164</v>
      </c>
      <c r="M116" s="101">
        <f t="shared" ca="1" si="35"/>
        <v>-210.99715863485164</v>
      </c>
      <c r="N116" s="101">
        <f t="shared" ca="1" si="35"/>
        <v>-210.99715863485164</v>
      </c>
      <c r="O116" s="101">
        <f t="shared" ca="1" si="35"/>
        <v>-210.99715863485164</v>
      </c>
      <c r="P116" s="101">
        <f t="shared" ca="1" si="35"/>
        <v>-210.99715863485164</v>
      </c>
      <c r="Q116" s="101">
        <f t="shared" ca="1" si="35"/>
        <v>-210.99715863485164</v>
      </c>
      <c r="R116" s="101">
        <f t="shared" ca="1" si="35"/>
        <v>-210.99715863485164</v>
      </c>
      <c r="S116" s="101">
        <f t="shared" ca="1" si="35"/>
        <v>-210.99715863485164</v>
      </c>
      <c r="T116" s="101">
        <f t="shared" ca="1" si="35"/>
        <v>-210.99715863485164</v>
      </c>
      <c r="U116" s="101">
        <f t="shared" ca="1" si="35"/>
        <v>-210.99715863485164</v>
      </c>
      <c r="V116" s="101">
        <f t="shared" ca="1" si="35"/>
        <v>-210.99715863485164</v>
      </c>
      <c r="W116" s="101">
        <f t="shared" ca="1" si="35"/>
        <v>-210.99715863485164</v>
      </c>
      <c r="X116" s="101">
        <f t="shared" ca="1" si="35"/>
        <v>-210.99715863485164</v>
      </c>
      <c r="Y116" s="101">
        <f t="shared" ca="1" si="35"/>
        <v>-210.99715863485164</v>
      </c>
      <c r="Z116" s="101">
        <f t="shared" ca="1" si="35"/>
        <v>-210.99715863485164</v>
      </c>
      <c r="AA116" s="101">
        <f t="shared" ca="1" si="35"/>
        <v>-210.99715863485164</v>
      </c>
      <c r="AB116" s="101">
        <f t="shared" ca="1" si="35"/>
        <v>-210.99715863485164</v>
      </c>
      <c r="AC116" s="101">
        <f t="shared" ca="1" si="35"/>
        <v>-210.99715863485164</v>
      </c>
      <c r="AD116" s="101">
        <f t="shared" ca="1" si="35"/>
        <v>-210.99715863485164</v>
      </c>
      <c r="AE116" s="101">
        <f t="shared" ca="1" si="35"/>
        <v>-210.99715863485164</v>
      </c>
      <c r="AF116" s="101">
        <f t="shared" ca="1" si="35"/>
        <v>-210.99715863485164</v>
      </c>
      <c r="AG116" s="101">
        <f t="shared" ca="1" si="35"/>
        <v>-210.99715863485164</v>
      </c>
      <c r="AH116" s="101">
        <f t="shared" ca="1" si="35"/>
        <v>-210.99715863485164</v>
      </c>
      <c r="AI116" s="150">
        <f t="shared" ca="1" si="35"/>
        <v>-210.99715863485164</v>
      </c>
    </row>
    <row r="117" spans="2:35" x14ac:dyDescent="0.2">
      <c r="B117" s="123" t="s">
        <v>696</v>
      </c>
      <c r="F117" s="132">
        <f ca="1">H93/(10^6)</f>
        <v>-141.41184063897398</v>
      </c>
      <c r="G117" s="132">
        <f t="shared" ref="G117:AI117" ca="1" si="36">I93/(10^6)</f>
        <v>-110.31634003279845</v>
      </c>
      <c r="H117" s="132">
        <f t="shared" ca="1" si="36"/>
        <v>-100.28758184799858</v>
      </c>
      <c r="I117" s="132">
        <f t="shared" ca="1" si="36"/>
        <v>-91.170528952725988</v>
      </c>
      <c r="J117" s="132">
        <f t="shared" ca="1" si="36"/>
        <v>-82.882299047932705</v>
      </c>
      <c r="K117" s="132">
        <f t="shared" ca="1" si="36"/>
        <v>-75.347544589029724</v>
      </c>
      <c r="L117" s="132">
        <f t="shared" ca="1" si="36"/>
        <v>-68.497767808208835</v>
      </c>
      <c r="M117" s="132">
        <f t="shared" ca="1" si="36"/>
        <v>-62.270698007462578</v>
      </c>
      <c r="N117" s="132">
        <f t="shared" ca="1" si="36"/>
        <v>-56.60972546132961</v>
      </c>
      <c r="O117" s="132">
        <f t="shared" ca="1" si="36"/>
        <v>-51.46338678302692</v>
      </c>
      <c r="P117" s="132">
        <f t="shared" ca="1" si="36"/>
        <v>30.941956515022834</v>
      </c>
      <c r="Q117" s="132">
        <f t="shared" ca="1" si="36"/>
        <v>28.129051377293486</v>
      </c>
      <c r="R117" s="132">
        <f t="shared" ca="1" si="36"/>
        <v>25.571864888448623</v>
      </c>
      <c r="S117" s="132">
        <f t="shared" ca="1" si="36"/>
        <v>23.247149898589651</v>
      </c>
      <c r="T117" s="132">
        <f t="shared" ca="1" si="36"/>
        <v>21.133772635081499</v>
      </c>
      <c r="U117" s="132">
        <f t="shared" ca="1" si="36"/>
        <v>19.212520577346815</v>
      </c>
      <c r="V117" s="132">
        <f t="shared" ca="1" si="36"/>
        <v>17.465927797588016</v>
      </c>
      <c r="W117" s="132">
        <f t="shared" ca="1" si="36"/>
        <v>15.878116179625469</v>
      </c>
      <c r="X117" s="132">
        <f t="shared" ca="1" si="36"/>
        <v>14.434651072386785</v>
      </c>
      <c r="Y117" s="132">
        <f t="shared" ca="1" si="36"/>
        <v>13.122410065806172</v>
      </c>
      <c r="Z117" s="132">
        <f t="shared" ca="1" si="36"/>
        <v>11.929463696187428</v>
      </c>
      <c r="AA117" s="132">
        <f t="shared" ca="1" si="36"/>
        <v>10.844966996534021</v>
      </c>
      <c r="AB117" s="132">
        <f t="shared" ca="1" si="36"/>
        <v>9.8590609059400212</v>
      </c>
      <c r="AC117" s="132">
        <f t="shared" ca="1" si="36"/>
        <v>8.9627826417636562</v>
      </c>
      <c r="AD117" s="132">
        <f t="shared" ca="1" si="36"/>
        <v>8.1479842197851386</v>
      </c>
      <c r="AE117" s="132">
        <f t="shared" ca="1" si="36"/>
        <v>7.4072583816228539</v>
      </c>
      <c r="AF117" s="132">
        <f t="shared" ca="1" si="36"/>
        <v>6.733871256020775</v>
      </c>
      <c r="AG117" s="132">
        <f t="shared" ca="1" si="36"/>
        <v>6.1217011418370681</v>
      </c>
      <c r="AH117" s="132">
        <f t="shared" ca="1" si="36"/>
        <v>5.5651828562155163</v>
      </c>
      <c r="AI117" s="124">
        <f t="shared" ca="1" si="36"/>
        <v>5.059257142014105</v>
      </c>
    </row>
    <row r="118" spans="2:35" x14ac:dyDescent="0.2">
      <c r="B118" s="123" t="s">
        <v>673</v>
      </c>
      <c r="F118" s="132">
        <f ca="1">(H93-SUM($E$94:$G$94))/(10^6)</f>
        <v>-1990.0399794994446</v>
      </c>
      <c r="G118" s="132">
        <f ca="1">(SUM($H$93:I93)-SUM($E$94:$G$94))/(10^6)</f>
        <v>-2100.3563195322431</v>
      </c>
      <c r="H118" s="132">
        <f ca="1">(SUM($H$93:J93)-SUM($E$94:$G$94))/(10^6)</f>
        <v>-2200.6439013802415</v>
      </c>
      <c r="I118" s="132">
        <f ca="1">(SUM($H$93:K93)-SUM($E$94:$G$94))/(10^6)</f>
        <v>-2291.8144303329677</v>
      </c>
      <c r="J118" s="132">
        <f ca="1">(SUM($H$93:L93)-SUM($E$94:$G$94))/(10^6)</f>
        <v>-2374.6967293809003</v>
      </c>
      <c r="K118" s="132">
        <f ca="1">(SUM($H$93:M93)-SUM($E$94:$G$94))/(10^6)</f>
        <v>-2450.0442739699297</v>
      </c>
      <c r="L118" s="132">
        <f ca="1">(SUM($H$93:N93)-SUM($E$94:$G$94))/(10^6)</f>
        <v>-2518.5420417781388</v>
      </c>
      <c r="M118" s="132">
        <f ca="1">(SUM($H$93:O93)-SUM($E$94:$G$94))/(10^6)</f>
        <v>-2580.8127397856015</v>
      </c>
      <c r="N118" s="132">
        <f ca="1">(SUM($H$93:P93)-SUM($E$94:$G$94))/(10^6)</f>
        <v>-2637.4224652469311</v>
      </c>
      <c r="O118" s="132">
        <f ca="1">(SUM($H$93:Q93)-SUM($E$94:$G$94))/(10^6)</f>
        <v>-2688.8858520299577</v>
      </c>
      <c r="P118" s="132">
        <f ca="1">(SUM($H$93:R93)-SUM($E$94:$G$94))/(10^6)</f>
        <v>-2657.9438955149349</v>
      </c>
      <c r="Q118" s="132">
        <f ca="1">(SUM($H$93:S93)-SUM($E$94:$G$94))/(10^6)</f>
        <v>-2629.8148441376416</v>
      </c>
      <c r="R118" s="132">
        <f ca="1">(SUM($H$93:T93)-SUM($E$94:$G$94))/(10^6)</f>
        <v>-2604.242979249193</v>
      </c>
      <c r="S118" s="132">
        <f ca="1">(SUM($H$93:U93)-SUM($E$94:$G$94))/(10^6)</f>
        <v>-2580.9958293506029</v>
      </c>
      <c r="T118" s="132">
        <f ca="1">(SUM($H$93:V93)-SUM($E$94:$G$94))/(10^6)</f>
        <v>-2559.8620567155217</v>
      </c>
      <c r="U118" s="132">
        <f ca="1">(SUM($H$93:W93)-SUM($E$94:$G$94))/(10^6)</f>
        <v>-2540.6495361381749</v>
      </c>
      <c r="V118" s="132">
        <f ca="1">(SUM($H$93:X93)-SUM($E$94:$G$94))/(10^6)</f>
        <v>-2523.1836083405869</v>
      </c>
      <c r="W118" s="132">
        <f ca="1">(SUM($H$93:Y93)-SUM($E$94:$G$94))/(10^6)</f>
        <v>-2507.3054921609614</v>
      </c>
      <c r="X118" s="132">
        <f ca="1">(SUM($H$93:Z93)-SUM($E$94:$G$94))/(10^6)</f>
        <v>-2492.8708410885747</v>
      </c>
      <c r="Y118" s="132">
        <f ca="1">(SUM($H$93:AA93)-SUM($E$94:$G$94))/(10^6)</f>
        <v>-2479.7484310227683</v>
      </c>
      <c r="Z118" s="132">
        <f ca="1">(SUM($H$93:AB93)-SUM($E$94:$G$94))/(10^6)</f>
        <v>-2467.8189673265811</v>
      </c>
      <c r="AA118" s="132">
        <f ca="1">(SUM($H$93:AC93)-SUM($E$94:$G$94))/(10^6)</f>
        <v>-2456.9740003300471</v>
      </c>
      <c r="AB118" s="132">
        <f ca="1">(SUM($H$93:AD93)-SUM($E$94:$G$94))/(10^6)</f>
        <v>-2447.114939424107</v>
      </c>
      <c r="AC118" s="132">
        <f ca="1">(SUM($H$93:AE93)-SUM($E$94:$G$94))/(10^6)</f>
        <v>-2438.1521567823434</v>
      </c>
      <c r="AD118" s="132">
        <f ca="1">(SUM($H$93:AF93)-SUM($E$94:$G$94))/(10^6)</f>
        <v>-2430.0041725625583</v>
      </c>
      <c r="AE118" s="132">
        <f ca="1">(SUM($H$93:AG93)-SUM($E$94:$G$94))/(10^6)</f>
        <v>-2422.5969141809355</v>
      </c>
      <c r="AF118" s="132">
        <f ca="1">(SUM($H$93:AH93)-SUM($E$94:$G$94))/(10^6)</f>
        <v>-2415.8630429249147</v>
      </c>
      <c r="AG118" s="132">
        <f ca="1">(SUM($H$93:AI93)-SUM($E$94:$G$94))/(10^6)</f>
        <v>-2409.7413417830776</v>
      </c>
      <c r="AH118" s="132">
        <f ca="1">(SUM($H$93:AJ93)-SUM($E$94:$G$94))/(10^6)</f>
        <v>-2404.1761589268622</v>
      </c>
      <c r="AI118" s="124">
        <f ca="1">(SUM($H$93:AK93)-SUM($E$94:$G$94))/(10^6)</f>
        <v>-2399.1169017848483</v>
      </c>
    </row>
    <row r="119" spans="2:35" ht="16" thickBot="1" x14ac:dyDescent="0.25">
      <c r="B119" s="152"/>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c r="AD119" s="69"/>
      <c r="AE119" s="69"/>
      <c r="AF119" s="69"/>
      <c r="AG119" s="69"/>
      <c r="AH119" s="69"/>
      <c r="AI119" s="193"/>
    </row>
    <row r="121" spans="2:35" ht="16" thickBot="1" x14ac:dyDescent="0.25">
      <c r="E121" s="104"/>
      <c r="F121" s="104"/>
      <c r="G121" s="104"/>
      <c r="H121" s="104"/>
    </row>
    <row r="122" spans="2:35" ht="16" thickBot="1" x14ac:dyDescent="0.25">
      <c r="B122" s="1475" t="s">
        <v>3306</v>
      </c>
      <c r="C122" s="1476"/>
      <c r="D122" s="1477"/>
    </row>
    <row r="123" spans="2:35" x14ac:dyDescent="0.2">
      <c r="B123" s="59"/>
      <c r="C123" s="60"/>
      <c r="D123" s="60"/>
      <c r="E123" s="60"/>
      <c r="F123" s="60"/>
      <c r="G123" s="60"/>
      <c r="H123" s="106"/>
    </row>
    <row r="124" spans="2:35" x14ac:dyDescent="0.2">
      <c r="B124" s="1484" t="s">
        <v>2987</v>
      </c>
      <c r="C124" s="1485"/>
      <c r="D124" s="1486"/>
      <c r="H124" s="140"/>
    </row>
    <row r="125" spans="2:35" x14ac:dyDescent="0.2">
      <c r="B125" s="1151" t="s">
        <v>580</v>
      </c>
      <c r="C125" s="135" t="s">
        <v>372</v>
      </c>
      <c r="D125" s="9" t="s">
        <v>2988</v>
      </c>
      <c r="H125" s="140"/>
    </row>
    <row r="126" spans="2:35" x14ac:dyDescent="0.2">
      <c r="B126" s="162" t="s">
        <v>687</v>
      </c>
      <c r="C126" s="110" t="s">
        <v>2980</v>
      </c>
      <c r="D126" s="852">
        <f ca="1">D98</f>
        <v>0</v>
      </c>
      <c r="H126" s="140"/>
    </row>
    <row r="127" spans="2:35" x14ac:dyDescent="0.2">
      <c r="B127" s="123" t="s">
        <v>2989</v>
      </c>
      <c r="C127" t="s">
        <v>2980</v>
      </c>
      <c r="D127" s="853">
        <f ca="1">D99</f>
        <v>1941098267.5385718</v>
      </c>
      <c r="H127" s="140"/>
    </row>
    <row r="128" spans="2:35" x14ac:dyDescent="0.2">
      <c r="B128" s="123" t="s">
        <v>2990</v>
      </c>
      <c r="C128" t="s">
        <v>2980</v>
      </c>
      <c r="D128" s="853">
        <f ca="1">D100</f>
        <v>1186474294.7711112</v>
      </c>
      <c r="H128" s="140"/>
    </row>
    <row r="129" spans="2:8" x14ac:dyDescent="0.2">
      <c r="B129" s="123" t="s">
        <v>690</v>
      </c>
      <c r="C129" t="s">
        <v>2980</v>
      </c>
      <c r="D129" s="853">
        <f ca="1">D101</f>
        <v>2708021863.1671305</v>
      </c>
      <c r="H129" s="140"/>
    </row>
    <row r="130" spans="2:8" x14ac:dyDescent="0.2">
      <c r="B130" s="165" t="s">
        <v>2991</v>
      </c>
      <c r="C130" s="118" t="s">
        <v>360</v>
      </c>
      <c r="D130" s="854">
        <f>D45</f>
        <v>0.8</v>
      </c>
      <c r="H130" s="140"/>
    </row>
    <row r="131" spans="2:8" x14ac:dyDescent="0.2">
      <c r="B131" s="123"/>
      <c r="H131" s="140"/>
    </row>
    <row r="132" spans="2:8" x14ac:dyDescent="0.2">
      <c r="B132" s="1484" t="s">
        <v>2992</v>
      </c>
      <c r="C132" s="1485"/>
      <c r="D132" s="1486"/>
      <c r="H132" s="140"/>
    </row>
    <row r="133" spans="2:8" x14ac:dyDescent="0.2">
      <c r="B133" s="162" t="s">
        <v>2993</v>
      </c>
      <c r="C133" s="110" t="s">
        <v>2980</v>
      </c>
      <c r="D133" s="852">
        <f ca="1">SUM(D126:D128)</f>
        <v>3127572562.3096828</v>
      </c>
      <c r="H133" s="140"/>
    </row>
    <row r="134" spans="2:8" x14ac:dyDescent="0.2">
      <c r="B134" s="162" t="s">
        <v>687</v>
      </c>
      <c r="C134" s="110" t="s">
        <v>275</v>
      </c>
      <c r="D134" s="112">
        <f ca="1">D126/D$133*(1+D$137)</f>
        <v>0</v>
      </c>
      <c r="H134" s="140"/>
    </row>
    <row r="135" spans="2:8" x14ac:dyDescent="0.2">
      <c r="B135" s="123" t="s">
        <v>2989</v>
      </c>
      <c r="C135" t="s">
        <v>275</v>
      </c>
      <c r="D135" s="127">
        <f ca="1">D127/D$133*(1+D$137)</f>
        <v>1.1580247294080692</v>
      </c>
      <c r="H135" s="140"/>
    </row>
    <row r="136" spans="2:8" x14ac:dyDescent="0.2">
      <c r="B136" s="123" t="s">
        <v>2990</v>
      </c>
      <c r="C136" t="s">
        <v>275</v>
      </c>
      <c r="D136" s="127">
        <f ca="1">D128/D$133*(1+D$137)</f>
        <v>0.70782947835722787</v>
      </c>
      <c r="H136" s="140"/>
    </row>
    <row r="137" spans="2:8" x14ac:dyDescent="0.2">
      <c r="B137" s="165" t="s">
        <v>690</v>
      </c>
      <c r="C137" s="118" t="s">
        <v>275</v>
      </c>
      <c r="D137" s="120">
        <f ca="1">D129/D133</f>
        <v>0.86585420776529698</v>
      </c>
      <c r="H137" s="140"/>
    </row>
    <row r="138" spans="2:8" x14ac:dyDescent="0.2">
      <c r="B138" s="162" t="s">
        <v>687</v>
      </c>
      <c r="C138" s="110" t="s">
        <v>2994</v>
      </c>
      <c r="D138" s="852">
        <f ca="1">D134*D$130</f>
        <v>0</v>
      </c>
      <c r="H138" s="140"/>
    </row>
    <row r="139" spans="2:8" x14ac:dyDescent="0.2">
      <c r="B139" s="123" t="s">
        <v>2989</v>
      </c>
      <c r="C139" t="s">
        <v>2994</v>
      </c>
      <c r="D139" s="853">
        <f ca="1">D135*D$130</f>
        <v>0.92641978352645538</v>
      </c>
      <c r="H139" s="140"/>
    </row>
    <row r="140" spans="2:8" x14ac:dyDescent="0.2">
      <c r="B140" s="123" t="s">
        <v>2990</v>
      </c>
      <c r="C140" t="s">
        <v>2994</v>
      </c>
      <c r="D140" s="853">
        <f ca="1">D136*D$130</f>
        <v>0.56626358268578236</v>
      </c>
      <c r="H140" s="140"/>
    </row>
    <row r="141" spans="2:8" x14ac:dyDescent="0.2">
      <c r="B141" s="165" t="s">
        <v>690</v>
      </c>
      <c r="C141" s="118" t="s">
        <v>2994</v>
      </c>
      <c r="D141" s="855">
        <f ca="1">D137*D$130</f>
        <v>0.69268336621223758</v>
      </c>
      <c r="H141" s="140"/>
    </row>
    <row r="142" spans="2:8" x14ac:dyDescent="0.2">
      <c r="B142" s="1152" t="s">
        <v>2995</v>
      </c>
      <c r="C142" s="31"/>
      <c r="D142" s="856">
        <f ca="1">SUM(D138:D140)-D141</f>
        <v>0.80000000000000027</v>
      </c>
      <c r="H142" s="140"/>
    </row>
    <row r="143" spans="2:8" x14ac:dyDescent="0.2">
      <c r="B143" s="123"/>
      <c r="H143" s="140"/>
    </row>
    <row r="144" spans="2:8" x14ac:dyDescent="0.2">
      <c r="B144" s="1174" t="s">
        <v>3321</v>
      </c>
      <c r="C144" s="1064"/>
      <c r="D144" s="1064"/>
      <c r="E144" s="1064"/>
      <c r="F144" s="1064"/>
      <c r="G144" s="1065"/>
      <c r="H144" s="140"/>
    </row>
    <row r="145" spans="2:8" x14ac:dyDescent="0.2">
      <c r="B145" s="123"/>
      <c r="E145" t="s">
        <v>3031</v>
      </c>
      <c r="F145" t="s">
        <v>3032</v>
      </c>
      <c r="G145" s="127" t="s">
        <v>3033</v>
      </c>
      <c r="H145" s="140"/>
    </row>
    <row r="146" spans="2:8" x14ac:dyDescent="0.2">
      <c r="B146" s="123" t="s">
        <v>2982</v>
      </c>
      <c r="C146" t="s">
        <v>639</v>
      </c>
      <c r="E146">
        <v>0.45</v>
      </c>
      <c r="F146">
        <v>1.2</v>
      </c>
      <c r="G146" s="127">
        <v>0.38</v>
      </c>
      <c r="H146" s="140"/>
    </row>
    <row r="147" spans="2:8" x14ac:dyDescent="0.2">
      <c r="B147" s="123" t="s">
        <v>2983</v>
      </c>
      <c r="C147" t="s">
        <v>639</v>
      </c>
      <c r="E147">
        <v>1.8</v>
      </c>
      <c r="F147">
        <v>2</v>
      </c>
      <c r="G147" s="127">
        <v>1.5</v>
      </c>
      <c r="H147" s="140"/>
    </row>
    <row r="148" spans="2:8" x14ac:dyDescent="0.2">
      <c r="B148" s="123" t="s">
        <v>672</v>
      </c>
      <c r="C148" t="s">
        <v>639</v>
      </c>
      <c r="E148">
        <v>44.79</v>
      </c>
      <c r="F148">
        <v>34.32</v>
      </c>
      <c r="G148" s="127">
        <v>55.19</v>
      </c>
      <c r="H148" s="140"/>
    </row>
    <row r="149" spans="2:8" x14ac:dyDescent="0.2">
      <c r="B149" s="123" t="s">
        <v>664</v>
      </c>
      <c r="C149" t="s">
        <v>639</v>
      </c>
      <c r="E149">
        <v>0.65</v>
      </c>
      <c r="F149">
        <v>0.85</v>
      </c>
      <c r="G149" s="127">
        <v>0.45</v>
      </c>
      <c r="H149" s="140"/>
    </row>
    <row r="150" spans="2:8" x14ac:dyDescent="0.2">
      <c r="B150" s="123" t="s">
        <v>2136</v>
      </c>
      <c r="C150" t="s">
        <v>639</v>
      </c>
      <c r="E150">
        <v>180</v>
      </c>
      <c r="F150">
        <v>200</v>
      </c>
      <c r="G150" s="127">
        <v>160</v>
      </c>
      <c r="H150" s="140"/>
    </row>
    <row r="151" spans="2:8" x14ac:dyDescent="0.2">
      <c r="B151" s="123" t="s">
        <v>3043</v>
      </c>
      <c r="C151" t="s">
        <v>639</v>
      </c>
      <c r="E151">
        <v>145</v>
      </c>
      <c r="F151">
        <v>175</v>
      </c>
      <c r="G151" s="127">
        <v>115</v>
      </c>
      <c r="H151" s="140"/>
    </row>
    <row r="152" spans="2:8" x14ac:dyDescent="0.2">
      <c r="B152" s="165" t="s">
        <v>667</v>
      </c>
      <c r="C152" s="118" t="s">
        <v>639</v>
      </c>
      <c r="D152" s="118"/>
      <c r="E152" s="118">
        <v>0.03</v>
      </c>
      <c r="F152" s="118">
        <v>0.05</v>
      </c>
      <c r="G152" s="120">
        <v>0.01</v>
      </c>
      <c r="H152" s="140"/>
    </row>
    <row r="153" spans="2:8" x14ac:dyDescent="0.2">
      <c r="B153" s="123"/>
      <c r="H153" s="140"/>
    </row>
    <row r="154" spans="2:8" x14ac:dyDescent="0.2">
      <c r="B154" s="123"/>
      <c r="H154" s="140"/>
    </row>
    <row r="155" spans="2:8" x14ac:dyDescent="0.2">
      <c r="B155" s="1174" t="s">
        <v>3322</v>
      </c>
      <c r="C155" s="1064"/>
      <c r="D155" s="1064"/>
      <c r="E155" s="1064"/>
      <c r="F155" s="1064"/>
      <c r="G155" s="1065"/>
      <c r="H155" s="140"/>
    </row>
    <row r="156" spans="2:8" x14ac:dyDescent="0.2">
      <c r="B156" s="123"/>
      <c r="E156" t="s">
        <v>3031</v>
      </c>
      <c r="F156" t="s">
        <v>3032</v>
      </c>
      <c r="G156" s="127" t="s">
        <v>3033</v>
      </c>
      <c r="H156" s="140"/>
    </row>
    <row r="157" spans="2:8" x14ac:dyDescent="0.2">
      <c r="B157" s="123" t="s">
        <v>2982</v>
      </c>
      <c r="C157" t="s">
        <v>639</v>
      </c>
      <c r="E157">
        <v>0.45</v>
      </c>
      <c r="F157">
        <v>1.2</v>
      </c>
      <c r="G157" s="127">
        <v>0.38</v>
      </c>
      <c r="H157" s="140"/>
    </row>
    <row r="158" spans="2:8" x14ac:dyDescent="0.2">
      <c r="B158" s="123" t="s">
        <v>2983</v>
      </c>
      <c r="C158" t="s">
        <v>639</v>
      </c>
      <c r="E158">
        <v>1.8</v>
      </c>
      <c r="F158">
        <v>2</v>
      </c>
      <c r="G158" s="127">
        <v>1.5</v>
      </c>
      <c r="H158" s="140"/>
    </row>
    <row r="159" spans="2:8" x14ac:dyDescent="0.2">
      <c r="B159" s="123" t="s">
        <v>672</v>
      </c>
      <c r="C159" t="s">
        <v>639</v>
      </c>
      <c r="E159">
        <v>8.27</v>
      </c>
      <c r="F159">
        <v>-2.75</v>
      </c>
      <c r="G159" s="127">
        <v>19.21</v>
      </c>
      <c r="H159" s="140"/>
    </row>
    <row r="160" spans="2:8" x14ac:dyDescent="0.2">
      <c r="B160" s="123" t="s">
        <v>664</v>
      </c>
      <c r="C160" t="s">
        <v>639</v>
      </c>
      <c r="E160">
        <v>0.65</v>
      </c>
      <c r="F160">
        <v>0.85</v>
      </c>
      <c r="G160" s="127">
        <v>0.45</v>
      </c>
      <c r="H160" s="140"/>
    </row>
    <row r="161" spans="2:8" x14ac:dyDescent="0.2">
      <c r="B161" s="123" t="s">
        <v>2136</v>
      </c>
      <c r="C161" t="s">
        <v>639</v>
      </c>
      <c r="E161">
        <v>180</v>
      </c>
      <c r="F161">
        <v>200</v>
      </c>
      <c r="G161" s="127">
        <v>160</v>
      </c>
      <c r="H161" s="140"/>
    </row>
    <row r="162" spans="2:8" x14ac:dyDescent="0.2">
      <c r="B162" s="123" t="s">
        <v>3043</v>
      </c>
      <c r="C162" t="s">
        <v>639</v>
      </c>
      <c r="E162">
        <v>145</v>
      </c>
      <c r="F162">
        <v>175</v>
      </c>
      <c r="G162" s="127">
        <v>115</v>
      </c>
      <c r="H162" s="140"/>
    </row>
    <row r="163" spans="2:8" x14ac:dyDescent="0.2">
      <c r="B163" s="165" t="s">
        <v>667</v>
      </c>
      <c r="C163" s="118" t="s">
        <v>639</v>
      </c>
      <c r="D163" s="118"/>
      <c r="E163" s="118">
        <v>0.03</v>
      </c>
      <c r="F163" s="118">
        <v>0.05</v>
      </c>
      <c r="G163" s="120">
        <v>0.01</v>
      </c>
      <c r="H163" s="140"/>
    </row>
    <row r="164" spans="2:8" ht="16" thickBot="1" x14ac:dyDescent="0.25">
      <c r="B164" s="152"/>
      <c r="C164" s="69"/>
      <c r="D164" s="69"/>
      <c r="E164" s="69"/>
      <c r="F164" s="69"/>
      <c r="G164" s="69"/>
      <c r="H164" s="193"/>
    </row>
    <row r="165" spans="2:8" ht="16" thickBot="1" x14ac:dyDescent="0.25"/>
    <row r="166" spans="2:8" ht="16" thickBot="1" x14ac:dyDescent="0.25">
      <c r="C166" s="1175" t="s">
        <v>3026</v>
      </c>
    </row>
    <row r="167" spans="2:8" x14ac:dyDescent="0.2">
      <c r="B167" s="59" t="s">
        <v>753</v>
      </c>
      <c r="C167" s="1176">
        <f ca="1">(CAPEX!B617/SUM(CAPEX!B$617:B$636)*D$140)+(OPEX!B718/SUM(OPEX!B$718:B$740)*D$139)</f>
        <v>0.21291053058820009</v>
      </c>
      <c r="D167" s="106"/>
    </row>
    <row r="168" spans="2:8" x14ac:dyDescent="0.2">
      <c r="B168" s="123" t="s">
        <v>2317</v>
      </c>
      <c r="C168" s="101">
        <f ca="1">(CAPEX!B618/SUM(CAPEX!B$617:B$636)*D$140)+(OPEX!B719/SUM(OPEX!B$718:B$740)*D$139)</f>
        <v>1.0298989622077889E-2</v>
      </c>
      <c r="D168" s="140"/>
    </row>
    <row r="169" spans="2:8" x14ac:dyDescent="0.2">
      <c r="B169" s="123" t="s">
        <v>2318</v>
      </c>
      <c r="C169" s="101">
        <f ca="1">(CAPEX!B619/SUM(CAPEX!B$617:B$636)*D$140)+(OPEX!B720/SUM(OPEX!B$718:B$740)*D$139)</f>
        <v>1.9956440268065097E-2</v>
      </c>
      <c r="D169" s="140"/>
    </row>
    <row r="170" spans="2:8" x14ac:dyDescent="0.2">
      <c r="B170" s="123" t="s">
        <v>1415</v>
      </c>
      <c r="C170" s="101">
        <f ca="1">(CAPEX!B620/SUM(CAPEX!B$617:B$636)*D$140)+(OPEX!B721/SUM(OPEX!B$718:B$740)*D$139)</f>
        <v>1.3997534265721281E-2</v>
      </c>
      <c r="D170" s="140"/>
    </row>
    <row r="171" spans="2:8" x14ac:dyDescent="0.2">
      <c r="B171" s="123" t="s">
        <v>2978</v>
      </c>
      <c r="C171" s="101">
        <f ca="1">(CAPEX!B621/SUM(CAPEX!B$617:B$636)*D$140)+(OPEX!B722/SUM(OPEX!B$718:B$740)*D$139)</f>
        <v>1.3590020928715531E-2</v>
      </c>
      <c r="D171" s="140"/>
    </row>
    <row r="172" spans="2:8" x14ac:dyDescent="0.2">
      <c r="B172" s="123" t="s">
        <v>2792</v>
      </c>
      <c r="C172" s="101">
        <f ca="1">(CAPEX!B622/SUM(CAPEX!B$617:B$636)*D$140)+(OPEX!B723/SUM(OPEX!B$718:B$740)*D$139)</f>
        <v>1.5005567323473318E-2</v>
      </c>
      <c r="D172" s="140"/>
    </row>
    <row r="173" spans="2:8" x14ac:dyDescent="0.2">
      <c r="B173" s="123" t="s">
        <v>2979</v>
      </c>
      <c r="C173" s="101">
        <f ca="1">(CAPEX!B623/SUM(CAPEX!B$617:B$636)*D$140)+(OPEX!B724/SUM(OPEX!B$718:B$740)*D$139)</f>
        <v>2.8085070404718013E-2</v>
      </c>
      <c r="D173" s="140"/>
    </row>
    <row r="174" spans="2:8" x14ac:dyDescent="0.2">
      <c r="B174" s="123" t="s">
        <v>1561</v>
      </c>
      <c r="C174" s="101">
        <f ca="1">(CAPEX!B624/SUM(CAPEX!B$617:B$636)*D$140)+(OPEX!B725/SUM(OPEX!B$718:B$740)*D$139)</f>
        <v>5.3686828099320426E-2</v>
      </c>
      <c r="D174" s="140"/>
    </row>
    <row r="175" spans="2:8" x14ac:dyDescent="0.2">
      <c r="B175" s="123" t="s">
        <v>537</v>
      </c>
      <c r="C175" s="101">
        <f ca="1">(CAPEX!B625/SUM(CAPEX!B$617:B$636)*D$140)+(OPEX!B726/SUM(OPEX!B$718:B$740)*D$139)</f>
        <v>6.0444506835499574E-2</v>
      </c>
      <c r="D175" s="140"/>
      <c r="F175" s="101"/>
    </row>
    <row r="176" spans="2:8" x14ac:dyDescent="0.2">
      <c r="B176" s="123" t="s">
        <v>534</v>
      </c>
      <c r="C176" s="101">
        <f ca="1">(CAPEX!B626/SUM(CAPEX!B$617:B$636)*D$140)+(OPEX!B727/SUM(OPEX!B$718:B$740)*D$139)</f>
        <v>1.4172939669380602E-2</v>
      </c>
      <c r="D176" s="140"/>
      <c r="F176" s="101"/>
    </row>
    <row r="177" spans="2:7" x14ac:dyDescent="0.2">
      <c r="B177" s="123" t="s">
        <v>910</v>
      </c>
      <c r="C177" s="101">
        <f ca="1">(CAPEX!B627/SUM(CAPEX!B$617:B$636)*D$140)+(OPEX!B728/SUM(OPEX!B$718:B$740)*D$139)</f>
        <v>2.6699752367452785E-3</v>
      </c>
      <c r="D177" s="140"/>
      <c r="F177" s="101"/>
    </row>
    <row r="178" spans="2:7" x14ac:dyDescent="0.2">
      <c r="B178" s="123" t="s">
        <v>1416</v>
      </c>
      <c r="C178" s="101">
        <f ca="1">(CAPEX!B628/SUM(CAPEX!B$617:B$636)*D$140)+(OPEX!B729/SUM(OPEX!B$718:B$740)*D$139)</f>
        <v>2.5067471703948069E-3</v>
      </c>
      <c r="D178" s="140"/>
      <c r="F178" s="101"/>
    </row>
    <row r="179" spans="2:7" x14ac:dyDescent="0.2">
      <c r="B179" s="123" t="s">
        <v>1417</v>
      </c>
      <c r="C179" s="101">
        <f ca="1">(CAPEX!B629/SUM(CAPEX!B$617:B$636)*D$140)+(OPEX!B730/SUM(OPEX!B$718:B$740)*D$139)</f>
        <v>2.3849737215151136E-3</v>
      </c>
      <c r="D179" s="140"/>
      <c r="F179" s="101"/>
    </row>
    <row r="180" spans="2:7" x14ac:dyDescent="0.2">
      <c r="B180" s="123" t="s">
        <v>1011</v>
      </c>
      <c r="C180" s="101">
        <f ca="1">(CAPEX!B630/SUM(CAPEX!B$617:B$636)*D$140)+(OPEX!B731/SUM(OPEX!B$718:B$740)*D$139)</f>
        <v>1.4541310103962869E-3</v>
      </c>
      <c r="D180" s="140"/>
      <c r="F180" s="101"/>
    </row>
    <row r="181" spans="2:7" x14ac:dyDescent="0.2">
      <c r="B181" s="123" t="s">
        <v>754</v>
      </c>
      <c r="C181" s="101">
        <f ca="1">(CAPEX!B631/SUM(CAPEX!B$617:B$636)*D$140)+(OPEX!B732/SUM(OPEX!B$718:B$740)*D$139)</f>
        <v>3.3343577813448544E-2</v>
      </c>
      <c r="D181" s="140"/>
      <c r="F181" s="101"/>
    </row>
    <row r="182" spans="2:7" x14ac:dyDescent="0.2">
      <c r="B182" s="123" t="s">
        <v>534</v>
      </c>
      <c r="C182" s="101">
        <f ca="1">(CAPEX!B632/SUM(CAPEX!B$617:B$636)*D$140)+(OPEX!B733/SUM(OPEX!B$718:B$740)*D$139)</f>
        <v>1.6878108672498251E-2</v>
      </c>
      <c r="D182" s="140"/>
      <c r="F182" s="101"/>
    </row>
    <row r="183" spans="2:7" x14ac:dyDescent="0.2">
      <c r="B183" s="123" t="s">
        <v>2319</v>
      </c>
      <c r="C183" s="101">
        <f ca="1">(CAPEX!B633/SUM(CAPEX!B$617:B$636)*D$140)+(OPEX!B734/SUM(OPEX!B$718:B$740)*D$139)</f>
        <v>1.0206221639286556E-2</v>
      </c>
      <c r="D183" s="140"/>
      <c r="F183" s="101"/>
    </row>
    <row r="184" spans="2:7" x14ac:dyDescent="0.2">
      <c r="B184" s="123" t="s">
        <v>910</v>
      </c>
      <c r="C184" s="101">
        <f ca="1">(CAPEX!B634/SUM(CAPEX!B$617:B$636)*D$140)+(OPEX!B735/SUM(OPEX!B$718:B$740)*D$139)</f>
        <v>3.7734105441796671E-3</v>
      </c>
      <c r="D184" s="140"/>
      <c r="F184" s="101"/>
    </row>
    <row r="185" spans="2:7" x14ac:dyDescent="0.2">
      <c r="B185" s="123" t="s">
        <v>755</v>
      </c>
      <c r="C185" s="101">
        <f ca="1">(CAPEX!B635/SUM(CAPEX!B$617:B$636)*D$140)+(OPEX!B736/SUM(OPEX!B$718:B$740)*D$139)</f>
        <v>6.8189154282008082E-3</v>
      </c>
      <c r="D185" s="140"/>
      <c r="F185" s="101"/>
    </row>
    <row r="186" spans="2:7" x14ac:dyDescent="0.2">
      <c r="B186" s="123" t="s">
        <v>2320</v>
      </c>
      <c r="C186" s="101">
        <f ca="1">(CAPEX!B636/SUM(CAPEX!B$617:B$636)*D$140)+(OPEX!B737/SUM(OPEX!B$718:B$740)*D$139)</f>
        <v>0.37787960660983749</v>
      </c>
      <c r="D186" s="140"/>
      <c r="F186" s="101"/>
    </row>
    <row r="187" spans="2:7" x14ac:dyDescent="0.2">
      <c r="B187" s="123" t="s">
        <v>2395</v>
      </c>
      <c r="C187" s="101">
        <f ca="1">(OPEX!B738/SUM(OPEX!B$718:B$740)*D$139)</f>
        <v>0.18971664208838629</v>
      </c>
      <c r="D187" s="140"/>
      <c r="F187" s="101"/>
    </row>
    <row r="188" spans="2:7" x14ac:dyDescent="0.2">
      <c r="B188" s="123" t="s">
        <v>2397</v>
      </c>
      <c r="C188" s="101">
        <f ca="1">(OPEX!B739/SUM(OPEX!B$718:B$740)*D$139)</f>
        <v>0.32667780670717034</v>
      </c>
      <c r="D188" s="140"/>
      <c r="F188" s="101"/>
    </row>
    <row r="189" spans="2:7" x14ac:dyDescent="0.2">
      <c r="B189" s="123" t="s">
        <v>2981</v>
      </c>
      <c r="C189" s="101">
        <f ca="1">(OPEX!B740/SUM(OPEX!B$718:B$740)*D$139)</f>
        <v>7.6224821565006415E-2</v>
      </c>
      <c r="D189" s="140"/>
      <c r="F189" s="101"/>
    </row>
    <row r="190" spans="2:7" x14ac:dyDescent="0.2">
      <c r="B190" s="123" t="s">
        <v>695</v>
      </c>
      <c r="C190" s="101">
        <f ca="1">D138</f>
        <v>0</v>
      </c>
      <c r="D190" s="140"/>
      <c r="E190" s="1"/>
      <c r="F190" s="1"/>
      <c r="G190" s="1"/>
    </row>
    <row r="191" spans="2:7" x14ac:dyDescent="0.2">
      <c r="B191" s="123" t="s">
        <v>2996</v>
      </c>
      <c r="C191" s="101">
        <f ca="1">D43/SUM(D$43,D$44,D$46,D$49,D$47,D$48)*D$141*-1</f>
        <v>-9.5070459266022181E-4</v>
      </c>
      <c r="D191" s="140"/>
      <c r="E191" s="1"/>
      <c r="F191" s="1"/>
      <c r="G191" s="1"/>
    </row>
    <row r="192" spans="2:7" x14ac:dyDescent="0.2">
      <c r="B192" s="123" t="s">
        <v>2997</v>
      </c>
      <c r="C192" s="101">
        <f ca="1">D44/SUM(D$43,D$44,D$46,D$49,D$47,D$48)*D$141*-1</f>
        <v>-3.8028183706408872E-3</v>
      </c>
      <c r="D192" s="140"/>
      <c r="E192" s="1"/>
      <c r="F192" s="1"/>
      <c r="G192" s="1"/>
    </row>
    <row r="193" spans="2:7" x14ac:dyDescent="0.2">
      <c r="B193" s="123" t="s">
        <v>664</v>
      </c>
      <c r="C193" s="101">
        <f ca="1">D46/SUM(D$43,D$44,D$46,D$49,D$47,D$48)*D$141*-1</f>
        <v>-1.3732399671758759E-3</v>
      </c>
      <c r="D193" s="140"/>
    </row>
    <row r="194" spans="2:7" x14ac:dyDescent="0.2">
      <c r="B194" s="123" t="s">
        <v>2136</v>
      </c>
      <c r="C194" s="101">
        <f ca="1">D47/SUM(D$43,D$44,D$46,D$49,D$47,D$48)*D$141*-1</f>
        <v>-0.38028183706408869</v>
      </c>
      <c r="D194" s="140"/>
    </row>
    <row r="195" spans="2:7" x14ac:dyDescent="0.2">
      <c r="B195" s="123" t="s">
        <v>3043</v>
      </c>
      <c r="C195" s="101">
        <f ca="1">D48/SUM(D$43,D$44,D$46,D$49,D$47,D$48)*D$141*-1</f>
        <v>-0.30633814652384922</v>
      </c>
      <c r="D195" s="140"/>
    </row>
    <row r="196" spans="2:7" x14ac:dyDescent="0.2">
      <c r="B196" s="123" t="s">
        <v>667</v>
      </c>
      <c r="C196" s="101">
        <f ca="1">D49/SUM(D$43,D$44,D$46,D$49,D$47,D$48)*D$141*-1</f>
        <v>6.3380306177348116E-5</v>
      </c>
      <c r="D196" s="140"/>
    </row>
    <row r="197" spans="2:7" ht="16" thickBot="1" x14ac:dyDescent="0.25">
      <c r="B197" s="152" t="s">
        <v>672</v>
      </c>
      <c r="C197" s="1147">
        <f ca="1">D142</f>
        <v>0.80000000000000027</v>
      </c>
      <c r="D197" s="193"/>
    </row>
    <row r="199" spans="2:7" ht="16" thickBot="1" x14ac:dyDescent="0.25"/>
    <row r="200" spans="2:7" ht="16" thickBot="1" x14ac:dyDescent="0.25">
      <c r="B200" s="1487" t="s">
        <v>3027</v>
      </c>
      <c r="C200" s="1488"/>
      <c r="D200" s="1488"/>
      <c r="E200" s="1488"/>
      <c r="F200" s="1489"/>
    </row>
    <row r="201" spans="2:7" x14ac:dyDescent="0.2">
      <c r="B201" s="59"/>
      <c r="C201" s="60"/>
      <c r="D201" s="1146" t="s">
        <v>3028</v>
      </c>
      <c r="E201" s="1146" t="s">
        <v>3029</v>
      </c>
      <c r="F201" s="1146" t="s">
        <v>3030</v>
      </c>
      <c r="G201" s="106"/>
    </row>
    <row r="202" spans="2:7" x14ac:dyDescent="0.2">
      <c r="B202" s="123" t="s">
        <v>753</v>
      </c>
      <c r="C202" s="6"/>
      <c r="D202" s="101">
        <v>0.25917203536275801</v>
      </c>
      <c r="E202" s="141">
        <v>0.2169066064782719</v>
      </c>
      <c r="F202" s="141">
        <v>0.2901108773614039</v>
      </c>
      <c r="G202" s="140"/>
    </row>
    <row r="203" spans="2:7" x14ac:dyDescent="0.2">
      <c r="B203" s="123" t="s">
        <v>2317</v>
      </c>
      <c r="C203" t="s">
        <v>15</v>
      </c>
      <c r="D203" s="101">
        <v>1.2536768825664565E-2</v>
      </c>
      <c r="E203" s="141">
        <v>1.0492289333497452E-2</v>
      </c>
      <c r="F203" s="141">
        <v>1.4033354324666748E-2</v>
      </c>
      <c r="G203" s="140"/>
    </row>
    <row r="204" spans="2:7" x14ac:dyDescent="0.2">
      <c r="B204" s="123" t="s">
        <v>2318</v>
      </c>
      <c r="D204" s="101">
        <v>2.4292604168430862E-2</v>
      </c>
      <c r="E204" s="141">
        <v>2.0330998771989527E-2</v>
      </c>
      <c r="F204" s="141">
        <v>2.7192550688705509E-2</v>
      </c>
      <c r="G204" s="140"/>
    </row>
    <row r="205" spans="2:7" x14ac:dyDescent="0.2">
      <c r="B205" s="123" t="s">
        <v>1415</v>
      </c>
      <c r="D205" s="101">
        <v>1.7038938542328678E-2</v>
      </c>
      <c r="E205" s="141">
        <v>1.4260251234417811E-2</v>
      </c>
      <c r="F205" s="141">
        <v>1.9072973682917372E-2</v>
      </c>
      <c r="G205" s="140"/>
    </row>
    <row r="206" spans="2:7" x14ac:dyDescent="0.2">
      <c r="B206" s="123" t="s">
        <v>2978</v>
      </c>
      <c r="D206" s="101">
        <v>1.6542880124281123E-2</v>
      </c>
      <c r="E206" s="141">
        <v>1.3845089359707557E-2</v>
      </c>
      <c r="F206" s="141">
        <v>1.8517697946162606E-2</v>
      </c>
      <c r="G206" s="140"/>
    </row>
    <row r="207" spans="2:7" x14ac:dyDescent="0.2">
      <c r="B207" s="123" t="s">
        <v>2792</v>
      </c>
      <c r="D207" s="101">
        <v>1.8265998465427764E-2</v>
      </c>
      <c r="E207" s="141">
        <v>1.5287203866449953E-2</v>
      </c>
      <c r="F207" s="141">
        <v>2.0446514737865788E-2</v>
      </c>
      <c r="G207" s="140"/>
    </row>
    <row r="208" spans="2:7" x14ac:dyDescent="0.2">
      <c r="B208" s="123" t="s">
        <v>2979</v>
      </c>
      <c r="D208" s="101">
        <v>3.4187434693756451E-2</v>
      </c>
      <c r="E208" s="141">
        <v>2.8612193569576085E-2</v>
      </c>
      <c r="F208" s="141">
        <v>3.8268583490727107E-2</v>
      </c>
      <c r="G208" s="140"/>
    </row>
    <row r="209" spans="2:14" x14ac:dyDescent="0.2">
      <c r="B209" s="123" t="s">
        <v>1561</v>
      </c>
      <c r="D209" s="101">
        <v>6.5351978937966765E-2</v>
      </c>
      <c r="E209" s="141">
        <v>5.4694465621003489E-2</v>
      </c>
      <c r="F209" s="141">
        <v>7.3153416881804156E-2</v>
      </c>
      <c r="G209" s="140"/>
    </row>
    <row r="210" spans="2:14" x14ac:dyDescent="0.2">
      <c r="B210" s="123" t="s">
        <v>537</v>
      </c>
      <c r="D210" s="101">
        <v>7.3577975780606014E-2</v>
      </c>
      <c r="E210" s="141">
        <v>6.1578977900811939E-2</v>
      </c>
      <c r="F210" s="141">
        <v>8.2361397819446361E-2</v>
      </c>
      <c r="G210" s="140"/>
    </row>
    <row r="211" spans="2:14" x14ac:dyDescent="0.2">
      <c r="B211" s="123" t="s">
        <v>3324</v>
      </c>
      <c r="D211" s="101">
        <v>1.7252456283111259E-2</v>
      </c>
      <c r="E211" s="141">
        <v>1.4438948787613443E-2</v>
      </c>
      <c r="F211" s="141">
        <v>1.9311980252526461E-2</v>
      </c>
      <c r="G211" s="140"/>
    </row>
    <row r="212" spans="2:14" x14ac:dyDescent="0.2">
      <c r="B212" s="123" t="s">
        <v>3326</v>
      </c>
      <c r="D212" s="101">
        <v>3.2501112770877039E-3</v>
      </c>
      <c r="E212" s="141">
        <v>2.7200874770425083E-3</v>
      </c>
      <c r="F212" s="141">
        <v>3.6380955715316979E-3</v>
      </c>
      <c r="G212" s="140"/>
    </row>
    <row r="213" spans="2:14" x14ac:dyDescent="0.2">
      <c r="B213" s="123" t="s">
        <v>1416</v>
      </c>
      <c r="D213" s="101">
        <v>3.0514167828909772E-3</v>
      </c>
      <c r="E213" s="141">
        <v>2.5537958152055942E-3</v>
      </c>
      <c r="F213" s="141">
        <v>3.4156817838805337E-3</v>
      </c>
      <c r="G213" s="140"/>
    </row>
    <row r="214" spans="2:14" x14ac:dyDescent="0.2">
      <c r="B214" s="123" t="s">
        <v>1417</v>
      </c>
      <c r="D214" s="101">
        <v>2.9031842247732443E-3</v>
      </c>
      <c r="E214" s="141">
        <v>2.4297368244047251E-3</v>
      </c>
      <c r="F214" s="141">
        <v>3.2497538610285585E-3</v>
      </c>
      <c r="G214" s="140"/>
    </row>
    <row r="215" spans="2:14" x14ac:dyDescent="0.2">
      <c r="B215" s="123" t="s">
        <v>1011</v>
      </c>
      <c r="D215" s="101">
        <v>1.7700866772880817E-3</v>
      </c>
      <c r="E215" s="141">
        <v>1.4814233094460195E-3</v>
      </c>
      <c r="F215" s="141">
        <v>1.9813920056421662E-3</v>
      </c>
      <c r="G215" s="140"/>
    </row>
    <row r="216" spans="2:14" x14ac:dyDescent="0.2">
      <c r="B216" s="123" t="s">
        <v>754</v>
      </c>
      <c r="D216" s="101">
        <v>4.058851811751063E-2</v>
      </c>
      <c r="E216" s="141">
        <v>3.3969396870030429E-2</v>
      </c>
      <c r="F216" s="141">
        <v>4.5433800700715142E-2</v>
      </c>
      <c r="G216" s="140"/>
    </row>
    <row r="217" spans="2:14" x14ac:dyDescent="0.2">
      <c r="B217" s="123" t="s">
        <v>3325</v>
      </c>
      <c r="D217" s="101">
        <v>2.0545408278493216E-2</v>
      </c>
      <c r="E217" s="141">
        <v>1.719489057591022E-2</v>
      </c>
      <c r="F217" s="141">
        <v>2.2998030682898317E-2</v>
      </c>
      <c r="G217" s="140"/>
    </row>
    <row r="218" spans="2:14" x14ac:dyDescent="0.2">
      <c r="B218" s="123" t="s">
        <v>2319</v>
      </c>
      <c r="D218" s="101">
        <v>1.2423844082815515E-2</v>
      </c>
      <c r="E218" s="141">
        <v>1.0397780206675434E-2</v>
      </c>
      <c r="F218" s="141">
        <v>1.3906949112090883E-2</v>
      </c>
      <c r="G218" s="140"/>
    </row>
    <row r="219" spans="2:14" x14ac:dyDescent="0.2">
      <c r="B219" s="123" t="s">
        <v>3327</v>
      </c>
      <c r="D219" s="101">
        <v>4.593302587206729E-3</v>
      </c>
      <c r="E219" s="141">
        <v>3.8442329448250528E-3</v>
      </c>
      <c r="F219" s="141">
        <v>5.1416312786052784E-3</v>
      </c>
      <c r="G219" s="140"/>
      <c r="L219" s="141"/>
      <c r="M219" s="141"/>
      <c r="N219" s="965"/>
    </row>
    <row r="220" spans="2:14" x14ac:dyDescent="0.2">
      <c r="B220" s="123" t="s">
        <v>755</v>
      </c>
      <c r="D220" s="101">
        <v>8.3005391307369239E-3</v>
      </c>
      <c r="E220" s="141">
        <v>6.946898311263436E-3</v>
      </c>
      <c r="F220" s="141">
        <v>9.2914217632323499E-3</v>
      </c>
      <c r="G220" s="140"/>
      <c r="L220" s="141"/>
      <c r="M220" s="141"/>
      <c r="N220" s="141"/>
    </row>
    <row r="221" spans="2:14" x14ac:dyDescent="0.2">
      <c r="B221" s="123" t="s">
        <v>2320</v>
      </c>
      <c r="D221" s="101">
        <v>0.45998582830349521</v>
      </c>
      <c r="E221" s="141">
        <v>0.384971954654585</v>
      </c>
      <c r="F221" s="141">
        <v>0.5148969565183068</v>
      </c>
      <c r="G221" s="140"/>
      <c r="L221" s="141"/>
      <c r="M221" s="141"/>
      <c r="N221" s="141"/>
    </row>
    <row r="222" spans="2:14" x14ac:dyDescent="0.2">
      <c r="B222" s="123" t="s">
        <v>2395</v>
      </c>
      <c r="D222" s="101">
        <v>0.23093854557779217</v>
      </c>
      <c r="E222" s="141">
        <v>0.19327739644515929</v>
      </c>
      <c r="F222" s="141">
        <v>0.25850699509445285</v>
      </c>
      <c r="G222" s="140"/>
      <c r="L222" s="141"/>
      <c r="M222" s="141"/>
      <c r="N222" s="141"/>
    </row>
    <row r="223" spans="2:14" x14ac:dyDescent="0.2">
      <c r="B223" s="123" t="s">
        <v>2397</v>
      </c>
      <c r="D223" s="101">
        <v>0.39765882804498226</v>
      </c>
      <c r="E223" s="141">
        <v>0.33280915823589752</v>
      </c>
      <c r="F223" s="141">
        <v>0.44512962724995803</v>
      </c>
      <c r="G223" s="140"/>
      <c r="L223" s="141"/>
      <c r="M223" s="141"/>
      <c r="N223" s="141"/>
    </row>
    <row r="224" spans="2:14" x14ac:dyDescent="0.2">
      <c r="B224" s="123" t="s">
        <v>2981</v>
      </c>
      <c r="D224" s="101">
        <v>9.2787059877162528E-2</v>
      </c>
      <c r="E224" s="141">
        <v>7.7655470255042741E-2</v>
      </c>
      <c r="F224" s="141">
        <v>0.10386357969165688</v>
      </c>
      <c r="G224" s="140"/>
    </row>
    <row r="225" spans="2:7" x14ac:dyDescent="0.2">
      <c r="B225" s="123" t="s">
        <v>695</v>
      </c>
      <c r="D225" s="101">
        <v>0.19497140792806494</v>
      </c>
      <c r="E225" s="141">
        <v>0.163216897908151</v>
      </c>
      <c r="F225" s="141">
        <v>0.21834531773570756</v>
      </c>
      <c r="G225" s="140"/>
    </row>
    <row r="226" spans="2:7" x14ac:dyDescent="0.2">
      <c r="B226" s="123" t="s">
        <v>2996</v>
      </c>
      <c r="D226" s="101">
        <v>-1.2712756349430936E-3</v>
      </c>
      <c r="E226" s="141">
        <v>-2.6972594285631698E-3</v>
      </c>
      <c r="F226" s="141">
        <v>-1.2532020891044043E-3</v>
      </c>
      <c r="G226" s="140"/>
    </row>
    <row r="227" spans="2:7" x14ac:dyDescent="0.2">
      <c r="B227" s="123" t="s">
        <v>2997</v>
      </c>
      <c r="D227" s="141">
        <v>-5.0851025397723746E-3</v>
      </c>
      <c r="E227" s="141">
        <v>-4.4954323809386154E-3</v>
      </c>
      <c r="F227" s="141">
        <v>-4.9468503517279116E-3</v>
      </c>
      <c r="G227" s="140"/>
    </row>
    <row r="228" spans="2:7" x14ac:dyDescent="0.2">
      <c r="B228" s="123" t="s">
        <v>664</v>
      </c>
      <c r="D228" s="141">
        <v>-1.8362870282511356E-3</v>
      </c>
      <c r="E228" s="141">
        <v>-1.9105587618989117E-3</v>
      </c>
      <c r="F228" s="141">
        <v>-1.4840551055183737E-3</v>
      </c>
      <c r="G228" s="140"/>
    </row>
    <row r="229" spans="2:7" x14ac:dyDescent="0.2">
      <c r="B229" s="123" t="s">
        <v>2136</v>
      </c>
      <c r="C229" s="101"/>
      <c r="D229" s="141">
        <v>-0.50851025397723748</v>
      </c>
      <c r="E229" s="141">
        <v>-0.44954323809386165</v>
      </c>
      <c r="F229" s="141">
        <v>-0.5276640375176439</v>
      </c>
      <c r="G229" s="150"/>
    </row>
    <row r="230" spans="2:7" x14ac:dyDescent="0.2">
      <c r="B230" s="123" t="s">
        <v>3043</v>
      </c>
      <c r="C230" s="101"/>
      <c r="D230" s="101">
        <v>-0.40963326014833024</v>
      </c>
      <c r="E230" s="141">
        <v>-0.39335033333212893</v>
      </c>
      <c r="F230" s="141">
        <v>-0.37925852696580653</v>
      </c>
      <c r="G230" s="150"/>
    </row>
    <row r="231" spans="2:7" x14ac:dyDescent="0.2">
      <c r="B231" s="123" t="s">
        <v>667</v>
      </c>
      <c r="C231" s="101"/>
      <c r="D231" s="101">
        <v>-8.4751708996206243E-5</v>
      </c>
      <c r="E231" s="141">
        <v>-1.1238580952346542E-4</v>
      </c>
      <c r="F231" s="141">
        <v>-3.2979002344852737E-5</v>
      </c>
      <c r="G231" s="150"/>
    </row>
    <row r="232" spans="2:7" x14ac:dyDescent="0.2">
      <c r="B232" s="123" t="s">
        <v>672</v>
      </c>
      <c r="C232" s="101"/>
      <c r="D232" s="101">
        <v>1.0855662210371013</v>
      </c>
      <c r="E232" s="141">
        <v>0.83180693695006336</v>
      </c>
      <c r="F232" s="141">
        <v>1.3376289292037875</v>
      </c>
      <c r="G232" s="150"/>
    </row>
    <row r="233" spans="2:7" x14ac:dyDescent="0.2">
      <c r="B233" s="123" t="s">
        <v>2985</v>
      </c>
      <c r="C233" s="101">
        <v>3.6355198293271981E-2</v>
      </c>
      <c r="D233" s="101">
        <v>3.6355198293271981E-2</v>
      </c>
      <c r="E233" s="141">
        <v>3.6355198293271981E-2</v>
      </c>
      <c r="F233" s="141">
        <v>3.6355198293271981E-2</v>
      </c>
      <c r="G233" s="150">
        <v>3.6355198293271981E-2</v>
      </c>
    </row>
    <row r="234" spans="2:7" ht="16" thickBot="1" x14ac:dyDescent="0.25">
      <c r="B234" s="152" t="s">
        <v>3034</v>
      </c>
      <c r="C234" s="1147">
        <v>1.938943908974506E-2</v>
      </c>
      <c r="D234" s="1147">
        <v>1.938943908974506E-2</v>
      </c>
      <c r="E234" s="196">
        <v>1.938943908974506E-2</v>
      </c>
      <c r="F234" s="196">
        <v>1.938943908974506E-2</v>
      </c>
      <c r="G234" s="1148">
        <v>1.938943908974506E-2</v>
      </c>
    </row>
    <row r="235" spans="2:7" x14ac:dyDescent="0.2">
      <c r="C235" s="101"/>
      <c r="D235" s="101"/>
      <c r="E235" s="101"/>
      <c r="F235" s="101"/>
      <c r="G235" s="101"/>
    </row>
    <row r="236" spans="2:7" x14ac:dyDescent="0.2">
      <c r="C236" s="101"/>
      <c r="D236" s="101"/>
      <c r="E236" s="101"/>
      <c r="F236" s="101"/>
      <c r="G236" s="101"/>
    </row>
    <row r="237" spans="2:7" x14ac:dyDescent="0.2">
      <c r="C237" s="101"/>
      <c r="D237" s="101"/>
      <c r="E237" s="101"/>
      <c r="F237" s="101"/>
      <c r="G237" s="101"/>
    </row>
    <row r="241" spans="2:13" ht="16" thickBot="1" x14ac:dyDescent="0.25"/>
    <row r="242" spans="2:13" ht="16" thickBot="1" x14ac:dyDescent="0.25">
      <c r="B242" s="1145" t="s">
        <v>3323</v>
      </c>
      <c r="D242" s="101"/>
      <c r="E242" s="1"/>
      <c r="F242" s="1"/>
    </row>
    <row r="243" spans="2:13" ht="16" thickBot="1" x14ac:dyDescent="0.25">
      <c r="B243" s="59"/>
      <c r="C243" s="60"/>
      <c r="D243" s="1146" t="s">
        <v>3028</v>
      </c>
      <c r="E243" s="1146" t="s">
        <v>3029</v>
      </c>
      <c r="F243" s="1146" t="s">
        <v>3030</v>
      </c>
      <c r="G243" s="106"/>
      <c r="H243" s="59"/>
      <c r="I243" s="60"/>
      <c r="J243" s="1146" t="s">
        <v>3028</v>
      </c>
      <c r="K243" s="1146" t="s">
        <v>3029</v>
      </c>
      <c r="L243" s="1146" t="s">
        <v>3030</v>
      </c>
      <c r="M243" s="106"/>
    </row>
    <row r="244" spans="2:13" x14ac:dyDescent="0.2">
      <c r="B244" s="59" t="s">
        <v>753</v>
      </c>
      <c r="C244" s="2014" t="s">
        <v>3348</v>
      </c>
      <c r="D244" s="141">
        <v>-1.8469853099613287</v>
      </c>
      <c r="E244" s="141">
        <v>-0.63331047832297926</v>
      </c>
      <c r="F244" s="141">
        <v>3.4622839518453929</v>
      </c>
      <c r="G244" s="140"/>
      <c r="H244" s="123" t="s">
        <v>753</v>
      </c>
      <c r="I244" s="6" t="s">
        <v>3596</v>
      </c>
      <c r="J244" s="101">
        <v>29.786428447514943</v>
      </c>
      <c r="K244" s="141">
        <v>24.928897535627907</v>
      </c>
      <c r="L244" s="141">
        <v>33.342204062548987</v>
      </c>
      <c r="M244" s="140"/>
    </row>
    <row r="245" spans="2:13" x14ac:dyDescent="0.2">
      <c r="B245" s="123" t="s">
        <v>2317</v>
      </c>
      <c r="C245" s="2008"/>
      <c r="D245" s="141">
        <v>-0.10745618707728032</v>
      </c>
      <c r="E245" s="141">
        <v>-3.5336399333276328E-2</v>
      </c>
      <c r="F245" s="141">
        <v>0.19318273187516857</v>
      </c>
      <c r="G245" s="140"/>
      <c r="H245" s="123" t="s">
        <v>2317</v>
      </c>
      <c r="J245" s="101">
        <v>1.4408405099185067</v>
      </c>
      <c r="K245" s="141">
        <v>1.2058701666844844</v>
      </c>
      <c r="L245" s="141">
        <v>1.6128418480228361</v>
      </c>
      <c r="M245" s="140"/>
    </row>
    <row r="246" spans="2:13" x14ac:dyDescent="0.2">
      <c r="B246" s="123" t="s">
        <v>2318</v>
      </c>
      <c r="C246" s="2008"/>
      <c r="D246" s="141">
        <v>-0.29686911958114148</v>
      </c>
      <c r="E246" s="141">
        <v>-9.0836962089591161E-2</v>
      </c>
      <c r="F246" s="141">
        <v>0.4966021672497698</v>
      </c>
      <c r="G246" s="140"/>
      <c r="H246" s="123" t="s">
        <v>2318</v>
      </c>
      <c r="J246" s="101">
        <v>2.7919289781938645</v>
      </c>
      <c r="K246" s="141">
        <v>2.3366249346336723</v>
      </c>
      <c r="L246" s="141">
        <v>3.1252174420008401</v>
      </c>
      <c r="M246" s="140"/>
    </row>
    <row r="247" spans="2:13" x14ac:dyDescent="0.2">
      <c r="B247" s="123" t="s">
        <v>1415</v>
      </c>
      <c r="C247" s="2008"/>
      <c r="D247" s="141">
        <v>-0.34156777188115628</v>
      </c>
      <c r="E247" s="141">
        <v>-9.6356942155265177E-2</v>
      </c>
      <c r="F247" s="141">
        <v>0.52677968530773389</v>
      </c>
      <c r="G247" s="140"/>
      <c r="H247" s="123" t="s">
        <v>1415</v>
      </c>
      <c r="J247" s="101">
        <v>1.9582711653373375</v>
      </c>
      <c r="K247" s="141">
        <v>1.6389189228808649</v>
      </c>
      <c r="L247" s="141">
        <v>2.1920411478513619</v>
      </c>
      <c r="M247" s="140"/>
    </row>
    <row r="248" spans="2:13" x14ac:dyDescent="0.2">
      <c r="B248" s="123" t="s">
        <v>2978</v>
      </c>
      <c r="C248" s="2008"/>
      <c r="D248" s="141">
        <v>-9.8767809065044343E-2</v>
      </c>
      <c r="E248" s="141">
        <v>-3.5717957218694654E-2</v>
      </c>
      <c r="F248" s="141">
        <v>0.19526869411423045</v>
      </c>
      <c r="G248" s="140"/>
      <c r="H248" s="123" t="s">
        <v>2978</v>
      </c>
      <c r="J248" s="101">
        <v>1.9012595801395766</v>
      </c>
      <c r="K248" s="141">
        <v>1.5912047107441871</v>
      </c>
      <c r="L248" s="141">
        <v>2.1282237650139866</v>
      </c>
      <c r="M248" s="140"/>
    </row>
    <row r="249" spans="2:13" x14ac:dyDescent="0.2">
      <c r="B249" s="123" t="s">
        <v>2792</v>
      </c>
      <c r="C249" s="2008"/>
      <c r="D249" s="141">
        <v>-0.13874738411428536</v>
      </c>
      <c r="E249" s="141">
        <v>-4.6663798224275417E-2</v>
      </c>
      <c r="F249" s="141">
        <v>0.25510918460070914</v>
      </c>
      <c r="G249" s="140"/>
      <c r="H249" s="123" t="s">
        <v>2792</v>
      </c>
      <c r="J249" s="101">
        <v>2.0992961511119259</v>
      </c>
      <c r="K249" s="141">
        <v>1.7569457425961839</v>
      </c>
      <c r="L249" s="141">
        <v>2.34990108939822</v>
      </c>
      <c r="M249" s="140"/>
    </row>
    <row r="250" spans="2:13" x14ac:dyDescent="0.2">
      <c r="B250" s="123" t="s">
        <v>2979</v>
      </c>
      <c r="C250" s="2008"/>
      <c r="D250" s="141">
        <v>-0.49688312864034301</v>
      </c>
      <c r="E250" s="141">
        <v>-0.14497019227127936</v>
      </c>
      <c r="F250" s="141">
        <v>0.79254644819063857</v>
      </c>
      <c r="G250" s="140"/>
      <c r="H250" s="123" t="s">
        <v>2979</v>
      </c>
      <c r="J250" s="101">
        <v>3.929133696404945</v>
      </c>
      <c r="K250" s="141">
        <v>3.2883758284096527</v>
      </c>
      <c r="L250" s="141">
        <v>4.3981767644754601</v>
      </c>
      <c r="M250" s="140"/>
    </row>
    <row r="251" spans="2:13" x14ac:dyDescent="0.2">
      <c r="B251" s="123" t="s">
        <v>1561</v>
      </c>
      <c r="C251" s="2008"/>
      <c r="D251" s="141">
        <v>-0.85478898764247091</v>
      </c>
      <c r="E251" s="141">
        <v>-0.26144640286194909</v>
      </c>
      <c r="F251" s="141">
        <v>1.4293173978324609</v>
      </c>
      <c r="G251" s="140"/>
      <c r="H251" s="123" t="s">
        <v>1561</v>
      </c>
      <c r="J251" s="101">
        <v>7.510849084526539</v>
      </c>
      <c r="K251" s="141">
        <v>6.2859898615789831</v>
      </c>
      <c r="L251" s="141">
        <v>8.4074619184558905</v>
      </c>
      <c r="M251" s="140"/>
    </row>
    <row r="252" spans="2:13" x14ac:dyDescent="0.2">
      <c r="B252" s="123" t="s">
        <v>537</v>
      </c>
      <c r="C252" s="2008"/>
      <c r="D252" s="141">
        <v>-1.3288005865078609</v>
      </c>
      <c r="E252" s="141">
        <v>-0.37914915917196723</v>
      </c>
      <c r="F252" s="141">
        <v>2.0727938256017726</v>
      </c>
      <c r="G252" s="140"/>
      <c r="H252" s="123" t="s">
        <v>537</v>
      </c>
      <c r="J252" s="101">
        <v>8.456256122827579</v>
      </c>
      <c r="K252" s="141">
        <v>7.0772211845553477</v>
      </c>
      <c r="L252" s="141">
        <v>9.4657275795688527</v>
      </c>
      <c r="M252" s="140"/>
    </row>
    <row r="253" spans="2:13" x14ac:dyDescent="0.2">
      <c r="B253" s="123" t="s">
        <v>534</v>
      </c>
      <c r="C253" s="2008"/>
      <c r="D253" s="141">
        <v>-0.30872554558566306</v>
      </c>
      <c r="E253" s="141">
        <v>-8.7357516125260382E-2</v>
      </c>
      <c r="F253" s="141">
        <v>0.47758017039995304</v>
      </c>
      <c r="G253" s="140"/>
      <c r="H253" s="123" t="s">
        <v>3324</v>
      </c>
      <c r="J253" s="101">
        <v>1.9828105833312331</v>
      </c>
      <c r="K253" s="141">
        <v>1.6594564854097755</v>
      </c>
      <c r="L253" s="141">
        <v>2.2195099759376276</v>
      </c>
      <c r="M253" s="140"/>
    </row>
    <row r="254" spans="2:13" x14ac:dyDescent="0.2">
      <c r="B254" s="123" t="s">
        <v>910</v>
      </c>
      <c r="C254" s="2008"/>
      <c r="D254" s="141">
        <v>-2.7704923103096118E-2</v>
      </c>
      <c r="E254" s="141">
        <v>-9.0828619412696709E-3</v>
      </c>
      <c r="F254" s="141">
        <v>4.9655655815704872E-2</v>
      </c>
      <c r="G254" s="140"/>
      <c r="H254" s="123" t="s">
        <v>3326</v>
      </c>
      <c r="J254" s="101">
        <v>0.3735326107461106</v>
      </c>
      <c r="K254" s="141">
        <v>0.3126174121853218</v>
      </c>
      <c r="L254" s="141">
        <v>0.41812332597910234</v>
      </c>
      <c r="M254" s="140"/>
    </row>
    <row r="255" spans="2:13" x14ac:dyDescent="0.2">
      <c r="B255" s="123" t="s">
        <v>1416</v>
      </c>
      <c r="C255" s="2008"/>
      <c r="D255" s="141">
        <v>-2.0115562443580565E-2</v>
      </c>
      <c r="E255" s="141">
        <v>-7.0812148625241326E-3</v>
      </c>
      <c r="F255" s="141">
        <v>3.871272845983606E-2</v>
      </c>
      <c r="G255" s="140"/>
      <c r="H255" s="123" t="s">
        <v>1416</v>
      </c>
      <c r="J255" s="101">
        <v>0.3506968162668872</v>
      </c>
      <c r="K255" s="141">
        <v>0.29350564852690608</v>
      </c>
      <c r="L255" s="141">
        <v>0.39256149264959428</v>
      </c>
      <c r="M255" s="140"/>
    </row>
    <row r="256" spans="2:13" x14ac:dyDescent="0.2">
      <c r="B256" s="123" t="s">
        <v>1417</v>
      </c>
      <c r="C256" s="2008"/>
      <c r="D256" s="141">
        <v>-2.5100442570315587E-2</v>
      </c>
      <c r="E256" s="141">
        <v>-8.2753770942667754E-3</v>
      </c>
      <c r="F256" s="141">
        <v>4.5241167309941238E-2</v>
      </c>
      <c r="G256" s="140"/>
      <c r="H256" s="123" t="s">
        <v>1417</v>
      </c>
      <c r="J256" s="101">
        <v>0.33366057051689368</v>
      </c>
      <c r="K256" s="141">
        <v>0.27924765094785092</v>
      </c>
      <c r="L256" s="141">
        <v>0.37349153321297002</v>
      </c>
      <c r="M256" s="140"/>
    </row>
    <row r="257" spans="2:13" x14ac:dyDescent="0.2">
      <c r="B257" s="123" t="s">
        <v>1011</v>
      </c>
      <c r="C257" s="2008"/>
      <c r="D257" s="141">
        <v>-1.0460003620356224E-2</v>
      </c>
      <c r="E257" s="141">
        <v>-3.7977179303846599E-3</v>
      </c>
      <c r="F257" s="141">
        <v>2.0761977409286793E-2</v>
      </c>
      <c r="G257" s="140"/>
      <c r="H257" s="123" t="s">
        <v>1011</v>
      </c>
      <c r="J257" s="101">
        <v>0.20343460313973838</v>
      </c>
      <c r="K257" s="141">
        <v>0.17025876015339356</v>
      </c>
      <c r="L257" s="141">
        <v>0.22771975039641659</v>
      </c>
      <c r="M257" s="140"/>
    </row>
    <row r="258" spans="2:13" x14ac:dyDescent="0.2">
      <c r="B258" s="123" t="s">
        <v>754</v>
      </c>
      <c r="C258" s="2008"/>
      <c r="D258" s="141">
        <v>-0.82266662319797157</v>
      </c>
      <c r="E258" s="141">
        <v>-0.22901631967509725</v>
      </c>
      <c r="F258" s="141">
        <v>1.2520233842039892</v>
      </c>
      <c r="G258" s="140"/>
      <c r="H258" s="123" t="s">
        <v>754</v>
      </c>
      <c r="J258" s="101">
        <v>4.6648049393357542</v>
      </c>
      <c r="K258" s="141">
        <v>3.9040747890032383</v>
      </c>
      <c r="L258" s="141">
        <v>5.2216692737559569</v>
      </c>
      <c r="M258" s="140"/>
    </row>
    <row r="259" spans="2:13" x14ac:dyDescent="0.2">
      <c r="B259" s="123" t="s">
        <v>534</v>
      </c>
      <c r="C259" s="2008"/>
      <c r="D259" s="141">
        <v>-0.36793331131060247</v>
      </c>
      <c r="E259" s="141">
        <v>-0.1040877570041405</v>
      </c>
      <c r="F259" s="141">
        <v>0.56904375183135569</v>
      </c>
      <c r="G259" s="140"/>
      <c r="H259" s="123" t="s">
        <v>3325</v>
      </c>
      <c r="J259" s="101">
        <v>2.3612668425270145</v>
      </c>
      <c r="K259" s="141">
        <v>1.9761946040409735</v>
      </c>
      <c r="L259" s="141">
        <v>2.6431447143249156</v>
      </c>
      <c r="M259" s="140"/>
    </row>
    <row r="260" spans="2:13" x14ac:dyDescent="0.2">
      <c r="B260" s="123" t="s">
        <v>2319</v>
      </c>
      <c r="C260" s="2008"/>
      <c r="D260" s="141">
        <v>-0.17161535193951161</v>
      </c>
      <c r="E260" s="141">
        <v>-5.157501960128863E-2</v>
      </c>
      <c r="F260" s="141">
        <v>0.28195864239370189</v>
      </c>
      <c r="G260" s="140"/>
      <c r="H260" s="123" t="s">
        <v>2319</v>
      </c>
      <c r="J260" s="101">
        <v>1.4278621622811187</v>
      </c>
      <c r="K260" s="141">
        <v>1.1950083106212679</v>
      </c>
      <c r="L260" s="141">
        <v>1.5983142011086393</v>
      </c>
      <c r="M260" s="140"/>
    </row>
    <row r="261" spans="2:13" x14ac:dyDescent="0.2">
      <c r="B261" s="123" t="s">
        <v>910</v>
      </c>
      <c r="C261" s="2008"/>
      <c r="D261" s="141">
        <v>-5.2178473582255039E-2</v>
      </c>
      <c r="E261" s="141">
        <v>-1.6073858650075046E-2</v>
      </c>
      <c r="F261" s="141">
        <v>8.7875165109780856E-2</v>
      </c>
      <c r="G261" s="140"/>
      <c r="H261" s="123" t="s">
        <v>3327</v>
      </c>
      <c r="J261" s="101">
        <v>0.52790448113013777</v>
      </c>
      <c r="K261" s="141">
        <v>0.44181452441942409</v>
      </c>
      <c r="L261" s="141">
        <v>0.59092344576959732</v>
      </c>
      <c r="M261" s="140"/>
    </row>
    <row r="262" spans="2:13" x14ac:dyDescent="0.2">
      <c r="B262" s="123" t="s">
        <v>755</v>
      </c>
      <c r="C262" s="2008"/>
      <c r="D262" s="141">
        <v>-0.11940288687476637</v>
      </c>
      <c r="E262" s="141">
        <v>-3.5673186937577019E-2</v>
      </c>
      <c r="F262" s="141">
        <v>0.19502393671459978</v>
      </c>
      <c r="G262" s="140"/>
      <c r="H262" s="123" t="s">
        <v>755</v>
      </c>
      <c r="J262" s="101">
        <v>0.95397412204380594</v>
      </c>
      <c r="K262" s="141">
        <v>0.79840129816083072</v>
      </c>
      <c r="L262" s="141">
        <v>1.0678554464366898</v>
      </c>
      <c r="M262" s="140"/>
    </row>
    <row r="263" spans="2:13" x14ac:dyDescent="0.2">
      <c r="B263" s="123" t="s">
        <v>2320</v>
      </c>
      <c r="C263" s="2008"/>
      <c r="D263" s="141">
        <v>-6.0444699229033985</v>
      </c>
      <c r="E263" s="141">
        <v>-1.8527800227157549</v>
      </c>
      <c r="F263" s="141">
        <v>10.129076903851605</v>
      </c>
      <c r="G263" s="140"/>
      <c r="H263" s="123" t="s">
        <v>2320</v>
      </c>
      <c r="J263" s="101">
        <v>52.865792184930228</v>
      </c>
      <c r="K263" s="141">
        <v>44.244509503383391</v>
      </c>
      <c r="L263" s="141">
        <v>59.176682899869739</v>
      </c>
      <c r="M263" s="140"/>
    </row>
    <row r="264" spans="2:13" x14ac:dyDescent="0.2">
      <c r="B264" s="123" t="s">
        <v>2395</v>
      </c>
      <c r="C264" s="2008"/>
      <c r="D264" s="141">
        <v>-1.3396033040127144</v>
      </c>
      <c r="E264" s="141">
        <v>-0.48901710714724705</v>
      </c>
      <c r="F264" s="141">
        <v>2.6734376584723232</v>
      </c>
      <c r="G264" s="140"/>
      <c r="H264" s="123" t="s">
        <v>2395</v>
      </c>
      <c r="J264" s="101">
        <v>26.541576732990908</v>
      </c>
      <c r="K264" s="141">
        <v>22.213211898720846</v>
      </c>
      <c r="L264" s="141">
        <v>29.709995917520487</v>
      </c>
      <c r="M264" s="140"/>
    </row>
    <row r="265" spans="2:13" x14ac:dyDescent="0.2">
      <c r="B265" s="123" t="s">
        <v>2397</v>
      </c>
      <c r="C265" s="2008"/>
      <c r="D265" s="141">
        <v>-5.6176984075129868</v>
      </c>
      <c r="E265" s="141">
        <v>-1.6899322738929845</v>
      </c>
      <c r="F265" s="141">
        <v>9.2387945437108883</v>
      </c>
      <c r="G265" s="140"/>
      <c r="H265" s="123" t="s">
        <v>2397</v>
      </c>
      <c r="J265" s="101">
        <v>45.70260140722948</v>
      </c>
      <c r="K265" s="141">
        <v>38.249482296945864</v>
      </c>
      <c r="L265" s="141">
        <v>51.15838124044425</v>
      </c>
      <c r="M265" s="140"/>
    </row>
    <row r="266" spans="2:13" x14ac:dyDescent="0.2">
      <c r="B266" s="123" t="s">
        <v>2981</v>
      </c>
      <c r="C266" s="2008"/>
      <c r="D266" s="141">
        <v>-1.3107962950863639</v>
      </c>
      <c r="E266" s="141">
        <v>-0.39431753057502977</v>
      </c>
      <c r="F266" s="141">
        <v>2.1557187268658744</v>
      </c>
      <c r="G266" s="140"/>
      <c r="H266" s="123" t="s">
        <v>2981</v>
      </c>
      <c r="J266" s="101">
        <v>10.663940328353545</v>
      </c>
      <c r="K266" s="141">
        <v>8.9248792026207013</v>
      </c>
      <c r="L266" s="141">
        <v>11.936955622770325</v>
      </c>
      <c r="M266" s="140"/>
    </row>
    <row r="267" spans="2:13" x14ac:dyDescent="0.2">
      <c r="B267" s="123" t="s">
        <v>695</v>
      </c>
      <c r="C267" s="2008"/>
      <c r="D267" s="141">
        <v>-2.7540498633837553</v>
      </c>
      <c r="E267" s="141">
        <v>-0.8289173741428868</v>
      </c>
      <c r="F267" s="141">
        <v>4.531388437455881</v>
      </c>
      <c r="G267" s="140"/>
      <c r="H267" s="123" t="s">
        <v>695</v>
      </c>
      <c r="J267" s="101">
        <v>22.407903242461742</v>
      </c>
      <c r="K267" s="141">
        <v>18.758383573913509</v>
      </c>
      <c r="L267" s="141">
        <v>25.094247434841609</v>
      </c>
      <c r="M267" s="140"/>
    </row>
    <row r="268" spans="2:13" x14ac:dyDescent="0.2">
      <c r="B268" s="123" t="s">
        <v>2996</v>
      </c>
      <c r="C268" s="2008"/>
      <c r="D268" s="141">
        <v>5.110014413589526E-2</v>
      </c>
      <c r="E268" s="141">
        <v>1.5133020617077497E-2</v>
      </c>
      <c r="F268" s="141">
        <v>-3.0088942222241972E-2</v>
      </c>
      <c r="G268" s="140"/>
      <c r="H268" s="123" t="s">
        <v>2996</v>
      </c>
      <c r="J268" s="101">
        <v>-0.14610666109983753</v>
      </c>
      <c r="K268" s="141">
        <v>-0.30999380338557425</v>
      </c>
      <c r="L268" s="141">
        <v>-0.14402948337052157</v>
      </c>
      <c r="M268" s="140"/>
    </row>
    <row r="269" spans="2:13" x14ac:dyDescent="0.2">
      <c r="B269" s="123" t="s">
        <v>2997</v>
      </c>
      <c r="C269" s="2008"/>
      <c r="D269" s="141">
        <v>8.5166906893158756E-2</v>
      </c>
      <c r="E269" s="141">
        <v>2.5221701028462495E-2</v>
      </c>
      <c r="F269" s="141">
        <v>-0.11877214035095515</v>
      </c>
      <c r="G269" s="140"/>
      <c r="H269" s="123" t="s">
        <v>2997</v>
      </c>
      <c r="J269" s="141">
        <v>-0.5844266443993501</v>
      </c>
      <c r="K269" s="141">
        <v>-0.51665633897595697</v>
      </c>
      <c r="L269" s="141">
        <v>-0.56853743435732196</v>
      </c>
      <c r="M269" s="140"/>
    </row>
    <row r="270" spans="2:13" x14ac:dyDescent="0.2">
      <c r="B270" s="123" t="s">
        <v>664</v>
      </c>
      <c r="C270" s="2008"/>
      <c r="D270" s="141">
        <v>3.6195935429592478E-2</v>
      </c>
      <c r="E270" s="141">
        <v>1.0719222937096561E-2</v>
      </c>
      <c r="F270" s="141">
        <v>-3.5631642105286548E-2</v>
      </c>
      <c r="G270" s="140"/>
      <c r="H270" s="123" t="s">
        <v>664</v>
      </c>
      <c r="J270" s="141">
        <v>-0.21104295492198755</v>
      </c>
      <c r="K270" s="141">
        <v>-0.21957894406478173</v>
      </c>
      <c r="L270" s="141">
        <v>-0.17056123030719661</v>
      </c>
      <c r="M270" s="140"/>
    </row>
    <row r="271" spans="2:13" x14ac:dyDescent="0.2">
      <c r="B271" s="123" t="s">
        <v>2136</v>
      </c>
      <c r="C271" s="2008"/>
      <c r="D271" s="141">
        <v>8.516690689315876</v>
      </c>
      <c r="E271" s="141">
        <v>2.5221701028462498</v>
      </c>
      <c r="F271" s="141">
        <v>-12.669028304101882</v>
      </c>
      <c r="G271" s="140"/>
      <c r="H271" s="123" t="s">
        <v>2136</v>
      </c>
      <c r="I271" s="101"/>
      <c r="J271" s="141">
        <v>-58.442664439935001</v>
      </c>
      <c r="K271" s="141">
        <v>-51.665633897595711</v>
      </c>
      <c r="L271" s="141">
        <v>-60.643992998114349</v>
      </c>
      <c r="M271" s="150"/>
    </row>
    <row r="272" spans="2:13" x14ac:dyDescent="0.2">
      <c r="B272" s="123" t="s">
        <v>3043</v>
      </c>
      <c r="C272" s="2008"/>
      <c r="D272" s="141">
        <v>7.452104353151392</v>
      </c>
      <c r="E272" s="141">
        <v>2.2068988399904681</v>
      </c>
      <c r="F272" s="141">
        <v>-9.1058640935732278</v>
      </c>
      <c r="G272" s="140"/>
      <c r="H272" s="123" t="s">
        <v>3043</v>
      </c>
      <c r="I272" s="101"/>
      <c r="J272" s="101">
        <v>-47.078813021058757</v>
      </c>
      <c r="K272" s="141">
        <v>-45.207429660396244</v>
      </c>
      <c r="L272" s="141">
        <v>-43.587869967394688</v>
      </c>
      <c r="M272" s="150"/>
    </row>
    <row r="273" spans="2:19" x14ac:dyDescent="0.2">
      <c r="B273" s="123" t="s">
        <v>667</v>
      </c>
      <c r="C273" s="2008"/>
      <c r="D273" s="141">
        <v>2.1291726723289693E-3</v>
      </c>
      <c r="E273" s="141">
        <v>6.3054252571156249E-4</v>
      </c>
      <c r="F273" s="141">
        <v>-7.9181426900636759E-4</v>
      </c>
      <c r="G273" s="140"/>
      <c r="H273" s="123" t="s">
        <v>667</v>
      </c>
      <c r="I273" s="101"/>
      <c r="J273" s="101">
        <v>-9.7404440733225E-3</v>
      </c>
      <c r="K273" s="141">
        <v>-1.2916408474398929E-2</v>
      </c>
      <c r="L273" s="141">
        <v>-3.7902495623821459E-3</v>
      </c>
      <c r="M273" s="150"/>
    </row>
    <row r="274" spans="2:19" ht="16" thickBot="1" x14ac:dyDescent="0.25">
      <c r="B274" s="152" t="s">
        <v>672</v>
      </c>
      <c r="C274" s="2008"/>
      <c r="D274" s="141">
        <v>-8.3600000000000065</v>
      </c>
      <c r="E274" s="141">
        <v>-2.7499999999999982</v>
      </c>
      <c r="F274" s="141">
        <v>19.209999999999994</v>
      </c>
      <c r="G274" s="140"/>
      <c r="H274" s="123" t="s">
        <v>672</v>
      </c>
      <c r="I274" s="101"/>
      <c r="J274" s="101">
        <v>124.76323119777159</v>
      </c>
      <c r="K274" s="141">
        <v>95.598885793871915</v>
      </c>
      <c r="L274" s="141">
        <v>153.73259052924794</v>
      </c>
      <c r="M274" s="150"/>
    </row>
    <row r="275" spans="2:19" x14ac:dyDescent="0.2">
      <c r="B275" s="123" t="s">
        <v>2985</v>
      </c>
      <c r="C275" s="141">
        <v>1.5</v>
      </c>
      <c r="D275" s="141">
        <v>1.5</v>
      </c>
      <c r="E275" s="141">
        <v>1.5</v>
      </c>
      <c r="F275" s="141">
        <v>1.5</v>
      </c>
      <c r="G275" s="137">
        <v>1.5</v>
      </c>
      <c r="H275" s="123" t="s">
        <v>2985</v>
      </c>
      <c r="I275" s="101">
        <v>4.1782729805013927</v>
      </c>
      <c r="J275" s="101">
        <v>4.1782729805013927</v>
      </c>
      <c r="K275" s="141">
        <v>4.1782729805013927</v>
      </c>
      <c r="L275" s="141">
        <v>4.1782729805013927</v>
      </c>
      <c r="M275" s="150">
        <v>4.1782729805013927</v>
      </c>
    </row>
    <row r="276" spans="2:19" ht="16" thickBot="1" x14ac:dyDescent="0.25">
      <c r="B276" s="152" t="s">
        <v>3034</v>
      </c>
      <c r="C276" s="196">
        <v>0.8</v>
      </c>
      <c r="D276" s="196">
        <v>0.8</v>
      </c>
      <c r="E276" s="196">
        <v>0.8</v>
      </c>
      <c r="F276" s="196">
        <v>0.8</v>
      </c>
      <c r="G276" s="346">
        <v>0.8</v>
      </c>
      <c r="H276" s="152" t="s">
        <v>3034</v>
      </c>
      <c r="I276" s="1147">
        <v>2.2284122562674096</v>
      </c>
      <c r="J276" s="1147">
        <v>2.2284122562674096</v>
      </c>
      <c r="K276" s="196">
        <v>2.2284122562674096</v>
      </c>
      <c r="L276" s="196">
        <v>2.2284122562674096</v>
      </c>
      <c r="M276" s="1148">
        <v>2.2284122562674096</v>
      </c>
    </row>
    <row r="277" spans="2:19" x14ac:dyDescent="0.2">
      <c r="B277" s="123"/>
      <c r="G277" s="140"/>
      <c r="H277" s="59"/>
      <c r="I277" s="60"/>
      <c r="J277" s="1146" t="s">
        <v>3028</v>
      </c>
      <c r="K277" s="1146" t="s">
        <v>3029</v>
      </c>
      <c r="L277" s="1146" t="s">
        <v>3030</v>
      </c>
      <c r="M277" s="106"/>
      <c r="N277" s="59"/>
      <c r="O277" s="2010" t="s">
        <v>3597</v>
      </c>
      <c r="P277" s="1146" t="s">
        <v>3028</v>
      </c>
      <c r="Q277" s="1146" t="s">
        <v>3029</v>
      </c>
      <c r="R277" s="1146" t="s">
        <v>3030</v>
      </c>
      <c r="S277" s="106"/>
    </row>
    <row r="278" spans="2:19" ht="16" thickBot="1" x14ac:dyDescent="0.25">
      <c r="B278" s="123"/>
      <c r="D278" s="6" t="s">
        <v>3028</v>
      </c>
      <c r="E278" s="6" t="s">
        <v>3029</v>
      </c>
      <c r="F278" s="6" t="s">
        <v>3030</v>
      </c>
      <c r="G278" s="140"/>
      <c r="H278" s="123" t="s">
        <v>753</v>
      </c>
      <c r="I278" s="2008"/>
      <c r="J278" s="2008">
        <f t="shared" ref="J278:M278" si="37">J244*0.359</f>
        <v>10.693327812657865</v>
      </c>
      <c r="K278" s="2008">
        <f t="shared" si="37"/>
        <v>8.9494742152904188</v>
      </c>
      <c r="L278" s="2008">
        <f t="shared" si="37"/>
        <v>11.969851258455085</v>
      </c>
      <c r="M278" s="140"/>
      <c r="N278" s="123" t="s">
        <v>753</v>
      </c>
      <c r="O278" s="2008"/>
      <c r="P278" s="2009">
        <f ca="1">J278/(LCOE_CP!$B$22/1000000)</f>
        <v>0.25919327518211049</v>
      </c>
      <c r="Q278" s="2009">
        <f ca="1">K278/(LCOE_CP!$B$22/1000000)</f>
        <v>0.21692438253629262</v>
      </c>
      <c r="R278" s="2009">
        <f ca="1">L278/(LCOE_CP!$B$22/1000000)</f>
        <v>0.29013465269896577</v>
      </c>
      <c r="S278" s="140"/>
    </row>
    <row r="279" spans="2:19" x14ac:dyDescent="0.2">
      <c r="B279" s="59" t="s">
        <v>753</v>
      </c>
      <c r="C279" s="6" t="s">
        <v>3596</v>
      </c>
      <c r="D279" s="101">
        <f t="shared" ref="D279:D302" si="38">D244/0.359</f>
        <v>-5.144805877329607</v>
      </c>
      <c r="E279" s="101">
        <f>E244/0.359*-1</f>
        <v>1.7640960398968784</v>
      </c>
      <c r="F279" s="101">
        <f t="shared" ref="F279:F302" si="39">F244/0.359</f>
        <v>9.6442449912127941</v>
      </c>
      <c r="G279" s="140"/>
      <c r="H279" s="123" t="s">
        <v>2317</v>
      </c>
      <c r="I279" s="2008" t="s">
        <v>3348</v>
      </c>
      <c r="J279" s="2008">
        <f t="shared" ref="I279:M311" si="40">J245*0.359</f>
        <v>0.51726174306074391</v>
      </c>
      <c r="K279" s="2008">
        <f t="shared" si="40"/>
        <v>0.43290738983972987</v>
      </c>
      <c r="L279" s="2008">
        <f t="shared" si="40"/>
        <v>0.57901022344019815</v>
      </c>
      <c r="M279" s="140"/>
      <c r="N279" s="123" t="s">
        <v>2317</v>
      </c>
      <c r="O279" s="2008" t="s">
        <v>15</v>
      </c>
      <c r="P279" s="2009">
        <f ca="1">J279/(LCOE_CP!$B$22/1000000)</f>
        <v>1.2537796246330333E-2</v>
      </c>
      <c r="Q279" s="2009">
        <f ca="1">K279/(LCOE_CP!$B$22/1000000)</f>
        <v>1.0493149203775221E-2</v>
      </c>
      <c r="R279" s="2009">
        <f ca="1">L279/(LCOE_CP!$B$22/1000000)</f>
        <v>1.4034504394389155E-2</v>
      </c>
      <c r="S279" s="140"/>
    </row>
    <row r="280" spans="2:19" x14ac:dyDescent="0.2">
      <c r="B280" s="123" t="s">
        <v>2317</v>
      </c>
      <c r="D280" s="101">
        <f t="shared" si="38"/>
        <v>-0.29932085536846886</v>
      </c>
      <c r="E280" s="101">
        <f t="shared" ref="E280:E308" si="41">E245/0.359*-1</f>
        <v>9.8430081708290609E-2</v>
      </c>
      <c r="F280" s="101">
        <f t="shared" si="39"/>
        <v>0.53811345926230802</v>
      </c>
      <c r="G280" s="140"/>
      <c r="H280" s="123" t="s">
        <v>2318</v>
      </c>
      <c r="I280" s="2008"/>
      <c r="J280" s="2008">
        <f t="shared" si="40"/>
        <v>1.0023025031715973</v>
      </c>
      <c r="K280" s="2008">
        <f t="shared" si="40"/>
        <v>0.83884835153348836</v>
      </c>
      <c r="L280" s="2008">
        <f t="shared" si="40"/>
        <v>1.1219530616783016</v>
      </c>
      <c r="M280" s="140"/>
      <c r="N280" s="123" t="s">
        <v>2318</v>
      </c>
      <c r="O280" s="2008"/>
      <c r="P280" s="2009">
        <f ca="1">J280/(LCOE_CP!$B$22/1000000)</f>
        <v>2.4294595010241463E-2</v>
      </c>
      <c r="Q280" s="2009">
        <f ca="1">K280/(LCOE_CP!$B$22/1000000)</f>
        <v>2.0332664949980407E-2</v>
      </c>
      <c r="R280" s="2009">
        <f ca="1">L280/(LCOE_CP!$B$22/1000000)</f>
        <v>2.7194779188642059E-2</v>
      </c>
      <c r="S280" s="140"/>
    </row>
    <row r="281" spans="2:19" x14ac:dyDescent="0.2">
      <c r="B281" s="123" t="s">
        <v>2318</v>
      </c>
      <c r="D281" s="101">
        <f t="shared" si="38"/>
        <v>-0.82693348072741368</v>
      </c>
      <c r="E281" s="101">
        <f t="shared" si="41"/>
        <v>0.25302774955317875</v>
      </c>
      <c r="F281" s="101">
        <f t="shared" si="39"/>
        <v>1.3832929449854312</v>
      </c>
      <c r="G281" s="140"/>
      <c r="H281" s="123" t="s">
        <v>1415</v>
      </c>
      <c r="I281" s="2008"/>
      <c r="J281" s="2008">
        <f t="shared" si="40"/>
        <v>0.70301934835610413</v>
      </c>
      <c r="K281" s="2008">
        <f t="shared" si="40"/>
        <v>0.58837189331423045</v>
      </c>
      <c r="L281" s="2008">
        <f t="shared" si="40"/>
        <v>0.78694277207863894</v>
      </c>
      <c r="M281" s="140"/>
      <c r="N281" s="123" t="s">
        <v>1415</v>
      </c>
      <c r="O281" s="2008"/>
      <c r="P281" s="2009">
        <f ca="1">J281/(LCOE_CP!$B$22/1000000)</f>
        <v>1.7040334927459856E-2</v>
      </c>
      <c r="Q281" s="2009">
        <f ca="1">K281/(LCOE_CP!$B$22/1000000)</f>
        <v>1.426141989892946E-2</v>
      </c>
      <c r="R281" s="2009">
        <f ca="1">L281/(LCOE_CP!$B$22/1000000)</f>
        <v>1.9074536762494893E-2</v>
      </c>
      <c r="S281" s="140"/>
    </row>
    <row r="282" spans="2:19" x14ac:dyDescent="0.2">
      <c r="B282" s="123" t="s">
        <v>1415</v>
      </c>
      <c r="D282" s="101">
        <f t="shared" si="38"/>
        <v>-0.95144226150739919</v>
      </c>
      <c r="E282" s="101">
        <f t="shared" si="41"/>
        <v>0.26840373859405342</v>
      </c>
      <c r="F282" s="101">
        <f t="shared" si="39"/>
        <v>1.4673528838655541</v>
      </c>
      <c r="G282" s="140"/>
      <c r="H282" s="123" t="s">
        <v>2978</v>
      </c>
      <c r="I282" s="2008"/>
      <c r="J282" s="2008">
        <f t="shared" si="40"/>
        <v>0.68255218927010797</v>
      </c>
      <c r="K282" s="2008">
        <f t="shared" si="40"/>
        <v>0.57124249115716319</v>
      </c>
      <c r="L282" s="2008">
        <f t="shared" si="40"/>
        <v>0.76403233164002116</v>
      </c>
      <c r="M282" s="140"/>
      <c r="N282" s="123" t="s">
        <v>2978</v>
      </c>
      <c r="O282" s="2008"/>
      <c r="P282" s="2009">
        <f ca="1">J282/(LCOE_CP!$B$22/1000000)</f>
        <v>1.6544235856140534E-2</v>
      </c>
      <c r="Q282" s="2009">
        <f ca="1">K282/(LCOE_CP!$B$22/1000000)</f>
        <v>1.3846224000628625E-2</v>
      </c>
      <c r="R282" s="2009">
        <f ca="1">L282/(LCOE_CP!$B$22/1000000)</f>
        <v>1.8519215519455769E-2</v>
      </c>
      <c r="S282" s="140"/>
    </row>
    <row r="283" spans="2:19" x14ac:dyDescent="0.2">
      <c r="B283" s="123" t="s">
        <v>2978</v>
      </c>
      <c r="D283" s="101">
        <f t="shared" si="38"/>
        <v>-0.2751192453065302</v>
      </c>
      <c r="E283" s="101">
        <f t="shared" si="41"/>
        <v>9.949291704371771E-2</v>
      </c>
      <c r="F283" s="101">
        <f t="shared" si="39"/>
        <v>0.54392393903685365</v>
      </c>
      <c r="G283" s="140"/>
      <c r="H283" s="123" t="s">
        <v>2792</v>
      </c>
      <c r="I283" s="2008"/>
      <c r="J283" s="2008">
        <f t="shared" si="40"/>
        <v>0.75364731824918141</v>
      </c>
      <c r="K283" s="2008">
        <f t="shared" si="40"/>
        <v>0.63074352159202995</v>
      </c>
      <c r="L283" s="2008">
        <f t="shared" si="40"/>
        <v>0.84361449109396092</v>
      </c>
      <c r="M283" s="140"/>
      <c r="N283" s="123" t="s">
        <v>2792</v>
      </c>
      <c r="O283" s="2008"/>
      <c r="P283" s="2009">
        <f ca="1">J283/(LCOE_CP!$B$22/1000000)</f>
        <v>1.8267495411296773E-2</v>
      </c>
      <c r="Q283" s="2009">
        <f ca="1">K283/(LCOE_CP!$B$22/1000000)</f>
        <v>1.5288456692388805E-2</v>
      </c>
      <c r="R283" s="2009">
        <f ca="1">L283/(LCOE_CP!$B$22/1000000)</f>
        <v>2.0448190382689167E-2</v>
      </c>
      <c r="S283" s="140"/>
    </row>
    <row r="284" spans="2:19" x14ac:dyDescent="0.2">
      <c r="B284" s="123" t="s">
        <v>2792</v>
      </c>
      <c r="D284" s="101">
        <f t="shared" si="38"/>
        <v>-0.38648296410664446</v>
      </c>
      <c r="E284" s="101">
        <f t="shared" si="41"/>
        <v>0.12998272485870591</v>
      </c>
      <c r="F284" s="101">
        <f t="shared" si="39"/>
        <v>0.71061054206325669</v>
      </c>
      <c r="G284" s="140"/>
      <c r="H284" s="123" t="s">
        <v>2979</v>
      </c>
      <c r="I284" s="2008"/>
      <c r="J284" s="2008">
        <f t="shared" si="40"/>
        <v>1.4105589970093753</v>
      </c>
      <c r="K284" s="2008">
        <f t="shared" si="40"/>
        <v>1.1805269223990653</v>
      </c>
      <c r="L284" s="2008">
        <f t="shared" si="40"/>
        <v>1.5789454584466902</v>
      </c>
      <c r="M284" s="140"/>
      <c r="N284" s="123" t="s">
        <v>2979</v>
      </c>
      <c r="O284" s="2008"/>
      <c r="P284" s="2009">
        <f ca="1">J284/(LCOE_CP!$B$22/1000000)</f>
        <v>3.4190236442548538E-2</v>
      </c>
      <c r="Q284" s="2009">
        <f ca="1">K284/(LCOE_CP!$B$22/1000000)</f>
        <v>2.8614538412922497E-2</v>
      </c>
      <c r="R284" s="2009">
        <f ca="1">L284/(LCOE_CP!$B$22/1000000)</f>
        <v>3.8271719700230113E-2</v>
      </c>
      <c r="S284" s="140"/>
    </row>
    <row r="285" spans="2:19" x14ac:dyDescent="0.2">
      <c r="B285" s="123" t="s">
        <v>2979</v>
      </c>
      <c r="D285" s="101">
        <f t="shared" si="38"/>
        <v>-1.3840755672432954</v>
      </c>
      <c r="E285" s="101">
        <f t="shared" si="41"/>
        <v>0.40381669156345229</v>
      </c>
      <c r="F285" s="101">
        <f t="shared" si="39"/>
        <v>2.2076502735115282</v>
      </c>
      <c r="G285" s="140"/>
      <c r="H285" s="123" t="s">
        <v>1561</v>
      </c>
      <c r="I285" s="2008"/>
      <c r="J285" s="2008">
        <f t="shared" si="40"/>
        <v>2.6963948213450273</v>
      </c>
      <c r="K285" s="2008">
        <f t="shared" si="40"/>
        <v>2.2566703603068548</v>
      </c>
      <c r="L285" s="2008">
        <f t="shared" si="40"/>
        <v>3.0182788287256646</v>
      </c>
      <c r="M285" s="140"/>
      <c r="N285" s="123" t="s">
        <v>1561</v>
      </c>
      <c r="O285" s="2008"/>
      <c r="P285" s="2009">
        <f ca="1">J285/(LCOE_CP!$B$22/1000000)</f>
        <v>6.5357334701851663E-2</v>
      </c>
      <c r="Q285" s="2009">
        <f ca="1">K285/(LCOE_CP!$B$22/1000000)</f>
        <v>5.4698947974077365E-2</v>
      </c>
      <c r="R285" s="2009">
        <f ca="1">L285/(LCOE_CP!$B$22/1000000)</f>
        <v>7.3159411993728218E-2</v>
      </c>
      <c r="S285" s="140"/>
    </row>
    <row r="286" spans="2:19" x14ac:dyDescent="0.2">
      <c r="B286" s="123" t="s">
        <v>1561</v>
      </c>
      <c r="D286" s="101">
        <f t="shared" si="38"/>
        <v>-2.3810278207311169</v>
      </c>
      <c r="E286" s="101">
        <f t="shared" si="41"/>
        <v>0.72826296061824258</v>
      </c>
      <c r="F286" s="101">
        <f t="shared" si="39"/>
        <v>3.9813855092826209</v>
      </c>
      <c r="G286" s="140"/>
      <c r="H286" s="123" t="s">
        <v>537</v>
      </c>
      <c r="I286" s="2008"/>
      <c r="J286" s="2008">
        <f t="shared" si="40"/>
        <v>3.0357959480951009</v>
      </c>
      <c r="K286" s="2008">
        <f t="shared" si="40"/>
        <v>2.5407224052553699</v>
      </c>
      <c r="L286" s="2008">
        <f t="shared" si="40"/>
        <v>3.3981962010652178</v>
      </c>
      <c r="M286" s="140"/>
      <c r="N286" s="123" t="s">
        <v>537</v>
      </c>
      <c r="O286" s="2008"/>
      <c r="P286" s="2009">
        <f ca="1">J286/(LCOE_CP!$B$22/1000000)</f>
        <v>7.3584005686231108E-2</v>
      </c>
      <c r="Q286" s="2009">
        <f ca="1">K286/(LCOE_CP!$B$22/1000000)</f>
        <v>6.1584024457492691E-2</v>
      </c>
      <c r="R286" s="2009">
        <f ca="1">L286/(LCOE_CP!$B$22/1000000)</f>
        <v>8.2368147549249787E-2</v>
      </c>
      <c r="S286" s="140"/>
    </row>
    <row r="287" spans="2:19" x14ac:dyDescent="0.2">
      <c r="B287" s="123" t="s">
        <v>537</v>
      </c>
      <c r="D287" s="101">
        <f t="shared" si="38"/>
        <v>-3.7013943913867995</v>
      </c>
      <c r="E287" s="101">
        <f t="shared" si="41"/>
        <v>1.0561257915653683</v>
      </c>
      <c r="F287" s="101">
        <f t="shared" si="39"/>
        <v>5.773798957108002</v>
      </c>
      <c r="G287" s="140"/>
      <c r="H287" s="123" t="s">
        <v>3324</v>
      </c>
      <c r="I287" s="2008"/>
      <c r="J287" s="2008">
        <f t="shared" si="40"/>
        <v>0.7118289994159126</v>
      </c>
      <c r="K287" s="2008">
        <f t="shared" si="40"/>
        <v>0.59574487826210942</v>
      </c>
      <c r="L287" s="2008">
        <f t="shared" si="40"/>
        <v>0.7968040813616083</v>
      </c>
      <c r="M287" s="140"/>
      <c r="N287" s="123" t="s">
        <v>3324</v>
      </c>
      <c r="O287" s="2008"/>
      <c r="P287" s="2009">
        <f ca="1">J287/(LCOE_CP!$B$22/1000000)</f>
        <v>1.7253870166574137E-2</v>
      </c>
      <c r="Q287" s="2009">
        <f ca="1">K287/(LCOE_CP!$B$22/1000000)</f>
        <v>1.4440132096852265E-2</v>
      </c>
      <c r="R287" s="2009">
        <f ca="1">L287/(LCOE_CP!$B$22/1000000)</f>
        <v>1.9313562919311203E-2</v>
      </c>
      <c r="S287" s="140"/>
    </row>
    <row r="288" spans="2:19" x14ac:dyDescent="0.2">
      <c r="B288" s="123" t="s">
        <v>534</v>
      </c>
      <c r="D288" s="101">
        <f t="shared" si="38"/>
        <v>-0.85995973700741801</v>
      </c>
      <c r="E288" s="101">
        <f t="shared" si="41"/>
        <v>0.24333569951326012</v>
      </c>
      <c r="F288" s="101">
        <f t="shared" si="39"/>
        <v>1.3303068813369165</v>
      </c>
      <c r="G288" s="140"/>
      <c r="H288" s="123" t="s">
        <v>3326</v>
      </c>
      <c r="I288" s="2008"/>
      <c r="J288" s="2008">
        <f t="shared" si="40"/>
        <v>0.13409820725785371</v>
      </c>
      <c r="K288" s="2008">
        <f t="shared" si="40"/>
        <v>0.11222965097453053</v>
      </c>
      <c r="L288" s="2008">
        <f t="shared" si="40"/>
        <v>0.15010627402649773</v>
      </c>
      <c r="M288" s="140"/>
      <c r="N288" s="123" t="s">
        <v>3326</v>
      </c>
      <c r="O288" s="2008"/>
      <c r="P288" s="2009">
        <f ca="1">J288/(LCOE_CP!$B$22/1000000)</f>
        <v>3.2503776321221281E-3</v>
      </c>
      <c r="Q288" s="2009">
        <f ca="1">K288/(LCOE_CP!$B$22/1000000)</f>
        <v>2.7203103952541685E-3</v>
      </c>
      <c r="R288" s="2009">
        <f ca="1">L288/(LCOE_CP!$B$22/1000000)</f>
        <v>3.6383937228836303E-3</v>
      </c>
      <c r="S288" s="140"/>
    </row>
    <row r="289" spans="2:19" x14ac:dyDescent="0.2">
      <c r="B289" s="123" t="s">
        <v>910</v>
      </c>
      <c r="D289" s="101">
        <f t="shared" si="38"/>
        <v>-7.7172487752356883E-2</v>
      </c>
      <c r="E289" s="101">
        <f t="shared" si="41"/>
        <v>2.5300451089887665E-2</v>
      </c>
      <c r="F289" s="101">
        <f t="shared" si="39"/>
        <v>0.138316590015891</v>
      </c>
      <c r="G289" s="140"/>
      <c r="H289" s="123" t="s">
        <v>1416</v>
      </c>
      <c r="I289" s="2008"/>
      <c r="J289" s="2008">
        <f t="shared" si="40"/>
        <v>0.1259001570398125</v>
      </c>
      <c r="K289" s="2008">
        <f t="shared" si="40"/>
        <v>0.10536852782115928</v>
      </c>
      <c r="L289" s="2008">
        <f t="shared" si="40"/>
        <v>0.14092957586120433</v>
      </c>
      <c r="M289" s="140"/>
      <c r="N289" s="123" t="s">
        <v>1416</v>
      </c>
      <c r="O289" s="2008"/>
      <c r="P289" s="2009">
        <f ca="1">J289/(LCOE_CP!$B$22/1000000)</f>
        <v>3.0516668543971374E-3</v>
      </c>
      <c r="Q289" s="2009">
        <f ca="1">K289/(LCOE_CP!$B$22/1000000)</f>
        <v>2.5540051053850005E-3</v>
      </c>
      <c r="R289" s="2009">
        <f ca="1">L289/(LCOE_CP!$B$22/1000000)</f>
        <v>3.4159617078466883E-3</v>
      </c>
      <c r="S289" s="140"/>
    </row>
    <row r="290" spans="2:19" x14ac:dyDescent="0.2">
      <c r="B290" s="123" t="s">
        <v>1416</v>
      </c>
      <c r="D290" s="101">
        <f t="shared" si="38"/>
        <v>-5.6032207363734168E-2</v>
      </c>
      <c r="E290" s="101">
        <f t="shared" si="41"/>
        <v>1.9724832486139647E-2</v>
      </c>
      <c r="F290" s="101">
        <f t="shared" si="39"/>
        <v>0.10783489821681354</v>
      </c>
      <c r="G290" s="140"/>
      <c r="H290" s="123" t="s">
        <v>1417</v>
      </c>
      <c r="I290" s="2008"/>
      <c r="J290" s="2008">
        <f t="shared" si="40"/>
        <v>0.11978414481556483</v>
      </c>
      <c r="K290" s="2008">
        <f t="shared" si="40"/>
        <v>0.10024990669027847</v>
      </c>
      <c r="L290" s="2008">
        <f t="shared" si="40"/>
        <v>0.13408346042345623</v>
      </c>
      <c r="M290" s="140"/>
      <c r="N290" s="123" t="s">
        <v>1417</v>
      </c>
      <c r="O290" s="2008"/>
      <c r="P290" s="2009">
        <f ca="1">J290/(LCOE_CP!$B$22/1000000)</f>
        <v>2.9034221482374593E-3</v>
      </c>
      <c r="Q290" s="2009">
        <f ca="1">K290/(LCOE_CP!$B$22/1000000)</f>
        <v>2.4299359476286182E-3</v>
      </c>
      <c r="R290" s="2009">
        <f ca="1">L290/(LCOE_CP!$B$22/1000000)</f>
        <v>3.2500201867718109E-3</v>
      </c>
      <c r="S290" s="140"/>
    </row>
    <row r="291" spans="2:19" x14ac:dyDescent="0.2">
      <c r="B291" s="123" t="s">
        <v>1417</v>
      </c>
      <c r="D291" s="101">
        <f t="shared" si="38"/>
        <v>-6.9917667326784366E-2</v>
      </c>
      <c r="E291" s="101">
        <f t="shared" si="41"/>
        <v>2.3051189677623332E-2</v>
      </c>
      <c r="F291" s="101">
        <f t="shared" si="39"/>
        <v>0.12601996465164692</v>
      </c>
      <c r="G291" s="140"/>
      <c r="H291" s="123" t="s">
        <v>1011</v>
      </c>
      <c r="I291" s="2008"/>
      <c r="J291" s="2008">
        <f t="shared" si="40"/>
        <v>7.3033022527166078E-2</v>
      </c>
      <c r="K291" s="2008">
        <f t="shared" si="40"/>
        <v>6.1122894895068287E-2</v>
      </c>
      <c r="L291" s="2008">
        <f t="shared" si="40"/>
        <v>8.175139039231355E-2</v>
      </c>
      <c r="M291" s="140"/>
      <c r="N291" s="123" t="s">
        <v>1011</v>
      </c>
      <c r="O291" s="2008"/>
      <c r="P291" s="2009">
        <f ca="1">J291/(LCOE_CP!$B$22/1000000)</f>
        <v>1.7702317404744367E-3</v>
      </c>
      <c r="Q291" s="2009">
        <f ca="1">K291/(LCOE_CP!$B$22/1000000)</f>
        <v>1.4815447159219658E-3</v>
      </c>
      <c r="R291" s="2009">
        <f ca="1">L291/(LCOE_CP!$B$22/1000000)</f>
        <v>1.9815543858472968E-3</v>
      </c>
      <c r="S291" s="140"/>
    </row>
    <row r="292" spans="2:19" x14ac:dyDescent="0.2">
      <c r="B292" s="123" t="s">
        <v>1011</v>
      </c>
      <c r="D292" s="101">
        <f t="shared" si="38"/>
        <v>-2.9136500335254105E-2</v>
      </c>
      <c r="E292" s="101">
        <f t="shared" si="41"/>
        <v>1.0578601477394596E-2</v>
      </c>
      <c r="F292" s="101">
        <f t="shared" si="39"/>
        <v>5.7832806154002214E-2</v>
      </c>
      <c r="G292" s="140"/>
      <c r="H292" s="123" t="s">
        <v>754</v>
      </c>
      <c r="I292" s="2008"/>
      <c r="J292" s="2008">
        <f t="shared" si="40"/>
        <v>1.6746649732215357</v>
      </c>
      <c r="K292" s="2008">
        <f t="shared" si="40"/>
        <v>1.4015628492521626</v>
      </c>
      <c r="L292" s="2008">
        <f t="shared" si="40"/>
        <v>1.8745792692783885</v>
      </c>
      <c r="M292" s="140"/>
      <c r="N292" s="123" t="s">
        <v>754</v>
      </c>
      <c r="O292" s="2008"/>
      <c r="P292" s="2009">
        <f ca="1">J292/(LCOE_CP!$B$22/1000000)</f>
        <v>4.0591844451663132E-2</v>
      </c>
      <c r="Q292" s="2009">
        <f ca="1">K292/(LCOE_CP!$B$22/1000000)</f>
        <v>3.3972180750058312E-2</v>
      </c>
      <c r="R292" s="2009">
        <f ca="1">L292/(LCOE_CP!$B$22/1000000)</f>
        <v>4.543752411832086E-2</v>
      </c>
      <c r="S292" s="140"/>
    </row>
    <row r="293" spans="2:19" x14ac:dyDescent="0.2">
      <c r="B293" s="123" t="s">
        <v>754</v>
      </c>
      <c r="D293" s="101">
        <f t="shared" si="38"/>
        <v>-2.2915504824456034</v>
      </c>
      <c r="E293" s="101">
        <f t="shared" si="41"/>
        <v>0.63792846706155226</v>
      </c>
      <c r="F293" s="101">
        <f t="shared" si="39"/>
        <v>3.4875303181169617</v>
      </c>
      <c r="G293" s="140"/>
      <c r="H293" s="123" t="s">
        <v>3325</v>
      </c>
      <c r="I293" s="2008"/>
      <c r="J293" s="2008">
        <f t="shared" si="40"/>
        <v>0.84769479646719814</v>
      </c>
      <c r="K293" s="2008">
        <f t="shared" si="40"/>
        <v>0.70945386285070944</v>
      </c>
      <c r="L293" s="2008">
        <f t="shared" si="40"/>
        <v>0.94888895244264471</v>
      </c>
      <c r="M293" s="140"/>
      <c r="N293" s="123" t="s">
        <v>3325</v>
      </c>
      <c r="O293" s="2008"/>
      <c r="P293" s="2009">
        <f ca="1">J293/(LCOE_CP!$B$22/1000000)</f>
        <v>2.0547092027898308E-2</v>
      </c>
      <c r="Q293" s="2009">
        <f ca="1">K293/(LCOE_CP!$B$22/1000000)</f>
        <v>1.7196299741714341E-2</v>
      </c>
      <c r="R293" s="2009">
        <f ca="1">L293/(LCOE_CP!$B$22/1000000)</f>
        <v>2.299991543105984E-2</v>
      </c>
      <c r="S293" s="140"/>
    </row>
    <row r="294" spans="2:19" x14ac:dyDescent="0.2">
      <c r="B294" s="123" t="s">
        <v>534</v>
      </c>
      <c r="D294" s="101">
        <f t="shared" si="38"/>
        <v>-1.0248838755169987</v>
      </c>
      <c r="E294" s="101">
        <f t="shared" si="41"/>
        <v>0.28993804179426325</v>
      </c>
      <c r="F294" s="101">
        <f t="shared" si="39"/>
        <v>1.5850800886667291</v>
      </c>
      <c r="G294" s="140"/>
      <c r="H294" s="123" t="s">
        <v>2319</v>
      </c>
      <c r="I294" s="2008"/>
      <c r="J294" s="2008">
        <f t="shared" si="40"/>
        <v>0.51260251625892161</v>
      </c>
      <c r="K294" s="2008">
        <f t="shared" si="40"/>
        <v>0.42900798351303515</v>
      </c>
      <c r="L294" s="2008">
        <f t="shared" si="40"/>
        <v>0.5737947981980015</v>
      </c>
      <c r="M294" s="140"/>
      <c r="N294" s="123" t="s">
        <v>2319</v>
      </c>
      <c r="O294" s="2008"/>
      <c r="P294" s="2009">
        <f ca="1">J294/(LCOE_CP!$B$22/1000000)</f>
        <v>1.2424862249006218E-2</v>
      </c>
      <c r="Q294" s="2009">
        <f ca="1">K294/(LCOE_CP!$B$22/1000000)</f>
        <v>1.0398632331685555E-2</v>
      </c>
      <c r="R294" s="2009">
        <f ca="1">L294/(LCOE_CP!$B$22/1000000)</f>
        <v>1.3908088822578829E-2</v>
      </c>
      <c r="S294" s="140"/>
    </row>
    <row r="295" spans="2:19" x14ac:dyDescent="0.2">
      <c r="B295" s="123" t="s">
        <v>2319</v>
      </c>
      <c r="D295" s="101">
        <f t="shared" si="38"/>
        <v>-0.47803719203206579</v>
      </c>
      <c r="E295" s="101">
        <f t="shared" si="41"/>
        <v>0.14366300724592934</v>
      </c>
      <c r="F295" s="101">
        <f t="shared" si="39"/>
        <v>0.78540011808830612</v>
      </c>
      <c r="G295" s="140"/>
      <c r="H295" s="123" t="s">
        <v>3327</v>
      </c>
      <c r="I295" s="2008"/>
      <c r="J295" s="2008">
        <f t="shared" si="40"/>
        <v>0.18951770872571946</v>
      </c>
      <c r="K295" s="2008">
        <f t="shared" si="40"/>
        <v>0.15861141426657324</v>
      </c>
      <c r="L295" s="2008">
        <f t="shared" si="40"/>
        <v>0.21214151703128542</v>
      </c>
      <c r="M295" s="140"/>
      <c r="N295" s="123" t="s">
        <v>3327</v>
      </c>
      <c r="O295" s="2008"/>
      <c r="P295" s="2009">
        <f ca="1">J295/(LCOE_CP!$B$22/1000000)</f>
        <v>4.5936790202468405E-3</v>
      </c>
      <c r="Q295" s="2009">
        <f ca="1">K295/(LCOE_CP!$B$22/1000000)</f>
        <v>3.844547989668462E-3</v>
      </c>
      <c r="R295" s="2009">
        <f ca="1">L295/(LCOE_CP!$B$22/1000000)</f>
        <v>5.1420526486013959E-3</v>
      </c>
      <c r="S295" s="140"/>
    </row>
    <row r="296" spans="2:19" x14ac:dyDescent="0.2">
      <c r="B296" s="123" t="s">
        <v>910</v>
      </c>
      <c r="D296" s="101">
        <f t="shared" si="38"/>
        <v>-0.14534393755502797</v>
      </c>
      <c r="E296" s="101">
        <f t="shared" si="41"/>
        <v>4.4773979526671441E-2</v>
      </c>
      <c r="F296" s="101">
        <f t="shared" si="39"/>
        <v>0.24477761869019737</v>
      </c>
      <c r="G296" s="140"/>
      <c r="H296" s="123" t="s">
        <v>755</v>
      </c>
      <c r="I296" s="2008"/>
      <c r="J296" s="2008">
        <f t="shared" si="40"/>
        <v>0.3424767098137263</v>
      </c>
      <c r="K296" s="2008">
        <f t="shared" si="40"/>
        <v>0.28662606603973823</v>
      </c>
      <c r="L296" s="2008">
        <f t="shared" si="40"/>
        <v>0.38336010527077163</v>
      </c>
      <c r="M296" s="140"/>
      <c r="N296" s="123" t="s">
        <v>755</v>
      </c>
      <c r="O296" s="2008"/>
      <c r="P296" s="2009">
        <f ca="1">J296/(LCOE_CP!$B$22/1000000)</f>
        <v>8.3012193814106447E-3</v>
      </c>
      <c r="Q296" s="2009">
        <f ca="1">K296/(LCOE_CP!$B$22/1000000)</f>
        <v>6.9474676275671212E-3</v>
      </c>
      <c r="R296" s="2009">
        <f ca="1">L296/(LCOE_CP!$B$22/1000000)</f>
        <v>9.2921832193034216E-3</v>
      </c>
      <c r="S296" s="140"/>
    </row>
    <row r="297" spans="2:19" x14ac:dyDescent="0.2">
      <c r="B297" s="123" t="s">
        <v>755</v>
      </c>
      <c r="D297" s="101">
        <f t="shared" si="38"/>
        <v>-0.33259857068180049</v>
      </c>
      <c r="E297" s="101">
        <f t="shared" si="41"/>
        <v>9.9368208739768857E-2</v>
      </c>
      <c r="F297" s="101">
        <f t="shared" si="39"/>
        <v>0.54324216355041721</v>
      </c>
      <c r="G297" s="140"/>
      <c r="H297" s="123" t="s">
        <v>2320</v>
      </c>
      <c r="I297" s="2008"/>
      <c r="J297" s="2008">
        <f t="shared" si="40"/>
        <v>18.978819394389951</v>
      </c>
      <c r="K297" s="2008">
        <f t="shared" si="40"/>
        <v>15.883778911714638</v>
      </c>
      <c r="L297" s="2008">
        <f t="shared" si="40"/>
        <v>21.244429161053237</v>
      </c>
      <c r="M297" s="140"/>
      <c r="N297" s="123" t="s">
        <v>2320</v>
      </c>
      <c r="O297" s="2008"/>
      <c r="P297" s="2009">
        <f ca="1">J297/(LCOE_CP!$B$22/1000000)</f>
        <v>0.46002352533313112</v>
      </c>
      <c r="Q297" s="2009">
        <f ca="1">K297/(LCOE_CP!$B$22/1000000)</f>
        <v>0.38500350410304768</v>
      </c>
      <c r="R297" s="2009">
        <f ca="1">L297/(LCOE_CP!$B$22/1000000)</f>
        <v>0.5149391536570771</v>
      </c>
      <c r="S297" s="140"/>
    </row>
    <row r="298" spans="2:19" x14ac:dyDescent="0.2">
      <c r="B298" s="123" t="s">
        <v>2320</v>
      </c>
      <c r="D298" s="101">
        <f t="shared" si="38"/>
        <v>-16.83696357354707</v>
      </c>
      <c r="E298" s="101">
        <f t="shared" si="41"/>
        <v>5.1609471384839969</v>
      </c>
      <c r="F298" s="101">
        <f t="shared" si="39"/>
        <v>28.214698896522577</v>
      </c>
      <c r="G298" s="140"/>
      <c r="H298" s="123" t="s">
        <v>2395</v>
      </c>
      <c r="I298" s="2008"/>
      <c r="J298" s="2008">
        <f t="shared" si="40"/>
        <v>9.5284260471437356</v>
      </c>
      <c r="K298" s="2008">
        <f t="shared" si="40"/>
        <v>7.9745430716407837</v>
      </c>
      <c r="L298" s="2008">
        <f t="shared" si="40"/>
        <v>10.665888534389854</v>
      </c>
      <c r="M298" s="140"/>
      <c r="N298" s="123" t="s">
        <v>2395</v>
      </c>
      <c r="O298" s="2008"/>
      <c r="P298" s="2009">
        <f ca="1">J298/(LCOE_CP!$B$22/1000000)</f>
        <v>0.23095747158955393</v>
      </c>
      <c r="Q298" s="2009">
        <f ca="1">K298/(LCOE_CP!$B$22/1000000)</f>
        <v>0.19329323602823648</v>
      </c>
      <c r="R298" s="2009">
        <f ca="1">L298/(LCOE_CP!$B$22/1000000)</f>
        <v>0.2585281804120334</v>
      </c>
      <c r="S298" s="140"/>
    </row>
    <row r="299" spans="2:19" x14ac:dyDescent="0.2">
      <c r="B299" s="123" t="s">
        <v>2395</v>
      </c>
      <c r="D299" s="101">
        <f t="shared" si="38"/>
        <v>-3.7314855264978117</v>
      </c>
      <c r="E299" s="101">
        <f t="shared" si="41"/>
        <v>1.3621646438641979</v>
      </c>
      <c r="F299" s="101">
        <f t="shared" si="39"/>
        <v>7.4469015556332128</v>
      </c>
      <c r="G299" s="140"/>
      <c r="H299" s="123" t="s">
        <v>2397</v>
      </c>
      <c r="I299" s="2008"/>
      <c r="J299" s="2008">
        <f t="shared" si="40"/>
        <v>16.407233905195383</v>
      </c>
      <c r="K299" s="2008">
        <f t="shared" si="40"/>
        <v>13.731564144603565</v>
      </c>
      <c r="L299" s="2008">
        <f t="shared" si="40"/>
        <v>18.365858865319485</v>
      </c>
      <c r="M299" s="140"/>
      <c r="N299" s="123" t="s">
        <v>2397</v>
      </c>
      <c r="O299" s="2008"/>
      <c r="P299" s="2009">
        <f ca="1">J299/(LCOE_CP!$B$22/1000000)</f>
        <v>0.39769141721556844</v>
      </c>
      <c r="Q299" s="2009">
        <f ca="1">K299/(LCOE_CP!$B$22/1000000)</f>
        <v>0.33283643280813247</v>
      </c>
      <c r="R299" s="2009">
        <f ca="1">L299/(LCOE_CP!$B$22/1000000)</f>
        <v>0.4451661067754516</v>
      </c>
      <c r="S299" s="140"/>
    </row>
    <row r="300" spans="2:19" x14ac:dyDescent="0.2">
      <c r="B300" s="123" t="s">
        <v>2397</v>
      </c>
      <c r="D300" s="101">
        <f t="shared" si="38"/>
        <v>-15.64818497914481</v>
      </c>
      <c r="E300" s="101">
        <f t="shared" si="41"/>
        <v>4.7073322392562247</v>
      </c>
      <c r="F300" s="101">
        <f t="shared" si="39"/>
        <v>25.734803742927266</v>
      </c>
      <c r="G300" s="140"/>
      <c r="H300" s="123" t="s">
        <v>2981</v>
      </c>
      <c r="I300" s="2008"/>
      <c r="J300" s="2008">
        <f t="shared" si="40"/>
        <v>3.8283545778789225</v>
      </c>
      <c r="K300" s="2008">
        <f t="shared" si="40"/>
        <v>3.2040316337408314</v>
      </c>
      <c r="L300" s="2008">
        <f t="shared" si="40"/>
        <v>4.2853670685745469</v>
      </c>
      <c r="M300" s="140"/>
      <c r="N300" s="123" t="s">
        <v>2981</v>
      </c>
      <c r="O300" s="2008"/>
      <c r="P300" s="2009">
        <f ca="1">J300/(LCOE_CP!$B$22/1000000)</f>
        <v>9.2794664016965955E-2</v>
      </c>
      <c r="Q300" s="2009">
        <f ca="1">K300/(LCOE_CP!$B$22/1000000)</f>
        <v>7.7661834321897577E-2</v>
      </c>
      <c r="R300" s="2009">
        <f ca="1">L300/(LCOE_CP!$B$22/1000000)</f>
        <v>0.10387209158093871</v>
      </c>
      <c r="S300" s="140"/>
    </row>
    <row r="301" spans="2:19" x14ac:dyDescent="0.2">
      <c r="B301" s="123" t="s">
        <v>2981</v>
      </c>
      <c r="D301" s="101">
        <f t="shared" si="38"/>
        <v>-3.6512431618004566</v>
      </c>
      <c r="E301" s="101">
        <f t="shared" si="41"/>
        <v>1.0983775224931192</v>
      </c>
      <c r="F301" s="101">
        <f t="shared" si="39"/>
        <v>6.0047875400163635</v>
      </c>
      <c r="G301" s="140"/>
      <c r="H301" s="123" t="s">
        <v>695</v>
      </c>
      <c r="I301" s="2008"/>
      <c r="J301" s="2008">
        <f t="shared" si="40"/>
        <v>8.0444372640437649</v>
      </c>
      <c r="K301" s="2008">
        <f t="shared" si="40"/>
        <v>6.7342597030349491</v>
      </c>
      <c r="L301" s="2008">
        <f t="shared" si="40"/>
        <v>9.008834829108137</v>
      </c>
      <c r="M301" s="140"/>
      <c r="N301" s="123" t="s">
        <v>695</v>
      </c>
      <c r="O301" s="2008"/>
      <c r="P301" s="2009">
        <f ca="1">J301/(LCOE_CP!$B$22/1000000)</f>
        <v>0.19498738633976934</v>
      </c>
      <c r="Q301" s="2009">
        <f ca="1">K301/(LCOE_CP!$B$22/1000000)</f>
        <v>0.16323027395553971</v>
      </c>
      <c r="R301" s="2009">
        <f ca="1">L301/(LCOE_CP!$B$22/1000000)</f>
        <v>0.21836321169984099</v>
      </c>
      <c r="S301" s="140"/>
    </row>
    <row r="302" spans="2:19" x14ac:dyDescent="0.2">
      <c r="B302" s="123" t="s">
        <v>695</v>
      </c>
      <c r="D302" s="101">
        <f t="shared" si="38"/>
        <v>-7.6714480874199316</v>
      </c>
      <c r="E302" s="101">
        <f t="shared" si="41"/>
        <v>2.3089620449662585</v>
      </c>
      <c r="F302" s="101">
        <f t="shared" si="39"/>
        <v>12.622251914918889</v>
      </c>
      <c r="G302" s="140"/>
      <c r="H302" s="123" t="s">
        <v>2996</v>
      </c>
      <c r="I302" s="2008"/>
      <c r="J302" s="2008">
        <f t="shared" si="40"/>
        <v>-5.2452291334841666E-2</v>
      </c>
      <c r="K302" s="2008">
        <f t="shared" si="40"/>
        <v>-0.11128777541542115</v>
      </c>
      <c r="L302" s="2008">
        <f t="shared" si="40"/>
        <v>-5.1706584530017245E-2</v>
      </c>
      <c r="M302" s="140"/>
      <c r="N302" s="123" t="s">
        <v>2996</v>
      </c>
      <c r="O302" s="2008"/>
      <c r="P302" s="2009">
        <f ca="1">J302/(LCOE_CP!$B$22/1000000)</f>
        <v>-1.2713798192729949E-3</v>
      </c>
      <c r="Q302" s="2009">
        <f ca="1">K302/(LCOE_CP!$B$22/1000000)</f>
        <v>-2.6974804759571499E-3</v>
      </c>
      <c r="R302" s="2009">
        <f ca="1">L302/(LCOE_CP!$B$22/1000000)</f>
        <v>-1.2533047922604276E-3</v>
      </c>
      <c r="S302" s="140"/>
    </row>
    <row r="303" spans="2:19" x14ac:dyDescent="0.2">
      <c r="B303" s="123" t="s">
        <v>2996</v>
      </c>
      <c r="D303" s="101">
        <f t="shared" ref="D303:F308" si="42">D268/0.359</f>
        <v>0.14234023436182525</v>
      </c>
      <c r="E303" s="101">
        <f t="shared" si="41"/>
        <v>-4.2153260771803612E-2</v>
      </c>
      <c r="F303" s="101">
        <f t="shared" si="42"/>
        <v>-8.3813209532707447E-2</v>
      </c>
      <c r="G303" s="140"/>
      <c r="H303" s="123" t="s">
        <v>2997</v>
      </c>
      <c r="I303" s="2008"/>
      <c r="J303" s="2008">
        <f t="shared" si="40"/>
        <v>-0.20980916533936667</v>
      </c>
      <c r="K303" s="2008">
        <f t="shared" si="40"/>
        <v>-0.18547962569236853</v>
      </c>
      <c r="L303" s="2008">
        <f t="shared" si="40"/>
        <v>-0.20410493893427858</v>
      </c>
      <c r="M303" s="140"/>
      <c r="N303" s="123" t="s">
        <v>2997</v>
      </c>
      <c r="O303" s="2008"/>
      <c r="P303" s="2009">
        <f ca="1">J303/(LCOE_CP!$B$22/1000000)</f>
        <v>-5.0855192770919797E-3</v>
      </c>
      <c r="Q303" s="2009">
        <f ca="1">K303/(LCOE_CP!$B$22/1000000)</f>
        <v>-4.4958007932619157E-3</v>
      </c>
      <c r="R303" s="2009">
        <f ca="1">L303/(LCOE_CP!$B$22/1000000)</f>
        <v>-4.94725575892274E-3</v>
      </c>
      <c r="S303" s="140"/>
    </row>
    <row r="304" spans="2:19" x14ac:dyDescent="0.2">
      <c r="B304" s="123" t="s">
        <v>2997</v>
      </c>
      <c r="D304" s="101">
        <f t="shared" si="42"/>
        <v>0.23723372393637537</v>
      </c>
      <c r="E304" s="101">
        <f t="shared" si="41"/>
        <v>-7.0255434619672694E-2</v>
      </c>
      <c r="F304" s="101">
        <f t="shared" si="42"/>
        <v>-0.33084161657647676</v>
      </c>
      <c r="G304" s="140"/>
      <c r="H304" s="123" t="s">
        <v>664</v>
      </c>
      <c r="I304" s="2008"/>
      <c r="J304" s="2008">
        <f t="shared" si="40"/>
        <v>-7.5764420816993527E-2</v>
      </c>
      <c r="K304" s="2008">
        <f t="shared" si="40"/>
        <v>-7.882884091925664E-2</v>
      </c>
      <c r="L304" s="2008">
        <f t="shared" si="40"/>
        <v>-6.1231481680283584E-2</v>
      </c>
      <c r="M304" s="140"/>
      <c r="N304" s="123" t="s">
        <v>664</v>
      </c>
      <c r="O304" s="2008"/>
      <c r="P304" s="2009">
        <f ca="1">J304/(LCOE_CP!$B$22/1000000)</f>
        <v>-1.8364375167276596E-3</v>
      </c>
      <c r="Q304" s="2009">
        <f ca="1">K304/(LCOE_CP!$B$22/1000000)</f>
        <v>-1.9107153371363144E-3</v>
      </c>
      <c r="R304" s="2009">
        <f ca="1">L304/(LCOE_CP!$B$22/1000000)</f>
        <v>-1.4841767276768223E-3</v>
      </c>
      <c r="S304" s="140"/>
    </row>
    <row r="305" spans="2:19" x14ac:dyDescent="0.2">
      <c r="B305" s="123" t="s">
        <v>664</v>
      </c>
      <c r="D305" s="101">
        <f t="shared" si="42"/>
        <v>0.10082433267295955</v>
      </c>
      <c r="E305" s="101">
        <f t="shared" si="41"/>
        <v>-2.9858559713360894E-2</v>
      </c>
      <c r="F305" s="101">
        <f t="shared" si="42"/>
        <v>-9.9252484972943034E-2</v>
      </c>
      <c r="G305" s="140"/>
      <c r="H305" s="123" t="s">
        <v>2136</v>
      </c>
      <c r="I305" s="2008"/>
      <c r="J305" s="2008">
        <f t="shared" si="40"/>
        <v>-20.980916533936664</v>
      </c>
      <c r="K305" s="2008">
        <f t="shared" si="40"/>
        <v>-18.547962569236859</v>
      </c>
      <c r="L305" s="2008">
        <f t="shared" si="40"/>
        <v>-21.77119348632305</v>
      </c>
      <c r="M305" s="140"/>
      <c r="N305" s="123" t="s">
        <v>2136</v>
      </c>
      <c r="O305" s="2008"/>
      <c r="P305" s="2009">
        <f ca="1">J305/(LCOE_CP!$B$22/1000000)</f>
        <v>-0.50855192770919788</v>
      </c>
      <c r="Q305" s="2009">
        <f ca="1">K305/(LCOE_CP!$B$22/1000000)</f>
        <v>-0.44958007932619165</v>
      </c>
      <c r="R305" s="2009">
        <f ca="1">L305/(LCOE_CP!$B$22/1000000)</f>
        <v>-0.52770728095175901</v>
      </c>
      <c r="S305" s="140"/>
    </row>
    <row r="306" spans="2:19" x14ac:dyDescent="0.2">
      <c r="B306" s="123" t="s">
        <v>2136</v>
      </c>
      <c r="D306" s="101">
        <f t="shared" si="42"/>
        <v>23.72337239363754</v>
      </c>
      <c r="E306" s="101">
        <f t="shared" si="41"/>
        <v>-7.0255434619672696</v>
      </c>
      <c r="F306" s="101">
        <f t="shared" si="42"/>
        <v>-35.289772434824187</v>
      </c>
      <c r="G306" s="140"/>
      <c r="H306" s="123" t="s">
        <v>3043</v>
      </c>
      <c r="I306" s="2008"/>
      <c r="J306" s="2008">
        <f t="shared" si="40"/>
        <v>-16.901293874560093</v>
      </c>
      <c r="K306" s="2008">
        <f t="shared" si="40"/>
        <v>-16.229467248082251</v>
      </c>
      <c r="L306" s="2008">
        <f t="shared" si="40"/>
        <v>-15.648045318294692</v>
      </c>
      <c r="M306" s="140"/>
      <c r="N306" s="123" t="s">
        <v>3043</v>
      </c>
      <c r="O306" s="2008"/>
      <c r="P306" s="2009">
        <f ca="1">J306/(LCOE_CP!$B$22/1000000)</f>
        <v>-0.40966683065463172</v>
      </c>
      <c r="Q306" s="2009">
        <f ca="1">K306/(LCOE_CP!$B$22/1000000)</f>
        <v>-0.39338256941041772</v>
      </c>
      <c r="R306" s="2009">
        <f ca="1">L306/(LCOE_CP!$B$22/1000000)</f>
        <v>-0.37928960818407675</v>
      </c>
      <c r="S306" s="140"/>
    </row>
    <row r="307" spans="2:19" x14ac:dyDescent="0.2">
      <c r="B307" s="123" t="s">
        <v>3043</v>
      </c>
      <c r="D307" s="101">
        <f t="shared" si="42"/>
        <v>20.757950844432848</v>
      </c>
      <c r="E307" s="101">
        <f t="shared" si="41"/>
        <v>-6.1473505292213595</v>
      </c>
      <c r="F307" s="101">
        <f t="shared" si="42"/>
        <v>-25.364523937529885</v>
      </c>
      <c r="G307" s="140"/>
      <c r="H307" s="123" t="s">
        <v>667</v>
      </c>
      <c r="I307" s="2008"/>
      <c r="J307" s="2008">
        <f t="shared" si="40"/>
        <v>-3.4968194223227774E-3</v>
      </c>
      <c r="K307" s="2008">
        <f t="shared" si="40"/>
        <v>-4.6369906423092151E-3</v>
      </c>
      <c r="L307" s="2008">
        <f t="shared" si="40"/>
        <v>-1.3606995928951903E-3</v>
      </c>
      <c r="M307" s="140"/>
      <c r="N307" s="123" t="s">
        <v>667</v>
      </c>
      <c r="O307" s="2008"/>
      <c r="P307" s="2009">
        <f ca="1">J307/(LCOE_CP!$B$22/1000000)</f>
        <v>-8.4758654618199657E-5</v>
      </c>
      <c r="Q307" s="2009">
        <f ca="1">K307/(LCOE_CP!$B$22/1000000)</f>
        <v>-1.1239501983154793E-4</v>
      </c>
      <c r="R307" s="2009">
        <f ca="1">L307/(LCOE_CP!$B$22/1000000)</f>
        <v>-3.2981705059484932E-5</v>
      </c>
      <c r="S307" s="140"/>
    </row>
    <row r="308" spans="2:19" x14ac:dyDescent="0.2">
      <c r="B308" s="123" t="s">
        <v>667</v>
      </c>
      <c r="D308" s="101">
        <f t="shared" si="42"/>
        <v>5.9308430984093856E-3</v>
      </c>
      <c r="E308" s="101">
        <f t="shared" si="41"/>
        <v>-1.7563858654918176E-3</v>
      </c>
      <c r="F308" s="101">
        <f t="shared" si="42"/>
        <v>-2.2056107771765113E-3</v>
      </c>
      <c r="G308" s="140"/>
      <c r="H308" s="123" t="s">
        <v>672</v>
      </c>
      <c r="I308" s="2008"/>
      <c r="J308" s="2008">
        <f t="shared" si="40"/>
        <v>44.79</v>
      </c>
      <c r="K308" s="2008">
        <f t="shared" si="40"/>
        <v>34.320000000000014</v>
      </c>
      <c r="L308" s="2008">
        <f t="shared" si="40"/>
        <v>55.190000000000012</v>
      </c>
      <c r="M308" s="140"/>
      <c r="N308" s="123" t="s">
        <v>672</v>
      </c>
      <c r="O308" s="2008"/>
      <c r="P308" s="2009">
        <f ca="1">J308/(LCOE_CP!$B$22/1000000)</f>
        <v>1.0856551859996897</v>
      </c>
      <c r="Q308" s="2009">
        <f ca="1">K308/(LCOE_CP!$B$22/1000000)</f>
        <v>0.83187510568228107</v>
      </c>
      <c r="R308" s="2009">
        <f ca="1">L308/(LCOE_CP!$B$22/1000000)</f>
        <v>1.3377385513579569</v>
      </c>
      <c r="S308" s="140"/>
    </row>
    <row r="309" spans="2:19" ht="16" thickBot="1" x14ac:dyDescent="0.25">
      <c r="B309" s="152" t="s">
        <v>672</v>
      </c>
      <c r="D309" s="101">
        <f t="shared" ref="D309:E309" si="43">D274/0.359</f>
        <v>-23.286908077994447</v>
      </c>
      <c r="E309" s="101">
        <f t="shared" si="43"/>
        <v>-7.6601671309192154</v>
      </c>
      <c r="F309" s="101">
        <f t="shared" ref="F309:G310" si="44">F274/0.359</f>
        <v>53.509749303621156</v>
      </c>
      <c r="G309" s="140"/>
      <c r="H309" s="123" t="s">
        <v>2985</v>
      </c>
      <c r="I309" s="2008">
        <f t="shared" si="40"/>
        <v>1.5</v>
      </c>
      <c r="J309" s="2008">
        <f t="shared" si="40"/>
        <v>1.5</v>
      </c>
      <c r="K309" s="2008">
        <f t="shared" si="40"/>
        <v>1.5</v>
      </c>
      <c r="L309" s="2008">
        <f t="shared" si="40"/>
        <v>1.5</v>
      </c>
      <c r="M309" s="140">
        <f t="shared" si="40"/>
        <v>1.5</v>
      </c>
      <c r="N309" s="123" t="s">
        <v>2985</v>
      </c>
      <c r="O309" s="2009">
        <f ca="1">I309/(LCOE_CP!$B$22/1000000)</f>
        <v>3.6358177695903875E-2</v>
      </c>
      <c r="P309" s="2009">
        <f ca="1">J309/(LCOE_CP!$B$22/1000000)</f>
        <v>3.6358177695903875E-2</v>
      </c>
      <c r="Q309" s="2009">
        <f ca="1">K309/(LCOE_CP!$B$22/1000000)</f>
        <v>3.6358177695903875E-2</v>
      </c>
      <c r="R309" s="2009">
        <f ca="1">L309/(LCOE_CP!$B$22/1000000)</f>
        <v>3.6358177695903875E-2</v>
      </c>
      <c r="S309" s="2011">
        <f ca="1">M309/(LCOE_CP!$B$22/1000000)</f>
        <v>3.6358177695903875E-2</v>
      </c>
    </row>
    <row r="310" spans="2:19" ht="16" thickBot="1" x14ac:dyDescent="0.25">
      <c r="B310" s="123" t="s">
        <v>2985</v>
      </c>
      <c r="C310" s="101">
        <f t="shared" ref="C310:E311" si="45">C275/0.359</f>
        <v>4.1782729805013927</v>
      </c>
      <c r="D310" s="101">
        <f t="shared" si="45"/>
        <v>4.1782729805013927</v>
      </c>
      <c r="E310" s="101">
        <f t="shared" si="45"/>
        <v>4.1782729805013927</v>
      </c>
      <c r="F310" s="101">
        <f t="shared" si="44"/>
        <v>4.1782729805013927</v>
      </c>
      <c r="G310" s="150">
        <f t="shared" si="44"/>
        <v>4.1782729805013927</v>
      </c>
      <c r="H310" s="152" t="s">
        <v>3034</v>
      </c>
      <c r="I310" s="69">
        <f t="shared" si="40"/>
        <v>0.8</v>
      </c>
      <c r="J310" s="69">
        <f t="shared" si="40"/>
        <v>0.8</v>
      </c>
      <c r="K310" s="69">
        <f t="shared" si="40"/>
        <v>0.8</v>
      </c>
      <c r="L310" s="69">
        <f t="shared" si="40"/>
        <v>0.8</v>
      </c>
      <c r="M310" s="193">
        <f t="shared" si="40"/>
        <v>0.8</v>
      </c>
      <c r="N310" s="152" t="s">
        <v>3034</v>
      </c>
      <c r="O310" s="2012">
        <f ca="1">I310/(LCOE_CP!$B$22/1000000)</f>
        <v>1.939102810448207E-2</v>
      </c>
      <c r="P310" s="2012">
        <f ca="1">J310/(LCOE_CP!$B$22/1000000)</f>
        <v>1.939102810448207E-2</v>
      </c>
      <c r="Q310" s="2012">
        <f ca="1">K310/(LCOE_CP!$B$22/1000000)</f>
        <v>1.939102810448207E-2</v>
      </c>
      <c r="R310" s="2012">
        <f ca="1">L310/(LCOE_CP!$B$22/1000000)</f>
        <v>1.939102810448207E-2</v>
      </c>
      <c r="S310" s="2013">
        <f ca="1">M310/(LCOE_CP!$B$22/1000000)</f>
        <v>1.939102810448207E-2</v>
      </c>
    </row>
    <row r="311" spans="2:19" ht="16" thickBot="1" x14ac:dyDescent="0.25">
      <c r="B311" s="152" t="s">
        <v>2986</v>
      </c>
      <c r="C311" s="1147">
        <f t="shared" si="45"/>
        <v>2.2284122562674096</v>
      </c>
      <c r="D311" s="1147">
        <f t="shared" si="45"/>
        <v>2.2284122562674096</v>
      </c>
      <c r="E311" s="1147">
        <f t="shared" si="45"/>
        <v>2.2284122562674096</v>
      </c>
      <c r="F311" s="1147">
        <f>F276/0.359</f>
        <v>2.2284122562674096</v>
      </c>
      <c r="G311" s="1148">
        <f>G276/0.359</f>
        <v>2.2284122562674096</v>
      </c>
    </row>
    <row r="314" spans="2:19" ht="16" thickBot="1" x14ac:dyDescent="0.25"/>
    <row r="315" spans="2:19" ht="16" thickBot="1" x14ac:dyDescent="0.25">
      <c r="B315" s="1487" t="s">
        <v>3328</v>
      </c>
      <c r="C315" s="1488"/>
      <c r="D315" s="1488"/>
      <c r="E315" s="1488"/>
      <c r="F315" s="1489"/>
    </row>
    <row r="316" spans="2:19" x14ac:dyDescent="0.2">
      <c r="B316" s="59"/>
      <c r="C316" s="60"/>
      <c r="D316" s="1146" t="s">
        <v>3028</v>
      </c>
      <c r="E316" s="1146" t="s">
        <v>3029</v>
      </c>
      <c r="F316" s="1146" t="s">
        <v>3030</v>
      </c>
      <c r="G316" s="106"/>
    </row>
    <row r="317" spans="2:19" x14ac:dyDescent="0.2">
      <c r="B317" s="123" t="s">
        <v>753</v>
      </c>
      <c r="C317" s="6"/>
      <c r="D317" s="101">
        <v>29.786428447514943</v>
      </c>
      <c r="E317" s="141">
        <v>24.928897535627907</v>
      </c>
      <c r="F317" s="141">
        <v>33.342204062548987</v>
      </c>
      <c r="G317" s="140"/>
    </row>
    <row r="318" spans="2:19" x14ac:dyDescent="0.2">
      <c r="B318" s="123" t="s">
        <v>2317</v>
      </c>
      <c r="D318" s="101">
        <v>1.4408405099185067</v>
      </c>
      <c r="E318" s="141">
        <v>1.2058701666844844</v>
      </c>
      <c r="F318" s="141">
        <v>1.6128418480228361</v>
      </c>
      <c r="G318" s="140"/>
    </row>
    <row r="319" spans="2:19" x14ac:dyDescent="0.2">
      <c r="B319" s="123" t="s">
        <v>2318</v>
      </c>
      <c r="D319" s="101">
        <v>2.7919289781938645</v>
      </c>
      <c r="E319" s="141">
        <v>2.3366249346336723</v>
      </c>
      <c r="F319" s="141">
        <v>3.1252174420008401</v>
      </c>
      <c r="G319" s="140"/>
    </row>
    <row r="320" spans="2:19" x14ac:dyDescent="0.2">
      <c r="B320" s="123" t="s">
        <v>1415</v>
      </c>
      <c r="D320" s="101">
        <v>1.9582711653373375</v>
      </c>
      <c r="E320" s="141">
        <v>1.6389189228808649</v>
      </c>
      <c r="F320" s="141">
        <v>2.1920411478513619</v>
      </c>
      <c r="G320" s="140"/>
    </row>
    <row r="321" spans="2:7" x14ac:dyDescent="0.2">
      <c r="B321" s="123" t="s">
        <v>2978</v>
      </c>
      <c r="D321" s="101">
        <v>1.9012595801395766</v>
      </c>
      <c r="E321" s="141">
        <v>1.5912047107441871</v>
      </c>
      <c r="F321" s="141">
        <v>2.1282237650139866</v>
      </c>
      <c r="G321" s="140"/>
    </row>
    <row r="322" spans="2:7" x14ac:dyDescent="0.2">
      <c r="B322" s="123" t="s">
        <v>2792</v>
      </c>
      <c r="D322" s="101">
        <v>2.0992961511119259</v>
      </c>
      <c r="E322" s="141">
        <v>1.7569457425961839</v>
      </c>
      <c r="F322" s="141">
        <v>2.34990108939822</v>
      </c>
      <c r="G322" s="140"/>
    </row>
    <row r="323" spans="2:7" x14ac:dyDescent="0.2">
      <c r="B323" s="123" t="s">
        <v>2979</v>
      </c>
      <c r="D323" s="101">
        <v>3.929133696404945</v>
      </c>
      <c r="E323" s="141">
        <v>3.2883758284096527</v>
      </c>
      <c r="F323" s="141">
        <v>4.3981767644754601</v>
      </c>
      <c r="G323" s="140"/>
    </row>
    <row r="324" spans="2:7" x14ac:dyDescent="0.2">
      <c r="B324" s="123" t="s">
        <v>1561</v>
      </c>
      <c r="D324" s="101">
        <v>7.510849084526539</v>
      </c>
      <c r="E324" s="141">
        <v>6.2859898615789831</v>
      </c>
      <c r="F324" s="141">
        <v>8.4074619184558905</v>
      </c>
      <c r="G324" s="140"/>
    </row>
    <row r="325" spans="2:7" x14ac:dyDescent="0.2">
      <c r="B325" s="123" t="s">
        <v>537</v>
      </c>
      <c r="D325" s="101">
        <v>8.456256122827579</v>
      </c>
      <c r="E325" s="141">
        <v>7.0772211845553477</v>
      </c>
      <c r="F325" s="141">
        <v>9.4657275795688527</v>
      </c>
      <c r="G325" s="140"/>
    </row>
    <row r="326" spans="2:7" x14ac:dyDescent="0.2">
      <c r="B326" s="123" t="s">
        <v>3324</v>
      </c>
      <c r="D326" s="101">
        <v>1.9828105833312331</v>
      </c>
      <c r="E326" s="141">
        <v>1.6594564854097755</v>
      </c>
      <c r="F326" s="141">
        <v>2.2195099759376276</v>
      </c>
      <c r="G326" s="140"/>
    </row>
    <row r="327" spans="2:7" x14ac:dyDescent="0.2">
      <c r="B327" s="123" t="s">
        <v>3326</v>
      </c>
      <c r="D327" s="101">
        <v>0.3735326107461106</v>
      </c>
      <c r="E327" s="141">
        <v>0.3126174121853218</v>
      </c>
      <c r="F327" s="141">
        <v>0.41812332597910234</v>
      </c>
      <c r="G327" s="140"/>
    </row>
    <row r="328" spans="2:7" x14ac:dyDescent="0.2">
      <c r="B328" s="123" t="s">
        <v>1416</v>
      </c>
      <c r="D328" s="101">
        <v>0.3506968162668872</v>
      </c>
      <c r="E328" s="141">
        <v>0.29350564852690608</v>
      </c>
      <c r="F328" s="141">
        <v>0.39256149264959428</v>
      </c>
      <c r="G328" s="140"/>
    </row>
    <row r="329" spans="2:7" x14ac:dyDescent="0.2">
      <c r="B329" s="123" t="s">
        <v>1417</v>
      </c>
      <c r="D329" s="101">
        <v>0.33366057051689368</v>
      </c>
      <c r="E329" s="141">
        <v>0.27924765094785092</v>
      </c>
      <c r="F329" s="141">
        <v>0.37349153321297002</v>
      </c>
      <c r="G329" s="140"/>
    </row>
    <row r="330" spans="2:7" x14ac:dyDescent="0.2">
      <c r="B330" s="123" t="s">
        <v>1011</v>
      </c>
      <c r="D330" s="101">
        <v>0.20343460313973838</v>
      </c>
      <c r="E330" s="141">
        <v>0.17025876015339356</v>
      </c>
      <c r="F330" s="141">
        <v>0.22771975039641659</v>
      </c>
      <c r="G330" s="140"/>
    </row>
    <row r="331" spans="2:7" x14ac:dyDescent="0.2">
      <c r="B331" s="123" t="s">
        <v>754</v>
      </c>
      <c r="D331" s="101">
        <v>4.6648049393357542</v>
      </c>
      <c r="E331" s="141">
        <v>3.9040747890032383</v>
      </c>
      <c r="F331" s="141">
        <v>5.2216692737559569</v>
      </c>
      <c r="G331" s="140"/>
    </row>
    <row r="332" spans="2:7" x14ac:dyDescent="0.2">
      <c r="B332" s="123" t="s">
        <v>3325</v>
      </c>
      <c r="D332" s="101">
        <v>2.3612668425270145</v>
      </c>
      <c r="E332" s="141">
        <v>1.9761946040409735</v>
      </c>
      <c r="F332" s="141">
        <v>2.6431447143249156</v>
      </c>
      <c r="G332" s="140"/>
    </row>
    <row r="333" spans="2:7" x14ac:dyDescent="0.2">
      <c r="B333" s="123" t="s">
        <v>2319</v>
      </c>
      <c r="D333" s="101">
        <v>1.4278621622811187</v>
      </c>
      <c r="E333" s="141">
        <v>1.1950083106212679</v>
      </c>
      <c r="F333" s="141">
        <v>1.5983142011086393</v>
      </c>
      <c r="G333" s="140"/>
    </row>
    <row r="334" spans="2:7" x14ac:dyDescent="0.2">
      <c r="B334" s="123" t="s">
        <v>3327</v>
      </c>
      <c r="D334" s="101">
        <v>0.52790448113013777</v>
      </c>
      <c r="E334" s="141">
        <v>0.44181452441942409</v>
      </c>
      <c r="F334" s="141">
        <v>0.59092344576959732</v>
      </c>
      <c r="G334" s="140"/>
    </row>
    <row r="335" spans="2:7" x14ac:dyDescent="0.2">
      <c r="B335" s="123" t="s">
        <v>755</v>
      </c>
      <c r="D335" s="101">
        <v>0.95397412204380594</v>
      </c>
      <c r="E335" s="141">
        <v>0.79840129816083072</v>
      </c>
      <c r="F335" s="141">
        <v>1.0678554464366898</v>
      </c>
      <c r="G335" s="140"/>
    </row>
    <row r="336" spans="2:7" x14ac:dyDescent="0.2">
      <c r="B336" s="123" t="s">
        <v>2320</v>
      </c>
      <c r="D336" s="101">
        <v>52.865792184930228</v>
      </c>
      <c r="E336" s="141">
        <v>44.244509503383391</v>
      </c>
      <c r="F336" s="141">
        <v>59.176682899869739</v>
      </c>
      <c r="G336" s="140"/>
    </row>
    <row r="337" spans="2:7" x14ac:dyDescent="0.2">
      <c r="B337" s="123" t="s">
        <v>2395</v>
      </c>
      <c r="D337" s="101">
        <v>26.541576732990908</v>
      </c>
      <c r="E337" s="141">
        <v>22.213211898720846</v>
      </c>
      <c r="F337" s="141">
        <v>29.709995917520487</v>
      </c>
      <c r="G337" s="140"/>
    </row>
    <row r="338" spans="2:7" x14ac:dyDescent="0.2">
      <c r="B338" s="123" t="s">
        <v>2397</v>
      </c>
      <c r="D338" s="101">
        <v>45.70260140722948</v>
      </c>
      <c r="E338" s="141">
        <v>38.249482296945864</v>
      </c>
      <c r="F338" s="141">
        <v>51.15838124044425</v>
      </c>
      <c r="G338" s="140"/>
    </row>
    <row r="339" spans="2:7" x14ac:dyDescent="0.2">
      <c r="B339" s="123" t="s">
        <v>2981</v>
      </c>
      <c r="D339" s="101">
        <v>10.663940328353545</v>
      </c>
      <c r="E339" s="141">
        <v>8.9248792026207013</v>
      </c>
      <c r="F339" s="141">
        <v>11.936955622770325</v>
      </c>
      <c r="G339" s="140"/>
    </row>
    <row r="340" spans="2:7" x14ac:dyDescent="0.2">
      <c r="B340" s="123" t="s">
        <v>695</v>
      </c>
      <c r="D340" s="101">
        <v>22.407903242461742</v>
      </c>
      <c r="E340" s="141">
        <v>18.758383573913509</v>
      </c>
      <c r="F340" s="141">
        <v>25.094247434841609</v>
      </c>
      <c r="G340" s="140"/>
    </row>
    <row r="341" spans="2:7" x14ac:dyDescent="0.2">
      <c r="B341" s="123" t="s">
        <v>2996</v>
      </c>
      <c r="D341" s="101">
        <v>-0.14610666109983753</v>
      </c>
      <c r="E341" s="141">
        <v>-0.30999380338557425</v>
      </c>
      <c r="F341" s="141">
        <v>-0.14402948337052157</v>
      </c>
      <c r="G341" s="140"/>
    </row>
    <row r="342" spans="2:7" x14ac:dyDescent="0.2">
      <c r="B342" s="123" t="s">
        <v>2997</v>
      </c>
      <c r="D342" s="141">
        <v>-0.5844266443993501</v>
      </c>
      <c r="E342" s="141">
        <v>-0.51665633897595697</v>
      </c>
      <c r="F342" s="141">
        <v>-0.56853743435732196</v>
      </c>
      <c r="G342" s="140"/>
    </row>
    <row r="343" spans="2:7" x14ac:dyDescent="0.2">
      <c r="B343" s="123" t="s">
        <v>664</v>
      </c>
      <c r="D343" s="141">
        <v>-0.21104295492198755</v>
      </c>
      <c r="E343" s="141">
        <v>-0.21957894406478173</v>
      </c>
      <c r="F343" s="141">
        <v>-0.17056123030719661</v>
      </c>
      <c r="G343" s="140"/>
    </row>
    <row r="344" spans="2:7" x14ac:dyDescent="0.2">
      <c r="B344" s="123" t="s">
        <v>2136</v>
      </c>
      <c r="C344" s="101"/>
      <c r="D344" s="141">
        <v>-58.442664439935001</v>
      </c>
      <c r="E344" s="141">
        <v>-51.665633897595711</v>
      </c>
      <c r="F344" s="141">
        <v>-60.643992998114349</v>
      </c>
      <c r="G344" s="150"/>
    </row>
    <row r="345" spans="2:7" x14ac:dyDescent="0.2">
      <c r="B345" s="123" t="s">
        <v>3043</v>
      </c>
      <c r="C345" s="101"/>
      <c r="D345" s="101">
        <v>-47.078813021058757</v>
      </c>
      <c r="E345" s="141">
        <v>-45.207429660396244</v>
      </c>
      <c r="F345" s="141">
        <v>-43.587869967394688</v>
      </c>
      <c r="G345" s="150"/>
    </row>
    <row r="346" spans="2:7" x14ac:dyDescent="0.2">
      <c r="B346" s="123" t="s">
        <v>667</v>
      </c>
      <c r="C346" s="101"/>
      <c r="D346" s="101">
        <v>-9.7404440733225E-3</v>
      </c>
      <c r="E346" s="141">
        <v>-1.2916408474398929E-2</v>
      </c>
      <c r="F346" s="141">
        <v>-3.7902495623821459E-3</v>
      </c>
      <c r="G346" s="150"/>
    </row>
    <row r="347" spans="2:7" x14ac:dyDescent="0.2">
      <c r="B347" s="123" t="s">
        <v>672</v>
      </c>
      <c r="C347" s="101"/>
      <c r="D347" s="101">
        <v>124.76323119777159</v>
      </c>
      <c r="E347" s="141">
        <v>95.598885793871915</v>
      </c>
      <c r="F347" s="141">
        <v>153.73259052924794</v>
      </c>
      <c r="G347" s="150"/>
    </row>
    <row r="348" spans="2:7" x14ac:dyDescent="0.2">
      <c r="B348" s="123" t="s">
        <v>2985</v>
      </c>
      <c r="C348" s="101">
        <v>4.1782729805013927</v>
      </c>
      <c r="D348" s="101">
        <v>4.1782729805013927</v>
      </c>
      <c r="E348" s="141">
        <v>4.1782729805013927</v>
      </c>
      <c r="F348" s="141">
        <v>4.1782729805013927</v>
      </c>
      <c r="G348" s="150">
        <v>4.1782729805013927</v>
      </c>
    </row>
    <row r="349" spans="2:7" ht="16" thickBot="1" x14ac:dyDescent="0.25">
      <c r="B349" s="152" t="s">
        <v>3034</v>
      </c>
      <c r="C349" s="1147">
        <v>2.2284122562674096</v>
      </c>
      <c r="D349" s="1147">
        <v>2.2284122562674096</v>
      </c>
      <c r="E349" s="196">
        <v>2.2284122562674096</v>
      </c>
      <c r="F349" s="196">
        <v>2.2284122562674096</v>
      </c>
      <c r="G349" s="1148">
        <v>2.2284122562674096</v>
      </c>
    </row>
    <row r="350" spans="2:7" ht="16" thickBot="1" x14ac:dyDescent="0.25">
      <c r="B350" s="1487" t="s">
        <v>3329</v>
      </c>
      <c r="C350" s="1488"/>
      <c r="D350" s="1488"/>
      <c r="E350" s="1488"/>
      <c r="F350" s="1489"/>
    </row>
    <row r="351" spans="2:7" x14ac:dyDescent="0.2">
      <c r="B351" s="59"/>
      <c r="C351" s="60"/>
      <c r="D351" s="1146" t="s">
        <v>3028</v>
      </c>
      <c r="E351" s="1146" t="s">
        <v>3029</v>
      </c>
      <c r="F351" s="1146" t="s">
        <v>3030</v>
      </c>
      <c r="G351" s="106"/>
    </row>
    <row r="352" spans="2:7" x14ac:dyDescent="0.2">
      <c r="B352" s="123" t="s">
        <v>753</v>
      </c>
      <c r="C352" s="6"/>
      <c r="D352" s="101">
        <v>4.7263801772517073</v>
      </c>
      <c r="E352" s="141">
        <v>1.7640960398968784</v>
      </c>
      <c r="F352" s="141">
        <v>9.6442449912127941</v>
      </c>
      <c r="G352" s="140"/>
    </row>
    <row r="353" spans="2:7" x14ac:dyDescent="0.2">
      <c r="B353" s="123" t="s">
        <v>2317</v>
      </c>
      <c r="D353" s="101">
        <v>0.26371465980872866</v>
      </c>
      <c r="E353" s="141">
        <v>9.8430081708290609E-2</v>
      </c>
      <c r="F353" s="141">
        <v>0.53811345926230802</v>
      </c>
      <c r="G353" s="140"/>
    </row>
    <row r="354" spans="2:7" x14ac:dyDescent="0.2">
      <c r="B354" s="123" t="s">
        <v>2318</v>
      </c>
      <c r="D354" s="101">
        <v>0.67791396428318118</v>
      </c>
      <c r="E354" s="141">
        <v>0.25302774955317875</v>
      </c>
      <c r="F354" s="141">
        <v>1.3832929449854312</v>
      </c>
      <c r="G354" s="140"/>
    </row>
    <row r="355" spans="2:7" x14ac:dyDescent="0.2">
      <c r="B355" s="123" t="s">
        <v>1415</v>
      </c>
      <c r="D355" s="101">
        <v>0.71910943673187944</v>
      </c>
      <c r="E355" s="141">
        <v>0.26840373859405342</v>
      </c>
      <c r="F355" s="141">
        <v>1.4673528838655541</v>
      </c>
      <c r="G355" s="140"/>
    </row>
    <row r="356" spans="2:7" x14ac:dyDescent="0.2">
      <c r="B356" s="123" t="s">
        <v>2978</v>
      </c>
      <c r="D356" s="101">
        <v>0.26656221671460945</v>
      </c>
      <c r="E356" s="141">
        <v>9.949291704371771E-2</v>
      </c>
      <c r="F356" s="141">
        <v>0.54392393903685365</v>
      </c>
      <c r="G356" s="140"/>
    </row>
    <row r="357" spans="2:7" x14ac:dyDescent="0.2">
      <c r="B357" s="123" t="s">
        <v>2792</v>
      </c>
      <c r="D357" s="101">
        <v>0.3482507529427154</v>
      </c>
      <c r="E357" s="141">
        <v>0.12998272485870591</v>
      </c>
      <c r="F357" s="141">
        <v>0.71061054206325669</v>
      </c>
      <c r="G357" s="140"/>
    </row>
    <row r="358" spans="2:7" x14ac:dyDescent="0.2">
      <c r="B358" s="123" t="s">
        <v>2979</v>
      </c>
      <c r="D358" s="101">
        <v>1.0819089001301969</v>
      </c>
      <c r="E358" s="141">
        <v>0.40381669156345229</v>
      </c>
      <c r="F358" s="141">
        <v>2.2076502735115282</v>
      </c>
      <c r="G358" s="140"/>
    </row>
    <row r="359" spans="2:7" x14ac:dyDescent="0.2">
      <c r="B359" s="123" t="s">
        <v>1561</v>
      </c>
      <c r="D359" s="101">
        <v>1.9511679313638228</v>
      </c>
      <c r="E359" s="141">
        <v>0.72826296061824258</v>
      </c>
      <c r="F359" s="141">
        <v>3.9813855092826209</v>
      </c>
      <c r="G359" s="140"/>
    </row>
    <row r="360" spans="2:7" x14ac:dyDescent="0.2">
      <c r="B360" s="123" t="s">
        <v>537</v>
      </c>
      <c r="D360" s="101">
        <v>2.8295806424635574</v>
      </c>
      <c r="E360" s="141">
        <v>1.0561257915653683</v>
      </c>
      <c r="F360" s="141">
        <v>5.773798957108002</v>
      </c>
      <c r="G360" s="140"/>
    </row>
    <row r="361" spans="2:7" x14ac:dyDescent="0.2">
      <c r="B361" s="123" t="s">
        <v>3324</v>
      </c>
      <c r="D361" s="101">
        <v>0.65194694653040586</v>
      </c>
      <c r="E361" s="141">
        <v>0.24333569951326012</v>
      </c>
      <c r="F361" s="141">
        <v>1.3303068813369165</v>
      </c>
      <c r="G361" s="140"/>
    </row>
    <row r="362" spans="2:7" x14ac:dyDescent="0.2">
      <c r="B362" s="123" t="s">
        <v>3326</v>
      </c>
      <c r="D362" s="101">
        <v>6.778517030952666E-2</v>
      </c>
      <c r="E362" s="141">
        <v>2.5300451089887665E-2</v>
      </c>
      <c r="F362" s="141">
        <v>0.138316590015891</v>
      </c>
      <c r="G362" s="140"/>
    </row>
    <row r="363" spans="2:7" x14ac:dyDescent="0.2">
      <c r="B363" s="123" t="s">
        <v>1416</v>
      </c>
      <c r="D363" s="101">
        <v>5.2846928485566255E-2</v>
      </c>
      <c r="E363" s="141">
        <v>1.9724832486139647E-2</v>
      </c>
      <c r="F363" s="141">
        <v>0.10783489821681354</v>
      </c>
      <c r="G363" s="140"/>
    </row>
    <row r="364" spans="2:7" x14ac:dyDescent="0.2">
      <c r="B364" s="123" t="s">
        <v>1417</v>
      </c>
      <c r="D364" s="101">
        <v>6.1758931197848393E-2</v>
      </c>
      <c r="E364" s="141">
        <v>2.3051189677623332E-2</v>
      </c>
      <c r="F364" s="141">
        <v>0.12601996465164692</v>
      </c>
      <c r="G364" s="140"/>
    </row>
    <row r="365" spans="2:7" x14ac:dyDescent="0.2">
      <c r="B365" s="123" t="s">
        <v>1011</v>
      </c>
      <c r="D365" s="101">
        <v>2.8342273433551921E-2</v>
      </c>
      <c r="E365" s="141">
        <v>1.0578601477394596E-2</v>
      </c>
      <c r="F365" s="141">
        <v>5.7832806154002214E-2</v>
      </c>
      <c r="G365" s="140"/>
    </row>
    <row r="366" spans="2:7" x14ac:dyDescent="0.2">
      <c r="B366" s="123" t="s">
        <v>754</v>
      </c>
      <c r="D366" s="101">
        <v>1.7091430358862658</v>
      </c>
      <c r="E366" s="141">
        <v>0.63792846706155226</v>
      </c>
      <c r="F366" s="141">
        <v>3.4875303181169617</v>
      </c>
      <c r="G366" s="140"/>
    </row>
    <row r="367" spans="2:7" x14ac:dyDescent="0.2">
      <c r="B367" s="123" t="s">
        <v>3325</v>
      </c>
      <c r="D367" s="101">
        <v>0.77680431358356683</v>
      </c>
      <c r="E367" s="141">
        <v>0.28993804179426325</v>
      </c>
      <c r="F367" s="141">
        <v>1.5850800886667291</v>
      </c>
      <c r="G367" s="140"/>
    </row>
    <row r="368" spans="2:7" x14ac:dyDescent="0.2">
      <c r="B368" s="123" t="s">
        <v>2319</v>
      </c>
      <c r="D368" s="101">
        <v>0.38490307460313827</v>
      </c>
      <c r="E368" s="141">
        <v>0.14366300724592934</v>
      </c>
      <c r="F368" s="141">
        <v>0.78540011808830612</v>
      </c>
      <c r="G368" s="140"/>
    </row>
    <row r="369" spans="2:7" x14ac:dyDescent="0.2">
      <c r="B369" s="123" t="s">
        <v>3327</v>
      </c>
      <c r="D369" s="101">
        <v>0.11995880298212341</v>
      </c>
      <c r="E369" s="141">
        <v>4.4773979526671441E-2</v>
      </c>
      <c r="F369" s="141">
        <v>0.24477761869019737</v>
      </c>
      <c r="G369" s="140"/>
    </row>
    <row r="370" spans="2:7" x14ac:dyDescent="0.2">
      <c r="B370" s="123" t="s">
        <v>755</v>
      </c>
      <c r="D370" s="101">
        <v>0.26622809723222746</v>
      </c>
      <c r="E370" s="141">
        <v>9.9368208739768857E-2</v>
      </c>
      <c r="F370" s="141">
        <v>0.54324216355041721</v>
      </c>
      <c r="G370" s="140"/>
    </row>
    <row r="371" spans="2:7" x14ac:dyDescent="0.2">
      <c r="B371" s="123" t="s">
        <v>2320</v>
      </c>
      <c r="D371" s="101">
        <v>13.827250727574098</v>
      </c>
      <c r="E371" s="141">
        <v>5.1609471384839969</v>
      </c>
      <c r="F371" s="141">
        <v>28.214698896522577</v>
      </c>
      <c r="G371" s="140"/>
    </row>
    <row r="372" spans="2:7" x14ac:dyDescent="0.2">
      <c r="B372" s="123" t="s">
        <v>2395</v>
      </c>
      <c r="D372" s="101">
        <v>3.6495223759411779</v>
      </c>
      <c r="E372" s="141">
        <v>1.3621646438641979</v>
      </c>
      <c r="F372" s="141">
        <v>7.4469015556332128</v>
      </c>
      <c r="G372" s="140"/>
    </row>
    <row r="373" spans="2:7" x14ac:dyDescent="0.2">
      <c r="B373" s="123" t="s">
        <v>2397</v>
      </c>
      <c r="D373" s="101">
        <v>12.611922072371454</v>
      </c>
      <c r="E373" s="141">
        <v>4.7073322392562247</v>
      </c>
      <c r="F373" s="141">
        <v>25.734803742927266</v>
      </c>
      <c r="G373" s="140"/>
    </row>
    <row r="374" spans="2:7" x14ac:dyDescent="0.2">
      <c r="B374" s="123" t="s">
        <v>2981</v>
      </c>
      <c r="D374" s="101">
        <v>2.9427818168866735</v>
      </c>
      <c r="E374" s="141">
        <v>1.0983775224931192</v>
      </c>
      <c r="F374" s="141">
        <v>6.0047875400163635</v>
      </c>
      <c r="G374" s="140"/>
    </row>
    <row r="375" spans="2:7" x14ac:dyDescent="0.2">
      <c r="B375" s="123" t="s">
        <v>695</v>
      </c>
      <c r="D375" s="101">
        <v>6.184250759776508</v>
      </c>
      <c r="E375" s="141">
        <v>2.3089620449662585</v>
      </c>
      <c r="F375" s="141">
        <v>12.622251914918889</v>
      </c>
      <c r="G375" s="140"/>
    </row>
    <row r="376" spans="2:7" x14ac:dyDescent="0.2">
      <c r="B376" s="123" t="s">
        <v>2996</v>
      </c>
      <c r="D376" s="101">
        <v>-4.5508858717391173E-2</v>
      </c>
      <c r="E376" s="141">
        <v>-4.2153260771803612E-2</v>
      </c>
      <c r="F376" s="141">
        <v>-8.3813209532707447E-2</v>
      </c>
      <c r="G376" s="140"/>
    </row>
    <row r="377" spans="2:7" x14ac:dyDescent="0.2">
      <c r="B377" s="123" t="s">
        <v>2997</v>
      </c>
      <c r="D377" s="101">
        <v>-0.18203543486956469</v>
      </c>
      <c r="E377" s="141">
        <v>-7.0255434619672694E-2</v>
      </c>
      <c r="F377" s="141">
        <v>-0.33084161657647676</v>
      </c>
      <c r="G377" s="140"/>
    </row>
    <row r="378" spans="2:7" x14ac:dyDescent="0.2">
      <c r="B378" s="123" t="s">
        <v>664</v>
      </c>
      <c r="D378" s="101">
        <v>-6.5735018147342825E-2</v>
      </c>
      <c r="E378" s="141">
        <v>-2.9858559713360894E-2</v>
      </c>
      <c r="F378" s="141">
        <v>-9.9252484972943034E-2</v>
      </c>
      <c r="G378" s="140"/>
    </row>
    <row r="379" spans="2:7" x14ac:dyDescent="0.2">
      <c r="B379" s="123" t="s">
        <v>2136</v>
      </c>
      <c r="C379" s="101"/>
      <c r="D379" s="101">
        <v>-18.20354348695647</v>
      </c>
      <c r="E379" s="141">
        <v>-7.0255434619672696</v>
      </c>
      <c r="F379" s="141">
        <v>-35.289772434824187</v>
      </c>
      <c r="G379" s="150"/>
    </row>
    <row r="380" spans="2:7" x14ac:dyDescent="0.2">
      <c r="B380" s="123" t="s">
        <v>3043</v>
      </c>
      <c r="C380" s="101"/>
      <c r="D380" s="101">
        <v>-14.663965586714934</v>
      </c>
      <c r="E380" s="141">
        <v>-6.1473505292213595</v>
      </c>
      <c r="F380" s="141">
        <v>-25.364523937529885</v>
      </c>
      <c r="G380" s="150"/>
    </row>
    <row r="381" spans="2:7" x14ac:dyDescent="0.2">
      <c r="B381" s="123" t="s">
        <v>667</v>
      </c>
      <c r="C381" s="101"/>
      <c r="D381" s="101">
        <v>-3.0339239144927454E-3</v>
      </c>
      <c r="E381" s="141">
        <v>-1.7563858654918176E-3</v>
      </c>
      <c r="F381" s="141">
        <v>-2.2056107771765113E-3</v>
      </c>
      <c r="G381" s="150"/>
    </row>
    <row r="382" spans="2:7" x14ac:dyDescent="0.2">
      <c r="B382" s="123" t="s">
        <v>672</v>
      </c>
      <c r="C382" s="101"/>
      <c r="D382" s="101">
        <v>23.03621169916434</v>
      </c>
      <c r="E382" s="141">
        <v>-7.6601671309192154</v>
      </c>
      <c r="F382" s="141">
        <v>53.509749303621156</v>
      </c>
      <c r="G382" s="150"/>
    </row>
    <row r="383" spans="2:7" x14ac:dyDescent="0.2">
      <c r="B383" s="123" t="s">
        <v>2985</v>
      </c>
      <c r="C383" s="101">
        <v>4.1782729805013927</v>
      </c>
      <c r="D383" s="101">
        <v>4.1782729805013927</v>
      </c>
      <c r="E383" s="141">
        <v>4.1782729805013927</v>
      </c>
      <c r="F383" s="141">
        <v>4.1782729805013927</v>
      </c>
      <c r="G383" s="150">
        <v>4.1782729805013927</v>
      </c>
    </row>
    <row r="384" spans="2:7" ht="16" thickBot="1" x14ac:dyDescent="0.25">
      <c r="B384" s="152" t="s">
        <v>3034</v>
      </c>
      <c r="C384" s="1147">
        <v>2.2284122562674096</v>
      </c>
      <c r="D384" s="1147">
        <v>2.2284122562674096</v>
      </c>
      <c r="E384" s="196">
        <v>2.2284122562674096</v>
      </c>
      <c r="F384" s="196">
        <v>2.2284122562674096</v>
      </c>
      <c r="G384" s="1148">
        <v>2.2284122562674096</v>
      </c>
    </row>
  </sheetData>
  <mergeCells count="17">
    <mergeCell ref="B350:F350"/>
    <mergeCell ref="G2:J2"/>
    <mergeCell ref="B122:D122"/>
    <mergeCell ref="B315:F315"/>
    <mergeCell ref="B2:D2"/>
    <mergeCell ref="B4:D4"/>
    <mergeCell ref="B10:D10"/>
    <mergeCell ref="B16:D16"/>
    <mergeCell ref="B19:D19"/>
    <mergeCell ref="B132:D132"/>
    <mergeCell ref="B200:F200"/>
    <mergeCell ref="B25:D25"/>
    <mergeCell ref="G10:I10"/>
    <mergeCell ref="B37:D37"/>
    <mergeCell ref="B41:D41"/>
    <mergeCell ref="B53:D53"/>
    <mergeCell ref="B124:D124"/>
  </mergeCells>
  <pageMargins left="0.7" right="0.7" top="0.75" bottom="0.75" header="0.3" footer="0.3"/>
  <pageSetup orientation="portrait" r:id="rId1"/>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D2392-77F7-43A7-A5D7-8713612F1283}">
  <sheetPr codeName="Sheet14"/>
  <dimension ref="A1:T63"/>
  <sheetViews>
    <sheetView zoomScale="130" zoomScaleNormal="130" workbookViewId="0">
      <selection activeCell="B29" sqref="B29"/>
    </sheetView>
  </sheetViews>
  <sheetFormatPr baseColWidth="10" defaultColWidth="8.83203125" defaultRowHeight="15" x14ac:dyDescent="0.2"/>
  <cols>
    <col min="1" max="1" width="25.5" customWidth="1"/>
    <col min="2" max="2" width="15.1640625" customWidth="1"/>
    <col min="3" max="3" width="16.1640625" customWidth="1"/>
    <col min="10" max="10" width="19.1640625" customWidth="1"/>
  </cols>
  <sheetData>
    <row r="1" spans="1:5" ht="34" x14ac:dyDescent="0.4">
      <c r="A1" s="2096" t="s">
        <v>3608</v>
      </c>
      <c r="B1" s="2086"/>
      <c r="C1" s="2086"/>
      <c r="D1" s="2086"/>
      <c r="E1" s="2086"/>
    </row>
    <row r="2" spans="1:5" x14ac:dyDescent="0.2">
      <c r="A2" s="969" t="s">
        <v>3282</v>
      </c>
      <c r="B2" s="1520" t="s">
        <v>3330</v>
      </c>
      <c r="C2" s="1520" t="s">
        <v>3331</v>
      </c>
      <c r="D2" s="1520" t="s">
        <v>298</v>
      </c>
      <c r="E2" s="1520" t="s">
        <v>3138</v>
      </c>
    </row>
    <row r="3" spans="1:5" x14ac:dyDescent="0.2">
      <c r="A3" s="1052" t="s">
        <v>1522</v>
      </c>
      <c r="B3" s="1520"/>
      <c r="C3" s="1520"/>
      <c r="D3" s="1520"/>
      <c r="E3" s="1520"/>
    </row>
    <row r="4" spans="1:5" x14ac:dyDescent="0.2">
      <c r="A4" s="2083">
        <f>ROUNDUP(482812,5)</f>
        <v>482812</v>
      </c>
      <c r="B4" s="141">
        <v>35.877437325905291</v>
      </c>
      <c r="C4" s="141">
        <v>95.598885793871915</v>
      </c>
      <c r="D4" s="2082">
        <f t="shared" ref="D4:E6" si="0">B4</f>
        <v>35.877437325905291</v>
      </c>
      <c r="E4" s="150">
        <f t="shared" si="0"/>
        <v>95.598885793871915</v>
      </c>
    </row>
    <row r="5" spans="1:5" x14ac:dyDescent="0.2">
      <c r="A5" s="2084">
        <v>724218</v>
      </c>
      <c r="B5" s="2082">
        <v>29.470752089136493</v>
      </c>
      <c r="C5" s="141">
        <v>44.902506963788284</v>
      </c>
      <c r="D5" s="2082">
        <f t="shared" si="0"/>
        <v>29.470752089136493</v>
      </c>
      <c r="E5" s="150">
        <f t="shared" si="0"/>
        <v>44.902506963788284</v>
      </c>
    </row>
    <row r="6" spans="1:5" x14ac:dyDescent="0.2">
      <c r="A6" s="2083">
        <v>965624</v>
      </c>
      <c r="B6" s="141">
        <v>26.072423398328691</v>
      </c>
      <c r="C6" s="141">
        <v>19.916434540389965</v>
      </c>
      <c r="D6" s="2082">
        <f t="shared" si="0"/>
        <v>26.072423398328691</v>
      </c>
      <c r="E6" s="150">
        <f t="shared" si="0"/>
        <v>19.916434540389965</v>
      </c>
    </row>
    <row r="7" spans="1:5" x14ac:dyDescent="0.2">
      <c r="A7" s="2083">
        <v>1448437</v>
      </c>
      <c r="B7" s="141">
        <v>22.395543175487465</v>
      </c>
      <c r="C7" s="141">
        <v>-7.6601671309192154</v>
      </c>
      <c r="D7" s="2082">
        <v>24.67966573816156</v>
      </c>
      <c r="E7" s="150">
        <f>C7</f>
        <v>-7.6601671309192154</v>
      </c>
    </row>
    <row r="8" spans="1:5" ht="16" thickBot="1" x14ac:dyDescent="0.25">
      <c r="A8" s="2085">
        <v>1931249</v>
      </c>
      <c r="B8" s="196">
        <v>20.417827298050142</v>
      </c>
      <c r="C8" s="196">
        <v>-23.286908077994447</v>
      </c>
      <c r="D8" s="1147">
        <f>B8</f>
        <v>20.417827298050142</v>
      </c>
      <c r="E8" s="1148">
        <f>C8</f>
        <v>-23.286908077994447</v>
      </c>
    </row>
    <row r="9" spans="1:5" x14ac:dyDescent="0.2">
      <c r="A9" s="243"/>
    </row>
    <row r="10" spans="1:5" x14ac:dyDescent="0.2">
      <c r="A10" s="1059"/>
    </row>
    <row r="11" spans="1:5" x14ac:dyDescent="0.2">
      <c r="A11" s="243"/>
    </row>
    <row r="12" spans="1:5" x14ac:dyDescent="0.2">
      <c r="A12" s="243"/>
    </row>
    <row r="13" spans="1:5" x14ac:dyDescent="0.2">
      <c r="A13" s="243"/>
    </row>
    <row r="15" spans="1:5" x14ac:dyDescent="0.2">
      <c r="B15" s="6"/>
      <c r="C15" s="6"/>
    </row>
    <row r="16" spans="1:5" x14ac:dyDescent="0.2">
      <c r="B16" s="6"/>
      <c r="C16" s="6"/>
    </row>
    <row r="17" spans="2:3" x14ac:dyDescent="0.2">
      <c r="B17" s="6"/>
      <c r="C17" s="6"/>
    </row>
    <row r="18" spans="2:3" x14ac:dyDescent="0.2">
      <c r="B18" s="6"/>
      <c r="C18" s="6"/>
    </row>
    <row r="19" spans="2:3" x14ac:dyDescent="0.2">
      <c r="B19" s="6"/>
      <c r="C19" s="6"/>
    </row>
    <row r="20" spans="2:3" x14ac:dyDescent="0.2">
      <c r="B20" s="6"/>
      <c r="C20" s="6"/>
    </row>
    <row r="21" spans="2:3" x14ac:dyDescent="0.2">
      <c r="B21" s="6"/>
      <c r="C21" s="6"/>
    </row>
    <row r="22" spans="2:3" x14ac:dyDescent="0.2">
      <c r="B22" s="6"/>
      <c r="C22" s="6"/>
    </row>
    <row r="23" spans="2:3" x14ac:dyDescent="0.2">
      <c r="B23" s="6"/>
      <c r="C23" s="6"/>
    </row>
    <row r="24" spans="2:3" x14ac:dyDescent="0.2">
      <c r="B24" s="6"/>
      <c r="C24" s="6"/>
    </row>
    <row r="25" spans="2:3" x14ac:dyDescent="0.2">
      <c r="B25" s="6"/>
      <c r="C25" s="6"/>
    </row>
    <row r="26" spans="2:3" x14ac:dyDescent="0.2">
      <c r="B26" s="6"/>
      <c r="C26" s="6"/>
    </row>
    <row r="27" spans="2:3" x14ac:dyDescent="0.2">
      <c r="B27" s="6"/>
      <c r="C27" s="6"/>
    </row>
    <row r="28" spans="2:3" x14ac:dyDescent="0.2">
      <c r="B28" s="6"/>
      <c r="C28" s="6"/>
    </row>
    <row r="29" spans="2:3" x14ac:dyDescent="0.2">
      <c r="B29" s="6"/>
      <c r="C29" s="6"/>
    </row>
    <row r="30" spans="2:3" x14ac:dyDescent="0.2">
      <c r="B30" s="6"/>
      <c r="C30" s="6"/>
    </row>
    <row r="31" spans="2:3" x14ac:dyDescent="0.2">
      <c r="B31" s="6"/>
      <c r="C31" s="6"/>
    </row>
    <row r="32" spans="2:3" x14ac:dyDescent="0.2">
      <c r="B32" s="6"/>
      <c r="C32" s="6"/>
    </row>
    <row r="33" spans="2:3" x14ac:dyDescent="0.2">
      <c r="B33" s="6"/>
      <c r="C33" s="6"/>
    </row>
    <row r="34" spans="2:3" x14ac:dyDescent="0.2">
      <c r="B34" s="6"/>
      <c r="C34" s="6"/>
    </row>
    <row r="35" spans="2:3" x14ac:dyDescent="0.2">
      <c r="B35" s="6"/>
      <c r="C35" s="6"/>
    </row>
    <row r="36" spans="2:3" x14ac:dyDescent="0.2">
      <c r="B36" s="6"/>
      <c r="C36" s="6"/>
    </row>
    <row r="37" spans="2:3" x14ac:dyDescent="0.2">
      <c r="B37" s="6"/>
      <c r="C37" s="6"/>
    </row>
    <row r="38" spans="2:3" x14ac:dyDescent="0.2">
      <c r="B38" s="6"/>
      <c r="C38" s="6"/>
    </row>
    <row r="39" spans="2:3" x14ac:dyDescent="0.2">
      <c r="B39" s="6"/>
      <c r="C39" s="6"/>
    </row>
    <row r="40" spans="2:3" x14ac:dyDescent="0.2">
      <c r="B40" s="6"/>
      <c r="C40" s="6"/>
    </row>
    <row r="41" spans="2:3" x14ac:dyDescent="0.2">
      <c r="B41" s="6"/>
      <c r="C41" s="6"/>
    </row>
    <row r="42" spans="2:3" x14ac:dyDescent="0.2">
      <c r="B42" s="6"/>
      <c r="C42" s="6"/>
    </row>
    <row r="43" spans="2:3" x14ac:dyDescent="0.2">
      <c r="B43" s="6"/>
      <c r="C43" s="6"/>
    </row>
    <row r="44" spans="2:3" x14ac:dyDescent="0.2">
      <c r="B44" s="6"/>
      <c r="C44" s="6"/>
    </row>
    <row r="49" spans="1:20" ht="37" x14ac:dyDescent="0.45">
      <c r="A49" s="2087" t="s">
        <v>3609</v>
      </c>
      <c r="B49" s="142"/>
      <c r="C49" s="142"/>
      <c r="D49" s="142"/>
      <c r="E49" s="142"/>
      <c r="F49" s="142"/>
      <c r="G49" s="142"/>
      <c r="H49" s="142"/>
      <c r="I49" s="142"/>
      <c r="J49" s="142"/>
      <c r="K49" s="142"/>
      <c r="L49" s="142"/>
      <c r="M49" s="142"/>
      <c r="N49" s="142"/>
      <c r="O49" s="142"/>
      <c r="P49" s="142"/>
      <c r="Q49" s="142"/>
      <c r="R49" s="142"/>
      <c r="S49" s="142"/>
      <c r="T49" s="142"/>
    </row>
    <row r="50" spans="1:20" ht="16" thickBot="1" x14ac:dyDescent="0.25"/>
    <row r="51" spans="1:20" ht="33" thickBot="1" x14ac:dyDescent="0.25">
      <c r="A51" s="59"/>
      <c r="B51" s="2088" t="s">
        <v>420</v>
      </c>
      <c r="C51" s="2088" t="s">
        <v>413</v>
      </c>
      <c r="D51" s="2088" t="s">
        <v>415</v>
      </c>
      <c r="E51" s="2088" t="s">
        <v>2132</v>
      </c>
      <c r="F51" s="2088" t="s">
        <v>2136</v>
      </c>
      <c r="G51" s="2088" t="s">
        <v>2138</v>
      </c>
      <c r="H51" s="2089" t="s">
        <v>3334</v>
      </c>
    </row>
    <row r="52" spans="1:20" ht="32" x14ac:dyDescent="0.2">
      <c r="A52" s="2090" t="s">
        <v>3341</v>
      </c>
      <c r="B52" s="1177" t="s">
        <v>377</v>
      </c>
      <c r="C52" s="1177" t="s">
        <v>377</v>
      </c>
      <c r="D52" s="1177" t="s">
        <v>377</v>
      </c>
      <c r="E52" s="1177" t="s">
        <v>377</v>
      </c>
      <c r="F52" s="1177" t="s">
        <v>377</v>
      </c>
      <c r="G52" s="1177" t="s">
        <v>377</v>
      </c>
      <c r="H52" s="2091" t="s">
        <v>377</v>
      </c>
      <c r="J52" s="1183" t="s">
        <v>3335</v>
      </c>
      <c r="K52" s="1184" t="s">
        <v>3336</v>
      </c>
      <c r="L52" s="1185" t="s">
        <v>3337</v>
      </c>
    </row>
    <row r="53" spans="1:20" x14ac:dyDescent="0.2">
      <c r="A53" s="2092">
        <v>1</v>
      </c>
      <c r="B53" s="110">
        <v>205</v>
      </c>
      <c r="C53" s="110">
        <v>169</v>
      </c>
      <c r="D53" s="110">
        <v>168</v>
      </c>
      <c r="E53" s="110">
        <v>171</v>
      </c>
      <c r="F53" s="110">
        <v>198</v>
      </c>
      <c r="G53" s="110">
        <v>210</v>
      </c>
      <c r="H53" s="167">
        <v>220</v>
      </c>
      <c r="J53" s="1202" t="s">
        <v>3338</v>
      </c>
      <c r="K53" s="1178">
        <f>ROUNDUP(B62,2)*1000</f>
        <v>8950</v>
      </c>
      <c r="L53" s="1186">
        <f>B53</f>
        <v>205</v>
      </c>
    </row>
    <row r="54" spans="1:20" x14ac:dyDescent="0.2">
      <c r="A54" s="7">
        <v>5</v>
      </c>
      <c r="B54" s="2008">
        <v>55</v>
      </c>
      <c r="C54" s="2008">
        <v>44</v>
      </c>
      <c r="D54" s="2008">
        <v>43</v>
      </c>
      <c r="E54" s="2008">
        <v>48</v>
      </c>
      <c r="F54" s="2008">
        <v>73</v>
      </c>
      <c r="G54" s="2008">
        <v>85</v>
      </c>
      <c r="H54" s="140">
        <v>70</v>
      </c>
      <c r="J54" s="1203" t="s">
        <v>3339</v>
      </c>
      <c r="K54" s="1179">
        <f>ROUNDUP(C62,1)*1000</f>
        <v>4100</v>
      </c>
      <c r="L54" s="1187">
        <f>C53</f>
        <v>169</v>
      </c>
    </row>
    <row r="55" spans="1:20" x14ac:dyDescent="0.2">
      <c r="A55" s="7">
        <v>10</v>
      </c>
      <c r="B55" s="2008">
        <v>35</v>
      </c>
      <c r="C55" s="2008">
        <v>24</v>
      </c>
      <c r="D55" s="2008">
        <v>23</v>
      </c>
      <c r="E55" s="2008">
        <v>26</v>
      </c>
      <c r="F55" s="2008">
        <v>53</v>
      </c>
      <c r="G55" s="2008">
        <v>65</v>
      </c>
      <c r="H55" s="140">
        <v>34</v>
      </c>
      <c r="J55" s="1204" t="s">
        <v>415</v>
      </c>
      <c r="K55" s="1180">
        <f>ROUNDUP(D62,2)*1000</f>
        <v>3489.9999999999995</v>
      </c>
      <c r="L55" s="1188">
        <f>D53</f>
        <v>168</v>
      </c>
    </row>
    <row r="56" spans="1:20" x14ac:dyDescent="0.2">
      <c r="A56" s="7">
        <v>50</v>
      </c>
      <c r="B56" s="2008">
        <v>29</v>
      </c>
      <c r="C56" s="2008">
        <v>18</v>
      </c>
      <c r="D56" s="2008">
        <v>17</v>
      </c>
      <c r="E56" s="2008">
        <v>20</v>
      </c>
      <c r="F56" s="2008">
        <v>47</v>
      </c>
      <c r="G56" s="2008">
        <v>59</v>
      </c>
      <c r="H56" s="140">
        <v>24</v>
      </c>
      <c r="J56" s="1189" t="s">
        <v>2132</v>
      </c>
      <c r="K56" s="1196">
        <f>ROUNDUP(E62,2)*1000</f>
        <v>5010</v>
      </c>
      <c r="L56" s="1197">
        <f>E53</f>
        <v>171</v>
      </c>
    </row>
    <row r="57" spans="1:20" x14ac:dyDescent="0.2">
      <c r="A57" s="7">
        <v>160</v>
      </c>
      <c r="B57" s="2008"/>
      <c r="C57" s="2008"/>
      <c r="D57" s="2008">
        <v>11</v>
      </c>
      <c r="E57" s="2008"/>
      <c r="F57" s="2008"/>
      <c r="G57" s="2008"/>
      <c r="H57" s="140"/>
      <c r="J57" s="1190" t="s">
        <v>3340</v>
      </c>
      <c r="K57" s="1198">
        <f>ROUNDUP(F62,2)*1000</f>
        <v>20350</v>
      </c>
      <c r="L57" s="1199">
        <f>F53</f>
        <v>198</v>
      </c>
    </row>
    <row r="58" spans="1:20" x14ac:dyDescent="0.2">
      <c r="A58" s="7">
        <v>170</v>
      </c>
      <c r="B58" s="2008"/>
      <c r="C58" s="2008">
        <v>12</v>
      </c>
      <c r="D58" s="2008"/>
      <c r="E58" s="2008"/>
      <c r="F58" s="2008"/>
      <c r="G58" s="2008"/>
      <c r="H58" s="140"/>
      <c r="J58" s="1191" t="s">
        <v>2138</v>
      </c>
      <c r="K58" s="1200">
        <f>ROUNDUP(G62,1)*1000</f>
        <v>28600</v>
      </c>
      <c r="L58" s="1201">
        <f>G53</f>
        <v>210</v>
      </c>
    </row>
    <row r="59" spans="1:20" x14ac:dyDescent="0.2">
      <c r="A59" s="7">
        <v>180</v>
      </c>
      <c r="B59" s="2008">
        <v>23</v>
      </c>
      <c r="C59" s="2008"/>
      <c r="D59" s="2008"/>
      <c r="E59" s="2008">
        <v>14</v>
      </c>
      <c r="F59" s="2008">
        <v>41</v>
      </c>
      <c r="G59" s="2008">
        <v>53</v>
      </c>
      <c r="H59" s="140"/>
      <c r="J59" s="1205" t="s">
        <v>3334</v>
      </c>
      <c r="K59" s="1181">
        <f>158.68*(1000)^(-0.469)*1000</f>
        <v>6216.1601059463046</v>
      </c>
      <c r="L59" s="1192">
        <v>220</v>
      </c>
    </row>
    <row r="60" spans="1:20" x14ac:dyDescent="0.2">
      <c r="A60" s="2093">
        <v>230</v>
      </c>
      <c r="B60" s="118"/>
      <c r="C60" s="118"/>
      <c r="D60" s="118"/>
      <c r="E60" s="118"/>
      <c r="F60" s="118"/>
      <c r="G60" s="118"/>
      <c r="H60" s="169">
        <v>16</v>
      </c>
      <c r="J60" s="1206" t="s">
        <v>666</v>
      </c>
      <c r="K60" s="1182">
        <f>88.3/7.46</f>
        <v>11.836461126005362</v>
      </c>
      <c r="L60" s="1193">
        <f>2.05/3.79</f>
        <v>0.54089709762532978</v>
      </c>
    </row>
    <row r="61" spans="1:20" ht="16" thickBot="1" x14ac:dyDescent="0.25">
      <c r="A61" s="7"/>
      <c r="B61" s="2008"/>
      <c r="C61" s="2008"/>
      <c r="D61" s="2008"/>
      <c r="E61" s="2008"/>
      <c r="F61" s="2008"/>
      <c r="G61" s="2008"/>
      <c r="H61" s="140"/>
      <c r="J61" s="1207" t="s">
        <v>665</v>
      </c>
      <c r="K61" s="1194">
        <f>180/7.46</f>
        <v>24.128686327077748</v>
      </c>
      <c r="L61" s="1195">
        <f>4.5/3.79</f>
        <v>1.187335092348285</v>
      </c>
    </row>
    <row r="62" spans="1:20" x14ac:dyDescent="0.2">
      <c r="A62" s="2094">
        <v>1000</v>
      </c>
      <c r="B62" s="31">
        <f>134.16*(A62^(-0.392))</f>
        <v>8.9458796157699521</v>
      </c>
      <c r="C62" s="31">
        <f>116.54*A62^(-0.488)</f>
        <v>4.0038243248251391</v>
      </c>
      <c r="D62" s="31">
        <f>117.18*A62^(-0.509)</f>
        <v>3.4821982559906193</v>
      </c>
      <c r="E62" s="31">
        <f>118.44*A62^(-0.458)</f>
        <v>5.0060870673618023</v>
      </c>
      <c r="F62" s="31">
        <f>141.72*A62^(-0.281)</f>
        <v>20.34375624948801</v>
      </c>
      <c r="G62" s="31">
        <f>154.2*1000^(-0.244)</f>
        <v>28.581457633056388</v>
      </c>
      <c r="H62" s="2095"/>
    </row>
    <row r="63" spans="1:20" ht="16" thickBot="1" x14ac:dyDescent="0.25">
      <c r="A63" s="152"/>
      <c r="B63" s="69"/>
      <c r="C63" s="69"/>
      <c r="D63" s="69"/>
      <c r="E63" s="69"/>
      <c r="F63" s="69"/>
      <c r="G63" s="69"/>
      <c r="H63" s="193"/>
    </row>
  </sheetData>
  <mergeCells count="4">
    <mergeCell ref="B2:B3"/>
    <mergeCell ref="C2:C3"/>
    <mergeCell ref="D2:D3"/>
    <mergeCell ref="E2:E3"/>
  </mergeCells>
  <pageMargins left="0.7" right="0.7" top="0.75" bottom="0.75" header="0.3" footer="0.3"/>
  <pageSetup orientation="portrait" horizontalDpi="0" verticalDpi="0"/>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E729C-D828-4E05-A3BE-91542E08A2B9}">
  <sheetPr codeName="Sheet7"/>
  <dimension ref="A1:I114"/>
  <sheetViews>
    <sheetView zoomScale="70" zoomScaleNormal="70" workbookViewId="0">
      <selection activeCell="C1" sqref="C1"/>
    </sheetView>
  </sheetViews>
  <sheetFormatPr baseColWidth="10" defaultColWidth="8.83203125" defaultRowHeight="15" x14ac:dyDescent="0.2"/>
  <cols>
    <col min="1" max="1" width="60.5" customWidth="1"/>
    <col min="2" max="6" width="17.83203125" customWidth="1"/>
    <col min="7" max="7" width="25.83203125" customWidth="1"/>
    <col min="8" max="8" width="10.83203125" customWidth="1"/>
    <col min="9" max="9" width="11.83203125" bestFit="1" customWidth="1"/>
  </cols>
  <sheetData>
    <row r="1" spans="1:9" ht="38" thickBot="1" x14ac:dyDescent="0.5">
      <c r="A1" s="2097" t="s">
        <v>1609</v>
      </c>
      <c r="B1" s="244"/>
      <c r="C1" s="244"/>
      <c r="D1" s="244"/>
      <c r="E1" s="244"/>
      <c r="F1" s="245"/>
    </row>
    <row r="2" spans="1:9" x14ac:dyDescent="0.2">
      <c r="A2" s="288" t="s">
        <v>617</v>
      </c>
      <c r="B2" s="163"/>
      <c r="C2" s="163"/>
      <c r="D2" s="163"/>
      <c r="E2" s="163"/>
      <c r="F2" s="164"/>
    </row>
    <row r="3" spans="1:9" x14ac:dyDescent="0.2">
      <c r="A3" s="266" t="s">
        <v>580</v>
      </c>
      <c r="B3" s="266" t="s">
        <v>372</v>
      </c>
      <c r="C3" s="266" t="s">
        <v>42</v>
      </c>
      <c r="D3" s="266" t="s">
        <v>372</v>
      </c>
      <c r="E3" s="266" t="s">
        <v>42</v>
      </c>
    </row>
    <row r="4" spans="1:9" x14ac:dyDescent="0.2">
      <c r="A4" s="135" t="s">
        <v>1611</v>
      </c>
      <c r="B4" s="261" t="s">
        <v>3241</v>
      </c>
      <c r="C4" s="112">
        <v>7.0000000000000007E-2</v>
      </c>
    </row>
    <row r="5" spans="1:9" x14ac:dyDescent="0.2">
      <c r="A5" s="260" t="s">
        <v>1613</v>
      </c>
      <c r="B5" s="262" t="s">
        <v>3241</v>
      </c>
      <c r="C5" s="127">
        <v>0.3</v>
      </c>
    </row>
    <row r="6" spans="1:9" x14ac:dyDescent="0.2">
      <c r="A6" s="260" t="s">
        <v>1614</v>
      </c>
      <c r="B6" s="262" t="s">
        <v>3241</v>
      </c>
      <c r="C6" s="127">
        <v>9.4E-2</v>
      </c>
    </row>
    <row r="7" spans="1:9" x14ac:dyDescent="0.2">
      <c r="A7" s="260" t="s">
        <v>1615</v>
      </c>
      <c r="B7" s="262" t="s">
        <v>3241</v>
      </c>
      <c r="C7" s="127">
        <v>0.13</v>
      </c>
    </row>
    <row r="8" spans="1:9" x14ac:dyDescent="0.2">
      <c r="A8" s="260" t="s">
        <v>1616</v>
      </c>
      <c r="B8" s="262" t="s">
        <v>3241</v>
      </c>
      <c r="C8" s="127">
        <v>0.24</v>
      </c>
    </row>
    <row r="9" spans="1:9" x14ac:dyDescent="0.2">
      <c r="A9" s="260" t="s">
        <v>1617</v>
      </c>
      <c r="B9" s="262" t="s">
        <v>3241</v>
      </c>
      <c r="C9" s="127">
        <f>810.7/1000</f>
        <v>0.81070000000000009</v>
      </c>
    </row>
    <row r="10" spans="1:9" x14ac:dyDescent="0.2">
      <c r="A10" s="260" t="s">
        <v>1618</v>
      </c>
      <c r="B10" s="262" t="s">
        <v>3241</v>
      </c>
      <c r="C10" s="127">
        <f>289/1000</f>
        <v>0.28899999999999998</v>
      </c>
    </row>
    <row r="11" spans="1:9" x14ac:dyDescent="0.2">
      <c r="A11" s="260" t="s">
        <v>1619</v>
      </c>
      <c r="B11" s="262" t="s">
        <v>3241</v>
      </c>
      <c r="C11" s="127">
        <f>241/1000</f>
        <v>0.24099999999999999</v>
      </c>
    </row>
    <row r="12" spans="1:9" x14ac:dyDescent="0.2">
      <c r="A12" s="260" t="s">
        <v>1620</v>
      </c>
      <c r="B12" s="262" t="s">
        <v>3241</v>
      </c>
      <c r="C12" s="127">
        <f>287.7/1000</f>
        <v>0.28770000000000001</v>
      </c>
    </row>
    <row r="13" spans="1:9" x14ac:dyDescent="0.2">
      <c r="A13" s="260" t="s">
        <v>1621</v>
      </c>
      <c r="B13" s="262" t="s">
        <v>3241</v>
      </c>
      <c r="C13" s="127">
        <f>537.8/1000</f>
        <v>0.53779999999999994</v>
      </c>
    </row>
    <row r="14" spans="1:9" x14ac:dyDescent="0.2">
      <c r="A14" s="260" t="s">
        <v>1622</v>
      </c>
      <c r="B14" s="262" t="s">
        <v>3241</v>
      </c>
      <c r="C14" s="127">
        <f>237.8/1000</f>
        <v>0.23780000000000001</v>
      </c>
    </row>
    <row r="15" spans="1:9" x14ac:dyDescent="0.2">
      <c r="A15" s="135" t="s">
        <v>888</v>
      </c>
      <c r="B15" s="261" t="s">
        <v>1836</v>
      </c>
      <c r="C15" s="112">
        <f ca="1">ExpBase!C230</f>
        <v>0.20761052631578947</v>
      </c>
    </row>
    <row r="16" spans="1:9" x14ac:dyDescent="0.2">
      <c r="A16" s="21" t="s">
        <v>885</v>
      </c>
      <c r="B16" s="263" t="s">
        <v>1836</v>
      </c>
      <c r="C16" s="120">
        <f>ExpBase!C231</f>
        <v>0.39960000000000001</v>
      </c>
      <c r="G16" s="1515" t="s">
        <v>3342</v>
      </c>
      <c r="H16" s="1515"/>
      <c r="I16" s="1515"/>
    </row>
    <row r="17" spans="1:9" x14ac:dyDescent="0.2">
      <c r="A17" s="135" t="s">
        <v>1833</v>
      </c>
      <c r="B17" s="192" t="s">
        <v>1835</v>
      </c>
      <c r="C17" s="287">
        <f ca="1">((Inputs!F13*Inputs!F14*C16)+(Inputs!F13*Inputs!F15*C15))*1000</f>
        <v>5670236.8421052629</v>
      </c>
      <c r="G17" s="9"/>
      <c r="H17" s="98" t="s">
        <v>391</v>
      </c>
      <c r="I17" s="9" t="s">
        <v>3268</v>
      </c>
    </row>
    <row r="18" spans="1:9" x14ac:dyDescent="0.2">
      <c r="A18" s="260" t="s">
        <v>1834</v>
      </c>
      <c r="B18" s="103" t="s">
        <v>1612</v>
      </c>
      <c r="C18" s="127">
        <f>((AVERAGE(C6,C8)*Inputs!F15*Inputs!F16)+(C7*Inputs!F15*Inputs!F17)+(AVERAGE(C10:C14)*Inputs!F14))/1000</f>
        <v>1.68846E-4</v>
      </c>
      <c r="G18" s="9" t="s">
        <v>1837</v>
      </c>
      <c r="H18" s="98">
        <f ca="1">C28</f>
        <v>957.3968098421052</v>
      </c>
      <c r="I18" s="1055">
        <f ca="1">H18/(C$17/1000)</f>
        <v>0.168846</v>
      </c>
    </row>
    <row r="19" spans="1:9" x14ac:dyDescent="0.2">
      <c r="A19" s="21" t="s">
        <v>1837</v>
      </c>
      <c r="B19" s="183" t="s">
        <v>1838</v>
      </c>
      <c r="C19" s="269">
        <f ca="1">C17*C18</f>
        <v>957.3968098421052</v>
      </c>
      <c r="G19" s="9" t="s">
        <v>1843</v>
      </c>
      <c r="H19" s="98">
        <f ca="1">C29</f>
        <v>509.58217298047543</v>
      </c>
      <c r="I19" s="1055">
        <f ca="1">H19/(C$17/1000)</f>
        <v>8.9869645161290326E-2</v>
      </c>
    </row>
    <row r="20" spans="1:9" x14ac:dyDescent="0.2">
      <c r="A20" s="135" t="s">
        <v>1860</v>
      </c>
      <c r="B20" s="261" t="s">
        <v>1862</v>
      </c>
      <c r="C20" s="112">
        <v>10000</v>
      </c>
      <c r="G20" s="9" t="s">
        <v>1844</v>
      </c>
      <c r="H20" s="98">
        <f ca="1">C30</f>
        <v>77.209420148556887</v>
      </c>
      <c r="I20" s="1055">
        <f ca="1">H20/(C$17/1000)</f>
        <v>1.3616612903225809E-2</v>
      </c>
    </row>
    <row r="21" spans="1:9" x14ac:dyDescent="0.2">
      <c r="A21" s="260" t="s">
        <v>1861</v>
      </c>
      <c r="B21" s="262" t="s">
        <v>1862</v>
      </c>
      <c r="C21" s="127">
        <v>100</v>
      </c>
      <c r="G21" s="9" t="s">
        <v>1866</v>
      </c>
      <c r="H21" s="98">
        <f ca="1">C31</f>
        <v>17.344941817533005</v>
      </c>
      <c r="I21" s="1055">
        <f ca="1">H21/(C$17/1000)</f>
        <v>3.0589448554838709E-3</v>
      </c>
    </row>
    <row r="22" spans="1:9" x14ac:dyDescent="0.2">
      <c r="A22" s="260" t="s">
        <v>1863</v>
      </c>
      <c r="B22" s="262" t="s">
        <v>1862</v>
      </c>
      <c r="C22" s="127">
        <v>100</v>
      </c>
    </row>
    <row r="23" spans="1:9" x14ac:dyDescent="0.2">
      <c r="A23" s="260" t="s">
        <v>1864</v>
      </c>
      <c r="B23" s="262" t="s">
        <v>1862</v>
      </c>
      <c r="C23" s="127">
        <v>100</v>
      </c>
      <c r="G23" s="9"/>
      <c r="H23" s="9" t="s">
        <v>3268</v>
      </c>
    </row>
    <row r="24" spans="1:9" x14ac:dyDescent="0.2">
      <c r="A24" s="260" t="s">
        <v>1839</v>
      </c>
      <c r="B24" s="262" t="s">
        <v>1081</v>
      </c>
      <c r="C24" s="127">
        <v>0.62</v>
      </c>
      <c r="G24" s="9" t="s">
        <v>3269</v>
      </c>
      <c r="H24" s="9">
        <v>0.168846</v>
      </c>
    </row>
    <row r="25" spans="1:9" x14ac:dyDescent="0.2">
      <c r="A25" s="260" t="s">
        <v>1840</v>
      </c>
      <c r="B25" s="262" t="s">
        <v>1081</v>
      </c>
      <c r="C25" s="127">
        <v>0.33</v>
      </c>
      <c r="G25" s="9" t="s">
        <v>3270</v>
      </c>
      <c r="H25" s="9">
        <v>8.9869645161290326E-2</v>
      </c>
    </row>
    <row r="26" spans="1:9" x14ac:dyDescent="0.2">
      <c r="A26" s="21" t="s">
        <v>1841</v>
      </c>
      <c r="B26" s="263" t="s">
        <v>1081</v>
      </c>
      <c r="C26" s="120">
        <v>0.05</v>
      </c>
      <c r="G26" s="9" t="s">
        <v>3271</v>
      </c>
      <c r="H26" s="9">
        <v>1.3616612903225809E-2</v>
      </c>
    </row>
    <row r="27" spans="1:9" x14ac:dyDescent="0.2">
      <c r="A27" s="135" t="s">
        <v>1847</v>
      </c>
      <c r="B27" s="261" t="s">
        <v>1842</v>
      </c>
      <c r="C27" s="277">
        <f ca="1">C17*C18/C24</f>
        <v>1544.1884029711375</v>
      </c>
      <c r="D27" s="261" t="s">
        <v>444</v>
      </c>
      <c r="E27" s="277">
        <f ca="1">SUM(E28:E30)</f>
        <v>1734.4941817533004</v>
      </c>
      <c r="F27" s="9" t="s">
        <v>3283</v>
      </c>
      <c r="G27" s="9" t="s">
        <v>3272</v>
      </c>
      <c r="H27" s="9">
        <v>3.0589448554838709E-3</v>
      </c>
    </row>
    <row r="28" spans="1:9" x14ac:dyDescent="0.2">
      <c r="A28" s="260" t="s">
        <v>1837</v>
      </c>
      <c r="B28" s="262" t="s">
        <v>391</v>
      </c>
      <c r="C28" s="268">
        <f ca="1">C$27*C24</f>
        <v>957.3968098421052</v>
      </c>
      <c r="D28" s="262" t="s">
        <v>444</v>
      </c>
      <c r="E28" s="268">
        <f ca="1">C28*Units!C29</f>
        <v>629.00970406626311</v>
      </c>
      <c r="F28" s="9">
        <v>0.87829999999999997</v>
      </c>
      <c r="G28" s="9" t="s">
        <v>1764</v>
      </c>
      <c r="H28" s="98">
        <f ca="1">SUM(H18:H21)</f>
        <v>1561.5333447886708</v>
      </c>
    </row>
    <row r="29" spans="1:9" x14ac:dyDescent="0.2">
      <c r="A29" s="260" t="s">
        <v>1843</v>
      </c>
      <c r="B29" s="262" t="s">
        <v>391</v>
      </c>
      <c r="C29" s="268">
        <f ca="1">C$27*C25</f>
        <v>509.58217298047543</v>
      </c>
      <c r="D29" s="262" t="s">
        <v>444</v>
      </c>
      <c r="E29" s="268">
        <f ca="1">C29*Units!C30</f>
        <v>1008.9727025013414</v>
      </c>
    </row>
    <row r="30" spans="1:9" x14ac:dyDescent="0.2">
      <c r="A30" s="260" t="s">
        <v>1844</v>
      </c>
      <c r="B30" s="262" t="s">
        <v>391</v>
      </c>
      <c r="C30" s="268">
        <f ca="1">C$27*C26</f>
        <v>77.209420148556887</v>
      </c>
      <c r="D30" s="262" t="s">
        <v>444</v>
      </c>
      <c r="E30" s="268">
        <f ca="1">C30*Units!C32</f>
        <v>96.511775185696109</v>
      </c>
    </row>
    <row r="31" spans="1:9" x14ac:dyDescent="0.2">
      <c r="A31" s="260" t="s">
        <v>1866</v>
      </c>
      <c r="B31" s="262" t="s">
        <v>267</v>
      </c>
      <c r="C31" s="268">
        <f ca="1">E$27*C20*Units!C$80</f>
        <v>17.344941817533005</v>
      </c>
      <c r="D31" s="263" t="s">
        <v>444</v>
      </c>
      <c r="E31" s="269">
        <f ca="1">C31*Units!C33</f>
        <v>23.589120871844887</v>
      </c>
    </row>
    <row r="32" spans="1:9" x14ac:dyDescent="0.2">
      <c r="A32" s="260" t="s">
        <v>1865</v>
      </c>
      <c r="B32" s="262" t="s">
        <v>267</v>
      </c>
      <c r="C32" s="268">
        <f ca="1">E$27*C21*Units!C$80</f>
        <v>0.17344941817533002</v>
      </c>
      <c r="D32" s="103"/>
      <c r="E32" s="100"/>
    </row>
    <row r="33" spans="1:6" x14ac:dyDescent="0.2">
      <c r="A33" s="260" t="s">
        <v>1867</v>
      </c>
      <c r="B33" s="262" t="s">
        <v>267</v>
      </c>
      <c r="C33" s="268">
        <f ca="1">E$27*C22*Units!C$80</f>
        <v>0.17344941817533002</v>
      </c>
      <c r="D33" s="103"/>
      <c r="E33" s="100"/>
    </row>
    <row r="34" spans="1:6" x14ac:dyDescent="0.2">
      <c r="A34" s="260" t="s">
        <v>1868</v>
      </c>
      <c r="B34" s="262" t="s">
        <v>267</v>
      </c>
      <c r="C34" s="268">
        <f ca="1">E$27*C23*Units!C$80</f>
        <v>0.17344941817533002</v>
      </c>
      <c r="D34" s="103"/>
      <c r="E34" s="100"/>
    </row>
    <row r="35" spans="1:6" x14ac:dyDescent="0.2">
      <c r="A35" s="9" t="s">
        <v>1848</v>
      </c>
      <c r="B35" s="255" t="s">
        <v>444</v>
      </c>
      <c r="C35" s="285">
        <f ca="1">SUM(E27:E31)^0.95</f>
        <v>2322.6766149361961</v>
      </c>
      <c r="D35" s="98">
        <f ca="1">C35*0.15</f>
        <v>348.40149224042938</v>
      </c>
      <c r="E35" t="s">
        <v>3176</v>
      </c>
    </row>
    <row r="37" spans="1:6" ht="16" thickBot="1" x14ac:dyDescent="0.25"/>
    <row r="38" spans="1:6" ht="28" thickBot="1" x14ac:dyDescent="0.4">
      <c r="A38" s="2101" t="s">
        <v>1850</v>
      </c>
      <c r="B38" s="2102"/>
      <c r="C38" s="2102"/>
      <c r="D38" s="2102"/>
      <c r="E38" s="2102"/>
      <c r="F38" s="2103"/>
    </row>
    <row r="39" spans="1:6" x14ac:dyDescent="0.2">
      <c r="A39" s="266" t="s">
        <v>580</v>
      </c>
      <c r="B39" s="266" t="s">
        <v>372</v>
      </c>
      <c r="C39" s="266" t="s">
        <v>42</v>
      </c>
    </row>
    <row r="40" spans="1:6" x14ac:dyDescent="0.2">
      <c r="A40" s="29" t="s">
        <v>1911</v>
      </c>
    </row>
    <row r="41" spans="1:6" x14ac:dyDescent="0.2">
      <c r="A41" s="135" t="s">
        <v>1912</v>
      </c>
      <c r="B41" s="261" t="s">
        <v>1915</v>
      </c>
      <c r="C41" s="112">
        <v>0.25</v>
      </c>
    </row>
    <row r="42" spans="1:6" x14ac:dyDescent="0.2">
      <c r="A42" s="260" t="s">
        <v>1913</v>
      </c>
      <c r="B42" s="262" t="s">
        <v>17</v>
      </c>
      <c r="C42" s="127">
        <v>6</v>
      </c>
    </row>
    <row r="43" spans="1:6" x14ac:dyDescent="0.2">
      <c r="A43" s="260" t="s">
        <v>1914</v>
      </c>
      <c r="B43" s="262" t="s">
        <v>275</v>
      </c>
      <c r="C43" s="127">
        <v>95</v>
      </c>
    </row>
    <row r="44" spans="1:6" x14ac:dyDescent="0.2">
      <c r="A44" s="21" t="s">
        <v>1916</v>
      </c>
      <c r="B44" s="263" t="s">
        <v>1917</v>
      </c>
      <c r="C44" s="120">
        <v>3.3</v>
      </c>
    </row>
    <row r="46" spans="1:6" x14ac:dyDescent="0.2">
      <c r="B46" s="6" t="s">
        <v>3183</v>
      </c>
      <c r="C46" s="6" t="s">
        <v>3182</v>
      </c>
    </row>
    <row r="47" spans="1:6" x14ac:dyDescent="0.2">
      <c r="B47" s="103" t="s">
        <v>3181</v>
      </c>
      <c r="C47" s="103" t="s">
        <v>3180</v>
      </c>
      <c r="D47" t="s">
        <v>3188</v>
      </c>
      <c r="E47" t="s">
        <v>3194</v>
      </c>
    </row>
    <row r="48" spans="1:6" x14ac:dyDescent="0.2">
      <c r="B48">
        <v>4000</v>
      </c>
      <c r="C48">
        <v>250</v>
      </c>
      <c r="D48">
        <f>B48/C48</f>
        <v>16</v>
      </c>
      <c r="E48">
        <f>D48*1.0316</f>
        <v>16.505600000000001</v>
      </c>
    </row>
    <row r="49" spans="1:6" x14ac:dyDescent="0.2">
      <c r="B49">
        <v>2750</v>
      </c>
      <c r="C49">
        <v>750</v>
      </c>
      <c r="D49" s="104">
        <f>B49/C49</f>
        <v>3.6666666666666665</v>
      </c>
      <c r="E49">
        <f>D49*1.0316</f>
        <v>3.7825333333333333</v>
      </c>
    </row>
    <row r="50" spans="1:6" x14ac:dyDescent="0.2">
      <c r="B50">
        <v>1900</v>
      </c>
      <c r="C50" s="6">
        <v>1250</v>
      </c>
      <c r="D50">
        <f>B50/C50</f>
        <v>1.52</v>
      </c>
      <c r="E50" s="6">
        <f>D50*1.0316</f>
        <v>1.5680320000000001</v>
      </c>
    </row>
    <row r="52" spans="1:6" x14ac:dyDescent="0.2">
      <c r="A52" s="188" t="s">
        <v>3184</v>
      </c>
      <c r="B52" s="110">
        <f>9*10^(-5)</f>
        <v>9.0000000000000006E-5</v>
      </c>
      <c r="C52" s="112" t="s">
        <v>3185</v>
      </c>
    </row>
    <row r="53" spans="1:6" x14ac:dyDescent="0.2">
      <c r="A53" s="126"/>
      <c r="B53">
        <v>-1.0049999999999999</v>
      </c>
      <c r="C53" s="127" t="s">
        <v>1936</v>
      </c>
    </row>
    <row r="54" spans="1:6" x14ac:dyDescent="0.2">
      <c r="A54" s="117"/>
      <c r="B54" s="118">
        <v>2836</v>
      </c>
      <c r="C54" s="120" t="s">
        <v>3186</v>
      </c>
    </row>
    <row r="55" spans="1:6" ht="16" thickBot="1" x14ac:dyDescent="0.25"/>
    <row r="56" spans="1:6" ht="33" thickBot="1" x14ac:dyDescent="0.45">
      <c r="A56" s="2098" t="s">
        <v>3610</v>
      </c>
      <c r="B56" s="2099"/>
      <c r="C56" s="2099"/>
      <c r="D56" s="2099"/>
      <c r="E56" s="2099"/>
      <c r="F56" s="2100"/>
    </row>
    <row r="57" spans="1:6" x14ac:dyDescent="0.2">
      <c r="B57" s="180" t="s">
        <v>3193</v>
      </c>
      <c r="C57" s="180" t="s">
        <v>3191</v>
      </c>
      <c r="D57" s="180" t="s">
        <v>3182</v>
      </c>
      <c r="F57" s="180" t="s">
        <v>3195</v>
      </c>
    </row>
    <row r="58" spans="1:6" x14ac:dyDescent="0.2">
      <c r="A58" s="6" t="s">
        <v>3189</v>
      </c>
      <c r="B58" s="103" t="s">
        <v>3187</v>
      </c>
      <c r="C58" s="103" t="s">
        <v>3192</v>
      </c>
      <c r="D58" s="103" t="s">
        <v>3180</v>
      </c>
      <c r="E58" s="103" t="s">
        <v>3188</v>
      </c>
      <c r="F58" s="103" t="s">
        <v>3194</v>
      </c>
    </row>
    <row r="59" spans="1:6" x14ac:dyDescent="0.2">
      <c r="A59" s="24">
        <v>6</v>
      </c>
      <c r="B59">
        <v>1.95</v>
      </c>
      <c r="C59">
        <v>18</v>
      </c>
      <c r="D59">
        <v>300</v>
      </c>
      <c r="E59">
        <f>B59*A$59/D59</f>
        <v>3.9E-2</v>
      </c>
      <c r="F59">
        <f>E59*1.0316</f>
        <v>4.0232400000000001E-2</v>
      </c>
    </row>
    <row r="60" spans="1:6" x14ac:dyDescent="0.2">
      <c r="A60" t="s">
        <v>3190</v>
      </c>
      <c r="B60">
        <v>1.5</v>
      </c>
      <c r="C60">
        <v>18</v>
      </c>
      <c r="D60">
        <v>700</v>
      </c>
      <c r="E60">
        <f>B60*A$59/D60</f>
        <v>1.2857142857142857E-2</v>
      </c>
      <c r="F60">
        <f>E60*1.0316</f>
        <v>1.3263428571428572E-2</v>
      </c>
    </row>
    <row r="61" spans="1:6" x14ac:dyDescent="0.2">
      <c r="B61">
        <v>1.2</v>
      </c>
      <c r="C61">
        <v>18</v>
      </c>
      <c r="D61">
        <v>1200</v>
      </c>
      <c r="E61">
        <f>B61*A$59/D61</f>
        <v>5.9999999999999993E-3</v>
      </c>
      <c r="F61">
        <f>E61*1.0316</f>
        <v>6.1896E-3</v>
      </c>
    </row>
    <row r="62" spans="1:6" x14ac:dyDescent="0.2">
      <c r="B62">
        <v>1.1499999999999999</v>
      </c>
      <c r="C62">
        <v>18</v>
      </c>
      <c r="D62">
        <v>1400</v>
      </c>
      <c r="E62">
        <f>B62*A$59/D62</f>
        <v>4.928571428571428E-3</v>
      </c>
      <c r="F62">
        <f>E62*1.0316</f>
        <v>5.0843142857142851E-3</v>
      </c>
    </row>
    <row r="64" spans="1:6" x14ac:dyDescent="0.2">
      <c r="E64" s="180" t="s">
        <v>3182</v>
      </c>
      <c r="F64" s="6" t="str">
        <f t="shared" ref="F64:F69" si="0">F57</f>
        <v>Specific Cost</v>
      </c>
    </row>
    <row r="65" spans="1:7" x14ac:dyDescent="0.2">
      <c r="A65" s="188" t="s">
        <v>3184</v>
      </c>
      <c r="B65" s="110">
        <v>88.555999999999997</v>
      </c>
      <c r="C65" s="112" t="s">
        <v>298</v>
      </c>
      <c r="E65" s="103" t="s">
        <v>3180</v>
      </c>
      <c r="F65" s="103" t="str">
        <f t="shared" si="0"/>
        <v>USD/m3/hr</v>
      </c>
    </row>
    <row r="66" spans="1:7" x14ac:dyDescent="0.2">
      <c r="A66" s="117"/>
      <c r="B66" s="118">
        <v>-1.3480000000000001</v>
      </c>
      <c r="C66" s="120" t="s">
        <v>3196</v>
      </c>
      <c r="E66">
        <v>300</v>
      </c>
      <c r="F66">
        <f t="shared" si="0"/>
        <v>4.0232400000000001E-2</v>
      </c>
    </row>
    <row r="67" spans="1:7" x14ac:dyDescent="0.2">
      <c r="E67">
        <v>700</v>
      </c>
      <c r="F67">
        <f t="shared" si="0"/>
        <v>1.3263428571428572E-2</v>
      </c>
    </row>
    <row r="68" spans="1:7" x14ac:dyDescent="0.2">
      <c r="E68">
        <v>1200</v>
      </c>
      <c r="F68">
        <f t="shared" si="0"/>
        <v>6.1896E-3</v>
      </c>
    </row>
    <row r="69" spans="1:7" x14ac:dyDescent="0.2">
      <c r="E69">
        <v>1400</v>
      </c>
      <c r="F69">
        <f t="shared" si="0"/>
        <v>5.0843142857142851E-3</v>
      </c>
    </row>
    <row r="72" spans="1:7" ht="32" x14ac:dyDescent="0.4">
      <c r="A72" s="2105" t="s">
        <v>1849</v>
      </c>
      <c r="B72" s="264"/>
      <c r="C72" s="264"/>
      <c r="D72" s="264"/>
      <c r="E72" s="264"/>
      <c r="F72" s="264"/>
      <c r="G72" s="265"/>
    </row>
    <row r="73" spans="1:7" x14ac:dyDescent="0.2">
      <c r="A73" s="266" t="s">
        <v>580</v>
      </c>
      <c r="B73" s="266" t="s">
        <v>372</v>
      </c>
      <c r="C73" s="266" t="s">
        <v>42</v>
      </c>
      <c r="D73" s="266" t="s">
        <v>372</v>
      </c>
      <c r="E73" s="266" t="s">
        <v>42</v>
      </c>
      <c r="F73" s="266" t="s">
        <v>372</v>
      </c>
      <c r="G73" s="266" t="s">
        <v>42</v>
      </c>
    </row>
    <row r="74" spans="1:7" x14ac:dyDescent="0.2">
      <c r="A74" s="135" t="s">
        <v>1851</v>
      </c>
      <c r="B74" s="261" t="s">
        <v>1353</v>
      </c>
      <c r="C74" s="270">
        <f>ExpBase!C305</f>
        <v>340.36799999999999</v>
      </c>
    </row>
    <row r="75" spans="1:7" x14ac:dyDescent="0.2">
      <c r="A75" s="260" t="s">
        <v>1852</v>
      </c>
      <c r="B75" s="262" t="s">
        <v>1353</v>
      </c>
      <c r="C75" s="271">
        <f ca="1">ExpBase!C307</f>
        <v>140.4228</v>
      </c>
    </row>
    <row r="76" spans="1:7" x14ac:dyDescent="0.2">
      <c r="A76" s="260" t="s">
        <v>1853</v>
      </c>
      <c r="B76" s="262" t="s">
        <v>1353</v>
      </c>
      <c r="C76" s="271">
        <f ca="1">ExpBase!C311</f>
        <v>140.42279999999997</v>
      </c>
    </row>
    <row r="77" spans="1:7" x14ac:dyDescent="0.2">
      <c r="A77" s="21" t="s">
        <v>1869</v>
      </c>
      <c r="B77" s="263" t="s">
        <v>1353</v>
      </c>
      <c r="C77" s="272">
        <f ca="1">SUM(C74:C76)</f>
        <v>621.21359999999993</v>
      </c>
    </row>
    <row r="78" spans="1:7" x14ac:dyDescent="0.2">
      <c r="A78" s="135" t="s">
        <v>1682</v>
      </c>
      <c r="B78" s="261" t="s">
        <v>444</v>
      </c>
      <c r="C78" s="112">
        <f ca="1">ExpBase!C261+ExpBase!G261</f>
        <v>39.668949771689498</v>
      </c>
    </row>
    <row r="79" spans="1:7" x14ac:dyDescent="0.2">
      <c r="A79" s="21" t="s">
        <v>1870</v>
      </c>
      <c r="B79" s="263" t="s">
        <v>1871</v>
      </c>
      <c r="C79" s="278">
        <f ca="1">C78*C77</f>
        <v>24642.891095890409</v>
      </c>
      <c r="E79" s="100"/>
    </row>
    <row r="80" spans="1:7" x14ac:dyDescent="0.2">
      <c r="A80" s="6"/>
    </row>
    <row r="81" spans="1:7" x14ac:dyDescent="0.2">
      <c r="A81" s="29" t="s">
        <v>1910</v>
      </c>
      <c r="B81" s="1858" t="s">
        <v>1898</v>
      </c>
      <c r="C81" s="1858"/>
      <c r="D81" s="1858" t="s">
        <v>1899</v>
      </c>
      <c r="E81" s="1858"/>
      <c r="F81" s="1858" t="s">
        <v>1900</v>
      </c>
      <c r="G81" s="1858"/>
    </row>
    <row r="82" spans="1:7" x14ac:dyDescent="0.2">
      <c r="A82" s="135" t="s">
        <v>1901</v>
      </c>
      <c r="B82" s="261" t="s">
        <v>275</v>
      </c>
      <c r="C82" s="277">
        <v>4.8499999999999996</v>
      </c>
      <c r="D82" s="261" t="s">
        <v>275</v>
      </c>
      <c r="E82" s="112">
        <v>2.31</v>
      </c>
      <c r="F82" s="261" t="s">
        <v>275</v>
      </c>
      <c r="G82" s="112">
        <v>27.66</v>
      </c>
    </row>
    <row r="83" spans="1:7" x14ac:dyDescent="0.2">
      <c r="A83" s="260" t="s">
        <v>1902</v>
      </c>
      <c r="B83" s="262" t="s">
        <v>275</v>
      </c>
      <c r="C83" s="127">
        <v>1.46</v>
      </c>
      <c r="D83" s="262" t="s">
        <v>275</v>
      </c>
      <c r="E83" s="127">
        <v>0.82</v>
      </c>
      <c r="F83" s="262" t="s">
        <v>275</v>
      </c>
      <c r="G83" s="127">
        <v>6.46</v>
      </c>
    </row>
    <row r="84" spans="1:7" x14ac:dyDescent="0.2">
      <c r="A84" s="260" t="s">
        <v>1903</v>
      </c>
      <c r="B84" s="262" t="s">
        <v>275</v>
      </c>
      <c r="C84" s="267">
        <v>3.39</v>
      </c>
      <c r="D84" s="262" t="s">
        <v>275</v>
      </c>
      <c r="E84" s="127">
        <v>3.39</v>
      </c>
      <c r="F84" s="262" t="s">
        <v>275</v>
      </c>
      <c r="G84" s="127">
        <v>21.2</v>
      </c>
    </row>
    <row r="85" spans="1:7" x14ac:dyDescent="0.2">
      <c r="A85" s="260" t="s">
        <v>1904</v>
      </c>
      <c r="B85" s="262" t="s">
        <v>1316</v>
      </c>
      <c r="C85" s="298">
        <v>35000</v>
      </c>
      <c r="D85" s="262" t="s">
        <v>1316</v>
      </c>
      <c r="E85" s="127">
        <v>8400</v>
      </c>
      <c r="F85" s="262" t="s">
        <v>1316</v>
      </c>
      <c r="G85" s="127"/>
    </row>
    <row r="86" spans="1:7" x14ac:dyDescent="0.2">
      <c r="A86" s="260" t="s">
        <v>374</v>
      </c>
      <c r="B86" s="262" t="s">
        <v>1908</v>
      </c>
      <c r="C86" s="127">
        <v>7.64</v>
      </c>
      <c r="D86" s="262" t="s">
        <v>1908</v>
      </c>
      <c r="E86" s="127">
        <v>7.94</v>
      </c>
      <c r="F86" s="262" t="s">
        <v>1908</v>
      </c>
      <c r="G86" s="127">
        <v>8.1199999999999992</v>
      </c>
    </row>
    <row r="87" spans="1:7" x14ac:dyDescent="0.2">
      <c r="A87" s="260" t="s">
        <v>1905</v>
      </c>
      <c r="B87" s="262" t="s">
        <v>1909</v>
      </c>
      <c r="C87" s="127">
        <v>4.08</v>
      </c>
      <c r="D87" s="262" t="s">
        <v>1909</v>
      </c>
      <c r="E87" s="127">
        <v>3.49</v>
      </c>
      <c r="F87" s="262" t="s">
        <v>1909</v>
      </c>
      <c r="G87" s="127">
        <v>8.15</v>
      </c>
    </row>
    <row r="88" spans="1:7" x14ac:dyDescent="0.2">
      <c r="A88" s="260" t="s">
        <v>1906</v>
      </c>
      <c r="B88" s="262" t="s">
        <v>1909</v>
      </c>
      <c r="C88" s="127">
        <v>2.87</v>
      </c>
      <c r="D88" s="262" t="s">
        <v>1909</v>
      </c>
      <c r="E88" s="127">
        <v>2.63</v>
      </c>
      <c r="F88" s="262" t="s">
        <v>1909</v>
      </c>
      <c r="G88" s="127">
        <v>4.5</v>
      </c>
    </row>
    <row r="89" spans="1:7" x14ac:dyDescent="0.2">
      <c r="A89" s="260" t="s">
        <v>1907</v>
      </c>
      <c r="B89" s="262" t="s">
        <v>1909</v>
      </c>
      <c r="C89" s="127">
        <v>1.21</v>
      </c>
      <c r="D89" s="262" t="s">
        <v>1909</v>
      </c>
      <c r="E89" s="127">
        <v>0.86</v>
      </c>
      <c r="F89" s="262" t="s">
        <v>1909</v>
      </c>
      <c r="G89" s="127">
        <v>3.65</v>
      </c>
    </row>
    <row r="90" spans="1:7" x14ac:dyDescent="0.2">
      <c r="A90" s="260" t="s">
        <v>1359</v>
      </c>
      <c r="B90" s="262" t="s">
        <v>1909</v>
      </c>
      <c r="C90" s="127">
        <v>0.94</v>
      </c>
      <c r="D90" s="262" t="s">
        <v>1909</v>
      </c>
      <c r="E90" s="127">
        <v>0.31</v>
      </c>
      <c r="F90" s="262" t="s">
        <v>1909</v>
      </c>
      <c r="G90" s="127">
        <v>6.52</v>
      </c>
    </row>
    <row r="91" spans="1:7" x14ac:dyDescent="0.2">
      <c r="A91" s="21" t="s">
        <v>1365</v>
      </c>
      <c r="B91" s="263" t="s">
        <v>1909</v>
      </c>
      <c r="C91" s="120">
        <v>0.42</v>
      </c>
      <c r="D91" s="263" t="s">
        <v>1909</v>
      </c>
      <c r="E91" s="120">
        <v>0.28999999999999998</v>
      </c>
      <c r="F91" s="263" t="s">
        <v>1909</v>
      </c>
      <c r="G91" s="120">
        <v>1.56</v>
      </c>
    </row>
    <row r="94" spans="1:7" ht="29" x14ac:dyDescent="0.35">
      <c r="A94" s="2104" t="s">
        <v>3238</v>
      </c>
      <c r="B94" s="264"/>
      <c r="C94" s="264"/>
      <c r="D94" s="264"/>
      <c r="E94" s="264"/>
      <c r="F94" s="264"/>
      <c r="G94" s="265"/>
    </row>
    <row r="95" spans="1:7" x14ac:dyDescent="0.2">
      <c r="A95" s="266" t="s">
        <v>580</v>
      </c>
      <c r="B95" s="266" t="s">
        <v>372</v>
      </c>
      <c r="C95" s="266" t="s">
        <v>42</v>
      </c>
    </row>
    <row r="96" spans="1:7" x14ac:dyDescent="0.2">
      <c r="A96" t="s">
        <v>3239</v>
      </c>
      <c r="B96" t="s">
        <v>285</v>
      </c>
      <c r="C96">
        <v>2.4</v>
      </c>
    </row>
    <row r="97" spans="1:7" x14ac:dyDescent="0.2">
      <c r="A97" t="s">
        <v>3240</v>
      </c>
      <c r="B97" t="s">
        <v>285</v>
      </c>
      <c r="C97">
        <f>C96/(9-5)</f>
        <v>0.6</v>
      </c>
    </row>
    <row r="100" spans="1:7" ht="32" x14ac:dyDescent="0.4">
      <c r="A100" s="2106" t="s">
        <v>3255</v>
      </c>
      <c r="B100" s="2107"/>
      <c r="C100" s="2107"/>
      <c r="D100" s="2107"/>
      <c r="E100" s="2107"/>
      <c r="F100" s="2107"/>
      <c r="G100" s="2108"/>
    </row>
    <row r="101" spans="1:7" x14ac:dyDescent="0.2">
      <c r="B101" s="6" t="s">
        <v>585</v>
      </c>
      <c r="C101" s="6" t="s">
        <v>584</v>
      </c>
    </row>
    <row r="102" spans="1:7" x14ac:dyDescent="0.2">
      <c r="A102" s="6" t="s">
        <v>3257</v>
      </c>
      <c r="B102" s="243">
        <f>(Inputs!F13*Inputs!F14*C16)*1000</f>
        <v>999000</v>
      </c>
      <c r="C102" s="243">
        <f ca="1">(Inputs!F13*Inputs!F15*C15)*1000</f>
        <v>4671236.8421052629</v>
      </c>
      <c r="D102" t="s">
        <v>3256</v>
      </c>
    </row>
    <row r="103" spans="1:7" x14ac:dyDescent="0.2">
      <c r="A103" s="6" t="s">
        <v>1007</v>
      </c>
      <c r="B103" s="100">
        <f>B102*AVERAGE(C10:C14)/1000</f>
        <v>318.34134</v>
      </c>
      <c r="C103" s="100">
        <f ca="1">C102*AVERAGE(C6:C8)/1000</f>
        <v>722.48463157894719</v>
      </c>
      <c r="D103" t="s">
        <v>3260</v>
      </c>
    </row>
    <row r="104" spans="1:7" x14ac:dyDescent="0.2">
      <c r="A104" s="6" t="s">
        <v>3117</v>
      </c>
      <c r="B104" s="100">
        <f>B103/C24</f>
        <v>513.45377419354838</v>
      </c>
      <c r="C104" s="100">
        <f ca="1">C103/C24</f>
        <v>1165.2977928692696</v>
      </c>
      <c r="D104" t="s">
        <v>3261</v>
      </c>
    </row>
    <row r="105" spans="1:7" x14ac:dyDescent="0.2">
      <c r="A105" s="6" t="s">
        <v>432</v>
      </c>
      <c r="B105" s="100">
        <f>B104*C25</f>
        <v>169.43974548387098</v>
      </c>
      <c r="C105" s="100">
        <f ca="1">C104*C25</f>
        <v>384.54827164685901</v>
      </c>
      <c r="D105" t="s">
        <v>3262</v>
      </c>
    </row>
    <row r="106" spans="1:7" x14ac:dyDescent="0.2">
      <c r="D106" t="s">
        <v>577</v>
      </c>
    </row>
    <row r="107" spans="1:7" x14ac:dyDescent="0.2">
      <c r="A107" s="6" t="s">
        <v>3258</v>
      </c>
      <c r="B107">
        <f>(B103*Units!$C$490)/(Units!$C$37*Units!$C$85)</f>
        <v>8.5702121867862358E-2</v>
      </c>
      <c r="C107">
        <f ca="1">(C103*Units!$C$490)/(Units!$C$37*Units!$C$85)</f>
        <v>0.19450337786238059</v>
      </c>
      <c r="D107">
        <f ca="1">SUM(B107:C107)</f>
        <v>0.28020549973024295</v>
      </c>
      <c r="E107" t="s">
        <v>3059</v>
      </c>
    </row>
    <row r="108" spans="1:7" x14ac:dyDescent="0.2">
      <c r="A108" s="6" t="s">
        <v>3264</v>
      </c>
      <c r="B108">
        <f>(B104*Units!$C$490)/(Units!$C$37*Units!$C$85)</f>
        <v>0.13822922881913283</v>
      </c>
      <c r="C108">
        <f ca="1">(C104*Units!$C$490)/(Units!$C$37*Units!$C$85)</f>
        <v>0.31371512558448478</v>
      </c>
      <c r="D108">
        <f ca="1">SUM(B108:C108)</f>
        <v>0.45194435440361758</v>
      </c>
      <c r="E108" t="s">
        <v>3059</v>
      </c>
    </row>
    <row r="109" spans="1:7" x14ac:dyDescent="0.2">
      <c r="A109" s="6" t="s">
        <v>3259</v>
      </c>
      <c r="B109">
        <f>(B105*Units!$C$490)/(Units!$C$37*Units!$C$85)</f>
        <v>4.5615645510313836E-2</v>
      </c>
      <c r="C109">
        <f ca="1">(C105*Units!$C$490)/(Units!$C$37*Units!$C$85)</f>
        <v>0.10352599144287999</v>
      </c>
      <c r="D109">
        <f ca="1">SUM(B109:C109)</f>
        <v>0.14914163695319382</v>
      </c>
      <c r="E109" t="s">
        <v>3059</v>
      </c>
    </row>
    <row r="110" spans="1:7" x14ac:dyDescent="0.2">
      <c r="G110" s="24"/>
    </row>
    <row r="111" spans="1:7" x14ac:dyDescent="0.2">
      <c r="A111" s="6" t="s">
        <v>3265</v>
      </c>
      <c r="B111">
        <f>B108</f>
        <v>0.13822922881913283</v>
      </c>
      <c r="C111" t="s">
        <v>3059</v>
      </c>
    </row>
    <row r="112" spans="1:7" x14ac:dyDescent="0.2">
      <c r="A112" s="6" t="s">
        <v>3266</v>
      </c>
      <c r="B112">
        <f ca="1">C108</f>
        <v>0.31371512558448478</v>
      </c>
      <c r="C112" t="s">
        <v>3059</v>
      </c>
    </row>
    <row r="113" spans="1:3" x14ac:dyDescent="0.2">
      <c r="A113" s="6" t="s">
        <v>1007</v>
      </c>
      <c r="B113">
        <f ca="1">D107*0.95</f>
        <v>0.26619522474373081</v>
      </c>
      <c r="C113" t="s">
        <v>3059</v>
      </c>
    </row>
    <row r="114" spans="1:3" x14ac:dyDescent="0.2">
      <c r="A114" s="6" t="s">
        <v>3267</v>
      </c>
      <c r="B114">
        <f ca="1">D109+(D107*0.05)</f>
        <v>0.16315191193970596</v>
      </c>
      <c r="C114" t="s">
        <v>3059</v>
      </c>
    </row>
  </sheetData>
  <mergeCells count="5">
    <mergeCell ref="B81:C81"/>
    <mergeCell ref="D81:E81"/>
    <mergeCell ref="F81:G81"/>
    <mergeCell ref="G16:I16"/>
    <mergeCell ref="A100:G100"/>
  </mergeCells>
  <pageMargins left="0.7" right="0.7" top="0.75" bottom="0.75" header="0.3" footer="0.3"/>
  <pageSetup orientation="portrait" horizontalDpi="0" verticalDpi="0"/>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59E53-B333-4A72-A541-E7ECF1CD7402}">
  <sheetPr codeName="Sheet20"/>
  <dimension ref="A1:O95"/>
  <sheetViews>
    <sheetView topLeftCell="B1" workbookViewId="0">
      <selection activeCell="O74" sqref="O74"/>
    </sheetView>
  </sheetViews>
  <sheetFormatPr baseColWidth="10" defaultColWidth="8.83203125" defaultRowHeight="15" x14ac:dyDescent="0.2"/>
  <cols>
    <col min="1" max="1" width="36.1640625" customWidth="1"/>
    <col min="2" max="2" width="16" customWidth="1"/>
    <col min="3" max="3" width="11.5" customWidth="1"/>
    <col min="4" max="4" width="12.1640625" customWidth="1"/>
    <col min="5" max="5" width="75.5" customWidth="1"/>
    <col min="6" max="6" width="16" style="1" customWidth="1"/>
    <col min="7" max="7" width="15.1640625" customWidth="1"/>
    <col min="8" max="14" width="12.1640625" customWidth="1"/>
    <col min="15" max="15" width="24.5" customWidth="1"/>
  </cols>
  <sheetData>
    <row r="1" spans="1:15" x14ac:dyDescent="0.2">
      <c r="A1" s="1605" t="s">
        <v>3198</v>
      </c>
      <c r="B1" s="1605"/>
      <c r="C1" s="1605"/>
      <c r="D1" s="1605"/>
      <c r="E1" s="1605"/>
      <c r="F1" s="1605"/>
      <c r="G1" s="1605"/>
      <c r="H1" s="1605"/>
      <c r="I1" s="1605"/>
      <c r="J1" s="1605"/>
      <c r="K1" s="1605"/>
      <c r="L1" s="1605"/>
      <c r="M1" s="1605"/>
      <c r="N1" s="1605"/>
      <c r="O1" s="1605"/>
    </row>
    <row r="2" spans="1:15" ht="16" thickBot="1" x14ac:dyDescent="0.25">
      <c r="A2" s="1606"/>
      <c r="B2" s="1606"/>
      <c r="C2" s="1606"/>
      <c r="D2" s="1606"/>
      <c r="E2" s="1606"/>
      <c r="F2" s="1606"/>
      <c r="G2" s="1606"/>
      <c r="H2" s="1606"/>
      <c r="I2" s="1606"/>
      <c r="J2" s="1606"/>
      <c r="K2" s="1606"/>
      <c r="L2" s="1606"/>
      <c r="M2" s="1606"/>
      <c r="N2" s="1606"/>
      <c r="O2" s="1606"/>
    </row>
    <row r="3" spans="1:15" ht="16" thickBot="1" x14ac:dyDescent="0.25"/>
    <row r="4" spans="1:15" x14ac:dyDescent="0.2">
      <c r="A4" s="1859" t="s">
        <v>1856</v>
      </c>
      <c r="B4" s="1860"/>
      <c r="C4" s="1860"/>
      <c r="D4" s="1860"/>
      <c r="E4" s="1860"/>
      <c r="F4" s="1860"/>
      <c r="G4" s="1860"/>
      <c r="H4" s="1860"/>
      <c r="I4" s="1860"/>
      <c r="J4" s="1860"/>
      <c r="K4" s="1860"/>
      <c r="L4" s="1860"/>
      <c r="M4" s="1860"/>
      <c r="N4" s="1860"/>
      <c r="O4" s="1861"/>
    </row>
    <row r="5" spans="1:15" ht="16" thickBot="1" x14ac:dyDescent="0.25">
      <c r="A5" s="1862"/>
      <c r="B5" s="1863"/>
      <c r="C5" s="1863"/>
      <c r="D5" s="1863"/>
      <c r="E5" s="1863"/>
      <c r="F5" s="1863"/>
      <c r="G5" s="1863"/>
      <c r="H5" s="1863"/>
      <c r="I5" s="1863"/>
      <c r="J5" s="1863"/>
      <c r="K5" s="1863"/>
      <c r="L5" s="1863"/>
      <c r="M5" s="1863"/>
      <c r="N5" s="1863"/>
      <c r="O5" s="1864"/>
    </row>
    <row r="6" spans="1:15" ht="16" thickBot="1" x14ac:dyDescent="0.25">
      <c r="A6" s="1683" t="s">
        <v>509</v>
      </c>
      <c r="B6" s="1684"/>
      <c r="C6" s="1684"/>
      <c r="D6" s="1684"/>
      <c r="E6" s="1684"/>
      <c r="F6" s="1684"/>
      <c r="G6" s="1684"/>
      <c r="H6" s="1684"/>
      <c r="I6" s="1684"/>
      <c r="J6" s="1684"/>
      <c r="K6" s="1684"/>
      <c r="L6" s="1684"/>
      <c r="M6" s="1684"/>
      <c r="N6" s="1684"/>
      <c r="O6" s="1685"/>
    </row>
    <row r="7" spans="1:15" ht="16" thickBot="1" x14ac:dyDescent="0.25">
      <c r="A7" s="1721" t="s">
        <v>510</v>
      </c>
      <c r="B7" s="1722"/>
      <c r="C7" s="1722"/>
      <c r="D7" s="1722"/>
      <c r="E7" s="1723"/>
      <c r="F7" s="1721" t="s">
        <v>511</v>
      </c>
      <c r="G7" s="1722"/>
      <c r="H7" s="1722"/>
      <c r="I7" s="1722"/>
      <c r="J7" s="1723"/>
      <c r="K7" s="1721" t="s">
        <v>512</v>
      </c>
      <c r="L7" s="1722"/>
      <c r="M7" s="1722"/>
      <c r="N7" s="1723"/>
      <c r="O7" s="1709" t="s">
        <v>513</v>
      </c>
    </row>
    <row r="8" spans="1:15" x14ac:dyDescent="0.2">
      <c r="A8" s="1709" t="s">
        <v>514</v>
      </c>
      <c r="B8" s="1709" t="s">
        <v>515</v>
      </c>
      <c r="C8" s="1709" t="s">
        <v>372</v>
      </c>
      <c r="D8" s="1709" t="s">
        <v>516</v>
      </c>
      <c r="E8" s="1709" t="s">
        <v>517</v>
      </c>
      <c r="F8" s="1866" t="s">
        <v>518</v>
      </c>
      <c r="G8" s="1709" t="s">
        <v>515</v>
      </c>
      <c r="H8" s="1709" t="s">
        <v>372</v>
      </c>
      <c r="I8" s="1709" t="s">
        <v>519</v>
      </c>
      <c r="J8" s="1709" t="s">
        <v>520</v>
      </c>
      <c r="K8" s="1709" t="s">
        <v>521</v>
      </c>
      <c r="L8" s="1709" t="s">
        <v>522</v>
      </c>
      <c r="M8" s="1709" t="s">
        <v>523</v>
      </c>
      <c r="N8" s="1709" t="s">
        <v>726</v>
      </c>
      <c r="O8" s="1865"/>
    </row>
    <row r="9" spans="1:15" ht="16" thickBot="1" x14ac:dyDescent="0.25">
      <c r="A9" s="1710"/>
      <c r="B9" s="1710"/>
      <c r="C9" s="1710"/>
      <c r="D9" s="1710"/>
      <c r="E9" s="1710"/>
      <c r="F9" s="1867"/>
      <c r="G9" s="1710"/>
      <c r="H9" s="1710"/>
      <c r="I9" s="1710"/>
      <c r="J9" s="1710"/>
      <c r="K9" s="1710"/>
      <c r="L9" s="1710"/>
      <c r="M9" s="1710"/>
      <c r="N9" s="1710"/>
      <c r="O9" s="1710"/>
    </row>
    <row r="10" spans="1:15" ht="17" thickBot="1" x14ac:dyDescent="0.25">
      <c r="A10" s="35" t="s">
        <v>525</v>
      </c>
      <c r="B10" s="171">
        <f>CAPEX!B14*2</f>
        <v>80</v>
      </c>
      <c r="C10" s="47" t="s">
        <v>13</v>
      </c>
      <c r="D10" s="171">
        <f>CAPEX!D14</f>
        <v>43</v>
      </c>
      <c r="E10" s="36" t="s">
        <v>606</v>
      </c>
      <c r="F10" s="280">
        <f>Inputs!F$844*G10</f>
        <v>355000</v>
      </c>
      <c r="G10" s="36">
        <v>40</v>
      </c>
      <c r="H10" s="47" t="s">
        <v>13</v>
      </c>
      <c r="I10" s="36">
        <v>2024</v>
      </c>
      <c r="J10" s="36"/>
      <c r="K10" s="36">
        <v>1</v>
      </c>
      <c r="L10" s="36">
        <v>1</v>
      </c>
      <c r="M10" s="36">
        <f>B10/G10</f>
        <v>2</v>
      </c>
      <c r="N10" s="102">
        <f>CAPEX!N13</f>
        <v>1</v>
      </c>
      <c r="O10" s="1028">
        <f>N10*F10*D10*M10</f>
        <v>30530000</v>
      </c>
    </row>
    <row r="11" spans="1:15" ht="15" customHeight="1" thickBot="1" x14ac:dyDescent="0.25">
      <c r="A11" s="882" t="s">
        <v>2496</v>
      </c>
      <c r="B11" s="899">
        <f ca="1">CAPEX!B15*2</f>
        <v>74603.185938494833</v>
      </c>
      <c r="C11" s="885" t="s">
        <v>2494</v>
      </c>
      <c r="D11" s="892">
        <v>2</v>
      </c>
      <c r="E11" s="886"/>
      <c r="F11" s="1000">
        <v>80000</v>
      </c>
      <c r="G11" s="893">
        <v>367.43700000000001</v>
      </c>
      <c r="H11" s="885" t="s">
        <v>2494</v>
      </c>
      <c r="I11" s="885">
        <v>1998</v>
      </c>
      <c r="J11" s="886"/>
      <c r="K11" s="887">
        <v>0.6</v>
      </c>
      <c r="L11" s="887">
        <v>2.4700000000000002</v>
      </c>
      <c r="M11" s="933">
        <f ca="1">B11/G11</f>
        <v>203.03667278606898</v>
      </c>
      <c r="N11" s="949">
        <f>CAPEX!N15</f>
        <v>2.8304219409282703</v>
      </c>
      <c r="O11" s="1029">
        <f ca="1">D11*N11*F11*L11*M11^(K11)</f>
        <v>27115199.91911744</v>
      </c>
    </row>
    <row r="12" spans="1:15" ht="16" thickBot="1" x14ac:dyDescent="0.25">
      <c r="A12" s="1677" t="s">
        <v>526</v>
      </c>
      <c r="B12" s="1678"/>
      <c r="C12" s="1678"/>
      <c r="D12" s="1678"/>
      <c r="E12" s="1678"/>
      <c r="F12" s="1678"/>
      <c r="G12" s="1678"/>
      <c r="H12" s="1678"/>
      <c r="I12" s="1678"/>
      <c r="J12" s="1678"/>
      <c r="K12" s="1678"/>
      <c r="L12" s="1678"/>
      <c r="M12" s="1678"/>
      <c r="N12" s="1679"/>
      <c r="O12" s="1028">
        <f ca="1">SUM(O10:O11)</f>
        <v>57645199.919117436</v>
      </c>
    </row>
    <row r="14" spans="1:15" ht="16" thickBot="1" x14ac:dyDescent="0.25"/>
    <row r="15" spans="1:15" x14ac:dyDescent="0.2">
      <c r="A15" s="1868" t="s">
        <v>1415</v>
      </c>
      <c r="B15" s="1869"/>
      <c r="C15" s="1869"/>
      <c r="D15" s="1869"/>
      <c r="E15" s="1869"/>
      <c r="F15" s="1869"/>
      <c r="G15" s="1869"/>
      <c r="H15" s="1869"/>
      <c r="I15" s="1869"/>
      <c r="J15" s="1869"/>
      <c r="K15" s="1869"/>
      <c r="L15" s="1869"/>
      <c r="M15" s="1869"/>
      <c r="N15" s="1869"/>
      <c r="O15" s="1870"/>
    </row>
    <row r="16" spans="1:15" ht="16" thickBot="1" x14ac:dyDescent="0.25">
      <c r="A16" s="1871"/>
      <c r="B16" s="1872"/>
      <c r="C16" s="1872"/>
      <c r="D16" s="1872"/>
      <c r="E16" s="1872"/>
      <c r="F16" s="1872"/>
      <c r="G16" s="1872"/>
      <c r="H16" s="1872"/>
      <c r="I16" s="1872"/>
      <c r="J16" s="1872"/>
      <c r="K16" s="1872"/>
      <c r="L16" s="1872"/>
      <c r="M16" s="1872"/>
      <c r="N16" s="1872"/>
      <c r="O16" s="1873"/>
    </row>
    <row r="17" spans="1:15" ht="15" customHeight="1" thickBot="1" x14ac:dyDescent="0.25">
      <c r="A17" s="1683" t="s">
        <v>510</v>
      </c>
      <c r="B17" s="1684"/>
      <c r="C17" s="1684"/>
      <c r="D17" s="1684"/>
      <c r="E17" s="1685"/>
      <c r="F17" s="1683" t="s">
        <v>511</v>
      </c>
      <c r="G17" s="1684"/>
      <c r="H17" s="1684"/>
      <c r="I17" s="1684"/>
      <c r="J17" s="1685"/>
      <c r="K17" s="1683" t="s">
        <v>512</v>
      </c>
      <c r="L17" s="1684"/>
      <c r="M17" s="1684"/>
      <c r="N17" s="1685"/>
      <c r="O17" s="1686" t="s">
        <v>513</v>
      </c>
    </row>
    <row r="18" spans="1:15" ht="15" customHeight="1" x14ac:dyDescent="0.2">
      <c r="A18" s="1689" t="s">
        <v>514</v>
      </c>
      <c r="B18" s="1876" t="s">
        <v>515</v>
      </c>
      <c r="C18" s="1689" t="s">
        <v>372</v>
      </c>
      <c r="D18" s="1876" t="s">
        <v>516</v>
      </c>
      <c r="E18" s="1689" t="s">
        <v>517</v>
      </c>
      <c r="F18" s="1878" t="s">
        <v>518</v>
      </c>
      <c r="G18" s="1876" t="s">
        <v>515</v>
      </c>
      <c r="H18" s="1689" t="s">
        <v>372</v>
      </c>
      <c r="I18" s="1689" t="s">
        <v>519</v>
      </c>
      <c r="J18" s="1689" t="s">
        <v>520</v>
      </c>
      <c r="K18" s="1689" t="s">
        <v>521</v>
      </c>
      <c r="L18" s="1689" t="s">
        <v>522</v>
      </c>
      <c r="M18" s="1874" t="s">
        <v>523</v>
      </c>
      <c r="N18" s="1003" t="s">
        <v>527</v>
      </c>
      <c r="O18" s="1687"/>
    </row>
    <row r="19" spans="1:15" ht="15" customHeight="1" thickBot="1" x14ac:dyDescent="0.25">
      <c r="A19" s="1690"/>
      <c r="B19" s="1877"/>
      <c r="C19" s="1690"/>
      <c r="D19" s="1877"/>
      <c r="E19" s="1690"/>
      <c r="F19" s="1879"/>
      <c r="G19" s="1877"/>
      <c r="H19" s="1690"/>
      <c r="I19" s="1690"/>
      <c r="J19" s="1690"/>
      <c r="K19" s="1690"/>
      <c r="L19" s="1690"/>
      <c r="M19" s="1875"/>
      <c r="N19" s="1004">
        <v>2024</v>
      </c>
      <c r="O19" s="1688"/>
    </row>
    <row r="20" spans="1:15" ht="15" customHeight="1" thickBot="1" x14ac:dyDescent="0.25">
      <c r="A20" s="51" t="s">
        <v>2511</v>
      </c>
      <c r="B20" s="894">
        <f>CAPEX!B121*2</f>
        <v>22306</v>
      </c>
      <c r="C20" s="47" t="s">
        <v>1543</v>
      </c>
      <c r="D20" s="894">
        <v>2</v>
      </c>
      <c r="E20" s="48" t="s">
        <v>2512</v>
      </c>
      <c r="F20" s="280">
        <v>33000</v>
      </c>
      <c r="G20" s="894">
        <v>75</v>
      </c>
      <c r="H20" s="47" t="s">
        <v>1543</v>
      </c>
      <c r="I20" s="47">
        <v>2003</v>
      </c>
      <c r="J20" s="41"/>
      <c r="K20" s="47">
        <v>0.9</v>
      </c>
      <c r="L20" s="47">
        <v>1.5</v>
      </c>
      <c r="M20" s="936">
        <f t="shared" ref="M20:M26" si="0">B20/G20</f>
        <v>297.41333333333336</v>
      </c>
      <c r="N20" s="953">
        <f>CAPEX!N121</f>
        <v>2.5983602324080048</v>
      </c>
      <c r="O20" s="917">
        <f t="shared" ref="O20:O31" si="1">D20*N20*F20*L20*M20^(K20)</f>
        <v>43287145.349668056</v>
      </c>
    </row>
    <row r="21" spans="1:15" ht="15" customHeight="1" thickBot="1" x14ac:dyDescent="0.25">
      <c r="A21" s="35" t="s">
        <v>2505</v>
      </c>
      <c r="B21" s="894">
        <f>CAPEX!B122*2</f>
        <v>9.7684828451972994</v>
      </c>
      <c r="C21" s="47" t="s">
        <v>1</v>
      </c>
      <c r="D21" s="894">
        <v>2</v>
      </c>
      <c r="E21" s="36" t="s">
        <v>530</v>
      </c>
      <c r="F21" s="280">
        <f>Inputs!F$847</f>
        <v>188.34</v>
      </c>
      <c r="G21" s="897">
        <v>0.76</v>
      </c>
      <c r="H21" s="47" t="s">
        <v>1</v>
      </c>
      <c r="I21" s="47">
        <v>2022</v>
      </c>
      <c r="J21" s="36">
        <v>6</v>
      </c>
      <c r="K21" s="47">
        <v>0.7</v>
      </c>
      <c r="L21" s="47">
        <v>1.8</v>
      </c>
      <c r="M21" s="936">
        <f t="shared" si="0"/>
        <v>12.853266901575394</v>
      </c>
      <c r="N21" s="953">
        <f>CAPEX!N122</f>
        <v>0.93135716765012155</v>
      </c>
      <c r="O21" s="917">
        <f t="shared" si="1"/>
        <v>3772.8609216959676</v>
      </c>
    </row>
    <row r="22" spans="1:15" ht="15" customHeight="1" thickBot="1" x14ac:dyDescent="0.25">
      <c r="A22" s="35" t="s">
        <v>2506</v>
      </c>
      <c r="B22" s="894">
        <f>CAPEX!B123*2</f>
        <v>19.536965690394599</v>
      </c>
      <c r="C22" s="47" t="s">
        <v>7</v>
      </c>
      <c r="D22" s="894">
        <v>2</v>
      </c>
      <c r="E22" s="64" t="s">
        <v>857</v>
      </c>
      <c r="F22" s="280">
        <f>CostCalc!F$714</f>
        <v>8.35</v>
      </c>
      <c r="G22" s="897">
        <f>ROUNDUP(CostCalc!G$714,2)</f>
        <v>9.9999999999999992E-2</v>
      </c>
      <c r="H22" s="47" t="s">
        <v>7</v>
      </c>
      <c r="I22" s="47">
        <v>2022</v>
      </c>
      <c r="J22" s="36">
        <v>3</v>
      </c>
      <c r="K22" s="47">
        <v>0.7</v>
      </c>
      <c r="L22" s="47">
        <v>1.5</v>
      </c>
      <c r="M22" s="936">
        <f t="shared" si="0"/>
        <v>195.36965690394601</v>
      </c>
      <c r="N22" s="953">
        <f>CAPEX!N123</f>
        <v>0.93135716765012155</v>
      </c>
      <c r="O22" s="917">
        <f t="shared" si="1"/>
        <v>936.53491095463789</v>
      </c>
    </row>
    <row r="23" spans="1:15" ht="15" customHeight="1" thickBot="1" x14ac:dyDescent="0.25">
      <c r="A23" s="35" t="s">
        <v>2507</v>
      </c>
      <c r="B23" s="894">
        <f>CAPEX!B124*2</f>
        <v>448.69991277587593</v>
      </c>
      <c r="C23" s="47" t="s">
        <v>11</v>
      </c>
      <c r="D23" s="894">
        <v>2</v>
      </c>
      <c r="E23" s="36" t="s">
        <v>2504</v>
      </c>
      <c r="F23" s="280">
        <v>52500</v>
      </c>
      <c r="G23" s="897">
        <v>30</v>
      </c>
      <c r="H23" s="47" t="s">
        <v>11</v>
      </c>
      <c r="I23" s="47">
        <v>2009</v>
      </c>
      <c r="J23" s="36"/>
      <c r="K23" s="47">
        <v>1</v>
      </c>
      <c r="L23" s="47">
        <v>1.5</v>
      </c>
      <c r="M23" s="936">
        <f t="shared" si="0"/>
        <v>14.956663759195864</v>
      </c>
      <c r="N23" s="953">
        <f>CAPEX!N124</f>
        <v>1.4716124314442414</v>
      </c>
      <c r="O23" s="917">
        <f t="shared" si="1"/>
        <v>3466639.9405518603</v>
      </c>
    </row>
    <row r="24" spans="1:15" ht="15" customHeight="1" thickBot="1" x14ac:dyDescent="0.25">
      <c r="A24" s="35" t="s">
        <v>2508</v>
      </c>
      <c r="B24" s="894">
        <f>CAPEX!B125*2</f>
        <v>3.8338232343499903</v>
      </c>
      <c r="C24" s="47" t="s">
        <v>1</v>
      </c>
      <c r="D24" s="894">
        <v>2</v>
      </c>
      <c r="E24" s="36" t="s">
        <v>530</v>
      </c>
      <c r="F24" s="280">
        <f>Inputs!F$847</f>
        <v>188.34</v>
      </c>
      <c r="G24" s="897">
        <v>0.76</v>
      </c>
      <c r="H24" s="47" t="s">
        <v>1</v>
      </c>
      <c r="I24" s="47">
        <v>2022</v>
      </c>
      <c r="J24" s="36">
        <v>6</v>
      </c>
      <c r="K24" s="47">
        <v>0.7</v>
      </c>
      <c r="L24" s="47">
        <v>1.8</v>
      </c>
      <c r="M24" s="936">
        <f t="shared" si="0"/>
        <v>5.0445042557236714</v>
      </c>
      <c r="N24" s="953">
        <f>CAPEX!N125</f>
        <v>0.93135716765012155</v>
      </c>
      <c r="O24" s="917">
        <f t="shared" si="1"/>
        <v>1960.3529609752379</v>
      </c>
    </row>
    <row r="25" spans="1:15" ht="15" customHeight="1" thickBot="1" x14ac:dyDescent="0.25">
      <c r="A25" s="35" t="s">
        <v>2509</v>
      </c>
      <c r="B25" s="894">
        <f>CAPEX!B126*2</f>
        <v>7.6676464686999806</v>
      </c>
      <c r="C25" s="47" t="s">
        <v>7</v>
      </c>
      <c r="D25" s="894">
        <v>2</v>
      </c>
      <c r="E25" s="64" t="s">
        <v>857</v>
      </c>
      <c r="F25" s="280">
        <f>CostCalc!F$714</f>
        <v>8.35</v>
      </c>
      <c r="G25" s="897">
        <f>ROUNDUP(CostCalc!G$714,2)</f>
        <v>9.9999999999999992E-2</v>
      </c>
      <c r="H25" s="47" t="s">
        <v>7</v>
      </c>
      <c r="I25" s="47">
        <v>2022</v>
      </c>
      <c r="J25" s="36">
        <v>3</v>
      </c>
      <c r="K25" s="47">
        <v>0.7</v>
      </c>
      <c r="L25" s="47">
        <v>1.5</v>
      </c>
      <c r="M25" s="936">
        <f t="shared" si="0"/>
        <v>76.676464686999807</v>
      </c>
      <c r="N25" s="953">
        <f>CAPEX!N126</f>
        <v>0.93135716765012155</v>
      </c>
      <c r="O25" s="917">
        <f t="shared" si="1"/>
        <v>486.61719152937093</v>
      </c>
    </row>
    <row r="26" spans="1:15" ht="15" customHeight="1" thickBot="1" x14ac:dyDescent="0.25">
      <c r="A26" s="35" t="s">
        <v>2510</v>
      </c>
      <c r="B26" s="894">
        <f>CAPEX!B127*2</f>
        <v>49.855545863986222</v>
      </c>
      <c r="C26" s="47" t="s">
        <v>11</v>
      </c>
      <c r="D26" s="894">
        <v>2</v>
      </c>
      <c r="E26" s="36" t="s">
        <v>2504</v>
      </c>
      <c r="F26" s="280">
        <v>52500</v>
      </c>
      <c r="G26" s="897">
        <v>30</v>
      </c>
      <c r="H26" s="47" t="s">
        <v>11</v>
      </c>
      <c r="I26" s="47">
        <v>2009</v>
      </c>
      <c r="J26" s="36"/>
      <c r="K26" s="47">
        <v>1</v>
      </c>
      <c r="L26" s="47">
        <v>1.5</v>
      </c>
      <c r="M26" s="936">
        <f t="shared" si="0"/>
        <v>1.6618515287995408</v>
      </c>
      <c r="N26" s="953">
        <f>CAPEX!N127</f>
        <v>1.4716124314442414</v>
      </c>
      <c r="O26" s="917">
        <f t="shared" si="1"/>
        <v>385182.21561687347</v>
      </c>
    </row>
    <row r="27" spans="1:15" ht="15" customHeight="1" thickBot="1" x14ac:dyDescent="0.25">
      <c r="A27" s="46" t="s">
        <v>2486</v>
      </c>
      <c r="B27" s="894">
        <f>CAPEX!B128*2</f>
        <v>2838.75</v>
      </c>
      <c r="C27" s="47" t="s">
        <v>1091</v>
      </c>
      <c r="D27" s="894">
        <v>2</v>
      </c>
      <c r="E27" s="48" t="s">
        <v>2489</v>
      </c>
      <c r="F27" s="280">
        <v>4900</v>
      </c>
      <c r="G27" s="894">
        <v>7</v>
      </c>
      <c r="H27" s="47" t="s">
        <v>1091</v>
      </c>
      <c r="I27" s="47">
        <v>2013</v>
      </c>
      <c r="J27" s="41"/>
      <c r="K27" s="47">
        <v>0.8</v>
      </c>
      <c r="L27" s="47">
        <v>4.3099999999999996</v>
      </c>
      <c r="M27" s="936">
        <f>B27/G27</f>
        <v>405.53571428571428</v>
      </c>
      <c r="N27" s="953">
        <f>CAPEX!N128</f>
        <v>1.3248387096774192</v>
      </c>
      <c r="O27" s="917">
        <f t="shared" si="1"/>
        <v>6827939.1276458269</v>
      </c>
    </row>
    <row r="28" spans="1:15" ht="15" customHeight="1" thickBot="1" x14ac:dyDescent="0.25">
      <c r="A28" s="46" t="s">
        <v>2487</v>
      </c>
      <c r="B28" s="894">
        <f>CAPEX!B129*2</f>
        <v>315.41666666666669</v>
      </c>
      <c r="C28" s="47" t="s">
        <v>1091</v>
      </c>
      <c r="D28" s="894">
        <v>2</v>
      </c>
      <c r="E28" s="48" t="s">
        <v>2489</v>
      </c>
      <c r="F28" s="280">
        <v>4900</v>
      </c>
      <c r="G28" s="894">
        <v>7</v>
      </c>
      <c r="H28" s="47" t="s">
        <v>1091</v>
      </c>
      <c r="I28" s="47">
        <v>2013</v>
      </c>
      <c r="J28" s="41"/>
      <c r="K28" s="47">
        <v>0.8</v>
      </c>
      <c r="L28" s="47">
        <v>4.3099999999999996</v>
      </c>
      <c r="M28" s="936">
        <f>B28/G28</f>
        <v>45.05952380952381</v>
      </c>
      <c r="N28" s="953">
        <f>CAPEX!N129</f>
        <v>1.3248387096774192</v>
      </c>
      <c r="O28" s="917">
        <f t="shared" si="1"/>
        <v>1177323.0126889644</v>
      </c>
    </row>
    <row r="29" spans="1:15" ht="15" customHeight="1" thickBot="1" x14ac:dyDescent="0.25">
      <c r="A29" s="46" t="s">
        <v>2488</v>
      </c>
      <c r="B29" s="894">
        <f>CAPEX!B130*2</f>
        <v>788.54166666666663</v>
      </c>
      <c r="C29" s="47" t="s">
        <v>1091</v>
      </c>
      <c r="D29" s="894">
        <v>2</v>
      </c>
      <c r="E29" s="48" t="s">
        <v>2490</v>
      </c>
      <c r="F29" s="280">
        <v>5200</v>
      </c>
      <c r="G29" s="894">
        <v>140</v>
      </c>
      <c r="H29" s="47" t="s">
        <v>1091</v>
      </c>
      <c r="I29" s="47">
        <v>2013</v>
      </c>
      <c r="J29" s="41"/>
      <c r="K29" s="47">
        <v>0.8</v>
      </c>
      <c r="L29" s="47">
        <v>4.3099999999999996</v>
      </c>
      <c r="M29" s="936">
        <f>B29/G29</f>
        <v>5.6324404761904763</v>
      </c>
      <c r="N29" s="953">
        <f>CAPEX!N130</f>
        <v>1.3248387096774192</v>
      </c>
      <c r="O29" s="917">
        <f t="shared" si="1"/>
        <v>236717.79518434417</v>
      </c>
    </row>
    <row r="30" spans="1:15" ht="15" customHeight="1" thickBot="1" x14ac:dyDescent="0.25">
      <c r="A30" s="35" t="s">
        <v>1564</v>
      </c>
      <c r="B30" s="894">
        <f>CAPEX!B131*2</f>
        <v>45000</v>
      </c>
      <c r="C30" s="47" t="s">
        <v>267</v>
      </c>
      <c r="D30" s="894">
        <v>2</v>
      </c>
      <c r="E30" s="36" t="s">
        <v>605</v>
      </c>
      <c r="F30" s="280">
        <f>Inputs!F$845*G30</f>
        <v>1170</v>
      </c>
      <c r="G30" s="897">
        <f>CostCalc!G$237</f>
        <v>11700</v>
      </c>
      <c r="H30" s="47" t="s">
        <v>267</v>
      </c>
      <c r="I30" s="47">
        <v>2024</v>
      </c>
      <c r="J30" s="36">
        <v>1</v>
      </c>
      <c r="K30" s="47">
        <v>0.8</v>
      </c>
      <c r="L30" s="47">
        <v>2.2999999999999998</v>
      </c>
      <c r="M30" s="936">
        <f>B30/G30</f>
        <v>3.8461538461538463</v>
      </c>
      <c r="N30" s="953">
        <f>CAPEX!N131</f>
        <v>1.0332234612778017</v>
      </c>
      <c r="O30" s="917">
        <f t="shared" si="1"/>
        <v>16336.509668766957</v>
      </c>
    </row>
    <row r="31" spans="1:15" ht="15" customHeight="1" thickBot="1" x14ac:dyDescent="0.25">
      <c r="A31" s="35" t="s">
        <v>1565</v>
      </c>
      <c r="B31" s="894">
        <f>CAPEX!B132*2</f>
        <v>6250</v>
      </c>
      <c r="C31" s="47" t="s">
        <v>267</v>
      </c>
      <c r="D31" s="894">
        <v>2</v>
      </c>
      <c r="E31" s="36" t="s">
        <v>605</v>
      </c>
      <c r="F31" s="280">
        <f>Inputs!F$845*G31</f>
        <v>1170</v>
      </c>
      <c r="G31" s="897">
        <f>CostCalc!G$237</f>
        <v>11700</v>
      </c>
      <c r="H31" s="47" t="s">
        <v>267</v>
      </c>
      <c r="I31" s="47">
        <v>2024</v>
      </c>
      <c r="J31" s="36">
        <v>1</v>
      </c>
      <c r="K31" s="47">
        <v>0.8</v>
      </c>
      <c r="L31" s="47">
        <v>2.2999999999999998</v>
      </c>
      <c r="M31" s="936">
        <f>B31/G31</f>
        <v>0.53418803418803418</v>
      </c>
      <c r="N31" s="953">
        <f>CAPEX!N132</f>
        <v>1.0332234612778017</v>
      </c>
      <c r="O31" s="917">
        <f t="shared" si="1"/>
        <v>3367.3889077789145</v>
      </c>
    </row>
    <row r="32" spans="1:15" ht="15" customHeight="1" thickBot="1" x14ac:dyDescent="0.25">
      <c r="B32" s="894"/>
      <c r="C32" s="53"/>
      <c r="D32" s="903"/>
      <c r="E32" s="51"/>
      <c r="F32" s="1001"/>
      <c r="G32" s="903"/>
      <c r="H32" s="53"/>
      <c r="I32" s="53"/>
      <c r="J32" s="51"/>
      <c r="K32" s="53"/>
      <c r="L32" s="53"/>
      <c r="M32" s="940"/>
      <c r="N32" s="956"/>
      <c r="O32" s="928"/>
    </row>
    <row r="33" spans="1:15" ht="15" customHeight="1" thickBot="1" x14ac:dyDescent="0.25">
      <c r="A33" s="1677" t="s">
        <v>526</v>
      </c>
      <c r="B33" s="1678"/>
      <c r="C33" s="1678"/>
      <c r="D33" s="1678"/>
      <c r="E33" s="1678"/>
      <c r="F33" s="1678"/>
      <c r="G33" s="1678"/>
      <c r="H33" s="1678"/>
      <c r="I33" s="1678"/>
      <c r="J33" s="1678"/>
      <c r="K33" s="1678"/>
      <c r="L33" s="1678"/>
      <c r="M33" s="1678"/>
      <c r="N33" s="1679"/>
      <c r="O33" s="917">
        <f>SUM(O20:O31)</f>
        <v>55407807.705917627</v>
      </c>
    </row>
    <row r="34" spans="1:15" ht="15" customHeight="1" x14ac:dyDescent="0.2">
      <c r="A34" s="999"/>
      <c r="B34" s="999"/>
      <c r="C34" s="999"/>
      <c r="D34" s="999"/>
      <c r="E34" s="999"/>
      <c r="F34" s="1002"/>
      <c r="G34" s="999"/>
      <c r="H34" s="999"/>
      <c r="I34" s="999"/>
      <c r="J34" s="999"/>
      <c r="K34" s="999"/>
      <c r="L34" s="999"/>
      <c r="M34" s="999"/>
      <c r="N34" s="999"/>
      <c r="O34" s="999"/>
    </row>
    <row r="35" spans="1:15" ht="16" thickBot="1" x14ac:dyDescent="0.25"/>
    <row r="36" spans="1:15" x14ac:dyDescent="0.2">
      <c r="A36" s="1825" t="s">
        <v>1857</v>
      </c>
      <c r="B36" s="1826"/>
      <c r="C36" s="1826"/>
      <c r="D36" s="1826"/>
      <c r="E36" s="1826"/>
      <c r="F36" s="1826"/>
      <c r="G36" s="1826"/>
      <c r="H36" s="1826"/>
      <c r="I36" s="1826"/>
      <c r="J36" s="1826"/>
      <c r="K36" s="1826"/>
      <c r="L36" s="1826"/>
      <c r="M36" s="1826"/>
      <c r="N36" s="1826"/>
      <c r="O36" s="1827"/>
    </row>
    <row r="37" spans="1:15" ht="16" thickBot="1" x14ac:dyDescent="0.25">
      <c r="A37" s="1828"/>
      <c r="B37" s="1829"/>
      <c r="C37" s="1829"/>
      <c r="D37" s="1829"/>
      <c r="E37" s="1829"/>
      <c r="F37" s="1829"/>
      <c r="G37" s="1829"/>
      <c r="H37" s="1829"/>
      <c r="I37" s="1829"/>
      <c r="J37" s="1829"/>
      <c r="K37" s="1829"/>
      <c r="L37" s="1829"/>
      <c r="M37" s="1829"/>
      <c r="N37" s="1829"/>
      <c r="O37" s="1830"/>
    </row>
    <row r="38" spans="1:15" ht="16" thickBot="1" x14ac:dyDescent="0.25">
      <c r="A38" s="1683" t="s">
        <v>509</v>
      </c>
      <c r="B38" s="1684"/>
      <c r="C38" s="1684"/>
      <c r="D38" s="1684"/>
      <c r="E38" s="1684"/>
      <c r="F38" s="1684"/>
      <c r="G38" s="1684"/>
      <c r="H38" s="1684"/>
      <c r="I38" s="1684"/>
      <c r="J38" s="1684"/>
      <c r="K38" s="1684"/>
      <c r="L38" s="1684"/>
      <c r="M38" s="1684"/>
      <c r="N38" s="1684"/>
      <c r="O38" s="1685"/>
    </row>
    <row r="39" spans="1:15" ht="16" thickBot="1" x14ac:dyDescent="0.25">
      <c r="A39" s="1721" t="s">
        <v>510</v>
      </c>
      <c r="B39" s="1722"/>
      <c r="C39" s="1722"/>
      <c r="D39" s="1722"/>
      <c r="E39" s="1723"/>
      <c r="F39" s="1721" t="s">
        <v>511</v>
      </c>
      <c r="G39" s="1722"/>
      <c r="H39" s="1722"/>
      <c r="I39" s="1722"/>
      <c r="J39" s="1723"/>
      <c r="K39" s="1721" t="s">
        <v>512</v>
      </c>
      <c r="L39" s="1722"/>
      <c r="M39" s="1722"/>
      <c r="N39" s="1723"/>
      <c r="O39" s="1709" t="s">
        <v>513</v>
      </c>
    </row>
    <row r="40" spans="1:15" ht="16" x14ac:dyDescent="0.2">
      <c r="A40" s="1709" t="s">
        <v>514</v>
      </c>
      <c r="B40" s="1709" t="s">
        <v>515</v>
      </c>
      <c r="C40" s="1709" t="s">
        <v>372</v>
      </c>
      <c r="D40" s="1709" t="s">
        <v>516</v>
      </c>
      <c r="E40" s="1709" t="s">
        <v>517</v>
      </c>
      <c r="F40" s="1866" t="s">
        <v>518</v>
      </c>
      <c r="G40" s="1709" t="s">
        <v>515</v>
      </c>
      <c r="H40" s="1709" t="s">
        <v>372</v>
      </c>
      <c r="I40" s="1709" t="s">
        <v>519</v>
      </c>
      <c r="J40" s="1709" t="s">
        <v>520</v>
      </c>
      <c r="K40" s="1709" t="s">
        <v>521</v>
      </c>
      <c r="L40" s="1709" t="s">
        <v>522</v>
      </c>
      <c r="M40" s="1709" t="s">
        <v>523</v>
      </c>
      <c r="N40" s="40" t="s">
        <v>527</v>
      </c>
      <c r="O40" s="1865"/>
    </row>
    <row r="41" spans="1:15" ht="16" thickBot="1" x14ac:dyDescent="0.25">
      <c r="A41" s="1710"/>
      <c r="B41" s="1710"/>
      <c r="C41" s="1710"/>
      <c r="D41" s="1710"/>
      <c r="E41" s="1710"/>
      <c r="F41" s="1867"/>
      <c r="G41" s="1710"/>
      <c r="H41" s="1710"/>
      <c r="I41" s="1710"/>
      <c r="J41" s="1710"/>
      <c r="K41" s="1710"/>
      <c r="L41" s="1710"/>
      <c r="M41" s="1710"/>
      <c r="N41" s="41">
        <v>2023</v>
      </c>
      <c r="O41" s="1710"/>
    </row>
    <row r="42" spans="1:15" ht="17" thickBot="1" x14ac:dyDescent="0.25">
      <c r="A42" s="46" t="s">
        <v>1027</v>
      </c>
      <c r="B42" s="897">
        <f>(CAPEX!B176+CAPEX!B159)*2</f>
        <v>62500</v>
      </c>
      <c r="C42" s="41" t="s">
        <v>267</v>
      </c>
      <c r="D42" s="897">
        <f>CAPEX!D176</f>
        <v>2</v>
      </c>
      <c r="E42" s="48" t="s">
        <v>1610</v>
      </c>
      <c r="F42" s="280">
        <v>11358</v>
      </c>
      <c r="G42" s="281">
        <v>43149</v>
      </c>
      <c r="H42" s="41" t="s">
        <v>267</v>
      </c>
      <c r="I42" s="47">
        <v>2018</v>
      </c>
      <c r="J42" s="41"/>
      <c r="K42" s="47">
        <v>0.8</v>
      </c>
      <c r="L42" s="47">
        <v>2.2999999999999998</v>
      </c>
      <c r="M42" s="72">
        <f>B42/G42</f>
        <v>1.4484692576884748</v>
      </c>
      <c r="N42" s="102">
        <f>CAPEX!N176</f>
        <v>1.220764331210191</v>
      </c>
      <c r="O42" s="37">
        <f>N42*L42*F42*D42*(M42)^K42</f>
        <v>85786.500739709008</v>
      </c>
    </row>
    <row r="43" spans="1:15" ht="17" thickBot="1" x14ac:dyDescent="0.25">
      <c r="A43" s="35" t="s">
        <v>838</v>
      </c>
      <c r="B43" s="897">
        <f>(CAPEX!B179+CAPEX!B162)*2</f>
        <v>99283.051756455228</v>
      </c>
      <c r="C43" s="41" t="s">
        <v>1</v>
      </c>
      <c r="D43" s="897">
        <f>CAPEX!D179</f>
        <v>2</v>
      </c>
      <c r="E43" s="36" t="s">
        <v>530</v>
      </c>
      <c r="F43" s="43">
        <f>CAPEX!F179</f>
        <v>188.34</v>
      </c>
      <c r="G43" s="42">
        <v>0.76</v>
      </c>
      <c r="H43" s="282" t="s">
        <v>1</v>
      </c>
      <c r="I43" s="36">
        <v>2022</v>
      </c>
      <c r="J43" s="36">
        <v>2</v>
      </c>
      <c r="K43" s="36">
        <v>0.7</v>
      </c>
      <c r="L43" s="36">
        <v>2.6</v>
      </c>
      <c r="M43" s="1006">
        <f>B43/G43</f>
        <v>130635.59441638846</v>
      </c>
      <c r="N43" s="102">
        <f>CAPEX!N179</f>
        <v>0.93135716765012155</v>
      </c>
      <c r="O43" s="37">
        <f>N43*L43*F43*D43*(M43)^K43</f>
        <v>3477805.0914339893</v>
      </c>
    </row>
    <row r="44" spans="1:15" ht="17" thickBot="1" x14ac:dyDescent="0.25">
      <c r="A44" s="35" t="s">
        <v>839</v>
      </c>
      <c r="B44" s="897">
        <f>(CAPEX!B180+CAPEX!B163)*2</f>
        <v>10973.444915877148</v>
      </c>
      <c r="C44" s="41" t="s">
        <v>7</v>
      </c>
      <c r="D44" s="897">
        <f>CAPEX!D180</f>
        <v>2</v>
      </c>
      <c r="E44" s="36" t="s">
        <v>857</v>
      </c>
      <c r="F44" s="43">
        <f>CAPEX!F180</f>
        <v>8.35</v>
      </c>
      <c r="G44" s="42">
        <v>0.09</v>
      </c>
      <c r="H44" s="41" t="s">
        <v>7</v>
      </c>
      <c r="I44" s="36">
        <v>2022</v>
      </c>
      <c r="J44" s="36">
        <v>3</v>
      </c>
      <c r="K44" s="36">
        <v>1</v>
      </c>
      <c r="L44" s="36">
        <v>2.6</v>
      </c>
      <c r="M44" s="1006">
        <f>B44/G44</f>
        <v>121927.16573196831</v>
      </c>
      <c r="N44" s="102">
        <f>CAPEX!N180</f>
        <v>0.93135716765012155</v>
      </c>
      <c r="O44" s="37">
        <f>N44*D44*L44*F44*(M44^K44)</f>
        <v>4930677.0593255255</v>
      </c>
    </row>
    <row r="45" spans="1:15" ht="17" thickBot="1" x14ac:dyDescent="0.25">
      <c r="A45" s="35" t="s">
        <v>840</v>
      </c>
      <c r="B45" s="1005">
        <f>(CAPEX!B181+CAPEX!B164)*2</f>
        <v>203.28032176224951</v>
      </c>
      <c r="C45" s="41" t="s">
        <v>1</v>
      </c>
      <c r="D45" s="1027">
        <f>CAPEX!D181</f>
        <v>2</v>
      </c>
      <c r="E45" s="36" t="s">
        <v>727</v>
      </c>
      <c r="F45" s="43">
        <f>CAPEX!F181</f>
        <v>32000.06</v>
      </c>
      <c r="G45" s="36">
        <v>1000</v>
      </c>
      <c r="H45" s="41" t="s">
        <v>1</v>
      </c>
      <c r="I45" s="36">
        <v>2023</v>
      </c>
      <c r="J45" s="36"/>
      <c r="K45" s="36">
        <v>1</v>
      </c>
      <c r="L45" s="36">
        <v>2.6</v>
      </c>
      <c r="M45" s="1006">
        <f>B45/G45</f>
        <v>0.20328032176224953</v>
      </c>
      <c r="N45" s="102">
        <f>CAPEX!N181</f>
        <v>0.9554790618174912</v>
      </c>
      <c r="O45" s="37">
        <f>N45*L45*F45*D45*M45^K45</f>
        <v>32319.947762714193</v>
      </c>
    </row>
    <row r="46" spans="1:15" ht="17" thickBot="1" x14ac:dyDescent="0.25">
      <c r="A46" s="35" t="s">
        <v>833</v>
      </c>
      <c r="B46" s="897">
        <f>(CAPEX!B182+CAPEX!B165)*2</f>
        <v>1266.3308649452499</v>
      </c>
      <c r="C46" s="41" t="s">
        <v>11</v>
      </c>
      <c r="D46" s="897">
        <f>CAPEX!D182</f>
        <v>2</v>
      </c>
      <c r="E46" s="36" t="s">
        <v>858</v>
      </c>
      <c r="F46" s="43">
        <f>CAPEX!F182</f>
        <v>52500</v>
      </c>
      <c r="G46" s="36">
        <v>30</v>
      </c>
      <c r="H46" s="41" t="s">
        <v>11</v>
      </c>
      <c r="I46" s="36">
        <v>1998</v>
      </c>
      <c r="J46" s="36">
        <v>4</v>
      </c>
      <c r="K46" s="36">
        <v>0.5</v>
      </c>
      <c r="L46" s="36">
        <v>1.5</v>
      </c>
      <c r="M46" s="1006">
        <f>B46/G46</f>
        <v>42.21102883150833</v>
      </c>
      <c r="N46" s="102">
        <f>CAPEX!N182</f>
        <v>1.4716124314442414</v>
      </c>
      <c r="O46" s="37">
        <f>D46*N46*F46*L46*(M46)^K46</f>
        <v>1505868.2435593577</v>
      </c>
    </row>
    <row r="47" spans="1:15" ht="16" thickBot="1" x14ac:dyDescent="0.25">
      <c r="A47" s="1677" t="s">
        <v>526</v>
      </c>
      <c r="B47" s="1678"/>
      <c r="C47" s="1678"/>
      <c r="D47" s="1678"/>
      <c r="E47" s="1678"/>
      <c r="F47" s="1678"/>
      <c r="G47" s="1678"/>
      <c r="H47" s="1678"/>
      <c r="I47" s="1678"/>
      <c r="J47" s="1678"/>
      <c r="K47" s="1678"/>
      <c r="L47" s="1678"/>
      <c r="M47" s="1678"/>
      <c r="N47" s="1679"/>
      <c r="O47" s="1030">
        <f>SUM(O43:O46)</f>
        <v>9946670.3420815878</v>
      </c>
    </row>
    <row r="49" spans="1:15" ht="16" thickBot="1" x14ac:dyDescent="0.25"/>
    <row r="50" spans="1:15" x14ac:dyDescent="0.2">
      <c r="A50" s="1763" t="s">
        <v>532</v>
      </c>
      <c r="B50" s="1764"/>
      <c r="C50" s="1764"/>
      <c r="D50" s="1764"/>
      <c r="E50" s="1764"/>
      <c r="F50" s="1764"/>
      <c r="G50" s="1764"/>
      <c r="H50" s="1764"/>
      <c r="I50" s="1764"/>
      <c r="J50" s="1764"/>
      <c r="K50" s="1764"/>
      <c r="L50" s="1764"/>
      <c r="M50" s="1764"/>
      <c r="N50" s="1764"/>
      <c r="O50" s="1765"/>
    </row>
    <row r="51" spans="1:15" ht="16" thickBot="1" x14ac:dyDescent="0.25">
      <c r="A51" s="1766"/>
      <c r="B51" s="1767"/>
      <c r="C51" s="1767"/>
      <c r="D51" s="1767"/>
      <c r="E51" s="1767"/>
      <c r="F51" s="1767"/>
      <c r="G51" s="1767"/>
      <c r="H51" s="1767"/>
      <c r="I51" s="1767"/>
      <c r="J51" s="1767"/>
      <c r="K51" s="1767"/>
      <c r="L51" s="1767"/>
      <c r="M51" s="1767"/>
      <c r="N51" s="1767"/>
      <c r="O51" s="1768"/>
    </row>
    <row r="52" spans="1:15" ht="16" thickBot="1" x14ac:dyDescent="0.25">
      <c r="A52" s="1683" t="s">
        <v>510</v>
      </c>
      <c r="B52" s="1684"/>
      <c r="C52" s="1684"/>
      <c r="D52" s="1684"/>
      <c r="E52" s="1685"/>
      <c r="F52" s="1683" t="s">
        <v>511</v>
      </c>
      <c r="G52" s="1684"/>
      <c r="H52" s="1684"/>
      <c r="I52" s="1684"/>
      <c r="J52" s="1685"/>
      <c r="K52" s="1683" t="s">
        <v>512</v>
      </c>
      <c r="L52" s="1684"/>
      <c r="M52" s="1684"/>
      <c r="N52" s="1685"/>
      <c r="O52" s="1686" t="s">
        <v>513</v>
      </c>
    </row>
    <row r="53" spans="1:15" ht="16" x14ac:dyDescent="0.2">
      <c r="A53" s="1689" t="s">
        <v>514</v>
      </c>
      <c r="B53" s="1691" t="s">
        <v>515</v>
      </c>
      <c r="C53" s="1693" t="s">
        <v>372</v>
      </c>
      <c r="D53" s="1691" t="s">
        <v>516</v>
      </c>
      <c r="E53" s="1689" t="s">
        <v>517</v>
      </c>
      <c r="F53" s="1686" t="s">
        <v>518</v>
      </c>
      <c r="G53" s="1691" t="s">
        <v>515</v>
      </c>
      <c r="H53" s="1693" t="s">
        <v>372</v>
      </c>
      <c r="I53" s="1693" t="s">
        <v>519</v>
      </c>
      <c r="J53" s="1689" t="s">
        <v>520</v>
      </c>
      <c r="K53" s="1693" t="s">
        <v>521</v>
      </c>
      <c r="L53" s="1693" t="s">
        <v>522</v>
      </c>
      <c r="M53" s="1695" t="s">
        <v>523</v>
      </c>
      <c r="N53" s="951" t="s">
        <v>527</v>
      </c>
      <c r="O53" s="1687"/>
    </row>
    <row r="54" spans="1:15" ht="16" thickBot="1" x14ac:dyDescent="0.25">
      <c r="A54" s="1690"/>
      <c r="B54" s="1692"/>
      <c r="C54" s="1694"/>
      <c r="D54" s="1692"/>
      <c r="E54" s="1690"/>
      <c r="F54" s="1688"/>
      <c r="G54" s="1692"/>
      <c r="H54" s="1694"/>
      <c r="I54" s="1694"/>
      <c r="J54" s="1690"/>
      <c r="K54" s="1694"/>
      <c r="L54" s="1694"/>
      <c r="M54" s="1696"/>
      <c r="N54" s="952">
        <v>2024</v>
      </c>
      <c r="O54" s="1688"/>
    </row>
    <row r="55" spans="1:15" ht="17" thickBot="1" x14ac:dyDescent="0.25">
      <c r="A55" s="46" t="s">
        <v>1027</v>
      </c>
      <c r="B55" s="894">
        <f>CAPEX!B193*2</f>
        <v>56250</v>
      </c>
      <c r="C55" s="47" t="s">
        <v>267</v>
      </c>
      <c r="D55" s="894">
        <v>2</v>
      </c>
      <c r="E55" s="48" t="s">
        <v>1610</v>
      </c>
      <c r="F55" s="889">
        <v>11358</v>
      </c>
      <c r="G55" s="894">
        <v>43149</v>
      </c>
      <c r="H55" s="47" t="s">
        <v>267</v>
      </c>
      <c r="I55" s="47">
        <v>2018</v>
      </c>
      <c r="J55" s="41"/>
      <c r="K55" s="47">
        <v>0.8</v>
      </c>
      <c r="L55" s="47">
        <v>2.2999999999999998</v>
      </c>
      <c r="M55" s="936">
        <f>B55/G55</f>
        <v>1.3036223319196274</v>
      </c>
      <c r="N55" s="953">
        <f>CAPEX!N193</f>
        <v>1.220764331210191</v>
      </c>
      <c r="O55" s="917">
        <f>D55*N55*F55*L55*M55^(K55)</f>
        <v>78852.044933793557</v>
      </c>
    </row>
    <row r="56" spans="1:15" ht="17" thickBot="1" x14ac:dyDescent="0.25">
      <c r="A56" s="293" t="s">
        <v>2514</v>
      </c>
      <c r="B56" s="894">
        <f>CAPEX!B194*2</f>
        <v>56250</v>
      </c>
      <c r="C56" s="910" t="s">
        <v>267</v>
      </c>
      <c r="D56" s="900">
        <v>2</v>
      </c>
      <c r="E56" s="295"/>
      <c r="F56" s="919">
        <v>8800000</v>
      </c>
      <c r="G56" s="900">
        <v>98039</v>
      </c>
      <c r="H56" s="910" t="s">
        <v>267</v>
      </c>
      <c r="I56" s="910">
        <v>2000</v>
      </c>
      <c r="J56" s="295"/>
      <c r="K56" s="910">
        <v>0.6</v>
      </c>
      <c r="L56" s="910">
        <v>2.2999999999999998</v>
      </c>
      <c r="M56" s="943">
        <f>B56/G56</f>
        <v>0.57375126225277695</v>
      </c>
      <c r="N56" s="958">
        <f>CAPEX!N194</f>
        <v>1.3076218323586744</v>
      </c>
      <c r="O56" s="917">
        <f>D56*N56*F56*L56*M56^(K56)</f>
        <v>37927730.752231553</v>
      </c>
    </row>
    <row r="57" spans="1:15" ht="17" thickBot="1" x14ac:dyDescent="0.25">
      <c r="A57" s="35" t="s">
        <v>2515</v>
      </c>
      <c r="B57" s="894">
        <f ca="1">CAPEX!B195*2</f>
        <v>10305</v>
      </c>
      <c r="C57" s="47" t="s">
        <v>267</v>
      </c>
      <c r="D57" s="894">
        <v>2</v>
      </c>
      <c r="E57" s="36" t="s">
        <v>2516</v>
      </c>
      <c r="F57" s="917">
        <v>555008</v>
      </c>
      <c r="G57" s="894">
        <v>11526</v>
      </c>
      <c r="H57" s="47" t="s">
        <v>267</v>
      </c>
      <c r="I57" s="47">
        <v>2011</v>
      </c>
      <c r="J57" s="36"/>
      <c r="K57" s="47">
        <v>0.6</v>
      </c>
      <c r="L57" s="47">
        <v>2.6</v>
      </c>
      <c r="M57" s="936">
        <f ca="1">B57/G57</f>
        <v>0.89406559083810511</v>
      </c>
      <c r="N57" s="953">
        <f>CAPEX!N195</f>
        <v>1.3629732475448695</v>
      </c>
      <c r="O57" s="917">
        <f ca="1">D57*N57*F57*L57*M57^(K57)</f>
        <v>3677998.4926527869</v>
      </c>
    </row>
    <row r="58" spans="1:15" ht="16" thickBot="1" x14ac:dyDescent="0.25">
      <c r="A58" s="1677" t="s">
        <v>526</v>
      </c>
      <c r="B58" s="1678"/>
      <c r="C58" s="1678"/>
      <c r="D58" s="1678"/>
      <c r="E58" s="1678"/>
      <c r="F58" s="1678"/>
      <c r="G58" s="1678"/>
      <c r="H58" s="1678"/>
      <c r="I58" s="1678"/>
      <c r="J58" s="1678"/>
      <c r="K58" s="1678"/>
      <c r="L58" s="1678"/>
      <c r="M58" s="1678"/>
      <c r="N58" s="1679"/>
      <c r="O58" s="917">
        <f ca="1">SUM(O55:O57)</f>
        <v>41684581.289818138</v>
      </c>
    </row>
    <row r="59" spans="1:15" x14ac:dyDescent="0.2">
      <c r="A59" s="39"/>
      <c r="B59" s="39"/>
      <c r="C59" s="39"/>
      <c r="D59" s="39"/>
      <c r="E59" s="39"/>
      <c r="F59" s="198"/>
      <c r="G59" s="39"/>
      <c r="H59" s="39"/>
      <c r="I59" s="39"/>
      <c r="J59" s="39"/>
      <c r="K59" s="39"/>
      <c r="L59" s="39"/>
      <c r="M59" s="39"/>
      <c r="N59" s="83"/>
      <c r="O59" s="39"/>
    </row>
    <row r="60" spans="1:15" ht="16" thickBot="1" x14ac:dyDescent="0.25"/>
    <row r="61" spans="1:15" x14ac:dyDescent="0.2">
      <c r="A61" s="1880" t="s">
        <v>1855</v>
      </c>
      <c r="B61" s="1881"/>
      <c r="C61" s="1881"/>
      <c r="D61" s="1881"/>
      <c r="E61" s="1881"/>
      <c r="F61" s="1881"/>
      <c r="G61" s="1881"/>
      <c r="H61" s="1881"/>
      <c r="I61" s="1881"/>
      <c r="J61" s="1881"/>
      <c r="K61" s="1881"/>
      <c r="L61" s="1881"/>
      <c r="M61" s="1881"/>
      <c r="N61" s="1881"/>
      <c r="O61" s="1882"/>
    </row>
    <row r="62" spans="1:15" ht="16" thickBot="1" x14ac:dyDescent="0.25">
      <c r="A62" s="1883"/>
      <c r="B62" s="1884"/>
      <c r="C62" s="1884"/>
      <c r="D62" s="1884"/>
      <c r="E62" s="1884"/>
      <c r="F62" s="1884"/>
      <c r="G62" s="1884"/>
      <c r="H62" s="1884"/>
      <c r="I62" s="1884"/>
      <c r="J62" s="1884"/>
      <c r="K62" s="1884"/>
      <c r="L62" s="1884"/>
      <c r="M62" s="1884"/>
      <c r="N62" s="1884"/>
      <c r="O62" s="1885"/>
    </row>
    <row r="63" spans="1:15" ht="16" thickBot="1" x14ac:dyDescent="0.25">
      <c r="A63" s="1683" t="s">
        <v>509</v>
      </c>
      <c r="B63" s="1684"/>
      <c r="C63" s="1684"/>
      <c r="D63" s="1684"/>
      <c r="E63" s="1684"/>
      <c r="F63" s="1684"/>
      <c r="G63" s="1684"/>
      <c r="H63" s="1684"/>
      <c r="I63" s="1684"/>
      <c r="J63" s="1684"/>
      <c r="K63" s="1684"/>
      <c r="L63" s="1684"/>
      <c r="M63" s="1684"/>
      <c r="N63" s="1684"/>
      <c r="O63" s="1685"/>
    </row>
    <row r="64" spans="1:15" ht="16" thickBot="1" x14ac:dyDescent="0.25">
      <c r="A64" s="1721" t="s">
        <v>510</v>
      </c>
      <c r="B64" s="1722"/>
      <c r="C64" s="1722"/>
      <c r="D64" s="1722"/>
      <c r="E64" s="1723"/>
      <c r="F64" s="1721" t="s">
        <v>511</v>
      </c>
      <c r="G64" s="1722"/>
      <c r="H64" s="1722"/>
      <c r="I64" s="1722"/>
      <c r="J64" s="1723"/>
      <c r="K64" s="1721" t="s">
        <v>512</v>
      </c>
      <c r="L64" s="1722"/>
      <c r="M64" s="1722"/>
      <c r="N64" s="1723"/>
      <c r="O64" s="1709" t="s">
        <v>513</v>
      </c>
    </row>
    <row r="65" spans="1:15" ht="16" x14ac:dyDescent="0.2">
      <c r="A65" s="1709" t="s">
        <v>514</v>
      </c>
      <c r="B65" s="1709" t="s">
        <v>515</v>
      </c>
      <c r="C65" s="1709" t="s">
        <v>372</v>
      </c>
      <c r="D65" s="1709" t="s">
        <v>516</v>
      </c>
      <c r="E65" s="1709" t="s">
        <v>517</v>
      </c>
      <c r="F65" s="1866" t="s">
        <v>518</v>
      </c>
      <c r="G65" s="1709" t="s">
        <v>515</v>
      </c>
      <c r="H65" s="1709" t="s">
        <v>372</v>
      </c>
      <c r="I65" s="1709" t="s">
        <v>519</v>
      </c>
      <c r="J65" s="1709" t="s">
        <v>520</v>
      </c>
      <c r="K65" s="1709" t="s">
        <v>521</v>
      </c>
      <c r="L65" s="1709" t="s">
        <v>522</v>
      </c>
      <c r="M65" s="1709" t="s">
        <v>523</v>
      </c>
      <c r="N65" s="40" t="s">
        <v>527</v>
      </c>
      <c r="O65" s="1865"/>
    </row>
    <row r="66" spans="1:15" ht="16" thickBot="1" x14ac:dyDescent="0.25">
      <c r="A66" s="1710"/>
      <c r="B66" s="1710"/>
      <c r="C66" s="1710"/>
      <c r="D66" s="1710"/>
      <c r="E66" s="1710"/>
      <c r="F66" s="1867"/>
      <c r="G66" s="1710"/>
      <c r="H66" s="1710"/>
      <c r="I66" s="1710"/>
      <c r="J66" s="1710"/>
      <c r="K66" s="1710"/>
      <c r="L66" s="1710"/>
      <c r="M66" s="1710"/>
      <c r="N66" s="41">
        <v>2024</v>
      </c>
      <c r="O66" s="1710"/>
    </row>
    <row r="67" spans="1:15" ht="17" thickBot="1" x14ac:dyDescent="0.25">
      <c r="A67" s="46" t="s">
        <v>3178</v>
      </c>
      <c r="B67" s="58">
        <f ca="1">BM_Flow!C35</f>
        <v>2322.6766149361961</v>
      </c>
      <c r="C67" s="41" t="s">
        <v>444</v>
      </c>
      <c r="D67" s="41">
        <v>2</v>
      </c>
      <c r="E67" s="48" t="s">
        <v>3179</v>
      </c>
      <c r="F67" s="281">
        <f>16.5*250</f>
        <v>4125</v>
      </c>
      <c r="G67" s="281">
        <v>250</v>
      </c>
      <c r="H67" s="41" t="s">
        <v>444</v>
      </c>
      <c r="I67" s="47">
        <v>2012</v>
      </c>
      <c r="J67" s="41"/>
      <c r="K67" s="47">
        <v>0.8</v>
      </c>
      <c r="L67" s="47">
        <v>2.5</v>
      </c>
      <c r="M67" s="58">
        <f ca="1">B67/G67</f>
        <v>9.2907064597447846</v>
      </c>
      <c r="N67" s="102">
        <f>CAPEX!$N$102</f>
        <v>1.2912608277189606</v>
      </c>
      <c r="O67" s="917">
        <f ca="1">D67*N67*F67*L67*M67^(K67)</f>
        <v>158433.46645447923</v>
      </c>
    </row>
    <row r="68" spans="1:15" ht="16" thickBot="1" x14ac:dyDescent="0.25">
      <c r="A68" s="1677" t="s">
        <v>526</v>
      </c>
      <c r="B68" s="1678"/>
      <c r="C68" s="1678"/>
      <c r="D68" s="1678"/>
      <c r="E68" s="1678"/>
      <c r="F68" s="1678"/>
      <c r="G68" s="1678"/>
      <c r="H68" s="1678"/>
      <c r="I68" s="1678"/>
      <c r="J68" s="1678"/>
      <c r="K68" s="1678"/>
      <c r="L68" s="1678"/>
      <c r="M68" s="1678"/>
      <c r="N68" s="1679"/>
      <c r="O68" s="1007">
        <f ca="1">O67</f>
        <v>158433.46645447923</v>
      </c>
    </row>
    <row r="70" spans="1:15" ht="16" thickBot="1" x14ac:dyDescent="0.25"/>
    <row r="71" spans="1:15" ht="28" thickBot="1" x14ac:dyDescent="0.25">
      <c r="A71" s="1886" t="s">
        <v>1859</v>
      </c>
      <c r="B71" s="1887"/>
      <c r="C71" s="1887"/>
      <c r="D71" s="1887"/>
      <c r="E71" s="1887"/>
      <c r="F71" s="1887"/>
      <c r="G71" s="1887"/>
      <c r="H71" s="1887"/>
      <c r="I71" s="1887"/>
      <c r="J71" s="1887"/>
      <c r="K71" s="1887"/>
      <c r="L71" s="1887"/>
      <c r="M71" s="1887"/>
      <c r="N71" s="1888"/>
      <c r="O71" s="1008">
        <f ca="1">SUM(O68,O58,O47,O33,O12)</f>
        <v>164842692.72338927</v>
      </c>
    </row>
    <row r="73" spans="1:15" x14ac:dyDescent="0.2">
      <c r="A73" s="29" t="s">
        <v>649</v>
      </c>
      <c r="B73" s="1017" t="s">
        <v>752</v>
      </c>
    </row>
    <row r="74" spans="1:15" ht="15" customHeight="1" x14ac:dyDescent="0.2">
      <c r="A74" s="9" t="s">
        <v>753</v>
      </c>
      <c r="B74" s="116">
        <f ca="1">O12</f>
        <v>57645199.919117436</v>
      </c>
    </row>
    <row r="75" spans="1:15" ht="15" customHeight="1" x14ac:dyDescent="0.2">
      <c r="A75" s="9" t="s">
        <v>1415</v>
      </c>
      <c r="B75" s="1018">
        <f>O33</f>
        <v>55407807.705917627</v>
      </c>
    </row>
    <row r="76" spans="1:15" x14ac:dyDescent="0.2">
      <c r="A76" s="9" t="s">
        <v>572</v>
      </c>
      <c r="B76" s="116">
        <f>O47</f>
        <v>9946670.3420815878</v>
      </c>
    </row>
    <row r="77" spans="1:15" ht="14.5" customHeight="1" x14ac:dyDescent="0.2">
      <c r="A77" t="s">
        <v>532</v>
      </c>
      <c r="B77" s="1018">
        <f ca="1">O58</f>
        <v>41684581.289818138</v>
      </c>
    </row>
    <row r="78" spans="1:15" x14ac:dyDescent="0.2">
      <c r="A78" s="9" t="s">
        <v>3205</v>
      </c>
      <c r="B78" s="1018">
        <f ca="1">O68</f>
        <v>158433.46645447923</v>
      </c>
    </row>
    <row r="94" spans="1:15" x14ac:dyDescent="0.2">
      <c r="A94" s="1605" t="s">
        <v>1854</v>
      </c>
      <c r="B94" s="1605"/>
      <c r="C94" s="1605"/>
      <c r="D94" s="1605"/>
      <c r="E94" s="1605"/>
      <c r="F94" s="1605"/>
      <c r="G94" s="1605"/>
      <c r="H94" s="1605"/>
      <c r="I94" s="1605"/>
      <c r="J94" s="1605"/>
      <c r="K94" s="1605"/>
      <c r="L94" s="1605"/>
      <c r="M94" s="1605"/>
      <c r="N94" s="1605"/>
      <c r="O94" s="1605"/>
    </row>
    <row r="95" spans="1:15" ht="16" thickBot="1" x14ac:dyDescent="0.25">
      <c r="A95" s="1606"/>
      <c r="B95" s="1606"/>
      <c r="C95" s="1606"/>
      <c r="D95" s="1606"/>
      <c r="E95" s="1606"/>
      <c r="F95" s="1606"/>
      <c r="G95" s="1606"/>
      <c r="H95" s="1606"/>
      <c r="I95" s="1606"/>
      <c r="J95" s="1606"/>
      <c r="K95" s="1606"/>
      <c r="L95" s="1606"/>
      <c r="M95" s="1606"/>
      <c r="N95" s="1606"/>
      <c r="O95" s="1606"/>
    </row>
  </sheetData>
  <mergeCells count="102">
    <mergeCell ref="A68:N68"/>
    <mergeCell ref="E65:E66"/>
    <mergeCell ref="F65:F66"/>
    <mergeCell ref="G65:G66"/>
    <mergeCell ref="H65:H66"/>
    <mergeCell ref="I65:I66"/>
    <mergeCell ref="J65:J66"/>
    <mergeCell ref="A71:N71"/>
    <mergeCell ref="A94:O95"/>
    <mergeCell ref="A47:N47"/>
    <mergeCell ref="A50:O51"/>
    <mergeCell ref="A61:O62"/>
    <mergeCell ref="A63:O63"/>
    <mergeCell ref="A58:N58"/>
    <mergeCell ref="A64:E64"/>
    <mergeCell ref="F64:J64"/>
    <mergeCell ref="K64:N64"/>
    <mergeCell ref="O64:O66"/>
    <mergeCell ref="A65:A66"/>
    <mergeCell ref="B65:B66"/>
    <mergeCell ref="C65:C66"/>
    <mergeCell ref="D65:D66"/>
    <mergeCell ref="K65:K66"/>
    <mergeCell ref="L65:L66"/>
    <mergeCell ref="M65:M66"/>
    <mergeCell ref="O39:O41"/>
    <mergeCell ref="A40:A41"/>
    <mergeCell ref="B40:B41"/>
    <mergeCell ref="C40:C41"/>
    <mergeCell ref="D40:D41"/>
    <mergeCell ref="E40:E41"/>
    <mergeCell ref="F40:F41"/>
    <mergeCell ref="M40:M41"/>
    <mergeCell ref="G40:G41"/>
    <mergeCell ref="H40:H41"/>
    <mergeCell ref="I40:I41"/>
    <mergeCell ref="J40:J41"/>
    <mergeCell ref="K40:K41"/>
    <mergeCell ref="L40:L41"/>
    <mergeCell ref="A12:N12"/>
    <mergeCell ref="D8:D9"/>
    <mergeCell ref="E8:E9"/>
    <mergeCell ref="F8:F9"/>
    <mergeCell ref="G8:G9"/>
    <mergeCell ref="H8:H9"/>
    <mergeCell ref="I8:I9"/>
    <mergeCell ref="A15:O16"/>
    <mergeCell ref="A36:O37"/>
    <mergeCell ref="L18:L19"/>
    <mergeCell ref="M18:M19"/>
    <mergeCell ref="A33:N33"/>
    <mergeCell ref="A17:E17"/>
    <mergeCell ref="F17:J17"/>
    <mergeCell ref="K17:N17"/>
    <mergeCell ref="O17:O19"/>
    <mergeCell ref="A18:A19"/>
    <mergeCell ref="B18:B19"/>
    <mergeCell ref="C18:C19"/>
    <mergeCell ref="D18:D19"/>
    <mergeCell ref="E18:E19"/>
    <mergeCell ref="F18:F19"/>
    <mergeCell ref="G18:G19"/>
    <mergeCell ref="H18:H19"/>
    <mergeCell ref="A1:O2"/>
    <mergeCell ref="A4:O5"/>
    <mergeCell ref="A6:O6"/>
    <mergeCell ref="A7:E7"/>
    <mergeCell ref="F7:J7"/>
    <mergeCell ref="K7:N7"/>
    <mergeCell ref="O7:O9"/>
    <mergeCell ref="A8:A9"/>
    <mergeCell ref="B8:B9"/>
    <mergeCell ref="C8:C9"/>
    <mergeCell ref="J8:J9"/>
    <mergeCell ref="K8:K9"/>
    <mergeCell ref="L8:L9"/>
    <mergeCell ref="M8:M9"/>
    <mergeCell ref="N8:N9"/>
    <mergeCell ref="I18:I19"/>
    <mergeCell ref="J18:J19"/>
    <mergeCell ref="K18:K19"/>
    <mergeCell ref="A52:E52"/>
    <mergeCell ref="F52:J52"/>
    <mergeCell ref="K52:N52"/>
    <mergeCell ref="O52:O54"/>
    <mergeCell ref="A53:A54"/>
    <mergeCell ref="B53:B54"/>
    <mergeCell ref="C53:C54"/>
    <mergeCell ref="D53:D54"/>
    <mergeCell ref="E53:E54"/>
    <mergeCell ref="F53:F54"/>
    <mergeCell ref="G53:G54"/>
    <mergeCell ref="H53:H54"/>
    <mergeCell ref="I53:I54"/>
    <mergeCell ref="J53:J54"/>
    <mergeCell ref="K53:K54"/>
    <mergeCell ref="L53:L54"/>
    <mergeCell ref="M53:M54"/>
    <mergeCell ref="A38:O38"/>
    <mergeCell ref="A39:E39"/>
    <mergeCell ref="F39:J39"/>
    <mergeCell ref="K39:N39"/>
  </mergeCells>
  <pageMargins left="0.7" right="0.7" top="0.75" bottom="0.75" header="0.3" footer="0.3"/>
  <pageSetup orientation="portrait" horizontalDpi="0" verticalDpi="0"/>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10369-5947-4AE3-953D-0B0E9E77B7D4}">
  <sheetPr codeName="Sheet21"/>
  <dimension ref="A1:V131"/>
  <sheetViews>
    <sheetView topLeftCell="A13" workbookViewId="0">
      <selection activeCell="Y42" sqref="Y42"/>
    </sheetView>
  </sheetViews>
  <sheetFormatPr baseColWidth="10" defaultColWidth="8.83203125" defaultRowHeight="15" x14ac:dyDescent="0.2"/>
  <cols>
    <col min="1" max="1" width="31.33203125" customWidth="1"/>
    <col min="2" max="2" width="16.33203125" customWidth="1"/>
    <col min="3" max="3" width="14.33203125" customWidth="1"/>
    <col min="4" max="4" width="17" customWidth="1"/>
    <col min="5" max="5" width="18.5" customWidth="1"/>
    <col min="6" max="8" width="13.1640625" customWidth="1"/>
    <col min="9" max="9" width="29.1640625" customWidth="1"/>
  </cols>
  <sheetData>
    <row r="1" spans="1:15" ht="15" customHeight="1" x14ac:dyDescent="0.2">
      <c r="A1" s="1605" t="s">
        <v>3197</v>
      </c>
      <c r="B1" s="1605"/>
      <c r="C1" s="1605"/>
      <c r="D1" s="1605"/>
      <c r="E1" s="1605"/>
      <c r="F1" s="1605"/>
      <c r="G1" s="1605"/>
      <c r="H1" s="1605"/>
      <c r="I1" s="1605"/>
      <c r="J1" s="289"/>
      <c r="K1" s="289"/>
      <c r="L1" s="289"/>
      <c r="M1" s="289"/>
      <c r="N1" s="289"/>
      <c r="O1" s="289"/>
    </row>
    <row r="2" spans="1:15" ht="15.75" customHeight="1" thickBot="1" x14ac:dyDescent="0.25">
      <c r="A2" s="1606"/>
      <c r="B2" s="1606"/>
      <c r="C2" s="1606"/>
      <c r="D2" s="1606"/>
      <c r="E2" s="1606"/>
      <c r="F2" s="1606"/>
      <c r="G2" s="1606"/>
      <c r="H2" s="1606"/>
      <c r="I2" s="1606"/>
      <c r="J2" s="289"/>
      <c r="K2" s="289"/>
      <c r="L2" s="289"/>
      <c r="M2" s="289"/>
      <c r="N2" s="289"/>
      <c r="O2" s="289"/>
    </row>
    <row r="4" spans="1:15" ht="16" thickBot="1" x14ac:dyDescent="0.25"/>
    <row r="5" spans="1:15" x14ac:dyDescent="0.2">
      <c r="A5" s="1859" t="s">
        <v>1856</v>
      </c>
      <c r="B5" s="1860"/>
      <c r="C5" s="1860"/>
      <c r="D5" s="1860"/>
      <c r="E5" s="1860"/>
      <c r="F5" s="1860"/>
      <c r="G5" s="1860"/>
      <c r="H5" s="1860"/>
      <c r="I5" s="1861"/>
    </row>
    <row r="6" spans="1:15" ht="16" thickBot="1" x14ac:dyDescent="0.25">
      <c r="A6" s="1862"/>
      <c r="B6" s="1863"/>
      <c r="C6" s="1863"/>
      <c r="D6" s="1863"/>
      <c r="E6" s="1863"/>
      <c r="F6" s="1863"/>
      <c r="G6" s="1863"/>
      <c r="H6" s="1863"/>
      <c r="I6" s="1864"/>
    </row>
    <row r="7" spans="1:15" ht="23" thickBot="1" x14ac:dyDescent="0.25">
      <c r="A7" s="1009"/>
      <c r="B7" s="1010"/>
      <c r="C7" s="1010"/>
      <c r="D7" s="1010"/>
      <c r="E7" s="1010"/>
      <c r="F7" s="1010"/>
      <c r="G7" s="1010"/>
      <c r="H7" s="1010"/>
      <c r="I7" s="1011"/>
    </row>
    <row r="8" spans="1:15" ht="16" thickBot="1" x14ac:dyDescent="0.25">
      <c r="A8" s="1892" t="s">
        <v>553</v>
      </c>
      <c r="B8" s="1893"/>
      <c r="C8" s="1893"/>
      <c r="D8" s="1893"/>
      <c r="E8" s="1893"/>
      <c r="F8" s="1893"/>
      <c r="G8" s="1893"/>
      <c r="H8" s="1893"/>
      <c r="I8" s="1894"/>
    </row>
    <row r="9" spans="1:15" ht="16" thickBot="1" x14ac:dyDescent="0.25">
      <c r="A9" s="1689" t="s">
        <v>554</v>
      </c>
      <c r="B9" s="1689" t="s">
        <v>555</v>
      </c>
      <c r="C9" s="1689" t="s">
        <v>41</v>
      </c>
      <c r="D9" s="1683" t="s">
        <v>511</v>
      </c>
      <c r="E9" s="1684"/>
      <c r="F9" s="1684"/>
      <c r="G9" s="1685"/>
      <c r="H9" s="1683" t="s">
        <v>556</v>
      </c>
      <c r="I9" s="1685"/>
    </row>
    <row r="10" spans="1:15" ht="16.5" customHeight="1" thickBot="1" x14ac:dyDescent="0.25">
      <c r="A10" s="1690"/>
      <c r="B10" s="1690"/>
      <c r="C10" s="1690"/>
      <c r="D10" s="321" t="s">
        <v>518</v>
      </c>
      <c r="E10" s="321" t="s">
        <v>41</v>
      </c>
      <c r="F10" s="321" t="s">
        <v>519</v>
      </c>
      <c r="G10" s="80" t="s">
        <v>520</v>
      </c>
      <c r="H10" s="321" t="s">
        <v>2422</v>
      </c>
      <c r="I10" s="322" t="s">
        <v>557</v>
      </c>
    </row>
    <row r="11" spans="1:15" ht="18.75" customHeight="1" thickBot="1" x14ac:dyDescent="0.25">
      <c r="A11" s="46" t="s">
        <v>2323</v>
      </c>
      <c r="B11" s="281">
        <f>OPEX!B10*2</f>
        <v>711111.11111111112</v>
      </c>
      <c r="C11" s="41" t="s">
        <v>2962</v>
      </c>
      <c r="D11" s="49">
        <v>3.65</v>
      </c>
      <c r="E11" s="41" t="s">
        <v>26</v>
      </c>
      <c r="F11" s="41">
        <v>2024</v>
      </c>
      <c r="G11" s="73"/>
      <c r="H11" s="335">
        <f>CAPEX!N$3/389.544</f>
        <v>1.0332234612778017</v>
      </c>
      <c r="I11" s="87">
        <f>B11*D11*H11</f>
        <v>2681788.8950499385</v>
      </c>
    </row>
    <row r="12" spans="1:15" ht="16" thickBot="1" x14ac:dyDescent="0.25">
      <c r="A12" s="1677" t="s">
        <v>526</v>
      </c>
      <c r="B12" s="1678"/>
      <c r="C12" s="1678"/>
      <c r="D12" s="1678"/>
      <c r="E12" s="1678"/>
      <c r="F12" s="1678"/>
      <c r="G12" s="1678"/>
      <c r="H12" s="1679"/>
      <c r="I12" s="812">
        <f>SUM(I11:I11)</f>
        <v>2681788.8950499385</v>
      </c>
    </row>
    <row r="13" spans="1:15" ht="17.25" customHeight="1" thickBot="1" x14ac:dyDescent="0.25">
      <c r="A13" s="76"/>
      <c r="B13" s="76"/>
      <c r="C13" s="76"/>
      <c r="D13" s="76"/>
      <c r="E13" s="76"/>
      <c r="F13" s="76"/>
      <c r="G13" s="76"/>
      <c r="H13" s="76"/>
      <c r="I13" s="76"/>
    </row>
    <row r="14" spans="1:15" ht="16" thickBot="1" x14ac:dyDescent="0.25">
      <c r="A14" s="1892" t="s">
        <v>558</v>
      </c>
      <c r="B14" s="1893"/>
      <c r="C14" s="1893"/>
      <c r="D14" s="1893"/>
      <c r="E14" s="1894"/>
      <c r="F14" s="76"/>
      <c r="G14" s="76"/>
      <c r="H14" s="76"/>
      <c r="I14" s="76"/>
    </row>
    <row r="15" spans="1:15" ht="17" thickBot="1" x14ac:dyDescent="0.25">
      <c r="A15" s="322" t="s">
        <v>559</v>
      </c>
      <c r="B15" s="322" t="s">
        <v>516</v>
      </c>
      <c r="C15" s="322" t="s">
        <v>41</v>
      </c>
      <c r="D15" s="322" t="s">
        <v>2423</v>
      </c>
      <c r="E15" s="322" t="s">
        <v>557</v>
      </c>
      <c r="F15" s="76"/>
      <c r="G15" s="76"/>
      <c r="H15" s="76"/>
      <c r="I15" s="76"/>
    </row>
    <row r="16" spans="1:15" ht="17" thickBot="1" x14ac:dyDescent="0.25">
      <c r="A16" s="46" t="s">
        <v>2324</v>
      </c>
      <c r="B16" s="36">
        <f>ROUNDUP(OPEX!B17/3,0)</f>
        <v>1</v>
      </c>
      <c r="C16" s="36" t="s">
        <v>568</v>
      </c>
      <c r="D16" s="37">
        <v>100000</v>
      </c>
      <c r="E16" s="37">
        <f>D16*B16</f>
        <v>100000</v>
      </c>
      <c r="F16" s="76"/>
      <c r="G16" s="76"/>
      <c r="H16" s="76"/>
      <c r="I16" s="76"/>
    </row>
    <row r="17" spans="1:9" ht="17" thickBot="1" x14ac:dyDescent="0.25">
      <c r="A17" s="46" t="s">
        <v>571</v>
      </c>
      <c r="B17" s="36">
        <f>ROUNDUP(OPEX!B18/3,0)</f>
        <v>2</v>
      </c>
      <c r="C17" s="36" t="s">
        <v>568</v>
      </c>
      <c r="D17" s="37">
        <v>75000</v>
      </c>
      <c r="E17" s="37">
        <f>D17*B17</f>
        <v>150000</v>
      </c>
      <c r="F17" s="76"/>
      <c r="G17" s="76"/>
      <c r="H17" s="76"/>
      <c r="I17" s="76"/>
    </row>
    <row r="18" spans="1:9" ht="17" thickBot="1" x14ac:dyDescent="0.25">
      <c r="A18" s="46" t="s">
        <v>561</v>
      </c>
      <c r="B18" s="36">
        <f>ROUNDUP(OPEX!B19/3,0)*2</f>
        <v>134</v>
      </c>
      <c r="C18" s="36" t="s">
        <v>568</v>
      </c>
      <c r="D18" s="37">
        <v>65000</v>
      </c>
      <c r="E18" s="37">
        <f>D18*B18</f>
        <v>8710000</v>
      </c>
      <c r="F18" s="76"/>
      <c r="G18" s="76"/>
      <c r="H18" s="76"/>
      <c r="I18" s="76"/>
    </row>
    <row r="19" spans="1:9" ht="18.75" customHeight="1" thickBot="1" x14ac:dyDescent="0.25">
      <c r="A19" s="1677" t="s">
        <v>526</v>
      </c>
      <c r="B19" s="1678"/>
      <c r="C19" s="1678"/>
      <c r="D19" s="1679"/>
      <c r="E19" s="78">
        <f>SUM(E18)</f>
        <v>8710000</v>
      </c>
      <c r="F19" s="76"/>
      <c r="G19" s="76"/>
      <c r="H19" s="76"/>
      <c r="I19" s="76"/>
    </row>
    <row r="20" spans="1:9" x14ac:dyDescent="0.2">
      <c r="A20" s="83"/>
      <c r="B20" s="1012"/>
      <c r="C20" s="1013"/>
      <c r="D20" s="1013"/>
      <c r="E20" s="83"/>
      <c r="F20" s="83"/>
      <c r="G20" s="83"/>
      <c r="H20" s="83"/>
      <c r="I20" s="1013"/>
    </row>
    <row r="21" spans="1:9" ht="16" thickBot="1" x14ac:dyDescent="0.25"/>
    <row r="22" spans="1:9" x14ac:dyDescent="0.2">
      <c r="A22" s="1868" t="s">
        <v>1415</v>
      </c>
      <c r="B22" s="1869"/>
      <c r="C22" s="1869"/>
      <c r="D22" s="1869"/>
      <c r="E22" s="1869"/>
      <c r="F22" s="1869"/>
      <c r="G22" s="1869"/>
      <c r="H22" s="1869"/>
      <c r="I22" s="1870"/>
    </row>
    <row r="23" spans="1:9" ht="16" thickBot="1" x14ac:dyDescent="0.25">
      <c r="A23" s="1898"/>
      <c r="B23" s="1899"/>
      <c r="C23" s="1899"/>
      <c r="D23" s="1899"/>
      <c r="E23" s="1899"/>
      <c r="F23" s="1899"/>
      <c r="G23" s="1899"/>
      <c r="H23" s="1899"/>
      <c r="I23" s="1900"/>
    </row>
    <row r="24" spans="1:9" ht="23" thickBot="1" x14ac:dyDescent="0.25">
      <c r="A24" s="1009"/>
      <c r="B24" s="1010"/>
      <c r="C24" s="1010"/>
      <c r="D24" s="1010"/>
      <c r="E24" s="1010"/>
      <c r="F24" s="1010"/>
      <c r="G24" s="1010"/>
      <c r="H24" s="1010"/>
      <c r="I24" s="1011"/>
    </row>
    <row r="25" spans="1:9" ht="16" thickBot="1" x14ac:dyDescent="0.25">
      <c r="A25" s="1895" t="s">
        <v>553</v>
      </c>
      <c r="B25" s="1896"/>
      <c r="C25" s="1896"/>
      <c r="D25" s="1896"/>
      <c r="E25" s="1896"/>
      <c r="F25" s="1896"/>
      <c r="G25" s="1896"/>
      <c r="H25" s="1896"/>
      <c r="I25" s="1897"/>
    </row>
    <row r="26" spans="1:9" ht="16" thickBot="1" x14ac:dyDescent="0.25">
      <c r="A26" s="1689" t="s">
        <v>554</v>
      </c>
      <c r="B26" s="1689" t="s">
        <v>555</v>
      </c>
      <c r="C26" s="1689" t="s">
        <v>41</v>
      </c>
      <c r="D26" s="1683" t="s">
        <v>511</v>
      </c>
      <c r="E26" s="1684"/>
      <c r="F26" s="1684"/>
      <c r="G26" s="1685"/>
      <c r="H26" s="1683" t="s">
        <v>556</v>
      </c>
      <c r="I26" s="1685"/>
    </row>
    <row r="27" spans="1:9" ht="20.25" customHeight="1" thickBot="1" x14ac:dyDescent="0.25">
      <c r="A27" s="1690"/>
      <c r="B27" s="1690"/>
      <c r="C27" s="1690"/>
      <c r="D27" s="321" t="s">
        <v>518</v>
      </c>
      <c r="E27" s="321" t="s">
        <v>41</v>
      </c>
      <c r="F27" s="321" t="s">
        <v>519</v>
      </c>
      <c r="G27" s="321" t="s">
        <v>520</v>
      </c>
      <c r="H27" s="321" t="s">
        <v>2422</v>
      </c>
      <c r="I27" s="323" t="s">
        <v>557</v>
      </c>
    </row>
    <row r="28" spans="1:9" ht="17" thickBot="1" x14ac:dyDescent="0.25">
      <c r="A28" s="46" t="s">
        <v>2929</v>
      </c>
      <c r="B28" s="281">
        <f>OPEX!B124*2</f>
        <v>404729.36802973977</v>
      </c>
      <c r="C28" s="41" t="s">
        <v>40</v>
      </c>
      <c r="D28" s="50">
        <v>0.17799999999999999</v>
      </c>
      <c r="E28" s="41" t="s">
        <v>378</v>
      </c>
      <c r="F28" s="41">
        <v>2024</v>
      </c>
      <c r="G28" s="34"/>
      <c r="H28" s="335">
        <f>CAPEX!N$3/389.544</f>
        <v>1.0332234612778017</v>
      </c>
      <c r="I28" s="87">
        <f t="shared" ref="I28:I33" si="0">B28*D28*H28</f>
        <v>74435.30637593077</v>
      </c>
    </row>
    <row r="29" spans="1:9" ht="17" thickBot="1" x14ac:dyDescent="0.25">
      <c r="A29" s="46" t="s">
        <v>2416</v>
      </c>
      <c r="B29" s="281">
        <f>OPEX!B125*2</f>
        <v>419.2166721795104</v>
      </c>
      <c r="C29" s="41" t="s">
        <v>40</v>
      </c>
      <c r="D29" s="50">
        <v>0.17799999999999999</v>
      </c>
      <c r="E29" s="41" t="s">
        <v>378</v>
      </c>
      <c r="F29" s="41">
        <v>2024</v>
      </c>
      <c r="G29" s="34"/>
      <c r="H29" s="335">
        <f>CAPEX!N$3/389.544</f>
        <v>1.0332234612778017</v>
      </c>
      <c r="I29" s="87">
        <f t="shared" si="0"/>
        <v>77.0997211877322</v>
      </c>
    </row>
    <row r="30" spans="1:9" ht="17" thickBot="1" x14ac:dyDescent="0.25">
      <c r="A30" s="46" t="s">
        <v>2417</v>
      </c>
      <c r="B30" s="281">
        <f>OPEX!B126*2</f>
        <v>213.85147493121488</v>
      </c>
      <c r="C30" s="41" t="s">
        <v>40</v>
      </c>
      <c r="D30" s="50">
        <v>0.17799999999999999</v>
      </c>
      <c r="E30" s="41" t="s">
        <v>378</v>
      </c>
      <c r="F30" s="41">
        <v>2024</v>
      </c>
      <c r="G30" s="34"/>
      <c r="H30" s="335">
        <f>CAPEX!N$3/389.544</f>
        <v>1.0332234612778017</v>
      </c>
      <c r="I30" s="87">
        <f t="shared" si="0"/>
        <v>39.330232280747133</v>
      </c>
    </row>
    <row r="31" spans="1:9" ht="17" thickBot="1" x14ac:dyDescent="0.25">
      <c r="A31" s="46" t="s">
        <v>2418</v>
      </c>
      <c r="B31" s="281">
        <f>OPEX!B127*2</f>
        <v>152.30972732303718</v>
      </c>
      <c r="C31" s="41" t="s">
        <v>40</v>
      </c>
      <c r="D31" s="50">
        <v>0.17799999999999999</v>
      </c>
      <c r="E31" s="41" t="s">
        <v>378</v>
      </c>
      <c r="F31" s="41">
        <v>2024</v>
      </c>
      <c r="G31" s="34"/>
      <c r="H31" s="335">
        <f>CAPEX!N$3/389.544</f>
        <v>1.0332234612778017</v>
      </c>
      <c r="I31" s="87">
        <f t="shared" si="0"/>
        <v>28.011857089875623</v>
      </c>
    </row>
    <row r="32" spans="1:9" ht="17" thickBot="1" x14ac:dyDescent="0.25">
      <c r="A32" s="46" t="s">
        <v>2419</v>
      </c>
      <c r="B32" s="281">
        <f>OPEX!B128*2</f>
        <v>23862.400000000001</v>
      </c>
      <c r="C32" s="41" t="s">
        <v>40</v>
      </c>
      <c r="D32" s="50">
        <v>0.17799999999999999</v>
      </c>
      <c r="E32" s="41" t="s">
        <v>378</v>
      </c>
      <c r="F32" s="41">
        <v>2024</v>
      </c>
      <c r="G32" s="34"/>
      <c r="H32" s="335">
        <f>CAPEX!N$3/389.544</f>
        <v>1.0332234612778017</v>
      </c>
      <c r="I32" s="87">
        <f t="shared" si="0"/>
        <v>4388.6240909863836</v>
      </c>
    </row>
    <row r="33" spans="1:22" ht="20.25" customHeight="1" thickBot="1" x14ac:dyDescent="0.25">
      <c r="A33" s="46" t="s">
        <v>2420</v>
      </c>
      <c r="B33" s="281">
        <f>OPEX!B129*2</f>
        <v>11931.2</v>
      </c>
      <c r="C33" s="41" t="s">
        <v>40</v>
      </c>
      <c r="D33" s="50">
        <v>0.17799999999999999</v>
      </c>
      <c r="E33" s="41" t="s">
        <v>378</v>
      </c>
      <c r="F33" s="41">
        <v>2024</v>
      </c>
      <c r="G33" s="34"/>
      <c r="H33" s="335">
        <f>CAPEX!N$3/389.544</f>
        <v>1.0332234612778017</v>
      </c>
      <c r="I33" s="87">
        <f t="shared" si="0"/>
        <v>2194.3120454931918</v>
      </c>
    </row>
    <row r="34" spans="1:22" ht="16" thickBot="1" x14ac:dyDescent="0.25">
      <c r="A34" s="1677" t="s">
        <v>526</v>
      </c>
      <c r="B34" s="1678"/>
      <c r="C34" s="1678"/>
      <c r="D34" s="1678"/>
      <c r="E34" s="1678"/>
      <c r="F34" s="1678"/>
      <c r="G34" s="1678"/>
      <c r="H34" s="1679"/>
      <c r="I34" s="812">
        <f>SUM(I28:I33)</f>
        <v>81162.684322968693</v>
      </c>
    </row>
    <row r="35" spans="1:22" x14ac:dyDescent="0.2">
      <c r="A35" s="999"/>
      <c r="B35" s="999"/>
      <c r="C35" s="999"/>
      <c r="D35" s="999"/>
      <c r="E35" s="999"/>
      <c r="F35" s="999"/>
      <c r="G35" s="999"/>
      <c r="H35" s="999"/>
      <c r="I35" s="89"/>
    </row>
    <row r="37" spans="1:22" ht="16" thickBot="1" x14ac:dyDescent="0.25"/>
    <row r="38" spans="1:22" x14ac:dyDescent="0.2">
      <c r="A38" s="1825" t="s">
        <v>572</v>
      </c>
      <c r="B38" s="1826"/>
      <c r="C38" s="1826"/>
      <c r="D38" s="1826"/>
      <c r="E38" s="1826"/>
      <c r="F38" s="1826"/>
      <c r="G38" s="1826"/>
      <c r="H38" s="1826"/>
      <c r="I38" s="1827"/>
    </row>
    <row r="39" spans="1:22" ht="16" thickBot="1" x14ac:dyDescent="0.25">
      <c r="A39" s="1828"/>
      <c r="B39" s="1829"/>
      <c r="C39" s="1829"/>
      <c r="D39" s="1829"/>
      <c r="E39" s="1829"/>
      <c r="F39" s="1829"/>
      <c r="G39" s="1829"/>
      <c r="H39" s="1829"/>
      <c r="I39" s="1830"/>
      <c r="M39" s="2109" t="s">
        <v>3613</v>
      </c>
      <c r="N39" s="2109"/>
      <c r="O39" s="2109"/>
      <c r="P39" s="2109"/>
      <c r="Q39" s="2109"/>
      <c r="R39" s="2109"/>
      <c r="S39" s="2109"/>
      <c r="T39" s="2109"/>
      <c r="U39" s="2109"/>
      <c r="V39" s="2109"/>
    </row>
    <row r="40" spans="1:22" ht="23" thickBot="1" x14ac:dyDescent="0.25">
      <c r="A40" s="1009"/>
      <c r="B40" s="1010"/>
      <c r="C40" s="1010"/>
      <c r="D40" s="1010"/>
      <c r="E40" s="1010"/>
      <c r="F40" s="1010"/>
      <c r="G40" s="1010"/>
      <c r="H40" s="1010"/>
      <c r="I40" s="1011"/>
      <c r="M40" s="2036" t="s">
        <v>3611</v>
      </c>
      <c r="N40" s="2036" t="s">
        <v>3612</v>
      </c>
    </row>
    <row r="41" spans="1:22" ht="16.5" customHeight="1" thickBot="1" x14ac:dyDescent="0.25">
      <c r="A41" s="1889" t="s">
        <v>553</v>
      </c>
      <c r="B41" s="1890"/>
      <c r="C41" s="1890"/>
      <c r="D41" s="1890"/>
      <c r="E41" s="1890"/>
      <c r="F41" s="1890"/>
      <c r="G41" s="1890"/>
      <c r="H41" s="1890"/>
      <c r="I41" s="1891"/>
      <c r="M41" s="76">
        <v>1</v>
      </c>
      <c r="N41" s="76">
        <v>55</v>
      </c>
    </row>
    <row r="42" spans="1:22" ht="15" customHeight="1" thickBot="1" x14ac:dyDescent="0.25">
      <c r="A42" s="1689" t="s">
        <v>554</v>
      </c>
      <c r="B42" s="1689" t="s">
        <v>555</v>
      </c>
      <c r="C42" s="1689" t="s">
        <v>41</v>
      </c>
      <c r="D42" s="1683" t="s">
        <v>511</v>
      </c>
      <c r="E42" s="1684"/>
      <c r="F42" s="1684"/>
      <c r="G42" s="1684"/>
      <c r="H42" s="1683" t="s">
        <v>556</v>
      </c>
      <c r="I42" s="1685"/>
      <c r="M42">
        <v>25</v>
      </c>
      <c r="N42">
        <f>380/25</f>
        <v>15.2</v>
      </c>
    </row>
    <row r="43" spans="1:22" ht="15.75" customHeight="1" thickBot="1" x14ac:dyDescent="0.25">
      <c r="A43" s="1690"/>
      <c r="B43" s="1690"/>
      <c r="C43" s="1690"/>
      <c r="D43" s="321" t="s">
        <v>518</v>
      </c>
      <c r="E43" s="321" t="s">
        <v>41</v>
      </c>
      <c r="F43" s="321" t="s">
        <v>519</v>
      </c>
      <c r="G43" s="80" t="s">
        <v>520</v>
      </c>
      <c r="H43" s="321" t="s">
        <v>2422</v>
      </c>
      <c r="I43" s="323" t="s">
        <v>557</v>
      </c>
      <c r="M43" s="76">
        <v>40</v>
      </c>
      <c r="N43" s="76">
        <v>12</v>
      </c>
    </row>
    <row r="44" spans="1:22" ht="16.5" customHeight="1" thickBot="1" x14ac:dyDescent="0.25">
      <c r="A44" s="46" t="s">
        <v>2404</v>
      </c>
      <c r="B44" s="72">
        <f>(OPEX!B159+OPEX!B180)*2</f>
        <v>8720.8333333333339</v>
      </c>
      <c r="C44" s="41" t="s">
        <v>40</v>
      </c>
      <c r="D44" s="50">
        <v>0.17799999999999999</v>
      </c>
      <c r="E44" s="41" t="s">
        <v>378</v>
      </c>
      <c r="F44" s="41">
        <v>2024</v>
      </c>
      <c r="G44" s="34"/>
      <c r="H44" s="335">
        <f>CAPEX!N$3/389.544</f>
        <v>1.0332234612778017</v>
      </c>
      <c r="I44" s="811">
        <f>H44*D44*B44</f>
        <v>1603.8813891370423</v>
      </c>
    </row>
    <row r="45" spans="1:22" ht="17" thickBot="1" x14ac:dyDescent="0.25">
      <c r="A45" s="46" t="s">
        <v>2406</v>
      </c>
      <c r="B45" s="72">
        <f>(OPEX!B160+OPEX!B181)*2</f>
        <v>7554423.4079173831</v>
      </c>
      <c r="C45" s="41" t="s">
        <v>40</v>
      </c>
      <c r="D45" s="50">
        <v>0.17799999999999999</v>
      </c>
      <c r="E45" s="41" t="s">
        <v>378</v>
      </c>
      <c r="F45" s="41">
        <v>2024</v>
      </c>
      <c r="G45" s="34"/>
      <c r="H45" s="335">
        <f>CAPEX!N$3/389.544</f>
        <v>1.0332234612778017</v>
      </c>
      <c r="I45" s="811">
        <f>H45*D45*B45</f>
        <v>1389362.535264587</v>
      </c>
    </row>
    <row r="46" spans="1:22" ht="17" thickBot="1" x14ac:dyDescent="0.25">
      <c r="A46" s="46" t="s">
        <v>3237</v>
      </c>
      <c r="B46" s="72">
        <f>BM_Flow!C97*Inputs!F13*2*Inputs!D170/1000*Inputs!F3</f>
        <v>2400000</v>
      </c>
      <c r="C46" s="41" t="s">
        <v>566</v>
      </c>
      <c r="D46" s="50">
        <v>2.48</v>
      </c>
      <c r="E46" s="41" t="s">
        <v>3242</v>
      </c>
      <c r="F46" s="41">
        <v>2024</v>
      </c>
      <c r="G46" s="34"/>
      <c r="H46" s="335">
        <v>1</v>
      </c>
      <c r="I46" s="811">
        <f>H46*D46*B46</f>
        <v>5952000</v>
      </c>
    </row>
    <row r="47" spans="1:22" ht="17" thickBot="1" x14ac:dyDescent="0.25">
      <c r="A47" s="46" t="s">
        <v>2947</v>
      </c>
      <c r="B47" s="72">
        <f>(OPEX!B161+OPEX!B182)*2</f>
        <v>35041.049543009103</v>
      </c>
      <c r="C47" s="41" t="s">
        <v>566</v>
      </c>
      <c r="D47" s="50">
        <v>0.17799999999999999</v>
      </c>
      <c r="E47" s="41" t="s">
        <v>378</v>
      </c>
      <c r="F47" s="41">
        <v>2024</v>
      </c>
      <c r="G47" s="34"/>
      <c r="H47" s="335">
        <f>CAPEX!N$3/389.544</f>
        <v>1.0332234612778017</v>
      </c>
      <c r="I47" s="811">
        <f>H47*D47*B47</f>
        <v>6444.531740222993</v>
      </c>
    </row>
    <row r="48" spans="1:22" ht="16" thickBot="1" x14ac:dyDescent="0.25">
      <c r="A48" s="1677" t="s">
        <v>526</v>
      </c>
      <c r="B48" s="1755"/>
      <c r="C48" s="1755"/>
      <c r="D48" s="1755"/>
      <c r="E48" s="1755"/>
      <c r="F48" s="1755"/>
      <c r="G48" s="1755"/>
      <c r="H48" s="1756"/>
      <c r="I48" s="812">
        <f>SUM(I44:I47)</f>
        <v>7349410.9483939474</v>
      </c>
    </row>
    <row r="49" spans="1:9" ht="16" thickBot="1" x14ac:dyDescent="0.25">
      <c r="A49" s="76"/>
      <c r="B49" s="76"/>
      <c r="C49" s="76"/>
      <c r="D49" s="76"/>
      <c r="E49" s="76"/>
      <c r="F49" s="76"/>
      <c r="G49" s="76"/>
      <c r="H49" s="76"/>
      <c r="I49" s="76"/>
    </row>
    <row r="50" spans="1:9" ht="16" thickBot="1" x14ac:dyDescent="0.25">
      <c r="A50" s="1889" t="s">
        <v>558</v>
      </c>
      <c r="B50" s="1890"/>
      <c r="C50" s="1890"/>
      <c r="D50" s="1890"/>
      <c r="E50" s="1891"/>
      <c r="F50" s="76"/>
      <c r="G50" s="76"/>
      <c r="H50" s="76"/>
      <c r="I50" s="76"/>
    </row>
    <row r="51" spans="1:9" ht="17" thickBot="1" x14ac:dyDescent="0.25">
      <c r="A51" s="322" t="s">
        <v>559</v>
      </c>
      <c r="B51" s="322" t="s">
        <v>516</v>
      </c>
      <c r="C51" s="322" t="s">
        <v>41</v>
      </c>
      <c r="D51" s="322" t="s">
        <v>2423</v>
      </c>
      <c r="E51" s="322" t="s">
        <v>557</v>
      </c>
      <c r="F51" s="76"/>
      <c r="G51" s="76"/>
      <c r="H51" s="76"/>
      <c r="I51" s="76"/>
    </row>
    <row r="52" spans="1:9" ht="17" thickBot="1" x14ac:dyDescent="0.25">
      <c r="A52" s="35" t="s">
        <v>567</v>
      </c>
      <c r="B52" s="36">
        <f>ROUNDUP(OPEX!B166/3,0)</f>
        <v>1</v>
      </c>
      <c r="C52" s="36" t="s">
        <v>568</v>
      </c>
      <c r="D52" s="37">
        <v>150000</v>
      </c>
      <c r="E52" s="37">
        <f>D52*B52</f>
        <v>150000</v>
      </c>
      <c r="F52" s="76"/>
      <c r="G52" s="76"/>
      <c r="H52" s="76"/>
      <c r="I52" s="76"/>
    </row>
    <row r="53" spans="1:9" ht="17" thickBot="1" x14ac:dyDescent="0.25">
      <c r="A53" s="35" t="s">
        <v>2468</v>
      </c>
      <c r="B53" s="36">
        <f>ROUNDUP(OPEX!B167/3,0)</f>
        <v>1</v>
      </c>
      <c r="C53" s="36" t="s">
        <v>568</v>
      </c>
      <c r="D53" s="37">
        <v>100000</v>
      </c>
      <c r="E53" s="37">
        <f>D53*B53</f>
        <v>100000</v>
      </c>
      <c r="F53" s="76"/>
      <c r="I53" s="76"/>
    </row>
    <row r="54" spans="1:9" ht="17" thickBot="1" x14ac:dyDescent="0.25">
      <c r="A54" s="35" t="s">
        <v>570</v>
      </c>
      <c r="B54" s="36">
        <f>ROUNDUP(OPEX!B168/3,0)</f>
        <v>2</v>
      </c>
      <c r="C54" s="36" t="s">
        <v>568</v>
      </c>
      <c r="D54" s="37">
        <v>85000</v>
      </c>
      <c r="E54" s="37">
        <f>D54*B54</f>
        <v>170000</v>
      </c>
      <c r="F54" s="76"/>
      <c r="I54" s="76"/>
    </row>
    <row r="55" spans="1:9" ht="17" thickBot="1" x14ac:dyDescent="0.25">
      <c r="A55" s="35" t="s">
        <v>571</v>
      </c>
      <c r="B55" s="36">
        <f>ROUNDUP(OPEX!B169/3,0)</f>
        <v>2</v>
      </c>
      <c r="C55" s="36" t="s">
        <v>568</v>
      </c>
      <c r="D55" s="37">
        <v>70000</v>
      </c>
      <c r="E55" s="37">
        <f>D55*B55</f>
        <v>140000</v>
      </c>
      <c r="F55" s="76"/>
      <c r="I55" s="76"/>
    </row>
    <row r="56" spans="1:9" ht="14.5" customHeight="1" thickBot="1" x14ac:dyDescent="0.25">
      <c r="A56" s="1757" t="s">
        <v>526</v>
      </c>
      <c r="B56" s="1758"/>
      <c r="C56" s="1758"/>
      <c r="D56" s="1759"/>
      <c r="E56" s="812">
        <f>SUM(E52:E55)</f>
        <v>560000</v>
      </c>
      <c r="F56" s="76"/>
      <c r="G56" s="76"/>
      <c r="H56" s="76"/>
      <c r="I56" s="76"/>
    </row>
    <row r="57" spans="1:9" x14ac:dyDescent="0.2">
      <c r="A57" s="39"/>
      <c r="B57" s="39"/>
      <c r="C57" s="39"/>
      <c r="D57" s="39"/>
      <c r="E57" s="39"/>
      <c r="F57" s="39"/>
      <c r="G57" s="39"/>
      <c r="H57" s="39"/>
      <c r="I57" s="39"/>
    </row>
    <row r="58" spans="1:9" ht="15.75" customHeight="1" x14ac:dyDescent="0.2">
      <c r="A58" s="83"/>
      <c r="B58" s="83"/>
      <c r="C58" s="83"/>
      <c r="D58" s="83"/>
      <c r="E58" s="83"/>
      <c r="F58" s="83"/>
      <c r="G58" s="83"/>
      <c r="H58" s="83"/>
      <c r="I58" s="83"/>
    </row>
    <row r="59" spans="1:9" ht="16" thickBot="1" x14ac:dyDescent="0.25">
      <c r="A59" s="6"/>
    </row>
    <row r="60" spans="1:9" x14ac:dyDescent="0.2">
      <c r="A60" s="1763" t="s">
        <v>532</v>
      </c>
      <c r="B60" s="1764"/>
      <c r="C60" s="1764"/>
      <c r="D60" s="1764"/>
      <c r="E60" s="1764"/>
      <c r="F60" s="1764"/>
      <c r="G60" s="1764"/>
      <c r="H60" s="1764"/>
      <c r="I60" s="1765"/>
    </row>
    <row r="61" spans="1:9" ht="16" thickBot="1" x14ac:dyDescent="0.25">
      <c r="A61" s="1766"/>
      <c r="B61" s="1767"/>
      <c r="C61" s="1767"/>
      <c r="D61" s="1767"/>
      <c r="E61" s="1767"/>
      <c r="F61" s="1767"/>
      <c r="G61" s="1767"/>
      <c r="H61" s="1767"/>
      <c r="I61" s="1768"/>
    </row>
    <row r="62" spans="1:9" ht="23" thickBot="1" x14ac:dyDescent="0.25">
      <c r="A62" s="1009"/>
      <c r="B62" s="1010"/>
      <c r="C62" s="1010"/>
      <c r="D62" s="1010"/>
      <c r="E62" s="1010"/>
      <c r="F62" s="1010"/>
      <c r="G62" s="1010"/>
      <c r="H62" s="1010"/>
      <c r="I62" s="1011"/>
    </row>
    <row r="63" spans="1:9" ht="16" thickBot="1" x14ac:dyDescent="0.25">
      <c r="A63" s="1769" t="s">
        <v>553</v>
      </c>
      <c r="B63" s="1770"/>
      <c r="C63" s="1770"/>
      <c r="D63" s="1770"/>
      <c r="E63" s="1770"/>
      <c r="F63" s="1770"/>
      <c r="G63" s="1770"/>
      <c r="H63" s="1770"/>
      <c r="I63" s="1771"/>
    </row>
    <row r="64" spans="1:9" ht="16" thickBot="1" x14ac:dyDescent="0.25">
      <c r="A64" s="1689" t="s">
        <v>554</v>
      </c>
      <c r="B64" s="1689" t="s">
        <v>555</v>
      </c>
      <c r="C64" s="1689" t="s">
        <v>41</v>
      </c>
      <c r="D64" s="1683" t="s">
        <v>511</v>
      </c>
      <c r="E64" s="1684"/>
      <c r="F64" s="1684"/>
      <c r="G64" s="1685"/>
      <c r="H64" s="1683" t="s">
        <v>556</v>
      </c>
      <c r="I64" s="1685"/>
    </row>
    <row r="65" spans="1:14" ht="17.25" customHeight="1" thickBot="1" x14ac:dyDescent="0.25">
      <c r="A65" s="1690"/>
      <c r="B65" s="1690"/>
      <c r="C65" s="1690"/>
      <c r="D65" s="321" t="s">
        <v>518</v>
      </c>
      <c r="E65" s="321" t="s">
        <v>41</v>
      </c>
      <c r="F65" s="321" t="s">
        <v>519</v>
      </c>
      <c r="G65" s="321" t="s">
        <v>520</v>
      </c>
      <c r="H65" s="321" t="s">
        <v>2422</v>
      </c>
      <c r="I65" s="323" t="s">
        <v>557</v>
      </c>
    </row>
    <row r="66" spans="1:14" ht="18" customHeight="1" thickBot="1" x14ac:dyDescent="0.25">
      <c r="A66" s="326" t="s">
        <v>2402</v>
      </c>
      <c r="B66" s="84">
        <f ca="1">OPEX!B201*2</f>
        <v>763209.39334637963</v>
      </c>
      <c r="C66" s="40" t="s">
        <v>40</v>
      </c>
      <c r="D66" s="50">
        <v>0.17799999999999999</v>
      </c>
      <c r="E66" s="41" t="s">
        <v>378</v>
      </c>
      <c r="F66" s="41">
        <v>2024</v>
      </c>
      <c r="G66" s="34"/>
      <c r="H66" s="335">
        <f>CAPEX!N$3/389.544</f>
        <v>1.0332234612778017</v>
      </c>
      <c r="I66" s="814">
        <f ca="1">H66*D66*B66</f>
        <v>140364.7214910078</v>
      </c>
    </row>
    <row r="67" spans="1:14" ht="15" customHeight="1" thickBot="1" x14ac:dyDescent="0.25">
      <c r="A67" s="327" t="s">
        <v>2387</v>
      </c>
      <c r="B67" s="84">
        <f>OPEX!B202*2</f>
        <v>31536.944588708193</v>
      </c>
      <c r="C67" s="85" t="s">
        <v>40</v>
      </c>
      <c r="D67" s="87">
        <v>0.17799999999999999</v>
      </c>
      <c r="E67" s="41" t="s">
        <v>378</v>
      </c>
      <c r="F67" s="41">
        <v>2024</v>
      </c>
      <c r="G67" s="34"/>
      <c r="H67" s="335">
        <f>CAPEX!N$3/389.544</f>
        <v>1.0332234612778017</v>
      </c>
      <c r="I67" s="815">
        <f>H67*D67*B67</f>
        <v>5800.0785662006938</v>
      </c>
    </row>
    <row r="68" spans="1:14" ht="17" thickBot="1" x14ac:dyDescent="0.25">
      <c r="A68" s="327" t="s">
        <v>2401</v>
      </c>
      <c r="B68" s="82">
        <f ca="1">OPEX!B203*2</f>
        <v>46314.606741573036</v>
      </c>
      <c r="C68" s="85" t="s">
        <v>1522</v>
      </c>
      <c r="D68" s="86">
        <f>3441.6/1000</f>
        <v>3.4415999999999998</v>
      </c>
      <c r="E68" s="320" t="s">
        <v>14</v>
      </c>
      <c r="F68" s="320">
        <v>2000</v>
      </c>
      <c r="G68" s="77"/>
      <c r="H68" s="335">
        <f>CAPEX!N$3/307.8</f>
        <v>1.3076218323586744</v>
      </c>
      <c r="I68" s="815">
        <f ca="1">H68*D68*B68</f>
        <v>208430.14799290357</v>
      </c>
    </row>
    <row r="69" spans="1:14" ht="16" thickBot="1" x14ac:dyDescent="0.25">
      <c r="A69" s="1677" t="s">
        <v>526</v>
      </c>
      <c r="B69" s="1678"/>
      <c r="C69" s="1678"/>
      <c r="D69" s="1678"/>
      <c r="E69" s="1678"/>
      <c r="F69" s="1678"/>
      <c r="G69" s="1678"/>
      <c r="H69" s="1679"/>
      <c r="I69" s="812">
        <f ca="1">SUM(I66:I68)</f>
        <v>354594.94805011206</v>
      </c>
    </row>
    <row r="70" spans="1:14" x14ac:dyDescent="0.2">
      <c r="A70" s="999"/>
      <c r="B70" s="999"/>
      <c r="C70" s="999"/>
      <c r="D70" s="999"/>
      <c r="E70" s="999"/>
      <c r="F70" s="999"/>
      <c r="G70" s="999"/>
      <c r="H70" s="999"/>
      <c r="I70" s="999"/>
    </row>
    <row r="72" spans="1:14" ht="16" thickBot="1" x14ac:dyDescent="0.25"/>
    <row r="73" spans="1:14" x14ac:dyDescent="0.2">
      <c r="A73" s="1880" t="s">
        <v>1855</v>
      </c>
      <c r="B73" s="1881"/>
      <c r="C73" s="1881"/>
      <c r="D73" s="1881"/>
      <c r="E73" s="1881"/>
      <c r="F73" s="1881"/>
      <c r="G73" s="1881"/>
      <c r="H73" s="1881"/>
      <c r="I73" s="1882"/>
    </row>
    <row r="74" spans="1:14" ht="16" thickBot="1" x14ac:dyDescent="0.25">
      <c r="A74" s="1883"/>
      <c r="B74" s="1884"/>
      <c r="C74" s="1884"/>
      <c r="D74" s="1884"/>
      <c r="E74" s="1884"/>
      <c r="F74" s="1884"/>
      <c r="G74" s="1884"/>
      <c r="H74" s="1884"/>
      <c r="I74" s="1885"/>
    </row>
    <row r="75" spans="1:14" ht="23" thickBot="1" x14ac:dyDescent="0.25">
      <c r="A75" s="202"/>
      <c r="B75" s="203"/>
      <c r="C75" s="203"/>
      <c r="D75" s="203"/>
      <c r="E75" s="203"/>
      <c r="F75" s="203"/>
      <c r="G75" s="203"/>
      <c r="H75" s="203"/>
      <c r="I75" s="204"/>
    </row>
    <row r="76" spans="1:14" ht="16" thickBot="1" x14ac:dyDescent="0.25">
      <c r="A76" s="1901" t="s">
        <v>553</v>
      </c>
      <c r="B76" s="1902"/>
      <c r="C76" s="1902"/>
      <c r="D76" s="1902"/>
      <c r="E76" s="1902"/>
      <c r="F76" s="1902"/>
      <c r="G76" s="1902"/>
      <c r="H76" s="1902"/>
      <c r="I76" s="1903"/>
    </row>
    <row r="77" spans="1:14" ht="16" thickBot="1" x14ac:dyDescent="0.25">
      <c r="A77" s="1709" t="s">
        <v>554</v>
      </c>
      <c r="B77" s="1709" t="s">
        <v>555</v>
      </c>
      <c r="C77" s="1709" t="s">
        <v>41</v>
      </c>
      <c r="D77" s="1721" t="s">
        <v>511</v>
      </c>
      <c r="E77" s="1722"/>
      <c r="F77" s="1722"/>
      <c r="G77" s="1722"/>
      <c r="H77" s="1721" t="s">
        <v>556</v>
      </c>
      <c r="I77" s="1723"/>
    </row>
    <row r="78" spans="1:14" ht="17" thickBot="1" x14ac:dyDescent="0.25">
      <c r="A78" s="1710"/>
      <c r="B78" s="1710"/>
      <c r="C78" s="1710"/>
      <c r="D78" s="41" t="s">
        <v>518</v>
      </c>
      <c r="E78" s="41" t="s">
        <v>41</v>
      </c>
      <c r="F78" s="41" t="s">
        <v>519</v>
      </c>
      <c r="G78" s="1045" t="s">
        <v>520</v>
      </c>
      <c r="H78" s="40" t="s">
        <v>2422</v>
      </c>
      <c r="I78" s="40" t="s">
        <v>557</v>
      </c>
    </row>
    <row r="79" spans="1:14" ht="17" thickBot="1" x14ac:dyDescent="0.25">
      <c r="A79" s="46" t="s">
        <v>1916</v>
      </c>
      <c r="B79" s="58">
        <f ca="1">BM_Flow!C44*BM_Flow!E27*1/24*Inputs!F3/1000</f>
        <v>1907.9435999286304</v>
      </c>
      <c r="C79" s="41" t="s">
        <v>3225</v>
      </c>
      <c r="D79" s="50">
        <f>(6.67+0.067)/2</f>
        <v>3.3685</v>
      </c>
      <c r="E79" s="41" t="s">
        <v>1</v>
      </c>
      <c r="F79" s="56">
        <v>2024</v>
      </c>
      <c r="G79" s="1044"/>
      <c r="H79" s="1050">
        <v>1</v>
      </c>
      <c r="I79" s="65">
        <f ca="1">H79*D79*B79</f>
        <v>6426.9080163595918</v>
      </c>
    </row>
    <row r="80" spans="1:14" ht="17" thickBot="1" x14ac:dyDescent="0.25">
      <c r="A80" s="46" t="s">
        <v>3199</v>
      </c>
      <c r="B80" s="281">
        <f ca="1">(0.22*BM_Flow!C35/1400*Inputs!F3)*2</f>
        <v>5839.8726318395784</v>
      </c>
      <c r="C80" s="41" t="s">
        <v>40</v>
      </c>
      <c r="D80" s="49">
        <v>0.18</v>
      </c>
      <c r="E80" s="79" t="s">
        <v>378</v>
      </c>
      <c r="F80" s="41">
        <v>2024</v>
      </c>
      <c r="G80" s="73"/>
      <c r="H80" s="1051">
        <v>1</v>
      </c>
      <c r="I80" s="68">
        <f ca="1">H80*D80*B80</f>
        <v>1051.177073731124</v>
      </c>
      <c r="M80" t="s">
        <v>2</v>
      </c>
      <c r="N80" t="s">
        <v>269</v>
      </c>
    </row>
    <row r="81" spans="1:13" ht="16" thickBot="1" x14ac:dyDescent="0.25">
      <c r="A81" s="1677" t="s">
        <v>526</v>
      </c>
      <c r="B81" s="1755"/>
      <c r="C81" s="1755"/>
      <c r="D81" s="1755"/>
      <c r="E81" s="1755"/>
      <c r="F81" s="1755"/>
      <c r="G81" s="1755"/>
      <c r="H81" s="1756"/>
      <c r="I81" s="75">
        <f ca="1">SUM(I79:I80)</f>
        <v>7478.0850900907153</v>
      </c>
      <c r="M81" t="s">
        <v>269</v>
      </c>
    </row>
    <row r="82" spans="1:13" ht="16" thickBot="1" x14ac:dyDescent="0.25">
      <c r="A82" s="76"/>
    </row>
    <row r="83" spans="1:13" ht="16" thickBot="1" x14ac:dyDescent="0.25">
      <c r="A83" s="1901" t="s">
        <v>558</v>
      </c>
      <c r="B83" s="1902"/>
      <c r="C83" s="1902"/>
      <c r="D83" s="1902"/>
      <c r="E83" s="1903"/>
    </row>
    <row r="84" spans="1:13" ht="17" thickBot="1" x14ac:dyDescent="0.25">
      <c r="A84" s="77" t="s">
        <v>559</v>
      </c>
      <c r="B84" s="77" t="s">
        <v>516</v>
      </c>
      <c r="C84" s="77" t="s">
        <v>41</v>
      </c>
      <c r="D84" s="77" t="s">
        <v>560</v>
      </c>
      <c r="E84" s="77" t="s">
        <v>557</v>
      </c>
    </row>
    <row r="85" spans="1:13" ht="17" thickBot="1" x14ac:dyDescent="0.25">
      <c r="A85" s="35" t="s">
        <v>567</v>
      </c>
      <c r="B85" s="36">
        <v>1</v>
      </c>
      <c r="C85" s="36" t="s">
        <v>568</v>
      </c>
      <c r="D85" s="37">
        <v>104000</v>
      </c>
      <c r="E85" s="37">
        <f>D85*B85</f>
        <v>104000</v>
      </c>
    </row>
    <row r="86" spans="1:13" ht="17" thickBot="1" x14ac:dyDescent="0.25">
      <c r="A86" s="35" t="s">
        <v>569</v>
      </c>
      <c r="B86" s="36">
        <v>1</v>
      </c>
      <c r="C86" s="36" t="s">
        <v>568</v>
      </c>
      <c r="D86" s="37">
        <v>97760</v>
      </c>
      <c r="E86" s="37">
        <f>D86*B86</f>
        <v>97760</v>
      </c>
    </row>
    <row r="87" spans="1:13" ht="17" thickBot="1" x14ac:dyDescent="0.25">
      <c r="A87" s="35" t="s">
        <v>570</v>
      </c>
      <c r="B87" s="36">
        <v>2</v>
      </c>
      <c r="C87" s="36" t="s">
        <v>568</v>
      </c>
      <c r="D87" s="37">
        <v>81120</v>
      </c>
      <c r="E87" s="37">
        <f>D87*B87</f>
        <v>162240</v>
      </c>
    </row>
    <row r="88" spans="1:13" ht="17" thickBot="1" x14ac:dyDescent="0.25">
      <c r="A88" s="35" t="s">
        <v>571</v>
      </c>
      <c r="B88" s="36">
        <v>2</v>
      </c>
      <c r="C88" s="36" t="s">
        <v>568</v>
      </c>
      <c r="D88" s="37">
        <v>66560</v>
      </c>
      <c r="E88" s="37">
        <f>D88*B88</f>
        <v>133120</v>
      </c>
    </row>
    <row r="89" spans="1:13" ht="16" thickBot="1" x14ac:dyDescent="0.25">
      <c r="A89" s="1704" t="s">
        <v>526</v>
      </c>
      <c r="B89" s="1705"/>
      <c r="C89" s="1705"/>
      <c r="D89" s="1706"/>
      <c r="E89" s="75">
        <f>SUM(E85:E88)</f>
        <v>497120</v>
      </c>
    </row>
    <row r="90" spans="1:13" x14ac:dyDescent="0.2">
      <c r="A90" s="39"/>
      <c r="B90" s="39"/>
      <c r="C90" s="39"/>
      <c r="D90" s="81"/>
      <c r="E90" s="81"/>
    </row>
    <row r="92" spans="1:13" ht="16" thickBot="1" x14ac:dyDescent="0.25"/>
    <row r="93" spans="1:13" x14ac:dyDescent="0.2">
      <c r="A93" s="1859" t="s">
        <v>508</v>
      </c>
      <c r="B93" s="1860"/>
      <c r="C93" s="1860"/>
      <c r="D93" s="1860"/>
      <c r="E93" s="1860"/>
      <c r="F93" s="1860"/>
      <c r="G93" s="1860"/>
      <c r="H93" s="1860"/>
      <c r="I93" s="1861"/>
    </row>
    <row r="94" spans="1:13" ht="16" thickBot="1" x14ac:dyDescent="0.25">
      <c r="A94" s="1862"/>
      <c r="B94" s="1863"/>
      <c r="C94" s="1863"/>
      <c r="D94" s="1863"/>
      <c r="E94" s="1863"/>
      <c r="F94" s="1863"/>
      <c r="G94" s="1863"/>
      <c r="H94" s="1863"/>
      <c r="I94" s="1864"/>
    </row>
    <row r="95" spans="1:13" ht="23" thickBot="1" x14ac:dyDescent="0.25">
      <c r="A95" s="202"/>
      <c r="B95" s="203"/>
      <c r="C95" s="203"/>
      <c r="D95" s="203"/>
      <c r="E95" s="203"/>
      <c r="F95" s="203"/>
      <c r="G95" s="203"/>
      <c r="H95" s="203"/>
      <c r="I95" s="204"/>
    </row>
    <row r="96" spans="1:13" ht="16" thickBot="1" x14ac:dyDescent="0.25">
      <c r="A96" s="1904" t="s">
        <v>553</v>
      </c>
      <c r="B96" s="1905"/>
      <c r="C96" s="1905"/>
      <c r="D96" s="1905"/>
      <c r="E96" s="1905"/>
      <c r="F96" s="1905"/>
      <c r="G96" s="1905"/>
      <c r="H96" s="1905"/>
      <c r="I96" s="1906"/>
    </row>
    <row r="97" spans="1:9" ht="16" thickBot="1" x14ac:dyDescent="0.25">
      <c r="A97" s="1709" t="s">
        <v>554</v>
      </c>
      <c r="B97" s="1709" t="s">
        <v>555</v>
      </c>
      <c r="C97" s="1709" t="s">
        <v>41</v>
      </c>
      <c r="D97" s="1721" t="s">
        <v>511</v>
      </c>
      <c r="E97" s="1722"/>
      <c r="F97" s="1722"/>
      <c r="G97" s="1723"/>
      <c r="H97" s="1721" t="s">
        <v>556</v>
      </c>
      <c r="I97" s="1723"/>
    </row>
    <row r="98" spans="1:9" ht="17" thickBot="1" x14ac:dyDescent="0.25">
      <c r="A98" s="1710"/>
      <c r="B98" s="1710"/>
      <c r="C98" s="1710"/>
      <c r="D98" s="41" t="s">
        <v>518</v>
      </c>
      <c r="E98" s="41" t="s">
        <v>41</v>
      </c>
      <c r="F98" s="41" t="s">
        <v>519</v>
      </c>
      <c r="G98" s="34" t="s">
        <v>520</v>
      </c>
      <c r="H98" s="41" t="s">
        <v>524</v>
      </c>
      <c r="I98" s="40" t="s">
        <v>557</v>
      </c>
    </row>
    <row r="99" spans="1:9" ht="17" thickBot="1" x14ac:dyDescent="0.25">
      <c r="A99" s="34" t="s">
        <v>3177</v>
      </c>
      <c r="B99" s="1014">
        <f ca="1">BM_Flow!C78*0.8*Inputs!F3</f>
        <v>253881.2785388128</v>
      </c>
      <c r="C99" s="41" t="s">
        <v>1522</v>
      </c>
      <c r="D99" s="49">
        <v>0.3</v>
      </c>
      <c r="E99" s="41" t="s">
        <v>14</v>
      </c>
      <c r="F99" s="41">
        <v>2023</v>
      </c>
      <c r="G99" s="73"/>
      <c r="H99" s="74">
        <v>1</v>
      </c>
      <c r="I99" s="65">
        <f ca="1">B99*D99*H99</f>
        <v>76164.38356164383</v>
      </c>
    </row>
    <row r="100" spans="1:9" ht="16" thickBot="1" x14ac:dyDescent="0.25">
      <c r="A100" s="1677" t="s">
        <v>526</v>
      </c>
      <c r="B100" s="1678"/>
      <c r="C100" s="1678"/>
      <c r="D100" s="1678"/>
      <c r="E100" s="1678"/>
      <c r="F100" s="1678"/>
      <c r="G100" s="1678"/>
      <c r="H100" s="1679"/>
      <c r="I100" s="75">
        <f ca="1">SUM(I99)</f>
        <v>76164.38356164383</v>
      </c>
    </row>
    <row r="101" spans="1:9" x14ac:dyDescent="0.2">
      <c r="A101" s="76"/>
    </row>
    <row r="102" spans="1:9" ht="16" thickBot="1" x14ac:dyDescent="0.25"/>
    <row r="103" spans="1:9" x14ac:dyDescent="0.2">
      <c r="A103" s="1763" t="s">
        <v>2394</v>
      </c>
      <c r="B103" s="1764"/>
      <c r="C103" s="1764"/>
      <c r="D103" s="1764"/>
      <c r="E103" s="1764"/>
      <c r="F103" s="1764"/>
      <c r="G103" s="1764"/>
      <c r="H103" s="1764"/>
      <c r="I103" s="1765"/>
    </row>
    <row r="104" spans="1:9" ht="16" thickBot="1" x14ac:dyDescent="0.25">
      <c r="A104" s="1766"/>
      <c r="B104" s="1767"/>
      <c r="C104" s="1767"/>
      <c r="D104" s="1767"/>
      <c r="E104" s="1767"/>
      <c r="F104" s="1767"/>
      <c r="G104" s="1767"/>
      <c r="H104" s="1767"/>
      <c r="I104" s="1768"/>
    </row>
    <row r="105" spans="1:9" ht="23" thickBot="1" x14ac:dyDescent="0.25">
      <c r="A105" s="202"/>
      <c r="B105" s="203"/>
      <c r="C105" s="203"/>
      <c r="D105" s="203"/>
      <c r="E105" s="203"/>
      <c r="F105" s="203"/>
      <c r="G105" s="203"/>
      <c r="H105" s="203"/>
      <c r="I105" s="204"/>
    </row>
    <row r="106" spans="1:9" ht="16" thickBot="1" x14ac:dyDescent="0.25">
      <c r="A106" s="1769" t="s">
        <v>2400</v>
      </c>
      <c r="B106" s="1770"/>
      <c r="C106" s="1770"/>
      <c r="D106" s="1770"/>
      <c r="E106" s="1770"/>
      <c r="F106" s="1770"/>
      <c r="G106" s="1770"/>
      <c r="H106" s="1770"/>
      <c r="I106" s="1771"/>
    </row>
    <row r="107" spans="1:9" ht="16" thickBot="1" x14ac:dyDescent="0.25">
      <c r="A107" s="1689" t="s">
        <v>554</v>
      </c>
      <c r="B107" s="1689" t="s">
        <v>555</v>
      </c>
      <c r="C107" s="1689" t="s">
        <v>41</v>
      </c>
      <c r="D107" s="1683" t="s">
        <v>511</v>
      </c>
      <c r="E107" s="1684"/>
      <c r="F107" s="1685"/>
      <c r="G107" s="1683" t="s">
        <v>556</v>
      </c>
      <c r="H107" s="1684"/>
      <c r="I107" s="1685"/>
    </row>
    <row r="108" spans="1:9" ht="17" thickBot="1" x14ac:dyDescent="0.25">
      <c r="A108" s="1690"/>
      <c r="B108" s="1690"/>
      <c r="C108" s="1690"/>
      <c r="D108" s="321" t="s">
        <v>518</v>
      </c>
      <c r="E108" s="321" t="s">
        <v>41</v>
      </c>
      <c r="F108" s="321" t="s">
        <v>519</v>
      </c>
      <c r="G108" s="321" t="s">
        <v>520</v>
      </c>
      <c r="H108" s="321" t="s">
        <v>2422</v>
      </c>
      <c r="I108" s="322" t="s">
        <v>557</v>
      </c>
    </row>
    <row r="109" spans="1:9" ht="17" thickBot="1" x14ac:dyDescent="0.25">
      <c r="A109" s="46" t="s">
        <v>714</v>
      </c>
      <c r="B109" s="72"/>
      <c r="C109" s="41"/>
      <c r="D109" s="87">
        <v>0.17799999999999999</v>
      </c>
      <c r="E109" s="41" t="s">
        <v>378</v>
      </c>
      <c r="F109" s="41">
        <v>2024</v>
      </c>
      <c r="G109" s="34"/>
      <c r="H109" s="335">
        <f>CAPEX!N$3/389.544</f>
        <v>1.0332234612778017</v>
      </c>
      <c r="I109" s="816"/>
    </row>
    <row r="110" spans="1:9" ht="17" thickBot="1" x14ac:dyDescent="0.25">
      <c r="A110" s="46" t="s">
        <v>2479</v>
      </c>
      <c r="B110" s="330"/>
      <c r="C110" s="331"/>
      <c r="D110" s="332"/>
      <c r="E110" s="331"/>
      <c r="F110" s="331"/>
      <c r="G110" s="333"/>
      <c r="H110" s="821"/>
      <c r="I110" s="816"/>
    </row>
    <row r="111" spans="1:9" ht="17" thickBot="1" x14ac:dyDescent="0.25">
      <c r="A111" s="46" t="s">
        <v>2480</v>
      </c>
      <c r="B111" s="330"/>
      <c r="C111" s="331"/>
      <c r="D111" s="334"/>
      <c r="E111" s="331"/>
      <c r="F111" s="331"/>
      <c r="G111" s="333"/>
      <c r="H111" s="821"/>
      <c r="I111" s="816"/>
    </row>
    <row r="112" spans="1:9" ht="17" thickBot="1" x14ac:dyDescent="0.25">
      <c r="A112" s="46" t="s">
        <v>2481</v>
      </c>
      <c r="B112" s="330"/>
      <c r="C112" s="331"/>
      <c r="D112" s="334"/>
      <c r="E112" s="331"/>
      <c r="F112" s="331"/>
      <c r="G112" s="333"/>
      <c r="H112" s="821"/>
      <c r="I112" s="816"/>
    </row>
    <row r="113" spans="1:9" ht="17" thickBot="1" x14ac:dyDescent="0.25">
      <c r="A113" s="46" t="s">
        <v>2395</v>
      </c>
      <c r="B113" s="72">
        <f>SUM(E89,E56,E19)</f>
        <v>9767120</v>
      </c>
      <c r="C113" s="41" t="s">
        <v>989</v>
      </c>
      <c r="D113" s="324">
        <v>0.9</v>
      </c>
      <c r="E113" s="41" t="s">
        <v>2396</v>
      </c>
      <c r="F113" s="331"/>
      <c r="G113" s="333"/>
      <c r="H113" s="821"/>
      <c r="I113" s="816">
        <f>B113*D113</f>
        <v>8790408</v>
      </c>
    </row>
    <row r="114" spans="1:9" ht="17" thickBot="1" x14ac:dyDescent="0.25">
      <c r="A114" s="46" t="s">
        <v>2397</v>
      </c>
      <c r="B114" s="72">
        <f ca="1">BM_CAPEX!O71</f>
        <v>164842692.72338927</v>
      </c>
      <c r="C114" s="41" t="s">
        <v>2980</v>
      </c>
      <c r="D114" s="324">
        <v>0.03</v>
      </c>
      <c r="E114" s="41" t="s">
        <v>2398</v>
      </c>
      <c r="F114" s="331"/>
      <c r="G114" s="333"/>
      <c r="H114" s="821"/>
      <c r="I114" s="816">
        <f ca="1">B114*D114</f>
        <v>4945280.7817016775</v>
      </c>
    </row>
    <row r="115" spans="1:9" ht="17" thickBot="1" x14ac:dyDescent="0.25">
      <c r="A115" s="46" t="s">
        <v>2399</v>
      </c>
      <c r="B115" s="72">
        <f ca="1">B114</f>
        <v>164842692.72338927</v>
      </c>
      <c r="C115" s="41" t="s">
        <v>2980</v>
      </c>
      <c r="D115" s="325">
        <v>7.0000000000000001E-3</v>
      </c>
      <c r="E115" s="41" t="s">
        <v>2398</v>
      </c>
      <c r="F115" s="331"/>
      <c r="G115" s="333"/>
      <c r="H115" s="821"/>
      <c r="I115" s="816">
        <f ca="1">B115*D115</f>
        <v>1153898.849063725</v>
      </c>
    </row>
    <row r="116" spans="1:9" ht="16" thickBot="1" x14ac:dyDescent="0.25">
      <c r="A116" s="1677" t="s">
        <v>526</v>
      </c>
      <c r="B116" s="1678"/>
      <c r="C116" s="1678"/>
      <c r="D116" s="1678"/>
      <c r="E116" s="1678"/>
      <c r="F116" s="1678"/>
      <c r="G116" s="1678"/>
      <c r="H116" s="1679"/>
      <c r="I116" s="817">
        <f ca="1">SUM(I113:I115)</f>
        <v>14889587.630765401</v>
      </c>
    </row>
    <row r="118" spans="1:9" ht="16" thickBot="1" x14ac:dyDescent="0.25"/>
    <row r="119" spans="1:9" x14ac:dyDescent="0.2">
      <c r="A119" s="1744" t="s">
        <v>1877</v>
      </c>
      <c r="B119" s="1745"/>
      <c r="C119" s="1745"/>
      <c r="D119" s="1745"/>
      <c r="E119" s="1745"/>
      <c r="F119" s="1745"/>
      <c r="G119" s="1745"/>
      <c r="H119" s="1746"/>
      <c r="I119" s="1907">
        <f ca="1">SUM(I12,E19,I34,I48,E56,I69,I81,E89,I100,I113:I115)</f>
        <v>35207307.5752341</v>
      </c>
    </row>
    <row r="120" spans="1:9" ht="16" thickBot="1" x14ac:dyDescent="0.25">
      <c r="A120" s="1747"/>
      <c r="B120" s="1748"/>
      <c r="C120" s="1748"/>
      <c r="D120" s="1748"/>
      <c r="E120" s="1748"/>
      <c r="F120" s="1748"/>
      <c r="G120" s="1748"/>
      <c r="H120" s="1749"/>
      <c r="I120" s="1908"/>
    </row>
    <row r="122" spans="1:9" x14ac:dyDescent="0.2">
      <c r="A122" s="29" t="s">
        <v>648</v>
      </c>
      <c r="B122" s="1019" t="s">
        <v>752</v>
      </c>
    </row>
    <row r="123" spans="1:9" x14ac:dyDescent="0.2">
      <c r="A123" s="9" t="s">
        <v>753</v>
      </c>
      <c r="B123" s="107">
        <f>I12</f>
        <v>2681788.8950499385</v>
      </c>
    </row>
    <row r="124" spans="1:9" x14ac:dyDescent="0.2">
      <c r="A124" s="9" t="s">
        <v>1415</v>
      </c>
      <c r="B124" s="107">
        <f>I34</f>
        <v>81162.684322968693</v>
      </c>
    </row>
    <row r="125" spans="1:9" x14ac:dyDescent="0.2">
      <c r="A125" s="9" t="s">
        <v>572</v>
      </c>
      <c r="B125" s="107">
        <f>I48</f>
        <v>7349410.9483939474</v>
      </c>
    </row>
    <row r="126" spans="1:9" x14ac:dyDescent="0.2">
      <c r="A126" s="9" t="s">
        <v>532</v>
      </c>
      <c r="B126" s="116">
        <f ca="1">I69</f>
        <v>354594.94805011206</v>
      </c>
    </row>
    <row r="127" spans="1:9" x14ac:dyDescent="0.2">
      <c r="A127" s="9" t="s">
        <v>3205</v>
      </c>
      <c r="B127" s="107">
        <f ca="1">I116</f>
        <v>14889587.630765401</v>
      </c>
    </row>
    <row r="128" spans="1:9" x14ac:dyDescent="0.2">
      <c r="A128" s="9" t="s">
        <v>2481</v>
      </c>
      <c r="B128" s="107">
        <f>SUM(E19,E56,E89)</f>
        <v>9767120</v>
      </c>
    </row>
    <row r="129" spans="1:2" x14ac:dyDescent="0.2">
      <c r="A129" s="9" t="s">
        <v>2395</v>
      </c>
      <c r="B129" s="107">
        <f>I113</f>
        <v>8790408</v>
      </c>
    </row>
    <row r="130" spans="1:2" x14ac:dyDescent="0.2">
      <c r="A130" s="9" t="s">
        <v>2397</v>
      </c>
      <c r="B130" s="107">
        <f ca="1">I114</f>
        <v>4945280.7817016775</v>
      </c>
    </row>
    <row r="131" spans="1:2" x14ac:dyDescent="0.2">
      <c r="A131" s="9" t="s">
        <v>2399</v>
      </c>
      <c r="B131" s="107">
        <f ca="1">I115</f>
        <v>1153898.849063725</v>
      </c>
    </row>
  </sheetData>
  <mergeCells count="66">
    <mergeCell ref="M39:V39"/>
    <mergeCell ref="A103:I104"/>
    <mergeCell ref="A119:H120"/>
    <mergeCell ref="I119:I120"/>
    <mergeCell ref="A100:H100"/>
    <mergeCell ref="A106:I106"/>
    <mergeCell ref="A107:A108"/>
    <mergeCell ref="B107:B108"/>
    <mergeCell ref="C107:C108"/>
    <mergeCell ref="D107:F107"/>
    <mergeCell ref="G107:I107"/>
    <mergeCell ref="A116:H116"/>
    <mergeCell ref="A97:A98"/>
    <mergeCell ref="B97:B98"/>
    <mergeCell ref="C97:C98"/>
    <mergeCell ref="D97:G97"/>
    <mergeCell ref="H97:I97"/>
    <mergeCell ref="A81:H81"/>
    <mergeCell ref="A83:E83"/>
    <mergeCell ref="A89:D89"/>
    <mergeCell ref="A93:I94"/>
    <mergeCell ref="A96:I96"/>
    <mergeCell ref="H64:I64"/>
    <mergeCell ref="A69:H69"/>
    <mergeCell ref="A73:I74"/>
    <mergeCell ref="A76:I76"/>
    <mergeCell ref="A77:A78"/>
    <mergeCell ref="B77:B78"/>
    <mergeCell ref="C77:C78"/>
    <mergeCell ref="D77:G77"/>
    <mergeCell ref="H77:I77"/>
    <mergeCell ref="A64:A65"/>
    <mergeCell ref="B64:B65"/>
    <mergeCell ref="C64:C65"/>
    <mergeCell ref="D64:G64"/>
    <mergeCell ref="A38:I39"/>
    <mergeCell ref="A26:A27"/>
    <mergeCell ref="B26:B27"/>
    <mergeCell ref="C26:C27"/>
    <mergeCell ref="D26:G26"/>
    <mergeCell ref="H26:I26"/>
    <mergeCell ref="A12:H12"/>
    <mergeCell ref="A14:E14"/>
    <mergeCell ref="A19:D19"/>
    <mergeCell ref="A34:H34"/>
    <mergeCell ref="A1:I2"/>
    <mergeCell ref="A25:I25"/>
    <mergeCell ref="A5:I6"/>
    <mergeCell ref="A8:I8"/>
    <mergeCell ref="A9:A10"/>
    <mergeCell ref="B9:B10"/>
    <mergeCell ref="C9:C10"/>
    <mergeCell ref="D9:G9"/>
    <mergeCell ref="H9:I9"/>
    <mergeCell ref="A22:I23"/>
    <mergeCell ref="A41:I41"/>
    <mergeCell ref="A42:A43"/>
    <mergeCell ref="B42:B43"/>
    <mergeCell ref="C42:C43"/>
    <mergeCell ref="D42:G42"/>
    <mergeCell ref="H42:I42"/>
    <mergeCell ref="A48:H48"/>
    <mergeCell ref="A50:E50"/>
    <mergeCell ref="A56:D56"/>
    <mergeCell ref="A60:I61"/>
    <mergeCell ref="A63:I63"/>
  </mergeCells>
  <pageMargins left="0.7" right="0.7" top="0.75" bottom="0.75" header="0.3" footer="0.3"/>
  <pageSetup orientation="portrait" horizontalDpi="0" verticalDpi="0"/>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19A7C-521E-4EA8-B8EB-E8E83D02E0C7}">
  <sheetPr codeName="Sheet17"/>
  <dimension ref="B1:AK160"/>
  <sheetViews>
    <sheetView zoomScale="80" zoomScaleNormal="80" workbookViewId="0">
      <selection activeCell="G45" sqref="G45"/>
    </sheetView>
  </sheetViews>
  <sheetFormatPr baseColWidth="10" defaultColWidth="8.83203125" defaultRowHeight="15" x14ac:dyDescent="0.2"/>
  <cols>
    <col min="2" max="2" width="39.5" bestFit="1" customWidth="1"/>
    <col min="3" max="3" width="22.33203125" bestFit="1" customWidth="1"/>
    <col min="4" max="4" width="25.1640625" customWidth="1"/>
    <col min="5" max="5" width="22" bestFit="1" customWidth="1"/>
    <col min="6" max="6" width="18.83203125" bestFit="1" customWidth="1"/>
    <col min="7" max="7" width="24.5" customWidth="1"/>
    <col min="8" max="8" width="20.6640625" bestFit="1" customWidth="1"/>
    <col min="9" max="9" width="20.5" customWidth="1"/>
    <col min="10" max="10" width="17.6640625" bestFit="1" customWidth="1"/>
    <col min="11" max="13" width="18.1640625" bestFit="1" customWidth="1"/>
    <col min="14" max="14" width="17.6640625" bestFit="1" customWidth="1"/>
    <col min="15" max="15" width="17.33203125" bestFit="1" customWidth="1"/>
    <col min="16" max="18" width="17.6640625" bestFit="1" customWidth="1"/>
    <col min="19" max="20" width="17.33203125" bestFit="1" customWidth="1"/>
    <col min="21" max="23" width="17.6640625" bestFit="1" customWidth="1"/>
    <col min="24" max="24" width="17.33203125" bestFit="1" customWidth="1"/>
    <col min="25" max="25" width="16.83203125" bestFit="1" customWidth="1"/>
    <col min="26" max="26" width="17.6640625" bestFit="1" customWidth="1"/>
    <col min="27" max="27" width="16" bestFit="1" customWidth="1"/>
    <col min="28" max="28" width="16.83203125" bestFit="1" customWidth="1"/>
    <col min="29" max="30" width="16" bestFit="1" customWidth="1"/>
    <col min="31" max="31" width="16.83203125" bestFit="1" customWidth="1"/>
    <col min="32" max="32" width="16" bestFit="1" customWidth="1"/>
    <col min="33" max="33" width="16.83203125" bestFit="1" customWidth="1"/>
    <col min="34" max="36" width="16" bestFit="1" customWidth="1"/>
    <col min="37" max="37" width="16.83203125" bestFit="1" customWidth="1"/>
  </cols>
  <sheetData>
    <row r="1" spans="2:17" ht="16" thickBot="1" x14ac:dyDescent="0.25"/>
    <row r="2" spans="2:17" ht="23" thickBot="1" x14ac:dyDescent="0.35">
      <c r="B2" s="1496" t="s">
        <v>630</v>
      </c>
      <c r="C2" s="1497"/>
      <c r="D2" s="1498"/>
      <c r="G2" s="1909"/>
      <c r="H2" s="1909"/>
      <c r="I2" s="1909"/>
      <c r="J2" s="1909"/>
    </row>
    <row r="3" spans="2:17" x14ac:dyDescent="0.2">
      <c r="B3" s="59"/>
      <c r="C3" s="60"/>
      <c r="D3" s="106"/>
      <c r="N3" s="1208"/>
      <c r="O3" s="1208"/>
      <c r="P3" s="1208"/>
      <c r="Q3" s="1208"/>
    </row>
    <row r="4" spans="2:17" x14ac:dyDescent="0.2">
      <c r="B4" s="1499" t="s">
        <v>635</v>
      </c>
      <c r="C4" s="1500"/>
      <c r="D4" s="1501"/>
      <c r="H4" s="141"/>
      <c r="I4" s="132"/>
      <c r="J4" s="850"/>
      <c r="N4" s="1208"/>
      <c r="O4" s="1208"/>
      <c r="P4" s="1208"/>
      <c r="Q4" s="1208"/>
    </row>
    <row r="5" spans="2:17" x14ac:dyDescent="0.2">
      <c r="B5" s="113" t="s">
        <v>637</v>
      </c>
      <c r="C5" s="114"/>
      <c r="D5" s="115">
        <f ca="1">BM_OPEX!I119</f>
        <v>35207307.5752341</v>
      </c>
      <c r="E5" s="1"/>
      <c r="H5" s="141"/>
      <c r="I5" s="101"/>
      <c r="J5" s="850"/>
      <c r="N5" s="1208"/>
      <c r="O5" s="1208"/>
      <c r="P5" s="1208"/>
      <c r="Q5" s="1208"/>
    </row>
    <row r="6" spans="2:17" x14ac:dyDescent="0.2">
      <c r="B6" s="113" t="s">
        <v>640</v>
      </c>
      <c r="C6" s="114"/>
      <c r="D6" s="115">
        <f ca="1">BM_CAPEX!O71</f>
        <v>164842692.72338927</v>
      </c>
      <c r="E6" s="1"/>
      <c r="H6" s="141"/>
      <c r="I6" s="132"/>
      <c r="J6" s="850"/>
      <c r="N6" s="1208"/>
      <c r="O6" s="1208"/>
      <c r="P6" s="1208"/>
      <c r="Q6" s="1208"/>
    </row>
    <row r="7" spans="2:17" x14ac:dyDescent="0.2">
      <c r="B7" s="113" t="s">
        <v>642</v>
      </c>
      <c r="C7" s="114"/>
      <c r="D7" s="121">
        <f ca="1">D6*0.15</f>
        <v>24726403.90850839</v>
      </c>
      <c r="H7" s="141"/>
      <c r="I7" s="101"/>
      <c r="J7" s="850"/>
      <c r="N7" s="1208"/>
      <c r="O7" s="1208"/>
      <c r="P7" s="1208"/>
      <c r="Q7" s="1208"/>
    </row>
    <row r="8" spans="2:17" x14ac:dyDescent="0.2">
      <c r="B8" s="113" t="s">
        <v>643</v>
      </c>
      <c r="C8" s="114"/>
      <c r="D8" s="121">
        <f ca="1">D6*0.05</f>
        <v>8242134.6361694634</v>
      </c>
      <c r="E8" s="122"/>
      <c r="H8" s="141"/>
      <c r="I8" s="132"/>
      <c r="J8" s="850"/>
      <c r="N8" s="1208"/>
      <c r="O8" s="1208"/>
      <c r="P8" s="1208"/>
      <c r="Q8" s="1208"/>
    </row>
    <row r="9" spans="2:17" x14ac:dyDescent="0.2">
      <c r="B9" s="123"/>
      <c r="D9" s="124"/>
      <c r="H9" s="153"/>
      <c r="I9" s="850"/>
      <c r="N9" s="1208"/>
      <c r="O9" s="1208"/>
      <c r="P9" s="1208"/>
      <c r="Q9" s="1208"/>
    </row>
    <row r="10" spans="2:17" x14ac:dyDescent="0.2">
      <c r="B10" s="1502" t="s">
        <v>644</v>
      </c>
      <c r="C10" s="1503"/>
      <c r="D10" s="1504"/>
      <c r="N10" s="1208"/>
      <c r="O10" s="1208"/>
      <c r="P10" s="1208"/>
      <c r="Q10" s="1208"/>
    </row>
    <row r="11" spans="2:17" x14ac:dyDescent="0.2">
      <c r="B11" s="128" t="s">
        <v>645</v>
      </c>
      <c r="C11" s="129"/>
      <c r="D11" s="130">
        <v>0.4</v>
      </c>
      <c r="E11" s="131"/>
      <c r="H11" s="132"/>
    </row>
    <row r="12" spans="2:17" x14ac:dyDescent="0.2">
      <c r="B12" s="128" t="s">
        <v>646</v>
      </c>
      <c r="C12" s="129"/>
      <c r="D12" s="130">
        <v>0.08</v>
      </c>
      <c r="E12" s="131"/>
      <c r="F12" s="133"/>
      <c r="M12" s="153"/>
    </row>
    <row r="13" spans="2:17" x14ac:dyDescent="0.2">
      <c r="B13" s="128" t="s">
        <v>647</v>
      </c>
      <c r="C13" s="129"/>
      <c r="D13" s="134">
        <v>10</v>
      </c>
      <c r="E13" s="123"/>
      <c r="F13" s="133"/>
    </row>
    <row r="14" spans="2:17" x14ac:dyDescent="0.2">
      <c r="B14" s="128" t="s">
        <v>651</v>
      </c>
      <c r="C14" s="129"/>
      <c r="D14" s="136">
        <f ca="1">-PMT(D12,D13,D6*(1-D11))</f>
        <v>14739853.327209489</v>
      </c>
      <c r="E14" s="123"/>
      <c r="H14" s="141"/>
    </row>
    <row r="15" spans="2:17" x14ac:dyDescent="0.2">
      <c r="B15" s="123"/>
      <c r="C15" s="101"/>
      <c r="D15" s="137"/>
      <c r="E15" s="123"/>
      <c r="G15" s="141"/>
    </row>
    <row r="16" spans="2:17" x14ac:dyDescent="0.2">
      <c r="B16" s="1505" t="s">
        <v>652</v>
      </c>
      <c r="C16" s="1506"/>
      <c r="D16" s="1507"/>
      <c r="G16" s="141"/>
      <c r="H16" s="141"/>
    </row>
    <row r="17" spans="2:8" x14ac:dyDescent="0.2">
      <c r="B17" s="138" t="s">
        <v>653</v>
      </c>
      <c r="C17" s="11" t="s">
        <v>654</v>
      </c>
      <c r="D17" s="139">
        <v>7</v>
      </c>
      <c r="G17" s="101"/>
      <c r="H17" s="101"/>
    </row>
    <row r="18" spans="2:8" x14ac:dyDescent="0.2">
      <c r="B18" s="123"/>
      <c r="D18" s="140"/>
      <c r="G18" s="101"/>
      <c r="H18" s="101"/>
    </row>
    <row r="19" spans="2:8" x14ac:dyDescent="0.2">
      <c r="B19" s="1508" t="s">
        <v>655</v>
      </c>
      <c r="C19" s="1509"/>
      <c r="D19" s="1510"/>
      <c r="G19" s="101"/>
      <c r="H19" s="141"/>
    </row>
    <row r="20" spans="2:8" x14ac:dyDescent="0.2">
      <c r="B20" s="210" t="s">
        <v>656</v>
      </c>
      <c r="C20" s="211"/>
      <c r="D20" s="212">
        <v>3</v>
      </c>
    </row>
    <row r="21" spans="2:8" x14ac:dyDescent="0.2">
      <c r="B21" s="210"/>
      <c r="C21" s="211" t="s">
        <v>657</v>
      </c>
      <c r="D21" s="213">
        <v>0.1</v>
      </c>
    </row>
    <row r="22" spans="2:8" x14ac:dyDescent="0.2">
      <c r="B22" s="210"/>
      <c r="C22" s="211" t="s">
        <v>658</v>
      </c>
      <c r="D22" s="213">
        <v>0.5</v>
      </c>
    </row>
    <row r="23" spans="2:8" x14ac:dyDescent="0.2">
      <c r="B23" s="210"/>
      <c r="C23" s="211" t="s">
        <v>659</v>
      </c>
      <c r="D23" s="213">
        <v>0.4</v>
      </c>
    </row>
    <row r="24" spans="2:8" x14ac:dyDescent="0.2">
      <c r="B24" s="123"/>
      <c r="D24" s="140"/>
    </row>
    <row r="25" spans="2:8" x14ac:dyDescent="0.2">
      <c r="B25" s="1511" t="s">
        <v>660</v>
      </c>
      <c r="C25" s="1512"/>
      <c r="D25" s="1513"/>
    </row>
    <row r="26" spans="2:8" x14ac:dyDescent="0.2">
      <c r="B26" s="214" t="s">
        <v>661</v>
      </c>
      <c r="C26" s="215" t="s">
        <v>654</v>
      </c>
      <c r="D26" s="216">
        <v>0.5</v>
      </c>
    </row>
    <row r="27" spans="2:8" x14ac:dyDescent="0.2">
      <c r="B27" s="214" t="s">
        <v>662</v>
      </c>
      <c r="C27" s="215" t="s">
        <v>663</v>
      </c>
      <c r="D27" s="217">
        <v>0.5</v>
      </c>
    </row>
    <row r="28" spans="2:8" x14ac:dyDescent="0.2">
      <c r="B28" s="214"/>
      <c r="C28" s="215"/>
      <c r="D28" s="218"/>
    </row>
    <row r="29" spans="2:8" x14ac:dyDescent="0.2">
      <c r="B29" s="214"/>
      <c r="C29" s="215"/>
      <c r="D29" s="218"/>
      <c r="F29" s="1910"/>
      <c r="G29" s="1910"/>
      <c r="H29" s="1910"/>
    </row>
    <row r="30" spans="2:8" x14ac:dyDescent="0.2">
      <c r="B30" s="214"/>
      <c r="C30" s="215"/>
      <c r="D30" s="218"/>
      <c r="G30" s="100"/>
    </row>
    <row r="31" spans="2:8" x14ac:dyDescent="0.2">
      <c r="B31" s="214" t="s">
        <v>3200</v>
      </c>
      <c r="C31" s="215" t="s">
        <v>3225</v>
      </c>
      <c r="D31" s="218">
        <f ca="1">BM_Flow!E28*(BM_Flow!C43/100)*Inputs!F3*2</f>
        <v>9560947.5018071998</v>
      </c>
      <c r="E31" s="100"/>
      <c r="G31" s="850"/>
    </row>
    <row r="32" spans="2:8" x14ac:dyDescent="0.2">
      <c r="B32" s="214" t="s">
        <v>3201</v>
      </c>
      <c r="C32" s="215" t="s">
        <v>566</v>
      </c>
      <c r="D32" s="218"/>
      <c r="E32" s="100"/>
      <c r="G32" s="850"/>
    </row>
    <row r="33" spans="2:9" x14ac:dyDescent="0.2">
      <c r="B33" s="214" t="s">
        <v>667</v>
      </c>
      <c r="C33" s="215" t="s">
        <v>566</v>
      </c>
      <c r="D33" s="218">
        <f ca="1">A_DCFROR!D33*2</f>
        <v>448285539.38003999</v>
      </c>
      <c r="G33" s="850"/>
    </row>
    <row r="34" spans="2:9" x14ac:dyDescent="0.2">
      <c r="B34" s="123"/>
      <c r="D34" s="143"/>
      <c r="G34" s="850"/>
    </row>
    <row r="35" spans="2:9" x14ac:dyDescent="0.2">
      <c r="B35" s="1478" t="s">
        <v>668</v>
      </c>
      <c r="C35" s="1479"/>
      <c r="D35" s="1480"/>
    </row>
    <row r="36" spans="2:9" x14ac:dyDescent="0.2">
      <c r="B36" s="144" t="s">
        <v>669</v>
      </c>
      <c r="C36" s="14"/>
      <c r="D36" s="145">
        <v>0.1</v>
      </c>
    </row>
    <row r="37" spans="2:9" ht="16" thickBot="1" x14ac:dyDescent="0.25">
      <c r="B37" s="146" t="s">
        <v>670</v>
      </c>
      <c r="C37" s="147"/>
      <c r="D37" s="148">
        <v>0.35</v>
      </c>
    </row>
    <row r="38" spans="2:9" ht="16" thickBot="1" x14ac:dyDescent="0.25">
      <c r="D38" s="131"/>
    </row>
    <row r="39" spans="2:9" ht="23" thickBot="1" x14ac:dyDescent="0.35">
      <c r="B39" s="1496" t="s">
        <v>671</v>
      </c>
      <c r="C39" s="1497"/>
      <c r="D39" s="1498"/>
    </row>
    <row r="40" spans="2:9" x14ac:dyDescent="0.2">
      <c r="B40" s="59"/>
      <c r="C40" s="60"/>
      <c r="D40" s="106"/>
    </row>
    <row r="41" spans="2:9" ht="16" thickBot="1" x14ac:dyDescent="0.25">
      <c r="B41" s="123"/>
      <c r="D41" s="149"/>
    </row>
    <row r="42" spans="2:9" x14ac:dyDescent="0.2">
      <c r="B42" s="123"/>
      <c r="D42" s="137"/>
      <c r="H42" s="59"/>
      <c r="I42" s="106"/>
    </row>
    <row r="43" spans="2:9" x14ac:dyDescent="0.2">
      <c r="B43" s="123" t="s">
        <v>3202</v>
      </c>
      <c r="C43" t="s">
        <v>3203</v>
      </c>
      <c r="D43" s="1025">
        <v>4.8525</v>
      </c>
      <c r="H43" s="1042">
        <f>D43/9.5</f>
        <v>0.51078947368421057</v>
      </c>
      <c r="I43" s="140" t="s">
        <v>347</v>
      </c>
    </row>
    <row r="44" spans="2:9" ht="16" thickBot="1" x14ac:dyDescent="0.25">
      <c r="B44" s="123"/>
      <c r="D44" s="137"/>
      <c r="H44" s="152"/>
      <c r="I44" s="193"/>
    </row>
    <row r="45" spans="2:9" x14ac:dyDescent="0.2">
      <c r="B45" s="123" t="s">
        <v>667</v>
      </c>
      <c r="C45" t="s">
        <v>639</v>
      </c>
      <c r="D45" s="137">
        <v>0.03</v>
      </c>
    </row>
    <row r="46" spans="2:9" x14ac:dyDescent="0.2">
      <c r="B46" s="123"/>
      <c r="D46" s="151"/>
    </row>
    <row r="47" spans="2:9" ht="16" thickBot="1" x14ac:dyDescent="0.25">
      <c r="B47" s="152" t="s">
        <v>673</v>
      </c>
      <c r="C47" s="69"/>
      <c r="D47" s="71">
        <f ca="1">D86-SUM(E87:G87)</f>
        <v>-7025610.5262673795</v>
      </c>
    </row>
    <row r="48" spans="2:9" ht="16" thickBot="1" x14ac:dyDescent="0.25"/>
    <row r="49" spans="2:37" ht="23" thickBot="1" x14ac:dyDescent="0.35">
      <c r="B49" s="1481" t="s">
        <v>674</v>
      </c>
      <c r="C49" s="1482"/>
      <c r="D49" s="1483"/>
    </row>
    <row r="50" spans="2:37" x14ac:dyDescent="0.2">
      <c r="B50" s="59"/>
      <c r="C50" s="60"/>
      <c r="D50" s="60"/>
      <c r="E50" s="60"/>
      <c r="F50" s="60"/>
      <c r="G50" s="60"/>
      <c r="H50" s="60"/>
      <c r="I50" s="60"/>
      <c r="J50" s="60"/>
      <c r="K50" s="60"/>
      <c r="L50" s="60"/>
      <c r="M50" s="60"/>
      <c r="N50" s="60"/>
      <c r="O50" s="60"/>
      <c r="P50" s="60"/>
      <c r="Q50" s="60"/>
      <c r="R50" s="60"/>
      <c r="S50" s="60"/>
      <c r="T50" s="60"/>
      <c r="U50" s="60"/>
      <c r="V50" s="60"/>
      <c r="W50" s="60"/>
      <c r="X50" s="60"/>
      <c r="Y50" s="60"/>
      <c r="Z50" s="60"/>
      <c r="AA50" s="60"/>
      <c r="AB50" s="60"/>
      <c r="AC50" s="60"/>
      <c r="AD50" s="60"/>
      <c r="AE50" s="60"/>
      <c r="AF50" s="60"/>
      <c r="AG50" s="60"/>
      <c r="AH50" s="60"/>
      <c r="AI50" s="60"/>
      <c r="AJ50" s="60"/>
      <c r="AK50" s="106"/>
    </row>
    <row r="51" spans="2:37" x14ac:dyDescent="0.2">
      <c r="B51" s="123" t="s">
        <v>519</v>
      </c>
      <c r="E51">
        <v>-2</v>
      </c>
      <c r="F51">
        <v>-1</v>
      </c>
      <c r="G51">
        <v>0</v>
      </c>
      <c r="H51">
        <v>1</v>
      </c>
      <c r="I51">
        <v>2</v>
      </c>
      <c r="J51">
        <v>3</v>
      </c>
      <c r="K51">
        <v>4</v>
      </c>
      <c r="L51">
        <v>5</v>
      </c>
      <c r="M51">
        <v>6</v>
      </c>
      <c r="N51">
        <v>7</v>
      </c>
      <c r="O51">
        <v>8</v>
      </c>
      <c r="P51">
        <v>9</v>
      </c>
      <c r="Q51">
        <v>10</v>
      </c>
      <c r="R51">
        <v>11</v>
      </c>
      <c r="S51">
        <v>12</v>
      </c>
      <c r="T51">
        <v>13</v>
      </c>
      <c r="U51">
        <v>14</v>
      </c>
      <c r="V51">
        <v>15</v>
      </c>
      <c r="W51">
        <v>16</v>
      </c>
      <c r="X51">
        <v>17</v>
      </c>
      <c r="Y51">
        <v>18</v>
      </c>
      <c r="Z51">
        <v>19</v>
      </c>
      <c r="AA51">
        <v>20</v>
      </c>
      <c r="AB51">
        <v>21</v>
      </c>
      <c r="AC51">
        <v>22</v>
      </c>
      <c r="AD51">
        <v>23</v>
      </c>
      <c r="AE51">
        <v>24</v>
      </c>
      <c r="AF51">
        <v>25</v>
      </c>
      <c r="AG51">
        <v>26</v>
      </c>
      <c r="AH51">
        <v>27</v>
      </c>
      <c r="AI51">
        <v>28</v>
      </c>
      <c r="AJ51">
        <v>29</v>
      </c>
      <c r="AK51" s="140">
        <v>30</v>
      </c>
    </row>
    <row r="52" spans="2:37" x14ac:dyDescent="0.2">
      <c r="B52" s="123" t="s">
        <v>675</v>
      </c>
      <c r="D52" s="153"/>
      <c r="E52" s="153">
        <f ca="1">($D$6*D21*$D$11)</f>
        <v>6593707.7089355709</v>
      </c>
      <c r="F52" s="153">
        <f ca="1">($D$6*D22*$D$11)</f>
        <v>32968538.544677854</v>
      </c>
      <c r="G52" s="153">
        <f ca="1">$D$6*D23*$D$11</f>
        <v>26374830.835742284</v>
      </c>
      <c r="AK52" s="140"/>
    </row>
    <row r="53" spans="2:37" x14ac:dyDescent="0.2">
      <c r="B53" s="123" t="s">
        <v>676</v>
      </c>
      <c r="D53" s="153"/>
      <c r="E53" s="153">
        <f ca="1">D7</f>
        <v>24726403.90850839</v>
      </c>
      <c r="F53" s="153"/>
      <c r="AK53" s="140"/>
    </row>
    <row r="54" spans="2:37" x14ac:dyDescent="0.2">
      <c r="B54" s="123" t="s">
        <v>643</v>
      </c>
      <c r="D54" s="153"/>
      <c r="E54" s="153"/>
      <c r="F54" s="153"/>
      <c r="G54" s="153">
        <f ca="1">D8</f>
        <v>8242134.6361694634</v>
      </c>
      <c r="AK54" s="140"/>
    </row>
    <row r="55" spans="2:37" x14ac:dyDescent="0.2">
      <c r="B55" s="123"/>
      <c r="AK55" s="140"/>
    </row>
    <row r="56" spans="2:37" x14ac:dyDescent="0.2">
      <c r="B56" s="123" t="s">
        <v>677</v>
      </c>
      <c r="E56" s="132">
        <f ca="1">E57</f>
        <v>791244.92507226858</v>
      </c>
      <c r="F56" s="132">
        <f ca="1">F57</f>
        <v>4747469.5504336106</v>
      </c>
      <c r="G56" s="132">
        <f ca="1">G57</f>
        <v>7912449.2507226849</v>
      </c>
      <c r="H56" s="154">
        <f ca="1">D14</f>
        <v>14739853.327209489</v>
      </c>
      <c r="I56" s="153">
        <f t="shared" ref="I56:AK56" ca="1" si="0">IF($D$13&gt;H51,$D$14,0)</f>
        <v>14739853.327209489</v>
      </c>
      <c r="J56" s="153">
        <f t="shared" ca="1" si="0"/>
        <v>14739853.327209489</v>
      </c>
      <c r="K56" s="153">
        <f t="shared" ca="1" si="0"/>
        <v>14739853.327209489</v>
      </c>
      <c r="L56" s="153">
        <f t="shared" ca="1" si="0"/>
        <v>14739853.327209489</v>
      </c>
      <c r="M56" s="153">
        <f t="shared" ca="1" si="0"/>
        <v>14739853.327209489</v>
      </c>
      <c r="N56" s="153">
        <f t="shared" ca="1" si="0"/>
        <v>14739853.327209489</v>
      </c>
      <c r="O56" s="153">
        <f t="shared" ca="1" si="0"/>
        <v>14739853.327209489</v>
      </c>
      <c r="P56" s="153">
        <f t="shared" ca="1" si="0"/>
        <v>14739853.327209489</v>
      </c>
      <c r="Q56" s="153">
        <f t="shared" ca="1" si="0"/>
        <v>14739853.327209489</v>
      </c>
      <c r="R56" s="153">
        <f t="shared" si="0"/>
        <v>0</v>
      </c>
      <c r="S56" s="153">
        <f t="shared" si="0"/>
        <v>0</v>
      </c>
      <c r="T56" s="153">
        <f t="shared" si="0"/>
        <v>0</v>
      </c>
      <c r="U56" s="153">
        <f t="shared" si="0"/>
        <v>0</v>
      </c>
      <c r="V56" s="153">
        <f t="shared" si="0"/>
        <v>0</v>
      </c>
      <c r="W56" s="153">
        <f t="shared" si="0"/>
        <v>0</v>
      </c>
      <c r="X56" s="153">
        <f t="shared" si="0"/>
        <v>0</v>
      </c>
      <c r="Y56" s="153">
        <f t="shared" si="0"/>
        <v>0</v>
      </c>
      <c r="Z56" s="153">
        <f t="shared" si="0"/>
        <v>0</v>
      </c>
      <c r="AA56" s="153">
        <f t="shared" si="0"/>
        <v>0</v>
      </c>
      <c r="AB56" s="153">
        <f t="shared" si="0"/>
        <v>0</v>
      </c>
      <c r="AC56" s="153">
        <f t="shared" si="0"/>
        <v>0</v>
      </c>
      <c r="AD56" s="153">
        <f t="shared" si="0"/>
        <v>0</v>
      </c>
      <c r="AE56" s="153">
        <f t="shared" si="0"/>
        <v>0</v>
      </c>
      <c r="AF56" s="153">
        <f t="shared" si="0"/>
        <v>0</v>
      </c>
      <c r="AG56" s="153">
        <f t="shared" si="0"/>
        <v>0</v>
      </c>
      <c r="AH56" s="153">
        <f t="shared" si="0"/>
        <v>0</v>
      </c>
      <c r="AI56" s="153">
        <f t="shared" si="0"/>
        <v>0</v>
      </c>
      <c r="AJ56" s="153">
        <f t="shared" si="0"/>
        <v>0</v>
      </c>
      <c r="AK56" s="155">
        <f t="shared" si="0"/>
        <v>0</v>
      </c>
    </row>
    <row r="57" spans="2:37" x14ac:dyDescent="0.2">
      <c r="B57" s="123"/>
      <c r="C57" t="s">
        <v>678</v>
      </c>
      <c r="D57" s="141"/>
      <c r="E57" s="153">
        <f ca="1">E58*$D$12</f>
        <v>791244.92507226858</v>
      </c>
      <c r="F57" s="153">
        <f ca="1">+F58*$D$12</f>
        <v>4747469.5504336106</v>
      </c>
      <c r="G57" s="153">
        <f ca="1">+G58*$D$12</f>
        <v>7912449.2507226849</v>
      </c>
      <c r="H57" s="153">
        <f ca="1">D6*(1-D11)*D12</f>
        <v>7912449.2507226849</v>
      </c>
      <c r="I57" s="153">
        <f ca="1">+H58*$D$12</f>
        <v>7366256.9246037416</v>
      </c>
      <c r="J57" s="153">
        <f t="shared" ref="J57:AK57" ca="1" si="1">+I58*$D$12</f>
        <v>6776369.2123952815</v>
      </c>
      <c r="K57" s="153">
        <f t="shared" ca="1" si="1"/>
        <v>6139290.4832101455</v>
      </c>
      <c r="L57" s="153">
        <f t="shared" ca="1" si="1"/>
        <v>5451245.4556901976</v>
      </c>
      <c r="M57" s="153">
        <f t="shared" ca="1" si="1"/>
        <v>4708156.8259686548</v>
      </c>
      <c r="N57" s="153">
        <f t="shared" ca="1" si="1"/>
        <v>3905621.1058693882</v>
      </c>
      <c r="O57" s="153">
        <f t="shared" ca="1" si="1"/>
        <v>3038882.5281621804</v>
      </c>
      <c r="P57" s="153">
        <f t="shared" ca="1" si="1"/>
        <v>2102804.8642383958</v>
      </c>
      <c r="Q57" s="153">
        <f t="shared" ca="1" si="1"/>
        <v>1091840.9872007084</v>
      </c>
      <c r="R57" s="153">
        <f t="shared" ca="1" si="1"/>
        <v>5.755573511123657E-9</v>
      </c>
      <c r="S57" s="153">
        <f t="shared" ca="1" si="1"/>
        <v>6.2160193920135501E-9</v>
      </c>
      <c r="T57" s="153">
        <f t="shared" ca="1" si="1"/>
        <v>6.7133009433746351E-9</v>
      </c>
      <c r="U57" s="153">
        <f t="shared" ca="1" si="1"/>
        <v>7.2503650188446063E-9</v>
      </c>
      <c r="V57" s="153">
        <f t="shared" ca="1" si="1"/>
        <v>7.8303942203521747E-9</v>
      </c>
      <c r="W57" s="153">
        <f t="shared" ca="1" si="1"/>
        <v>8.4568257579803481E-9</v>
      </c>
      <c r="X57" s="153">
        <f t="shared" ca="1" si="1"/>
        <v>9.133371818618776E-9</v>
      </c>
      <c r="Y57" s="153">
        <f t="shared" ca="1" si="1"/>
        <v>9.8640415641082774E-9</v>
      </c>
      <c r="Z57" s="153">
        <f t="shared" ca="1" si="1"/>
        <v>1.065316488923694E-8</v>
      </c>
      <c r="AA57" s="153">
        <f t="shared" ca="1" si="1"/>
        <v>1.1505418080375895E-8</v>
      </c>
      <c r="AB57" s="153">
        <f t="shared" ca="1" si="1"/>
        <v>1.2425851526805966E-8</v>
      </c>
      <c r="AC57" s="153">
        <f t="shared" ca="1" si="1"/>
        <v>1.3419919648950444E-8</v>
      </c>
      <c r="AD57" s="153">
        <f t="shared" ca="1" si="1"/>
        <v>1.4493513220866481E-8</v>
      </c>
      <c r="AE57" s="153">
        <f t="shared" ca="1" si="1"/>
        <v>1.5652994278535799E-8</v>
      </c>
      <c r="AF57" s="153">
        <f t="shared" ca="1" si="1"/>
        <v>1.6905233820818664E-8</v>
      </c>
      <c r="AG57" s="153">
        <f t="shared" ca="1" si="1"/>
        <v>1.8257652526484157E-8</v>
      </c>
      <c r="AH57" s="153">
        <f t="shared" ca="1" si="1"/>
        <v>1.9718264728602888E-8</v>
      </c>
      <c r="AI57" s="153">
        <f t="shared" ca="1" si="1"/>
        <v>2.129572590689112E-8</v>
      </c>
      <c r="AJ57" s="153">
        <f t="shared" ca="1" si="1"/>
        <v>2.2999383979442411E-8</v>
      </c>
      <c r="AK57" s="155">
        <f t="shared" ca="1" si="1"/>
        <v>2.4839334697797804E-8</v>
      </c>
    </row>
    <row r="58" spans="2:37" x14ac:dyDescent="0.2">
      <c r="B58" s="123"/>
      <c r="C58" t="s">
        <v>679</v>
      </c>
      <c r="D58" s="141"/>
      <c r="E58" s="153">
        <f ca="1">$D$6*(1-$D$11)*$D$21</f>
        <v>9890561.5634033568</v>
      </c>
      <c r="F58" s="141">
        <f ca="1">$D$6*(1-$D$11)*$D$22+E58</f>
        <v>59343369.380420133</v>
      </c>
      <c r="G58" s="153">
        <f ca="1">$D$6*(1-$D$11)*$D$23+F58</f>
        <v>98905615.634033561</v>
      </c>
      <c r="H58" s="153">
        <f ca="1">D6*(1-D11)-H56+H57</f>
        <v>92078211.557546765</v>
      </c>
      <c r="I58" s="153">
        <f ca="1">+H58-I56+I57</f>
        <v>84704615.154941022</v>
      </c>
      <c r="J58" s="153">
        <f t="shared" ref="J58:AK58" ca="1" si="2">+I58-J56+J57</f>
        <v>76741131.040126815</v>
      </c>
      <c r="K58" s="153">
        <f t="shared" ca="1" si="2"/>
        <v>68140568.196127474</v>
      </c>
      <c r="L58" s="153">
        <f t="shared" ca="1" si="2"/>
        <v>58851960.324608184</v>
      </c>
      <c r="M58" s="153">
        <f t="shared" ca="1" si="2"/>
        <v>48820263.82336735</v>
      </c>
      <c r="N58" s="153">
        <f t="shared" ca="1" si="2"/>
        <v>37986031.602027252</v>
      </c>
      <c r="O58" s="153">
        <f t="shared" ca="1" si="2"/>
        <v>26285060.802979946</v>
      </c>
      <c r="P58" s="153">
        <f t="shared" ca="1" si="2"/>
        <v>13648012.340008853</v>
      </c>
      <c r="Q58" s="153">
        <f t="shared" ca="1" si="2"/>
        <v>7.1944668889045715E-8</v>
      </c>
      <c r="R58" s="153">
        <f t="shared" ca="1" si="2"/>
        <v>7.7700242400169379E-8</v>
      </c>
      <c r="S58" s="153">
        <f t="shared" ca="1" si="2"/>
        <v>8.3916261792182934E-8</v>
      </c>
      <c r="T58" s="153">
        <f t="shared" ca="1" si="2"/>
        <v>9.0629562735557572E-8</v>
      </c>
      <c r="U58" s="153">
        <f t="shared" ca="1" si="2"/>
        <v>9.7879927754402179E-8</v>
      </c>
      <c r="V58" s="153">
        <f t="shared" ca="1" si="2"/>
        <v>1.0571032197475436E-7</v>
      </c>
      <c r="W58" s="153">
        <f t="shared" ca="1" si="2"/>
        <v>1.141671477327347E-7</v>
      </c>
      <c r="X58" s="153">
        <f t="shared" ca="1" si="2"/>
        <v>1.2330051955135347E-7</v>
      </c>
      <c r="Y58" s="153">
        <f t="shared" ca="1" si="2"/>
        <v>1.3316456111546175E-7</v>
      </c>
      <c r="Z58" s="153">
        <f t="shared" ca="1" si="2"/>
        <v>1.4381772600469869E-7</v>
      </c>
      <c r="AA58" s="153">
        <f t="shared" ca="1" si="2"/>
        <v>1.5532314408507457E-7</v>
      </c>
      <c r="AB58" s="153">
        <f t="shared" ca="1" si="2"/>
        <v>1.6774899561188054E-7</v>
      </c>
      <c r="AC58" s="153">
        <f t="shared" ca="1" si="2"/>
        <v>1.8116891526083099E-7</v>
      </c>
      <c r="AD58" s="153">
        <f t="shared" ca="1" si="2"/>
        <v>1.9566242848169749E-7</v>
      </c>
      <c r="AE58" s="153">
        <f t="shared" ca="1" si="2"/>
        <v>2.1131542276023328E-7</v>
      </c>
      <c r="AF58" s="153">
        <f t="shared" ca="1" si="2"/>
        <v>2.2822065658105193E-7</v>
      </c>
      <c r="AG58" s="153">
        <f t="shared" ca="1" si="2"/>
        <v>2.464783091075361E-7</v>
      </c>
      <c r="AH58" s="153">
        <f t="shared" ca="1" si="2"/>
        <v>2.6619657383613899E-7</v>
      </c>
      <c r="AI58" s="153">
        <f t="shared" ca="1" si="2"/>
        <v>2.8749229974303013E-7</v>
      </c>
      <c r="AJ58" s="153">
        <f t="shared" ca="1" si="2"/>
        <v>3.1049168372247256E-7</v>
      </c>
      <c r="AK58" s="155">
        <f t="shared" ca="1" si="2"/>
        <v>3.3533101842027034E-7</v>
      </c>
    </row>
    <row r="59" spans="2:37" x14ac:dyDescent="0.2">
      <c r="B59" s="123"/>
      <c r="D59" s="141"/>
      <c r="E59" s="153"/>
      <c r="F59" s="141"/>
      <c r="G59" s="153"/>
      <c r="H59" s="153"/>
      <c r="I59" s="153"/>
      <c r="J59" s="153"/>
      <c r="K59" s="153"/>
      <c r="L59" s="153"/>
      <c r="M59" s="153"/>
      <c r="N59" s="153"/>
      <c r="O59" s="153"/>
      <c r="P59" s="153"/>
      <c r="Q59" s="153"/>
      <c r="R59" s="153"/>
      <c r="S59" s="153"/>
      <c r="T59" s="153"/>
      <c r="U59" s="153"/>
      <c r="V59" s="153"/>
      <c r="W59" s="153"/>
      <c r="X59" s="153"/>
      <c r="Y59" s="153"/>
      <c r="Z59" s="153"/>
      <c r="AA59" s="153"/>
      <c r="AB59" s="153"/>
      <c r="AC59" s="153"/>
      <c r="AD59" s="153"/>
      <c r="AE59" s="153"/>
      <c r="AF59" s="153"/>
      <c r="AG59" s="153"/>
      <c r="AH59" s="153"/>
      <c r="AI59" s="153"/>
      <c r="AJ59" s="153"/>
      <c r="AK59" s="155"/>
    </row>
    <row r="60" spans="2:37" x14ac:dyDescent="0.2">
      <c r="B60" s="123"/>
      <c r="C60" s="142" t="s">
        <v>2999</v>
      </c>
      <c r="D60" s="142"/>
      <c r="E60" s="859">
        <f ca="1">E56</f>
        <v>791244.92507226858</v>
      </c>
      <c r="F60" s="859">
        <f ca="1">F56</f>
        <v>4747469.5504336106</v>
      </c>
      <c r="G60" s="859">
        <f ca="1">G56</f>
        <v>7912449.2507226849</v>
      </c>
      <c r="H60" s="860">
        <f ca="1">H56+H59</f>
        <v>14739853.327209489</v>
      </c>
      <c r="I60" s="860">
        <f t="shared" ref="I60:R60" ca="1" si="3">I56+I59</f>
        <v>14739853.327209489</v>
      </c>
      <c r="J60" s="860">
        <f t="shared" ca="1" si="3"/>
        <v>14739853.327209489</v>
      </c>
      <c r="K60" s="860">
        <f t="shared" ca="1" si="3"/>
        <v>14739853.327209489</v>
      </c>
      <c r="L60" s="860">
        <f t="shared" ca="1" si="3"/>
        <v>14739853.327209489</v>
      </c>
      <c r="M60" s="860">
        <f t="shared" ca="1" si="3"/>
        <v>14739853.327209489</v>
      </c>
      <c r="N60" s="860">
        <f t="shared" ca="1" si="3"/>
        <v>14739853.327209489</v>
      </c>
      <c r="O60" s="860">
        <f t="shared" ca="1" si="3"/>
        <v>14739853.327209489</v>
      </c>
      <c r="P60" s="860">
        <f t="shared" ca="1" si="3"/>
        <v>14739853.327209489</v>
      </c>
      <c r="Q60" s="860">
        <f t="shared" ca="1" si="3"/>
        <v>14739853.327209489</v>
      </c>
      <c r="R60" s="154">
        <f t="shared" si="3"/>
        <v>0</v>
      </c>
      <c r="AK60" s="140"/>
    </row>
    <row r="61" spans="2:37" x14ac:dyDescent="0.2">
      <c r="B61" s="123" t="s">
        <v>680</v>
      </c>
      <c r="AK61" s="140"/>
    </row>
    <row r="62" spans="2:37" x14ac:dyDescent="0.2">
      <c r="B62" s="123"/>
      <c r="C62">
        <f>B29</f>
        <v>0</v>
      </c>
      <c r="H62" s="153">
        <f>($D29*$D41)*(1-$D$26)+($D29*$D41)*$D$26*$D$27</f>
        <v>0</v>
      </c>
      <c r="I62" s="153">
        <f>+$D29*$D41</f>
        <v>0</v>
      </c>
      <c r="J62" s="153">
        <f>+$D29*$D41</f>
        <v>0</v>
      </c>
      <c r="K62" s="153">
        <f t="shared" ref="K62:AK66" si="4">+$D29*$D41</f>
        <v>0</v>
      </c>
      <c r="L62" s="153">
        <f t="shared" si="4"/>
        <v>0</v>
      </c>
      <c r="M62" s="153">
        <f t="shared" si="4"/>
        <v>0</v>
      </c>
      <c r="N62" s="153">
        <f t="shared" si="4"/>
        <v>0</v>
      </c>
      <c r="O62" s="153">
        <f t="shared" si="4"/>
        <v>0</v>
      </c>
      <c r="P62" s="153">
        <f t="shared" si="4"/>
        <v>0</v>
      </c>
      <c r="Q62" s="153">
        <f t="shared" si="4"/>
        <v>0</v>
      </c>
      <c r="R62" s="153">
        <f t="shared" si="4"/>
        <v>0</v>
      </c>
      <c r="S62" s="153">
        <f t="shared" si="4"/>
        <v>0</v>
      </c>
      <c r="T62" s="153">
        <f t="shared" si="4"/>
        <v>0</v>
      </c>
      <c r="U62" s="153">
        <f t="shared" si="4"/>
        <v>0</v>
      </c>
      <c r="V62" s="153">
        <f t="shared" si="4"/>
        <v>0</v>
      </c>
      <c r="W62" s="153">
        <f t="shared" si="4"/>
        <v>0</v>
      </c>
      <c r="X62" s="153">
        <f t="shared" si="4"/>
        <v>0</v>
      </c>
      <c r="Y62" s="153">
        <f t="shared" si="4"/>
        <v>0</v>
      </c>
      <c r="Z62" s="153">
        <f t="shared" si="4"/>
        <v>0</v>
      </c>
      <c r="AA62" s="153">
        <f t="shared" si="4"/>
        <v>0</v>
      </c>
      <c r="AB62" s="153">
        <f t="shared" si="4"/>
        <v>0</v>
      </c>
      <c r="AC62" s="153">
        <f t="shared" si="4"/>
        <v>0</v>
      </c>
      <c r="AD62" s="153">
        <f t="shared" si="4"/>
        <v>0</v>
      </c>
      <c r="AE62" s="153">
        <f t="shared" si="4"/>
        <v>0</v>
      </c>
      <c r="AF62" s="153">
        <f t="shared" si="4"/>
        <v>0</v>
      </c>
      <c r="AG62" s="153">
        <f t="shared" si="4"/>
        <v>0</v>
      </c>
      <c r="AH62" s="153">
        <f t="shared" si="4"/>
        <v>0</v>
      </c>
      <c r="AI62" s="153">
        <f t="shared" si="4"/>
        <v>0</v>
      </c>
      <c r="AJ62" s="153">
        <f t="shared" si="4"/>
        <v>0</v>
      </c>
      <c r="AK62" s="155">
        <f t="shared" si="4"/>
        <v>0</v>
      </c>
    </row>
    <row r="63" spans="2:37" x14ac:dyDescent="0.2">
      <c r="B63" s="123"/>
      <c r="C63">
        <f>B30</f>
        <v>0</v>
      </c>
      <c r="H63" s="153">
        <f>($D30*$D42)*(1-$D$26)+($D30*$D42)*$D$26*$D$27</f>
        <v>0</v>
      </c>
      <c r="I63" s="153">
        <f t="shared" ref="I63:J66" si="5">+$D30*$D42</f>
        <v>0</v>
      </c>
      <c r="J63" s="153">
        <f t="shared" si="5"/>
        <v>0</v>
      </c>
      <c r="K63" s="153">
        <f t="shared" si="4"/>
        <v>0</v>
      </c>
      <c r="L63" s="153">
        <f t="shared" si="4"/>
        <v>0</v>
      </c>
      <c r="M63" s="153">
        <f t="shared" si="4"/>
        <v>0</v>
      </c>
      <c r="N63" s="153">
        <f t="shared" si="4"/>
        <v>0</v>
      </c>
      <c r="O63" s="153">
        <f t="shared" si="4"/>
        <v>0</v>
      </c>
      <c r="P63" s="153">
        <f t="shared" si="4"/>
        <v>0</v>
      </c>
      <c r="Q63" s="153">
        <f t="shared" si="4"/>
        <v>0</v>
      </c>
      <c r="R63" s="153">
        <f t="shared" si="4"/>
        <v>0</v>
      </c>
      <c r="S63" s="153">
        <f t="shared" si="4"/>
        <v>0</v>
      </c>
      <c r="T63" s="153">
        <f t="shared" si="4"/>
        <v>0</v>
      </c>
      <c r="U63" s="153">
        <f t="shared" si="4"/>
        <v>0</v>
      </c>
      <c r="V63" s="153">
        <f t="shared" si="4"/>
        <v>0</v>
      </c>
      <c r="W63" s="153">
        <f t="shared" si="4"/>
        <v>0</v>
      </c>
      <c r="X63" s="153">
        <f t="shared" si="4"/>
        <v>0</v>
      </c>
      <c r="Y63" s="153">
        <f t="shared" si="4"/>
        <v>0</v>
      </c>
      <c r="Z63" s="153">
        <f t="shared" si="4"/>
        <v>0</v>
      </c>
      <c r="AA63" s="153">
        <f t="shared" si="4"/>
        <v>0</v>
      </c>
      <c r="AB63" s="153">
        <f t="shared" si="4"/>
        <v>0</v>
      </c>
      <c r="AC63" s="153">
        <f t="shared" si="4"/>
        <v>0</v>
      </c>
      <c r="AD63" s="153">
        <f t="shared" si="4"/>
        <v>0</v>
      </c>
      <c r="AE63" s="153">
        <f t="shared" si="4"/>
        <v>0</v>
      </c>
      <c r="AF63" s="153">
        <f t="shared" si="4"/>
        <v>0</v>
      </c>
      <c r="AG63" s="153">
        <f t="shared" si="4"/>
        <v>0</v>
      </c>
      <c r="AH63" s="153">
        <f t="shared" si="4"/>
        <v>0</v>
      </c>
      <c r="AI63" s="153">
        <f t="shared" si="4"/>
        <v>0</v>
      </c>
      <c r="AJ63" s="153">
        <f t="shared" si="4"/>
        <v>0</v>
      </c>
      <c r="AK63" s="155">
        <f t="shared" si="4"/>
        <v>0</v>
      </c>
    </row>
    <row r="64" spans="2:37" x14ac:dyDescent="0.2">
      <c r="B64" s="123"/>
      <c r="C64" t="s">
        <v>3200</v>
      </c>
      <c r="H64" s="153">
        <f ca="1">($D31*$D43)*(1-$D$26)+($D31*$D43)*$D$26*$D$27</f>
        <v>34795873.314389579</v>
      </c>
      <c r="I64" s="153">
        <f t="shared" ca="1" si="5"/>
        <v>46394497.752519436</v>
      </c>
      <c r="J64" s="153">
        <f t="shared" ca="1" si="5"/>
        <v>46394497.752519436</v>
      </c>
      <c r="K64" s="153">
        <f t="shared" ca="1" si="4"/>
        <v>46394497.752519436</v>
      </c>
      <c r="L64" s="153">
        <f t="shared" ca="1" si="4"/>
        <v>46394497.752519436</v>
      </c>
      <c r="M64" s="153">
        <f t="shared" ca="1" si="4"/>
        <v>46394497.752519436</v>
      </c>
      <c r="N64" s="153">
        <f t="shared" ca="1" si="4"/>
        <v>46394497.752519436</v>
      </c>
      <c r="O64" s="153">
        <f t="shared" ca="1" si="4"/>
        <v>46394497.752519436</v>
      </c>
      <c r="P64" s="153">
        <f t="shared" ca="1" si="4"/>
        <v>46394497.752519436</v>
      </c>
      <c r="Q64" s="153">
        <f t="shared" ca="1" si="4"/>
        <v>46394497.752519436</v>
      </c>
      <c r="R64" s="153">
        <f t="shared" ca="1" si="4"/>
        <v>46394497.752519436</v>
      </c>
      <c r="S64" s="153">
        <f t="shared" ca="1" si="4"/>
        <v>46394497.752519436</v>
      </c>
      <c r="T64" s="153">
        <f t="shared" ca="1" si="4"/>
        <v>46394497.752519436</v>
      </c>
      <c r="U64" s="153">
        <f t="shared" ca="1" si="4"/>
        <v>46394497.752519436</v>
      </c>
      <c r="V64" s="153">
        <f t="shared" ca="1" si="4"/>
        <v>46394497.752519436</v>
      </c>
      <c r="W64" s="153">
        <f t="shared" ca="1" si="4"/>
        <v>46394497.752519436</v>
      </c>
      <c r="X64" s="153">
        <f t="shared" ca="1" si="4"/>
        <v>46394497.752519436</v>
      </c>
      <c r="Y64" s="153">
        <f t="shared" ca="1" si="4"/>
        <v>46394497.752519436</v>
      </c>
      <c r="Z64" s="153">
        <f t="shared" ca="1" si="4"/>
        <v>46394497.752519436</v>
      </c>
      <c r="AA64" s="153">
        <f t="shared" ca="1" si="4"/>
        <v>46394497.752519436</v>
      </c>
      <c r="AB64" s="153">
        <f t="shared" ca="1" si="4"/>
        <v>46394497.752519436</v>
      </c>
      <c r="AC64" s="153">
        <f t="shared" ca="1" si="4"/>
        <v>46394497.752519436</v>
      </c>
      <c r="AD64" s="153">
        <f t="shared" ca="1" si="4"/>
        <v>46394497.752519436</v>
      </c>
      <c r="AE64" s="153">
        <f t="shared" ca="1" si="4"/>
        <v>46394497.752519436</v>
      </c>
      <c r="AF64" s="153">
        <f t="shared" ca="1" si="4"/>
        <v>46394497.752519436</v>
      </c>
      <c r="AG64" s="153">
        <f t="shared" ca="1" si="4"/>
        <v>46394497.752519436</v>
      </c>
      <c r="AH64" s="153">
        <f t="shared" ca="1" si="4"/>
        <v>46394497.752519436</v>
      </c>
      <c r="AI64" s="153">
        <f t="shared" ca="1" si="4"/>
        <v>46394497.752519436</v>
      </c>
      <c r="AJ64" s="153">
        <f t="shared" ca="1" si="4"/>
        <v>46394497.752519436</v>
      </c>
      <c r="AK64" s="155">
        <f t="shared" ca="1" si="4"/>
        <v>46394497.752519436</v>
      </c>
    </row>
    <row r="65" spans="2:37" x14ac:dyDescent="0.2">
      <c r="B65" s="123"/>
      <c r="C65" t="s">
        <v>3204</v>
      </c>
      <c r="H65" s="153">
        <f>($D32*$D44)*(1-$D$26)+($D32*$D44)*$D$26*$D$27</f>
        <v>0</v>
      </c>
      <c r="I65" s="153">
        <f t="shared" si="5"/>
        <v>0</v>
      </c>
      <c r="J65" s="153">
        <f t="shared" si="5"/>
        <v>0</v>
      </c>
      <c r="K65" s="153">
        <f t="shared" si="4"/>
        <v>0</v>
      </c>
      <c r="L65" s="153">
        <f t="shared" si="4"/>
        <v>0</v>
      </c>
      <c r="M65" s="153">
        <f t="shared" si="4"/>
        <v>0</v>
      </c>
      <c r="N65" s="153">
        <f t="shared" si="4"/>
        <v>0</v>
      </c>
      <c r="O65" s="153">
        <f t="shared" si="4"/>
        <v>0</v>
      </c>
      <c r="P65" s="153">
        <f t="shared" si="4"/>
        <v>0</v>
      </c>
      <c r="Q65" s="153">
        <f t="shared" si="4"/>
        <v>0</v>
      </c>
      <c r="R65" s="153">
        <f t="shared" si="4"/>
        <v>0</v>
      </c>
      <c r="S65" s="153">
        <f t="shared" si="4"/>
        <v>0</v>
      </c>
      <c r="T65" s="153">
        <f t="shared" si="4"/>
        <v>0</v>
      </c>
      <c r="U65" s="153">
        <f t="shared" si="4"/>
        <v>0</v>
      </c>
      <c r="V65" s="153">
        <f t="shared" si="4"/>
        <v>0</v>
      </c>
      <c r="W65" s="153">
        <f t="shared" si="4"/>
        <v>0</v>
      </c>
      <c r="X65" s="153">
        <f t="shared" si="4"/>
        <v>0</v>
      </c>
      <c r="Y65" s="153">
        <f t="shared" si="4"/>
        <v>0</v>
      </c>
      <c r="Z65" s="153">
        <f t="shared" si="4"/>
        <v>0</v>
      </c>
      <c r="AA65" s="153">
        <f t="shared" si="4"/>
        <v>0</v>
      </c>
      <c r="AB65" s="153">
        <f t="shared" si="4"/>
        <v>0</v>
      </c>
      <c r="AC65" s="153">
        <f t="shared" si="4"/>
        <v>0</v>
      </c>
      <c r="AD65" s="153">
        <f t="shared" si="4"/>
        <v>0</v>
      </c>
      <c r="AE65" s="153">
        <f t="shared" si="4"/>
        <v>0</v>
      </c>
      <c r="AF65" s="153">
        <f t="shared" si="4"/>
        <v>0</v>
      </c>
      <c r="AG65" s="153">
        <f t="shared" si="4"/>
        <v>0</v>
      </c>
      <c r="AH65" s="153">
        <f t="shared" si="4"/>
        <v>0</v>
      </c>
      <c r="AI65" s="153">
        <f t="shared" si="4"/>
        <v>0</v>
      </c>
      <c r="AJ65" s="153">
        <f t="shared" si="4"/>
        <v>0</v>
      </c>
      <c r="AK65" s="155">
        <f t="shared" si="4"/>
        <v>0</v>
      </c>
    </row>
    <row r="66" spans="2:37" x14ac:dyDescent="0.2">
      <c r="B66" s="123"/>
      <c r="C66" t="str">
        <f>B33</f>
        <v>Waste Collection</v>
      </c>
      <c r="H66" s="153">
        <f ca="1">($D33*$D45)*(1-$D$26)+($D33*$D45)*$D$26*$D$27</f>
        <v>10086424.636050899</v>
      </c>
      <c r="I66" s="153">
        <f t="shared" ca="1" si="5"/>
        <v>13448566.181401199</v>
      </c>
      <c r="J66" s="153">
        <f t="shared" ca="1" si="5"/>
        <v>13448566.181401199</v>
      </c>
      <c r="K66" s="153">
        <f t="shared" ca="1" si="4"/>
        <v>13448566.181401199</v>
      </c>
      <c r="L66" s="153">
        <f t="shared" ca="1" si="4"/>
        <v>13448566.181401199</v>
      </c>
      <c r="M66" s="153">
        <f t="shared" ca="1" si="4"/>
        <v>13448566.181401199</v>
      </c>
      <c r="N66" s="153">
        <f t="shared" ca="1" si="4"/>
        <v>13448566.181401199</v>
      </c>
      <c r="O66" s="153">
        <f t="shared" ca="1" si="4"/>
        <v>13448566.181401199</v>
      </c>
      <c r="P66" s="153">
        <f t="shared" ca="1" si="4"/>
        <v>13448566.181401199</v>
      </c>
      <c r="Q66" s="153">
        <f t="shared" ca="1" si="4"/>
        <v>13448566.181401199</v>
      </c>
      <c r="R66" s="153">
        <f t="shared" ca="1" si="4"/>
        <v>13448566.181401199</v>
      </c>
      <c r="S66" s="153">
        <f t="shared" ca="1" si="4"/>
        <v>13448566.181401199</v>
      </c>
      <c r="T66" s="153">
        <f t="shared" ca="1" si="4"/>
        <v>13448566.181401199</v>
      </c>
      <c r="U66" s="153">
        <f t="shared" ca="1" si="4"/>
        <v>13448566.181401199</v>
      </c>
      <c r="V66" s="153">
        <f t="shared" ca="1" si="4"/>
        <v>13448566.181401199</v>
      </c>
      <c r="W66" s="153">
        <f t="shared" ca="1" si="4"/>
        <v>13448566.181401199</v>
      </c>
      <c r="X66" s="153">
        <f t="shared" ca="1" si="4"/>
        <v>13448566.181401199</v>
      </c>
      <c r="Y66" s="153">
        <f t="shared" ca="1" si="4"/>
        <v>13448566.181401199</v>
      </c>
      <c r="Z66" s="153">
        <f t="shared" ca="1" si="4"/>
        <v>13448566.181401199</v>
      </c>
      <c r="AA66" s="153">
        <f t="shared" ca="1" si="4"/>
        <v>13448566.181401199</v>
      </c>
      <c r="AB66" s="153">
        <f t="shared" ca="1" si="4"/>
        <v>13448566.181401199</v>
      </c>
      <c r="AC66" s="153">
        <f t="shared" ca="1" si="4"/>
        <v>13448566.181401199</v>
      </c>
      <c r="AD66" s="153">
        <f t="shared" ca="1" si="4"/>
        <v>13448566.181401199</v>
      </c>
      <c r="AE66" s="153">
        <f t="shared" ca="1" si="4"/>
        <v>13448566.181401199</v>
      </c>
      <c r="AF66" s="153">
        <f t="shared" ca="1" si="4"/>
        <v>13448566.181401199</v>
      </c>
      <c r="AG66" s="153">
        <f t="shared" ca="1" si="4"/>
        <v>13448566.181401199</v>
      </c>
      <c r="AH66" s="153">
        <f t="shared" ca="1" si="4"/>
        <v>13448566.181401199</v>
      </c>
      <c r="AI66" s="153">
        <f t="shared" ca="1" si="4"/>
        <v>13448566.181401199</v>
      </c>
      <c r="AJ66" s="153">
        <f t="shared" ca="1" si="4"/>
        <v>13448566.181401199</v>
      </c>
      <c r="AK66" s="155">
        <f t="shared" ca="1" si="4"/>
        <v>13448566.181401199</v>
      </c>
    </row>
    <row r="67" spans="2:37" x14ac:dyDescent="0.2">
      <c r="B67" s="123"/>
      <c r="H67" s="153"/>
      <c r="I67" s="153"/>
      <c r="J67" s="153"/>
      <c r="K67" s="153"/>
      <c r="L67" s="153"/>
      <c r="M67" s="153"/>
      <c r="N67" s="153"/>
      <c r="O67" s="153"/>
      <c r="P67" s="153"/>
      <c r="Q67" s="153"/>
      <c r="R67" s="153"/>
      <c r="S67" s="153"/>
      <c r="T67" s="153"/>
      <c r="U67" s="153"/>
      <c r="V67" s="153"/>
      <c r="W67" s="153"/>
      <c r="X67" s="153"/>
      <c r="Y67" s="153"/>
      <c r="Z67" s="153"/>
      <c r="AA67" s="153"/>
      <c r="AB67" s="153"/>
      <c r="AC67" s="153"/>
      <c r="AD67" s="153"/>
      <c r="AE67" s="153"/>
      <c r="AF67" s="153"/>
      <c r="AG67" s="153"/>
      <c r="AH67" s="153"/>
      <c r="AI67" s="153"/>
      <c r="AJ67" s="153"/>
      <c r="AK67" s="155"/>
    </row>
    <row r="68" spans="2:37" x14ac:dyDescent="0.2">
      <c r="B68" s="144" t="s">
        <v>681</v>
      </c>
      <c r="C68" s="14"/>
      <c r="D68" s="14"/>
      <c r="E68" s="14"/>
      <c r="F68" s="14"/>
      <c r="G68" s="14"/>
      <c r="H68" s="857">
        <f ca="1">SUM(H62:H67)</f>
        <v>44882297.950440481</v>
      </c>
      <c r="I68" s="857">
        <f ca="1">SUM(I62:I67)</f>
        <v>59843063.933920637</v>
      </c>
      <c r="J68" s="857">
        <f t="shared" ref="J68:AK68" ca="1" si="6">SUM(J62:J67)</f>
        <v>59843063.933920637</v>
      </c>
      <c r="K68" s="857">
        <f t="shared" ca="1" si="6"/>
        <v>59843063.933920637</v>
      </c>
      <c r="L68" s="857">
        <f ca="1">SUM(L62:L67)</f>
        <v>59843063.933920637</v>
      </c>
      <c r="M68" s="857">
        <f t="shared" ca="1" si="6"/>
        <v>59843063.933920637</v>
      </c>
      <c r="N68" s="857">
        <f t="shared" ca="1" si="6"/>
        <v>59843063.933920637</v>
      </c>
      <c r="O68" s="857">
        <f t="shared" ca="1" si="6"/>
        <v>59843063.933920637</v>
      </c>
      <c r="P68" s="857">
        <f t="shared" ca="1" si="6"/>
        <v>59843063.933920637</v>
      </c>
      <c r="Q68" s="857">
        <f t="shared" ca="1" si="6"/>
        <v>59843063.933920637</v>
      </c>
      <c r="R68" s="857">
        <f t="shared" ca="1" si="6"/>
        <v>59843063.933920637</v>
      </c>
      <c r="S68" s="857">
        <f t="shared" ca="1" si="6"/>
        <v>59843063.933920637</v>
      </c>
      <c r="T68" s="857">
        <f t="shared" ca="1" si="6"/>
        <v>59843063.933920637</v>
      </c>
      <c r="U68" s="857">
        <f t="shared" ca="1" si="6"/>
        <v>59843063.933920637</v>
      </c>
      <c r="V68" s="857">
        <f t="shared" ca="1" si="6"/>
        <v>59843063.933920637</v>
      </c>
      <c r="W68" s="857">
        <f t="shared" ca="1" si="6"/>
        <v>59843063.933920637</v>
      </c>
      <c r="X68" s="857">
        <f t="shared" ca="1" si="6"/>
        <v>59843063.933920637</v>
      </c>
      <c r="Y68" s="857">
        <f t="shared" ca="1" si="6"/>
        <v>59843063.933920637</v>
      </c>
      <c r="Z68" s="857">
        <f t="shared" ca="1" si="6"/>
        <v>59843063.933920637</v>
      </c>
      <c r="AA68" s="857">
        <f t="shared" ca="1" si="6"/>
        <v>59843063.933920637</v>
      </c>
      <c r="AB68" s="857">
        <f t="shared" ca="1" si="6"/>
        <v>59843063.933920637</v>
      </c>
      <c r="AC68" s="857">
        <f t="shared" ca="1" si="6"/>
        <v>59843063.933920637</v>
      </c>
      <c r="AD68" s="857">
        <f t="shared" ca="1" si="6"/>
        <v>59843063.933920637</v>
      </c>
      <c r="AE68" s="857">
        <f t="shared" ca="1" si="6"/>
        <v>59843063.933920637</v>
      </c>
      <c r="AF68" s="857">
        <f t="shared" ca="1" si="6"/>
        <v>59843063.933920637</v>
      </c>
      <c r="AG68" s="857">
        <f t="shared" ca="1" si="6"/>
        <v>59843063.933920637</v>
      </c>
      <c r="AH68" s="857">
        <f t="shared" ca="1" si="6"/>
        <v>59843063.933920637</v>
      </c>
      <c r="AI68" s="857">
        <f t="shared" ca="1" si="6"/>
        <v>59843063.933920637</v>
      </c>
      <c r="AJ68" s="857">
        <f t="shared" ca="1" si="6"/>
        <v>59843063.933920637</v>
      </c>
      <c r="AK68" s="858">
        <f t="shared" ca="1" si="6"/>
        <v>59843063.933920637</v>
      </c>
    </row>
    <row r="69" spans="2:37" x14ac:dyDescent="0.2">
      <c r="B69" s="123"/>
      <c r="AK69" s="140"/>
    </row>
    <row r="70" spans="2:37" x14ac:dyDescent="0.2">
      <c r="B70" s="123" t="s">
        <v>682</v>
      </c>
      <c r="AK70" s="140"/>
    </row>
    <row r="71" spans="2:37" x14ac:dyDescent="0.2">
      <c r="B71" s="123"/>
      <c r="C71" t="s">
        <v>3000</v>
      </c>
      <c r="H71" s="101">
        <f ca="1">+D5*(1-$D$26)+D5*$D$26*$D$27</f>
        <v>26405480.681425575</v>
      </c>
      <c r="I71" s="132">
        <f t="shared" ref="I71:AK71" ca="1" si="7">+$D$5</f>
        <v>35207307.5752341</v>
      </c>
      <c r="J71" s="132">
        <f t="shared" ca="1" si="7"/>
        <v>35207307.5752341</v>
      </c>
      <c r="K71" s="132">
        <f t="shared" ca="1" si="7"/>
        <v>35207307.5752341</v>
      </c>
      <c r="L71" s="132">
        <f t="shared" ca="1" si="7"/>
        <v>35207307.5752341</v>
      </c>
      <c r="M71" s="132">
        <f t="shared" ca="1" si="7"/>
        <v>35207307.5752341</v>
      </c>
      <c r="N71" s="132">
        <f t="shared" ca="1" si="7"/>
        <v>35207307.5752341</v>
      </c>
      <c r="O71" s="132">
        <f t="shared" ca="1" si="7"/>
        <v>35207307.5752341</v>
      </c>
      <c r="P71" s="132">
        <f t="shared" ca="1" si="7"/>
        <v>35207307.5752341</v>
      </c>
      <c r="Q71" s="132">
        <f t="shared" ca="1" si="7"/>
        <v>35207307.5752341</v>
      </c>
      <c r="R71" s="132">
        <f t="shared" ca="1" si="7"/>
        <v>35207307.5752341</v>
      </c>
      <c r="S71" s="132">
        <f t="shared" ca="1" si="7"/>
        <v>35207307.5752341</v>
      </c>
      <c r="T71" s="132">
        <f t="shared" ca="1" si="7"/>
        <v>35207307.5752341</v>
      </c>
      <c r="U71" s="132">
        <f t="shared" ca="1" si="7"/>
        <v>35207307.5752341</v>
      </c>
      <c r="V71" s="132">
        <f t="shared" ca="1" si="7"/>
        <v>35207307.5752341</v>
      </c>
      <c r="W71" s="132">
        <f t="shared" ca="1" si="7"/>
        <v>35207307.5752341</v>
      </c>
      <c r="X71" s="132">
        <f t="shared" ca="1" si="7"/>
        <v>35207307.5752341</v>
      </c>
      <c r="Y71" s="132">
        <f t="shared" ca="1" si="7"/>
        <v>35207307.5752341</v>
      </c>
      <c r="Z71" s="132">
        <f t="shared" ca="1" si="7"/>
        <v>35207307.5752341</v>
      </c>
      <c r="AA71" s="132">
        <f t="shared" ca="1" si="7"/>
        <v>35207307.5752341</v>
      </c>
      <c r="AB71" s="132">
        <f t="shared" ca="1" si="7"/>
        <v>35207307.5752341</v>
      </c>
      <c r="AC71" s="132">
        <f t="shared" ca="1" si="7"/>
        <v>35207307.5752341</v>
      </c>
      <c r="AD71" s="132">
        <f t="shared" ca="1" si="7"/>
        <v>35207307.5752341</v>
      </c>
      <c r="AE71" s="132">
        <f t="shared" ca="1" si="7"/>
        <v>35207307.5752341</v>
      </c>
      <c r="AF71" s="132">
        <f t="shared" ca="1" si="7"/>
        <v>35207307.5752341</v>
      </c>
      <c r="AG71" s="132">
        <f t="shared" ca="1" si="7"/>
        <v>35207307.5752341</v>
      </c>
      <c r="AH71" s="132">
        <f t="shared" ca="1" si="7"/>
        <v>35207307.5752341</v>
      </c>
      <c r="AI71" s="132">
        <f t="shared" ca="1" si="7"/>
        <v>35207307.5752341</v>
      </c>
      <c r="AJ71" s="132">
        <f t="shared" ca="1" si="7"/>
        <v>35207307.5752341</v>
      </c>
      <c r="AK71" s="124">
        <f t="shared" ca="1" si="7"/>
        <v>35207307.5752341</v>
      </c>
    </row>
    <row r="72" spans="2:37" x14ac:dyDescent="0.2">
      <c r="B72" s="123"/>
      <c r="H72" s="132"/>
      <c r="I72" s="132"/>
      <c r="J72" s="132"/>
      <c r="K72" s="132"/>
      <c r="L72" s="132"/>
      <c r="M72" s="132"/>
      <c r="N72" s="132"/>
      <c r="O72" s="132"/>
      <c r="P72" s="132"/>
      <c r="Q72" s="132"/>
      <c r="R72" s="132"/>
      <c r="S72" s="132"/>
      <c r="T72" s="132"/>
      <c r="U72" s="132"/>
      <c r="V72" s="132"/>
      <c r="W72" s="132"/>
      <c r="X72" s="132"/>
      <c r="Y72" s="132"/>
      <c r="Z72" s="132"/>
      <c r="AA72" s="132"/>
      <c r="AB72" s="132"/>
      <c r="AC72" s="132"/>
      <c r="AD72" s="132"/>
      <c r="AE72" s="132"/>
      <c r="AF72" s="132"/>
      <c r="AG72" s="132"/>
      <c r="AH72" s="132"/>
      <c r="AI72" s="132"/>
      <c r="AJ72" s="132"/>
      <c r="AK72" s="124"/>
    </row>
    <row r="73" spans="2:37" x14ac:dyDescent="0.2">
      <c r="B73" s="861" t="s">
        <v>3001</v>
      </c>
      <c r="C73" s="19"/>
      <c r="D73" s="19"/>
      <c r="E73" s="19"/>
      <c r="F73" s="19"/>
      <c r="G73" s="19"/>
      <c r="H73" s="862">
        <f t="shared" ref="H73:AK73" ca="1" si="8">SUM(H71:H72)</f>
        <v>26405480.681425575</v>
      </c>
      <c r="I73" s="862">
        <f t="shared" ca="1" si="8"/>
        <v>35207307.5752341</v>
      </c>
      <c r="J73" s="862">
        <f t="shared" ca="1" si="8"/>
        <v>35207307.5752341</v>
      </c>
      <c r="K73" s="862">
        <f t="shared" ca="1" si="8"/>
        <v>35207307.5752341</v>
      </c>
      <c r="L73" s="862">
        <f t="shared" ca="1" si="8"/>
        <v>35207307.5752341</v>
      </c>
      <c r="M73" s="862">
        <f t="shared" ca="1" si="8"/>
        <v>35207307.5752341</v>
      </c>
      <c r="N73" s="862">
        <f t="shared" ca="1" si="8"/>
        <v>35207307.5752341</v>
      </c>
      <c r="O73" s="862">
        <f t="shared" ca="1" si="8"/>
        <v>35207307.5752341</v>
      </c>
      <c r="P73" s="862">
        <f t="shared" ca="1" si="8"/>
        <v>35207307.5752341</v>
      </c>
      <c r="Q73" s="862">
        <f t="shared" ca="1" si="8"/>
        <v>35207307.5752341</v>
      </c>
      <c r="R73" s="862">
        <f t="shared" ca="1" si="8"/>
        <v>35207307.5752341</v>
      </c>
      <c r="S73" s="862">
        <f t="shared" ca="1" si="8"/>
        <v>35207307.5752341</v>
      </c>
      <c r="T73" s="862">
        <f t="shared" ca="1" si="8"/>
        <v>35207307.5752341</v>
      </c>
      <c r="U73" s="862">
        <f t="shared" ca="1" si="8"/>
        <v>35207307.5752341</v>
      </c>
      <c r="V73" s="862">
        <f t="shared" ca="1" si="8"/>
        <v>35207307.5752341</v>
      </c>
      <c r="W73" s="862">
        <f t="shared" ca="1" si="8"/>
        <v>35207307.5752341</v>
      </c>
      <c r="X73" s="862">
        <f t="shared" ca="1" si="8"/>
        <v>35207307.5752341</v>
      </c>
      <c r="Y73" s="862">
        <f t="shared" ca="1" si="8"/>
        <v>35207307.5752341</v>
      </c>
      <c r="Z73" s="862">
        <f t="shared" ca="1" si="8"/>
        <v>35207307.5752341</v>
      </c>
      <c r="AA73" s="862">
        <f t="shared" ca="1" si="8"/>
        <v>35207307.5752341</v>
      </c>
      <c r="AB73" s="862">
        <f t="shared" ca="1" si="8"/>
        <v>35207307.5752341</v>
      </c>
      <c r="AC73" s="862">
        <f t="shared" ca="1" si="8"/>
        <v>35207307.5752341</v>
      </c>
      <c r="AD73" s="862">
        <f t="shared" ca="1" si="8"/>
        <v>35207307.5752341</v>
      </c>
      <c r="AE73" s="862">
        <f t="shared" ca="1" si="8"/>
        <v>35207307.5752341</v>
      </c>
      <c r="AF73" s="862">
        <f t="shared" ca="1" si="8"/>
        <v>35207307.5752341</v>
      </c>
      <c r="AG73" s="862">
        <f t="shared" ca="1" si="8"/>
        <v>35207307.5752341</v>
      </c>
      <c r="AH73" s="862">
        <f t="shared" ca="1" si="8"/>
        <v>35207307.5752341</v>
      </c>
      <c r="AI73" s="862">
        <f t="shared" ca="1" si="8"/>
        <v>35207307.5752341</v>
      </c>
      <c r="AJ73" s="862">
        <f t="shared" ca="1" si="8"/>
        <v>35207307.5752341</v>
      </c>
      <c r="AK73" s="863">
        <f t="shared" ca="1" si="8"/>
        <v>35207307.5752341</v>
      </c>
    </row>
    <row r="74" spans="2:37" x14ac:dyDescent="0.2">
      <c r="B74" s="123"/>
      <c r="AK74" s="140"/>
    </row>
    <row r="75" spans="2:37" x14ac:dyDescent="0.2">
      <c r="B75" s="864" t="s">
        <v>652</v>
      </c>
      <c r="AK75" s="140"/>
    </row>
    <row r="76" spans="2:37" x14ac:dyDescent="0.2">
      <c r="B76" s="123"/>
      <c r="H76" s="156">
        <v>0.1429</v>
      </c>
      <c r="I76" s="157">
        <v>0.24490000000000001</v>
      </c>
      <c r="J76" s="157">
        <v>0.1749</v>
      </c>
      <c r="K76" s="157">
        <v>0.1249</v>
      </c>
      <c r="L76" s="157">
        <v>8.9300000000000004E-2</v>
      </c>
      <c r="M76" s="157">
        <v>8.9200000000000002E-2</v>
      </c>
      <c r="N76" s="157">
        <v>8.9300000000000004E-2</v>
      </c>
      <c r="O76" s="157">
        <v>4.4600000000000001E-2</v>
      </c>
      <c r="P76" s="131">
        <v>0</v>
      </c>
      <c r="Q76" s="131">
        <v>0</v>
      </c>
      <c r="R76" s="131">
        <v>0</v>
      </c>
      <c r="S76" s="131">
        <v>0</v>
      </c>
      <c r="T76" s="131">
        <v>0</v>
      </c>
      <c r="U76" s="131">
        <v>0</v>
      </c>
      <c r="V76" s="131">
        <v>0</v>
      </c>
      <c r="W76" s="131">
        <v>0</v>
      </c>
      <c r="X76" s="131">
        <v>0</v>
      </c>
      <c r="Y76" s="131">
        <v>0</v>
      </c>
      <c r="Z76" s="131">
        <v>0</v>
      </c>
      <c r="AA76" s="131">
        <v>0</v>
      </c>
      <c r="AB76" s="131">
        <v>0</v>
      </c>
      <c r="AC76" s="131">
        <v>0</v>
      </c>
      <c r="AD76" s="131">
        <v>0</v>
      </c>
      <c r="AE76" s="131">
        <v>0</v>
      </c>
      <c r="AF76" s="131">
        <v>0</v>
      </c>
      <c r="AG76" s="131">
        <v>0</v>
      </c>
      <c r="AH76" s="131">
        <v>0</v>
      </c>
      <c r="AI76" s="131">
        <v>0</v>
      </c>
      <c r="AJ76" s="131">
        <v>0</v>
      </c>
      <c r="AK76" s="158">
        <v>0</v>
      </c>
    </row>
    <row r="77" spans="2:37" x14ac:dyDescent="0.2">
      <c r="B77" s="123"/>
      <c r="H77" s="865">
        <f ca="1">H$76*$D$6</f>
        <v>23556020.790172327</v>
      </c>
      <c r="I77" s="865">
        <f t="shared" ref="I77:AK77" ca="1" si="9">I$76*$D$6</f>
        <v>40369975.44795803</v>
      </c>
      <c r="J77" s="865">
        <f t="shared" ca="1" si="9"/>
        <v>28830986.957320783</v>
      </c>
      <c r="K77" s="865">
        <f t="shared" ca="1" si="9"/>
        <v>20588852.32115132</v>
      </c>
      <c r="L77" s="865">
        <f t="shared" ca="1" si="9"/>
        <v>14720452.460198663</v>
      </c>
      <c r="M77" s="865">
        <f t="shared" ca="1" si="9"/>
        <v>14703968.190926323</v>
      </c>
      <c r="N77" s="865">
        <f t="shared" ca="1" si="9"/>
        <v>14720452.460198663</v>
      </c>
      <c r="O77" s="865">
        <f t="shared" ca="1" si="9"/>
        <v>7351984.0954631614</v>
      </c>
      <c r="P77" s="153">
        <f t="shared" ca="1" si="9"/>
        <v>0</v>
      </c>
      <c r="Q77" s="153">
        <f t="shared" ca="1" si="9"/>
        <v>0</v>
      </c>
      <c r="R77" s="153">
        <f t="shared" ca="1" si="9"/>
        <v>0</v>
      </c>
      <c r="S77" s="153">
        <f t="shared" ca="1" si="9"/>
        <v>0</v>
      </c>
      <c r="T77" s="153">
        <f t="shared" ca="1" si="9"/>
        <v>0</v>
      </c>
      <c r="U77" s="153">
        <f t="shared" ca="1" si="9"/>
        <v>0</v>
      </c>
      <c r="V77" s="153">
        <f t="shared" ca="1" si="9"/>
        <v>0</v>
      </c>
      <c r="W77" s="153">
        <f t="shared" ca="1" si="9"/>
        <v>0</v>
      </c>
      <c r="X77" s="153">
        <f t="shared" ca="1" si="9"/>
        <v>0</v>
      </c>
      <c r="Y77" s="153">
        <f t="shared" ca="1" si="9"/>
        <v>0</v>
      </c>
      <c r="Z77" s="153">
        <f t="shared" ca="1" si="9"/>
        <v>0</v>
      </c>
      <c r="AA77" s="153">
        <f t="shared" ca="1" si="9"/>
        <v>0</v>
      </c>
      <c r="AB77" s="153">
        <f t="shared" ca="1" si="9"/>
        <v>0</v>
      </c>
      <c r="AC77" s="153">
        <f t="shared" ca="1" si="9"/>
        <v>0</v>
      </c>
      <c r="AD77" s="153">
        <f t="shared" ca="1" si="9"/>
        <v>0</v>
      </c>
      <c r="AE77" s="153">
        <f t="shared" ca="1" si="9"/>
        <v>0</v>
      </c>
      <c r="AF77" s="153">
        <f t="shared" ca="1" si="9"/>
        <v>0</v>
      </c>
      <c r="AG77" s="153">
        <f t="shared" ca="1" si="9"/>
        <v>0</v>
      </c>
      <c r="AH77" s="153">
        <f t="shared" ca="1" si="9"/>
        <v>0</v>
      </c>
      <c r="AI77" s="153">
        <f t="shared" ca="1" si="9"/>
        <v>0</v>
      </c>
      <c r="AJ77" s="153">
        <f t="shared" ca="1" si="9"/>
        <v>0</v>
      </c>
      <c r="AK77" s="155">
        <f t="shared" ca="1" si="9"/>
        <v>0</v>
      </c>
    </row>
    <row r="78" spans="2:37" x14ac:dyDescent="0.2">
      <c r="B78" s="123"/>
      <c r="AK78" s="140"/>
    </row>
    <row r="79" spans="2:37" x14ac:dyDescent="0.2">
      <c r="B79" s="123" t="s">
        <v>683</v>
      </c>
      <c r="H79" s="132">
        <f t="shared" ref="H79:AK79" ca="1" si="10">+H68-H60-H73-H77</f>
        <v>-19819056.848366909</v>
      </c>
      <c r="I79" s="132">
        <f t="shared" ca="1" si="10"/>
        <v>-30474072.416480981</v>
      </c>
      <c r="J79" s="132">
        <f t="shared" ca="1" si="10"/>
        <v>-18935083.925843734</v>
      </c>
      <c r="K79" s="132">
        <f t="shared" ca="1" si="10"/>
        <v>-10692949.289674271</v>
      </c>
      <c r="L79" s="132">
        <f t="shared" ca="1" si="10"/>
        <v>-4824549.4287216142</v>
      </c>
      <c r="M79" s="132">
        <f t="shared" ca="1" si="10"/>
        <v>-4808065.1594492737</v>
      </c>
      <c r="N79" s="132">
        <f t="shared" ca="1" si="10"/>
        <v>-4824549.4287216142</v>
      </c>
      <c r="O79" s="132">
        <f t="shared" ca="1" si="10"/>
        <v>2543918.9360138876</v>
      </c>
      <c r="P79" s="132">
        <f t="shared" ca="1" si="10"/>
        <v>9895903.031477049</v>
      </c>
      <c r="Q79" s="132">
        <f t="shared" ca="1" si="10"/>
        <v>9895903.031477049</v>
      </c>
      <c r="R79" s="132">
        <f t="shared" ca="1" si="10"/>
        <v>24635756.358686537</v>
      </c>
      <c r="S79" s="132">
        <f t="shared" ca="1" si="10"/>
        <v>24635756.358686537</v>
      </c>
      <c r="T79" s="132">
        <f t="shared" ca="1" si="10"/>
        <v>24635756.358686537</v>
      </c>
      <c r="U79" s="132">
        <f t="shared" ca="1" si="10"/>
        <v>24635756.358686537</v>
      </c>
      <c r="V79" s="132">
        <f t="shared" ca="1" si="10"/>
        <v>24635756.358686537</v>
      </c>
      <c r="W79" s="132">
        <f t="shared" ca="1" si="10"/>
        <v>24635756.358686537</v>
      </c>
      <c r="X79" s="132">
        <f t="shared" ca="1" si="10"/>
        <v>24635756.358686537</v>
      </c>
      <c r="Y79" s="132">
        <f t="shared" ca="1" si="10"/>
        <v>24635756.358686537</v>
      </c>
      <c r="Z79" s="132">
        <f t="shared" ca="1" si="10"/>
        <v>24635756.358686537</v>
      </c>
      <c r="AA79" s="132">
        <f t="shared" ca="1" si="10"/>
        <v>24635756.358686537</v>
      </c>
      <c r="AB79" s="132">
        <f t="shared" ca="1" si="10"/>
        <v>24635756.358686537</v>
      </c>
      <c r="AC79" s="132">
        <f t="shared" ca="1" si="10"/>
        <v>24635756.358686537</v>
      </c>
      <c r="AD79" s="132">
        <f t="shared" ca="1" si="10"/>
        <v>24635756.358686537</v>
      </c>
      <c r="AE79" s="132">
        <f t="shared" ca="1" si="10"/>
        <v>24635756.358686537</v>
      </c>
      <c r="AF79" s="132">
        <f t="shared" ca="1" si="10"/>
        <v>24635756.358686537</v>
      </c>
      <c r="AG79" s="132">
        <f t="shared" ca="1" si="10"/>
        <v>24635756.358686537</v>
      </c>
      <c r="AH79" s="132">
        <f t="shared" ca="1" si="10"/>
        <v>24635756.358686537</v>
      </c>
      <c r="AI79" s="132">
        <f t="shared" ca="1" si="10"/>
        <v>24635756.358686537</v>
      </c>
      <c r="AJ79" s="132">
        <f t="shared" ca="1" si="10"/>
        <v>24635756.358686537</v>
      </c>
      <c r="AK79" s="124">
        <f t="shared" ca="1" si="10"/>
        <v>24635756.358686537</v>
      </c>
    </row>
    <row r="80" spans="2:37" x14ac:dyDescent="0.2">
      <c r="B80" s="123" t="s">
        <v>684</v>
      </c>
      <c r="H80" s="141">
        <v>0</v>
      </c>
      <c r="I80" s="101">
        <f t="shared" ref="I80:AK80" ca="1" si="11">IF(H81&lt;0,H81,0)</f>
        <v>-19819056.848366909</v>
      </c>
      <c r="J80" s="101">
        <f t="shared" ca="1" si="11"/>
        <v>-50293129.26484789</v>
      </c>
      <c r="K80" s="101">
        <f t="shared" ca="1" si="11"/>
        <v>-69228213.19069162</v>
      </c>
      <c r="L80" s="101">
        <f t="shared" ca="1" si="11"/>
        <v>-79921162.480365887</v>
      </c>
      <c r="M80" s="101">
        <f t="shared" ca="1" si="11"/>
        <v>-84745711.909087509</v>
      </c>
      <c r="N80" s="101">
        <f t="shared" ca="1" si="11"/>
        <v>-89553777.068536788</v>
      </c>
      <c r="O80" s="101">
        <f t="shared" ca="1" si="11"/>
        <v>-94378326.497258395</v>
      </c>
      <c r="P80" s="101">
        <f t="shared" ca="1" si="11"/>
        <v>-91834407.561244503</v>
      </c>
      <c r="Q80" s="101">
        <f t="shared" ca="1" si="11"/>
        <v>-81938504.529767454</v>
      </c>
      <c r="R80" s="101">
        <f t="shared" ca="1" si="11"/>
        <v>-72042601.498290405</v>
      </c>
      <c r="S80" s="101">
        <f t="shared" ca="1" si="11"/>
        <v>-47406845.139603868</v>
      </c>
      <c r="T80" s="101">
        <f t="shared" ca="1" si="11"/>
        <v>-22771088.780917332</v>
      </c>
      <c r="U80" s="101">
        <f t="shared" ca="1" si="11"/>
        <v>0</v>
      </c>
      <c r="V80" s="101">
        <f t="shared" ca="1" si="11"/>
        <v>0</v>
      </c>
      <c r="W80" s="101">
        <f t="shared" ca="1" si="11"/>
        <v>0</v>
      </c>
      <c r="X80" s="101">
        <f t="shared" ca="1" si="11"/>
        <v>0</v>
      </c>
      <c r="Y80" s="101">
        <f t="shared" ca="1" si="11"/>
        <v>0</v>
      </c>
      <c r="Z80" s="101">
        <f t="shared" ca="1" si="11"/>
        <v>0</v>
      </c>
      <c r="AA80" s="101">
        <f t="shared" ca="1" si="11"/>
        <v>0</v>
      </c>
      <c r="AB80" s="101">
        <f t="shared" ca="1" si="11"/>
        <v>0</v>
      </c>
      <c r="AC80" s="101">
        <f t="shared" ca="1" si="11"/>
        <v>0</v>
      </c>
      <c r="AD80" s="101">
        <f t="shared" ca="1" si="11"/>
        <v>0</v>
      </c>
      <c r="AE80" s="101">
        <f t="shared" ca="1" si="11"/>
        <v>0</v>
      </c>
      <c r="AF80" s="101">
        <f t="shared" ca="1" si="11"/>
        <v>0</v>
      </c>
      <c r="AG80" s="101">
        <f t="shared" ca="1" si="11"/>
        <v>0</v>
      </c>
      <c r="AH80" s="101">
        <f t="shared" ca="1" si="11"/>
        <v>0</v>
      </c>
      <c r="AI80" s="101">
        <f t="shared" ca="1" si="11"/>
        <v>0</v>
      </c>
      <c r="AJ80" s="101">
        <f t="shared" ca="1" si="11"/>
        <v>0</v>
      </c>
      <c r="AK80" s="150">
        <f t="shared" ca="1" si="11"/>
        <v>0</v>
      </c>
    </row>
    <row r="81" spans="2:37" x14ac:dyDescent="0.2">
      <c r="B81" s="123" t="s">
        <v>685</v>
      </c>
      <c r="H81" s="153">
        <f ca="1">+H80+H79</f>
        <v>-19819056.848366909</v>
      </c>
      <c r="I81" s="153">
        <f t="shared" ref="I81:AK81" ca="1" si="12">+I80+I79</f>
        <v>-50293129.26484789</v>
      </c>
      <c r="J81" s="153">
        <f t="shared" ca="1" si="12"/>
        <v>-69228213.19069162</v>
      </c>
      <c r="K81" s="153">
        <f t="shared" ca="1" si="12"/>
        <v>-79921162.480365887</v>
      </c>
      <c r="L81" s="153">
        <f t="shared" ca="1" si="12"/>
        <v>-84745711.909087509</v>
      </c>
      <c r="M81" s="153">
        <f t="shared" ca="1" si="12"/>
        <v>-89553777.068536788</v>
      </c>
      <c r="N81" s="153">
        <f t="shared" ca="1" si="12"/>
        <v>-94378326.497258395</v>
      </c>
      <c r="O81" s="153">
        <f t="shared" ca="1" si="12"/>
        <v>-91834407.561244503</v>
      </c>
      <c r="P81" s="153">
        <f t="shared" ca="1" si="12"/>
        <v>-81938504.529767454</v>
      </c>
      <c r="Q81" s="153">
        <f t="shared" ca="1" si="12"/>
        <v>-72042601.498290405</v>
      </c>
      <c r="R81" s="153">
        <f t="shared" ca="1" si="12"/>
        <v>-47406845.139603868</v>
      </c>
      <c r="S81" s="153">
        <f t="shared" ca="1" si="12"/>
        <v>-22771088.780917332</v>
      </c>
      <c r="T81" s="153">
        <f t="shared" ca="1" si="12"/>
        <v>1864667.577769205</v>
      </c>
      <c r="U81" s="153">
        <f t="shared" ca="1" si="12"/>
        <v>24635756.358686537</v>
      </c>
      <c r="V81" s="153">
        <f t="shared" ca="1" si="12"/>
        <v>24635756.358686537</v>
      </c>
      <c r="W81" s="153">
        <f t="shared" ca="1" si="12"/>
        <v>24635756.358686537</v>
      </c>
      <c r="X81" s="153">
        <f t="shared" ca="1" si="12"/>
        <v>24635756.358686537</v>
      </c>
      <c r="Y81" s="153">
        <f t="shared" ca="1" si="12"/>
        <v>24635756.358686537</v>
      </c>
      <c r="Z81" s="153">
        <f t="shared" ca="1" si="12"/>
        <v>24635756.358686537</v>
      </c>
      <c r="AA81" s="153">
        <f t="shared" ca="1" si="12"/>
        <v>24635756.358686537</v>
      </c>
      <c r="AB81" s="153">
        <f t="shared" ca="1" si="12"/>
        <v>24635756.358686537</v>
      </c>
      <c r="AC81" s="153">
        <f t="shared" ca="1" si="12"/>
        <v>24635756.358686537</v>
      </c>
      <c r="AD81" s="153">
        <f t="shared" ca="1" si="12"/>
        <v>24635756.358686537</v>
      </c>
      <c r="AE81" s="153">
        <f t="shared" ca="1" si="12"/>
        <v>24635756.358686537</v>
      </c>
      <c r="AF81" s="153">
        <f t="shared" ca="1" si="12"/>
        <v>24635756.358686537</v>
      </c>
      <c r="AG81" s="153">
        <f t="shared" ca="1" si="12"/>
        <v>24635756.358686537</v>
      </c>
      <c r="AH81" s="153">
        <f t="shared" ca="1" si="12"/>
        <v>24635756.358686537</v>
      </c>
      <c r="AI81" s="153">
        <f t="shared" ca="1" si="12"/>
        <v>24635756.358686537</v>
      </c>
      <c r="AJ81" s="153">
        <f t="shared" ca="1" si="12"/>
        <v>24635756.358686537</v>
      </c>
      <c r="AK81" s="155">
        <f t="shared" ca="1" si="12"/>
        <v>24635756.358686537</v>
      </c>
    </row>
    <row r="82" spans="2:37" x14ac:dyDescent="0.2">
      <c r="B82" s="868" t="s">
        <v>3002</v>
      </c>
      <c r="C82" s="866"/>
      <c r="D82" s="866"/>
      <c r="E82" s="866"/>
      <c r="F82" s="866"/>
      <c r="G82" s="866"/>
      <c r="H82" s="866">
        <f ca="1">IF(H81*($D$37)&lt;0,0,H81*$D$37)</f>
        <v>0</v>
      </c>
      <c r="I82" s="866">
        <f t="shared" ref="I82:AK82" ca="1" si="13">IF(I81*($D$37)&lt;0,0,I81*$D$37)</f>
        <v>0</v>
      </c>
      <c r="J82" s="866">
        <f t="shared" ca="1" si="13"/>
        <v>0</v>
      </c>
      <c r="K82" s="866">
        <f t="shared" ca="1" si="13"/>
        <v>0</v>
      </c>
      <c r="L82" s="866">
        <f t="shared" ca="1" si="13"/>
        <v>0</v>
      </c>
      <c r="M82" s="866">
        <f t="shared" ca="1" si="13"/>
        <v>0</v>
      </c>
      <c r="N82" s="866">
        <f t="shared" ca="1" si="13"/>
        <v>0</v>
      </c>
      <c r="O82" s="866">
        <f t="shared" ca="1" si="13"/>
        <v>0</v>
      </c>
      <c r="P82" s="866">
        <f t="shared" ca="1" si="13"/>
        <v>0</v>
      </c>
      <c r="Q82" s="866">
        <f t="shared" ca="1" si="13"/>
        <v>0</v>
      </c>
      <c r="R82" s="866">
        <f t="shared" ca="1" si="13"/>
        <v>0</v>
      </c>
      <c r="S82" s="866">
        <f t="shared" ca="1" si="13"/>
        <v>0</v>
      </c>
      <c r="T82" s="866">
        <f t="shared" ca="1" si="13"/>
        <v>652633.65221922169</v>
      </c>
      <c r="U82" s="866">
        <f t="shared" ca="1" si="13"/>
        <v>8622514.7255402878</v>
      </c>
      <c r="V82" s="866">
        <f t="shared" ca="1" si="13"/>
        <v>8622514.7255402878</v>
      </c>
      <c r="W82" s="866">
        <f t="shared" ca="1" si="13"/>
        <v>8622514.7255402878</v>
      </c>
      <c r="X82" s="866">
        <f t="shared" ca="1" si="13"/>
        <v>8622514.7255402878</v>
      </c>
      <c r="Y82" s="866">
        <f t="shared" ca="1" si="13"/>
        <v>8622514.7255402878</v>
      </c>
      <c r="Z82" s="866">
        <f t="shared" ca="1" si="13"/>
        <v>8622514.7255402878</v>
      </c>
      <c r="AA82" s="866">
        <f t="shared" ca="1" si="13"/>
        <v>8622514.7255402878</v>
      </c>
      <c r="AB82" s="866">
        <f t="shared" ca="1" si="13"/>
        <v>8622514.7255402878</v>
      </c>
      <c r="AC82" s="866">
        <f t="shared" ca="1" si="13"/>
        <v>8622514.7255402878</v>
      </c>
      <c r="AD82" s="866">
        <f t="shared" ca="1" si="13"/>
        <v>8622514.7255402878</v>
      </c>
      <c r="AE82" s="866">
        <f t="shared" ca="1" si="13"/>
        <v>8622514.7255402878</v>
      </c>
      <c r="AF82" s="866">
        <f t="shared" ca="1" si="13"/>
        <v>8622514.7255402878</v>
      </c>
      <c r="AG82" s="866">
        <f t="shared" ca="1" si="13"/>
        <v>8622514.7255402878</v>
      </c>
      <c r="AH82" s="866">
        <f t="shared" ca="1" si="13"/>
        <v>8622514.7255402878</v>
      </c>
      <c r="AI82" s="866">
        <f t="shared" ca="1" si="13"/>
        <v>8622514.7255402878</v>
      </c>
      <c r="AJ82" s="866">
        <f t="shared" ca="1" si="13"/>
        <v>8622514.7255402878</v>
      </c>
      <c r="AK82" s="867">
        <f t="shared" ca="1" si="13"/>
        <v>8622514.7255402878</v>
      </c>
    </row>
    <row r="83" spans="2:37" x14ac:dyDescent="0.2">
      <c r="B83" s="123"/>
      <c r="AK83" s="140"/>
    </row>
    <row r="84" spans="2:37" x14ac:dyDescent="0.2">
      <c r="B84" s="123" t="s">
        <v>3004</v>
      </c>
      <c r="H84" s="153">
        <f ca="1">+H68-H60-H73-H82</f>
        <v>3736963.9418054186</v>
      </c>
      <c r="I84" s="153">
        <f t="shared" ref="I84:Y84" ca="1" si="14">+I68-I60-I73-I82</f>
        <v>9895903.031477049</v>
      </c>
      <c r="J84" s="153">
        <f t="shared" ca="1" si="14"/>
        <v>9895903.031477049</v>
      </c>
      <c r="K84" s="153">
        <f t="shared" ca="1" si="14"/>
        <v>9895903.031477049</v>
      </c>
      <c r="L84" s="153">
        <f t="shared" ca="1" si="14"/>
        <v>9895903.031477049</v>
      </c>
      <c r="M84" s="153">
        <f t="shared" ca="1" si="14"/>
        <v>9895903.031477049</v>
      </c>
      <c r="N84" s="153">
        <f t="shared" ca="1" si="14"/>
        <v>9895903.031477049</v>
      </c>
      <c r="O84" s="153">
        <f t="shared" ca="1" si="14"/>
        <v>9895903.031477049</v>
      </c>
      <c r="P84" s="153">
        <f t="shared" ca="1" si="14"/>
        <v>9895903.031477049</v>
      </c>
      <c r="Q84" s="153">
        <f t="shared" ca="1" si="14"/>
        <v>9895903.031477049</v>
      </c>
      <c r="R84" s="153">
        <f t="shared" ca="1" si="14"/>
        <v>24635756.358686537</v>
      </c>
      <c r="S84" s="153">
        <f t="shared" ca="1" si="14"/>
        <v>24635756.358686537</v>
      </c>
      <c r="T84" s="153">
        <f t="shared" ca="1" si="14"/>
        <v>23983122.706467316</v>
      </c>
      <c r="U84" s="153">
        <f t="shared" ca="1" si="14"/>
        <v>16013241.633146249</v>
      </c>
      <c r="V84" s="153">
        <f t="shared" ca="1" si="14"/>
        <v>16013241.633146249</v>
      </c>
      <c r="W84" s="153">
        <f t="shared" ca="1" si="14"/>
        <v>16013241.633146249</v>
      </c>
      <c r="X84" s="153">
        <f t="shared" ca="1" si="14"/>
        <v>16013241.633146249</v>
      </c>
      <c r="Y84" s="153">
        <f t="shared" ca="1" si="14"/>
        <v>16013241.633146249</v>
      </c>
      <c r="Z84" s="153">
        <f t="shared" ref="Z84:AK84" ca="1" si="15">+Z68-Z56-Z73-Z82</f>
        <v>16013241.633146249</v>
      </c>
      <c r="AA84" s="153">
        <f t="shared" ca="1" si="15"/>
        <v>16013241.633146249</v>
      </c>
      <c r="AB84" s="153">
        <f t="shared" ca="1" si="15"/>
        <v>16013241.633146249</v>
      </c>
      <c r="AC84" s="153">
        <f t="shared" ca="1" si="15"/>
        <v>16013241.633146249</v>
      </c>
      <c r="AD84" s="153">
        <f t="shared" ca="1" si="15"/>
        <v>16013241.633146249</v>
      </c>
      <c r="AE84" s="153">
        <f t="shared" ca="1" si="15"/>
        <v>16013241.633146249</v>
      </c>
      <c r="AF84" s="153">
        <f t="shared" ca="1" si="15"/>
        <v>16013241.633146249</v>
      </c>
      <c r="AG84" s="153">
        <f t="shared" ca="1" si="15"/>
        <v>16013241.633146249</v>
      </c>
      <c r="AH84" s="153">
        <f t="shared" ca="1" si="15"/>
        <v>16013241.633146249</v>
      </c>
      <c r="AI84" s="153">
        <f t="shared" ca="1" si="15"/>
        <v>16013241.633146249</v>
      </c>
      <c r="AJ84" s="153">
        <f t="shared" ca="1" si="15"/>
        <v>16013241.633146249</v>
      </c>
      <c r="AK84" s="155">
        <f t="shared" ca="1" si="15"/>
        <v>16013241.633146249</v>
      </c>
    </row>
    <row r="85" spans="2:37" x14ac:dyDescent="0.2">
      <c r="B85" s="123" t="s">
        <v>3003</v>
      </c>
      <c r="E85" s="166">
        <f t="shared" ref="E85:AK85" si="16">1/(1+$D$36)^E51</f>
        <v>1.2100000000000002</v>
      </c>
      <c r="F85" s="166">
        <f t="shared" si="16"/>
        <v>1.1000000000000001</v>
      </c>
      <c r="G85" s="166">
        <f t="shared" si="16"/>
        <v>1</v>
      </c>
      <c r="H85" s="166">
        <f t="shared" si="16"/>
        <v>0.90909090909090906</v>
      </c>
      <c r="I85" s="166">
        <f t="shared" si="16"/>
        <v>0.82644628099173545</v>
      </c>
      <c r="J85" s="166">
        <f t="shared" si="16"/>
        <v>0.75131480090157754</v>
      </c>
      <c r="K85" s="166">
        <f t="shared" si="16"/>
        <v>0.68301345536507052</v>
      </c>
      <c r="L85" s="166">
        <f t="shared" si="16"/>
        <v>0.62092132305915493</v>
      </c>
      <c r="M85" s="166">
        <f t="shared" si="16"/>
        <v>0.56447393005377722</v>
      </c>
      <c r="N85" s="166">
        <f t="shared" si="16"/>
        <v>0.51315811823070645</v>
      </c>
      <c r="O85" s="166">
        <f t="shared" si="16"/>
        <v>0.46650738020973315</v>
      </c>
      <c r="P85" s="166">
        <f t="shared" si="16"/>
        <v>0.42409761837248466</v>
      </c>
      <c r="Q85" s="166">
        <f t="shared" si="16"/>
        <v>0.38554328942953148</v>
      </c>
      <c r="R85" s="166">
        <f t="shared" si="16"/>
        <v>0.3504938994813922</v>
      </c>
      <c r="S85" s="166">
        <f t="shared" si="16"/>
        <v>0.31863081771035656</v>
      </c>
      <c r="T85" s="166">
        <f t="shared" si="16"/>
        <v>0.28966437973668779</v>
      </c>
      <c r="U85" s="166">
        <f t="shared" si="16"/>
        <v>0.26333125430607973</v>
      </c>
      <c r="V85" s="166">
        <f t="shared" si="16"/>
        <v>0.23939204936916339</v>
      </c>
      <c r="W85" s="166">
        <f t="shared" si="16"/>
        <v>0.21762913579014853</v>
      </c>
      <c r="X85" s="166">
        <f t="shared" si="16"/>
        <v>0.19784466890013502</v>
      </c>
      <c r="Y85" s="166">
        <f t="shared" si="16"/>
        <v>0.17985878990921364</v>
      </c>
      <c r="Z85" s="166">
        <f t="shared" si="16"/>
        <v>0.16350799082655781</v>
      </c>
      <c r="AA85" s="166">
        <f t="shared" si="16"/>
        <v>0.14864362802414349</v>
      </c>
      <c r="AB85" s="166">
        <f t="shared" si="16"/>
        <v>0.13513057093103953</v>
      </c>
      <c r="AC85" s="166">
        <f t="shared" si="16"/>
        <v>0.12284597357367227</v>
      </c>
      <c r="AD85" s="166">
        <f t="shared" si="16"/>
        <v>0.11167815779424752</v>
      </c>
      <c r="AE85" s="166">
        <f t="shared" si="16"/>
        <v>0.10152559799477048</v>
      </c>
      <c r="AF85" s="166">
        <f t="shared" si="16"/>
        <v>9.2295998177064048E-2</v>
      </c>
      <c r="AG85" s="166">
        <f t="shared" si="16"/>
        <v>8.3905452888240042E-2</v>
      </c>
      <c r="AH85" s="166">
        <f t="shared" si="16"/>
        <v>7.6277684443854576E-2</v>
      </c>
      <c r="AI85" s="166">
        <f t="shared" si="16"/>
        <v>6.9343349494413245E-2</v>
      </c>
      <c r="AJ85" s="166">
        <f t="shared" si="16"/>
        <v>6.3039408631284766E-2</v>
      </c>
      <c r="AK85" s="869">
        <f t="shared" si="16"/>
        <v>5.7308553301167964E-2</v>
      </c>
    </row>
    <row r="86" spans="2:37" x14ac:dyDescent="0.2">
      <c r="B86" s="871" t="s">
        <v>3005</v>
      </c>
      <c r="D86" s="872">
        <f ca="1">SUM(H86:AK86)</f>
        <v>115846154.51743431</v>
      </c>
      <c r="H86" s="873">
        <f ca="1">+H85*H84</f>
        <v>3397239.9470958351</v>
      </c>
      <c r="I86" s="873">
        <f ca="1">+I85*I84</f>
        <v>8178432.2574190479</v>
      </c>
      <c r="J86" s="873">
        <f t="shared" ref="J86:AK86" ca="1" si="17">+J85*J84</f>
        <v>7434938.415835497</v>
      </c>
      <c r="K86" s="873">
        <f t="shared" ca="1" si="17"/>
        <v>6759034.9234868158</v>
      </c>
      <c r="L86" s="873">
        <f t="shared" ca="1" si="17"/>
        <v>6144577.2031698311</v>
      </c>
      <c r="M86" s="873">
        <f t="shared" ca="1" si="17"/>
        <v>5585979.2756089373</v>
      </c>
      <c r="N86" s="873">
        <f t="shared" ca="1" si="17"/>
        <v>5078162.9778263057</v>
      </c>
      <c r="O86" s="873">
        <f t="shared" ca="1" si="17"/>
        <v>4616511.7980239149</v>
      </c>
      <c r="P86" s="873">
        <f t="shared" ca="1" si="17"/>
        <v>4196828.907294468</v>
      </c>
      <c r="Q86" s="873">
        <f t="shared" ca="1" si="17"/>
        <v>3815299.0066313338</v>
      </c>
      <c r="R86" s="873">
        <f ca="1">+R85*R84</f>
        <v>8634682.3128295485</v>
      </c>
      <c r="S86" s="873">
        <f t="shared" ca="1" si="17"/>
        <v>7849711.1934814071</v>
      </c>
      <c r="T86" s="873">
        <f t="shared" ca="1" si="17"/>
        <v>6947056.3629177278</v>
      </c>
      <c r="U86" s="873">
        <f t="shared" ca="1" si="17"/>
        <v>4216787.004762738</v>
      </c>
      <c r="V86" s="873">
        <f t="shared" ca="1" si="17"/>
        <v>3833442.7316024895</v>
      </c>
      <c r="W86" s="873">
        <f t="shared" ca="1" si="17"/>
        <v>3484947.9378204448</v>
      </c>
      <c r="X86" s="873">
        <f t="shared" ca="1" si="17"/>
        <v>3168134.4889276768</v>
      </c>
      <c r="Y86" s="873">
        <f t="shared" ca="1" si="17"/>
        <v>2880122.2626615241</v>
      </c>
      <c r="Z86" s="873">
        <f t="shared" ca="1" si="17"/>
        <v>2618292.9660559306</v>
      </c>
      <c r="AA86" s="873">
        <f t="shared" ca="1" si="17"/>
        <v>2380266.332778119</v>
      </c>
      <c r="AB86" s="873">
        <f t="shared" ca="1" si="17"/>
        <v>2163878.4843437443</v>
      </c>
      <c r="AC86" s="873">
        <f t="shared" ca="1" si="17"/>
        <v>1967162.2584943126</v>
      </c>
      <c r="AD86" s="873">
        <f t="shared" ca="1" si="17"/>
        <v>1788329.3259039205</v>
      </c>
      <c r="AE86" s="873">
        <f t="shared" ca="1" si="17"/>
        <v>1625753.9326399281</v>
      </c>
      <c r="AF86" s="873">
        <f t="shared" ca="1" si="17"/>
        <v>1477958.1205817524</v>
      </c>
      <c r="AG86" s="873">
        <f t="shared" ca="1" si="17"/>
        <v>1343598.2914379565</v>
      </c>
      <c r="AH86" s="873">
        <f t="shared" ca="1" si="17"/>
        <v>1221452.992216324</v>
      </c>
      <c r="AI86" s="873">
        <f t="shared" ca="1" si="17"/>
        <v>1110411.8111057491</v>
      </c>
      <c r="AJ86" s="873">
        <f t="shared" ca="1" si="17"/>
        <v>1009465.2828234081</v>
      </c>
      <c r="AK86" s="874">
        <f t="shared" ca="1" si="17"/>
        <v>917695.71165764378</v>
      </c>
    </row>
    <row r="87" spans="2:37" x14ac:dyDescent="0.2">
      <c r="B87" s="870" t="s">
        <v>3006</v>
      </c>
      <c r="E87" s="875">
        <f ca="1">+SUM(E52,E57,E53)*E85</f>
        <v>38854741.416444644</v>
      </c>
      <c r="F87" s="875">
        <f ca="1">+(F52+F57)*F85</f>
        <v>41487608.904622614</v>
      </c>
      <c r="G87" s="875">
        <f ca="1">+(G52+G57+G54)*G85</f>
        <v>42529414.722634435</v>
      </c>
      <c r="AK87" s="140"/>
    </row>
    <row r="88" spans="2:37" x14ac:dyDescent="0.2">
      <c r="B88" s="123"/>
      <c r="AK88" s="140"/>
    </row>
    <row r="89" spans="2:37" x14ac:dyDescent="0.2">
      <c r="B89" s="123" t="s">
        <v>686</v>
      </c>
      <c r="D89" s="132">
        <f ca="1">E89</f>
        <v>29918948.729295157</v>
      </c>
      <c r="E89" s="101">
        <f ca="1">E53*E85</f>
        <v>29918948.729295157</v>
      </c>
      <c r="AK89" s="140"/>
    </row>
    <row r="90" spans="2:37" x14ac:dyDescent="0.2">
      <c r="B90" s="877" t="s">
        <v>3007</v>
      </c>
      <c r="C90" s="10"/>
      <c r="D90" s="878">
        <f ca="1">SUM(H90:AK90)</f>
        <v>550534748.79896474</v>
      </c>
      <c r="H90" s="876">
        <f ca="1">H85*H68</f>
        <v>40802089.045854978</v>
      </c>
      <c r="I90" s="876">
        <f t="shared" ref="I90:AK90" ca="1" si="18">I85*I68</f>
        <v>49457077.631339364</v>
      </c>
      <c r="J90" s="876">
        <f t="shared" ca="1" si="18"/>
        <v>44960979.66485396</v>
      </c>
      <c r="K90" s="876">
        <f t="shared" ca="1" si="18"/>
        <v>40873617.877139963</v>
      </c>
      <c r="L90" s="876">
        <f t="shared" ca="1" si="18"/>
        <v>37157834.433763601</v>
      </c>
      <c r="M90" s="876">
        <f t="shared" ca="1" si="18"/>
        <v>33779849.485239632</v>
      </c>
      <c r="N90" s="876">
        <f t="shared" ca="1" si="18"/>
        <v>30708954.077490572</v>
      </c>
      <c r="O90" s="876">
        <f t="shared" ca="1" si="18"/>
        <v>27917230.979536884</v>
      </c>
      <c r="P90" s="876">
        <f t="shared" ca="1" si="18"/>
        <v>25379300.890488073</v>
      </c>
      <c r="Q90" s="876">
        <f t="shared" ca="1" si="18"/>
        <v>23072091.718625519</v>
      </c>
      <c r="R90" s="876">
        <f t="shared" ca="1" si="18"/>
        <v>20974628.835114107</v>
      </c>
      <c r="S90" s="876">
        <f t="shared" ca="1" si="18"/>
        <v>19067844.395558279</v>
      </c>
      <c r="T90" s="876">
        <f t="shared" ca="1" si="18"/>
        <v>17334403.995962072</v>
      </c>
      <c r="U90" s="876">
        <f t="shared" ca="1" si="18"/>
        <v>15758549.087238243</v>
      </c>
      <c r="V90" s="876">
        <f t="shared" ca="1" si="18"/>
        <v>14325953.71567113</v>
      </c>
      <c r="W90" s="876">
        <f t="shared" ca="1" si="18"/>
        <v>13023594.286973754</v>
      </c>
      <c r="X90" s="876">
        <f t="shared" ca="1" si="18"/>
        <v>11839631.169976139</v>
      </c>
      <c r="Y90" s="876">
        <f t="shared" ca="1" si="18"/>
        <v>10763301.063614672</v>
      </c>
      <c r="Z90" s="876">
        <f t="shared" ca="1" si="18"/>
        <v>9784819.1487406082</v>
      </c>
      <c r="AA90" s="876">
        <f t="shared" ca="1" si="18"/>
        <v>8895290.1352187358</v>
      </c>
      <c r="AB90" s="876">
        <f t="shared" ca="1" si="18"/>
        <v>8086627.3956533959</v>
      </c>
      <c r="AC90" s="876">
        <f t="shared" ca="1" si="18"/>
        <v>7351479.4505939949</v>
      </c>
      <c r="AD90" s="876">
        <f t="shared" ca="1" si="18"/>
        <v>6683163.1369036315</v>
      </c>
      <c r="AE90" s="876">
        <f t="shared" ca="1" si="18"/>
        <v>6075602.8517305749</v>
      </c>
      <c r="AF90" s="876">
        <f t="shared" ca="1" si="18"/>
        <v>5523275.3197550662</v>
      </c>
      <c r="AG90" s="876">
        <f t="shared" ca="1" si="18"/>
        <v>5021159.3815955147</v>
      </c>
      <c r="AH90" s="876">
        <f t="shared" ca="1" si="18"/>
        <v>4564690.3469050126</v>
      </c>
      <c r="AI90" s="876">
        <f t="shared" ca="1" si="18"/>
        <v>4149718.4971863753</v>
      </c>
      <c r="AJ90" s="876">
        <f t="shared" ca="1" si="18"/>
        <v>3772471.3610785226</v>
      </c>
      <c r="AK90" s="1143">
        <f t="shared" ca="1" si="18"/>
        <v>3429519.419162293</v>
      </c>
    </row>
    <row r="91" spans="2:37" x14ac:dyDescent="0.2">
      <c r="B91" s="123" t="s">
        <v>687</v>
      </c>
      <c r="D91" s="132">
        <f ca="1">SUM(H91:AK91)</f>
        <v>20223960.072118882</v>
      </c>
      <c r="H91" s="153">
        <f ca="1">+H85*H82</f>
        <v>0</v>
      </c>
      <c r="I91" s="153">
        <f t="shared" ref="I91:AK91" ca="1" si="19">+I85*I82</f>
        <v>0</v>
      </c>
      <c r="J91" s="153">
        <f t="shared" ca="1" si="19"/>
        <v>0</v>
      </c>
      <c r="K91" s="153">
        <f t="shared" ca="1" si="19"/>
        <v>0</v>
      </c>
      <c r="L91" s="153">
        <f t="shared" ca="1" si="19"/>
        <v>0</v>
      </c>
      <c r="M91" s="153">
        <f t="shared" ca="1" si="19"/>
        <v>0</v>
      </c>
      <c r="N91" s="153">
        <f t="shared" ca="1" si="19"/>
        <v>0</v>
      </c>
      <c r="O91" s="153">
        <f t="shared" ca="1" si="19"/>
        <v>0</v>
      </c>
      <c r="P91" s="153">
        <f t="shared" ca="1" si="19"/>
        <v>0</v>
      </c>
      <c r="Q91" s="153">
        <f t="shared" ca="1" si="19"/>
        <v>0</v>
      </c>
      <c r="R91" s="153">
        <f t="shared" ca="1" si="19"/>
        <v>0</v>
      </c>
      <c r="S91" s="153">
        <f t="shared" ca="1" si="19"/>
        <v>0</v>
      </c>
      <c r="T91" s="153">
        <f t="shared" ca="1" si="19"/>
        <v>189044.72206537006</v>
      </c>
      <c r="U91" s="153">
        <f t="shared" ca="1" si="19"/>
        <v>2270577.6179491668</v>
      </c>
      <c r="V91" s="153">
        <f t="shared" ca="1" si="19"/>
        <v>2064161.470862879</v>
      </c>
      <c r="W91" s="153">
        <f t="shared" ca="1" si="19"/>
        <v>1876510.4280571626</v>
      </c>
      <c r="X91" s="153">
        <f t="shared" ca="1" si="19"/>
        <v>1705918.5709610567</v>
      </c>
      <c r="Y91" s="153">
        <f t="shared" ca="1" si="19"/>
        <v>1550835.0645100516</v>
      </c>
      <c r="Z91" s="153">
        <f t="shared" ca="1" si="19"/>
        <v>1409850.058645501</v>
      </c>
      <c r="AA91" s="153">
        <f ca="1">+AA85*AA82</f>
        <v>1281681.8714959102</v>
      </c>
      <c r="AB91" s="153">
        <f t="shared" ca="1" si="19"/>
        <v>1165165.3377235546</v>
      </c>
      <c r="AC91" s="153">
        <f t="shared" ca="1" si="19"/>
        <v>1059241.2161123222</v>
      </c>
      <c r="AD91" s="153">
        <f t="shared" ca="1" si="19"/>
        <v>962946.56010211108</v>
      </c>
      <c r="AE91" s="153">
        <f t="shared" ca="1" si="19"/>
        <v>875405.96372919204</v>
      </c>
      <c r="AF91" s="153">
        <f t="shared" ca="1" si="19"/>
        <v>795823.60339017434</v>
      </c>
      <c r="AG91" s="153">
        <f t="shared" ca="1" si="19"/>
        <v>723476.00308197667</v>
      </c>
      <c r="AH91" s="153">
        <f t="shared" ca="1" si="19"/>
        <v>657705.45734725147</v>
      </c>
      <c r="AI91" s="153">
        <f t="shared" ca="1" si="19"/>
        <v>597914.05213386484</v>
      </c>
      <c r="AJ91" s="153">
        <f t="shared" ca="1" si="19"/>
        <v>543558.22921260446</v>
      </c>
      <c r="AK91" s="155">
        <f t="shared" ca="1" si="19"/>
        <v>494143.84473873122</v>
      </c>
    </row>
    <row r="92" spans="2:37" x14ac:dyDescent="0.2">
      <c r="B92" s="877" t="s">
        <v>688</v>
      </c>
      <c r="C92" s="10"/>
      <c r="D92" s="878">
        <f ca="1">SUM(H92:AK92)</f>
        <v>323894616.31212837</v>
      </c>
      <c r="H92" s="879">
        <f t="shared" ref="H92:AK92" ca="1" si="20">H85*H71</f>
        <v>24004982.437659614</v>
      </c>
      <c r="I92" s="879">
        <f t="shared" ca="1" si="20"/>
        <v>29096948.409284376</v>
      </c>
      <c r="J92" s="879">
        <f t="shared" ca="1" si="20"/>
        <v>26451771.281167611</v>
      </c>
      <c r="K92" s="879">
        <f t="shared" ca="1" si="20"/>
        <v>24047064.801061466</v>
      </c>
      <c r="L92" s="879">
        <f t="shared" ca="1" si="20"/>
        <v>21860968.000964966</v>
      </c>
      <c r="M92" s="879">
        <f t="shared" ca="1" si="20"/>
        <v>19873607.273604516</v>
      </c>
      <c r="N92" s="879">
        <f t="shared" ca="1" si="20"/>
        <v>18066915.703276828</v>
      </c>
      <c r="O92" s="879">
        <f t="shared" ca="1" si="20"/>
        <v>16424468.821160752</v>
      </c>
      <c r="P92" s="879">
        <f t="shared" ca="1" si="20"/>
        <v>14931335.29196432</v>
      </c>
      <c r="Q92" s="879">
        <f t="shared" ca="1" si="20"/>
        <v>13573941.174513016</v>
      </c>
      <c r="R92" s="879">
        <f t="shared" ca="1" si="20"/>
        <v>12339946.522284558</v>
      </c>
      <c r="S92" s="879">
        <f t="shared" ca="1" si="20"/>
        <v>11218133.202076873</v>
      </c>
      <c r="T92" s="879">
        <f t="shared" ca="1" si="20"/>
        <v>10198302.910978975</v>
      </c>
      <c r="U92" s="879">
        <f t="shared" ca="1" si="20"/>
        <v>9271184.4645263385</v>
      </c>
      <c r="V92" s="879">
        <f t="shared" ca="1" si="20"/>
        <v>8428349.5132057611</v>
      </c>
      <c r="W92" s="879">
        <f t="shared" ca="1" si="20"/>
        <v>7662135.921096147</v>
      </c>
      <c r="X92" s="879">
        <f t="shared" ca="1" si="20"/>
        <v>6965578.1100874059</v>
      </c>
      <c r="Y92" s="879">
        <f t="shared" ca="1" si="20"/>
        <v>6332343.7364430958</v>
      </c>
      <c r="Z92" s="879">
        <f t="shared" ca="1" si="20"/>
        <v>5756676.1240391769</v>
      </c>
      <c r="AA92" s="879">
        <f t="shared" ca="1" si="20"/>
        <v>5233341.9309447072</v>
      </c>
      <c r="AB92" s="879">
        <f t="shared" ca="1" si="20"/>
        <v>4757583.573586097</v>
      </c>
      <c r="AC92" s="879">
        <f t="shared" ca="1" si="20"/>
        <v>4325075.9759873599</v>
      </c>
      <c r="AD92" s="879">
        <f t="shared" ca="1" si="20"/>
        <v>3931887.2508975998</v>
      </c>
      <c r="AE92" s="879">
        <f t="shared" ca="1" si="20"/>
        <v>3574442.9553614547</v>
      </c>
      <c r="AF92" s="879">
        <f t="shared" ca="1" si="20"/>
        <v>3249493.5957831396</v>
      </c>
      <c r="AG92" s="879">
        <f t="shared" ca="1" si="20"/>
        <v>2954085.0870755818</v>
      </c>
      <c r="AH92" s="879">
        <f t="shared" ca="1" si="20"/>
        <v>2685531.8973414376</v>
      </c>
      <c r="AI92" s="879">
        <f t="shared" ca="1" si="20"/>
        <v>2441392.633946761</v>
      </c>
      <c r="AJ92" s="879">
        <f t="shared" ca="1" si="20"/>
        <v>2219447.8490425101</v>
      </c>
      <c r="AK92" s="880">
        <f t="shared" ca="1" si="20"/>
        <v>2017679.862765918</v>
      </c>
    </row>
    <row r="93" spans="2:37" x14ac:dyDescent="0.2">
      <c r="B93" s="123" t="s">
        <v>689</v>
      </c>
      <c r="D93" s="132">
        <f ca="1">SUM(E93:G93)</f>
        <v>78860744.198869422</v>
      </c>
      <c r="E93" s="101">
        <f ca="1">E52*E85</f>
        <v>7978386.3278120421</v>
      </c>
      <c r="F93" s="101">
        <f ca="1">F52*F85</f>
        <v>36265392.39914564</v>
      </c>
      <c r="G93" s="101">
        <f ca="1">G52*G85+G54*G85</f>
        <v>34616965.471911743</v>
      </c>
      <c r="AK93" s="140"/>
    </row>
    <row r="94" spans="2:37" x14ac:dyDescent="0.2">
      <c r="B94" s="1144" t="s">
        <v>690</v>
      </c>
      <c r="C94" s="1141"/>
      <c r="D94" s="1142">
        <f ca="1">SUM(H94:AK94)</f>
        <v>123721990.78174593</v>
      </c>
      <c r="H94" s="879">
        <f ca="1">SUM(H62,H63,H65,H66)*H85</f>
        <v>9169476.9418644533</v>
      </c>
      <c r="I94" s="879">
        <f t="shared" ref="I94:AK94" ca="1" si="21">SUM(I62,I63,I65,I66)*I85</f>
        <v>11114517.505290246</v>
      </c>
      <c r="J94" s="879">
        <f t="shared" ca="1" si="21"/>
        <v>10104106.822991131</v>
      </c>
      <c r="K94" s="879">
        <f t="shared" ca="1" si="21"/>
        <v>9185551.6572646648</v>
      </c>
      <c r="L94" s="879">
        <f t="shared" ca="1" si="21"/>
        <v>8350501.5066042393</v>
      </c>
      <c r="M94" s="879">
        <f t="shared" ca="1" si="21"/>
        <v>7591365.0060038539</v>
      </c>
      <c r="N94" s="879">
        <f t="shared" ca="1" si="21"/>
        <v>6901240.9145489568</v>
      </c>
      <c r="O94" s="879">
        <f t="shared" ca="1" si="21"/>
        <v>6273855.376862688</v>
      </c>
      <c r="P94" s="879">
        <f t="shared" ca="1" si="21"/>
        <v>5703504.8880569888</v>
      </c>
      <c r="Q94" s="879">
        <f t="shared" ca="1" si="21"/>
        <v>5185004.443688171</v>
      </c>
      <c r="R94" s="879">
        <f t="shared" ca="1" si="21"/>
        <v>4713640.4033528827</v>
      </c>
      <c r="S94" s="879">
        <f t="shared" ca="1" si="21"/>
        <v>4285127.6394117111</v>
      </c>
      <c r="T94" s="879">
        <f t="shared" ca="1" si="21"/>
        <v>3895570.5812833742</v>
      </c>
      <c r="U94" s="879">
        <f t="shared" ca="1" si="21"/>
        <v>3541427.8011667025</v>
      </c>
      <c r="V94" s="879">
        <f t="shared" ca="1" si="21"/>
        <v>3219479.8192424569</v>
      </c>
      <c r="W94" s="879">
        <f t="shared" ca="1" si="21"/>
        <v>2926799.8356749606</v>
      </c>
      <c r="X94" s="879">
        <f t="shared" ca="1" si="21"/>
        <v>2660727.1233408735</v>
      </c>
      <c r="Y94" s="879">
        <f t="shared" ca="1" si="21"/>
        <v>2418842.8394007939</v>
      </c>
      <c r="Z94" s="879">
        <f t="shared" ca="1" si="21"/>
        <v>2198948.0358189028</v>
      </c>
      <c r="AA94" s="879">
        <f t="shared" ca="1" si="21"/>
        <v>1999043.6689262756</v>
      </c>
      <c r="AB94" s="879">
        <f t="shared" ca="1" si="21"/>
        <v>1817312.4262966141</v>
      </c>
      <c r="AC94" s="879">
        <f t="shared" ca="1" si="21"/>
        <v>1652102.2057241944</v>
      </c>
      <c r="AD94" s="879">
        <f t="shared" ca="1" si="21"/>
        <v>1501911.0961129039</v>
      </c>
      <c r="AE94" s="879">
        <f t="shared" ca="1" si="21"/>
        <v>1365373.7237390038</v>
      </c>
      <c r="AF94" s="879">
        <f t="shared" ca="1" si="21"/>
        <v>1241248.8397627303</v>
      </c>
      <c r="AG94" s="879">
        <f t="shared" ca="1" si="21"/>
        <v>1128408.0361479365</v>
      </c>
      <c r="AH94" s="879">
        <f t="shared" ca="1" si="21"/>
        <v>1025825.4874072149</v>
      </c>
      <c r="AI94" s="879">
        <f t="shared" ca="1" si="21"/>
        <v>932568.62491564988</v>
      </c>
      <c r="AJ94" s="879">
        <f t="shared" ca="1" si="21"/>
        <v>847789.6590142271</v>
      </c>
      <c r="AK94" s="880">
        <f t="shared" ca="1" si="21"/>
        <v>770717.87183111545</v>
      </c>
    </row>
    <row r="95" spans="2:37" x14ac:dyDescent="0.2">
      <c r="B95" s="123"/>
      <c r="AK95" s="140"/>
    </row>
    <row r="96" spans="2:37" x14ac:dyDescent="0.2">
      <c r="B96" s="123" t="s">
        <v>692</v>
      </c>
      <c r="D96" s="101">
        <f>SUM(H96:AK96)</f>
        <v>0</v>
      </c>
      <c r="E96">
        <f ca="1">D96/D94</f>
        <v>0</v>
      </c>
      <c r="H96" s="101">
        <f t="shared" ref="H96:AK96" si="22">H62*H85</f>
        <v>0</v>
      </c>
      <c r="I96" s="101">
        <f t="shared" si="22"/>
        <v>0</v>
      </c>
      <c r="J96" s="101">
        <f t="shared" si="22"/>
        <v>0</v>
      </c>
      <c r="K96" s="101">
        <f t="shared" si="22"/>
        <v>0</v>
      </c>
      <c r="L96" s="101">
        <f t="shared" si="22"/>
        <v>0</v>
      </c>
      <c r="M96" s="101">
        <f t="shared" si="22"/>
        <v>0</v>
      </c>
      <c r="N96" s="101">
        <f t="shared" si="22"/>
        <v>0</v>
      </c>
      <c r="O96" s="101">
        <f t="shared" si="22"/>
        <v>0</v>
      </c>
      <c r="P96" s="101">
        <f t="shared" si="22"/>
        <v>0</v>
      </c>
      <c r="Q96" s="101">
        <f t="shared" si="22"/>
        <v>0</v>
      </c>
      <c r="R96" s="101">
        <f t="shared" si="22"/>
        <v>0</v>
      </c>
      <c r="S96" s="101">
        <f t="shared" si="22"/>
        <v>0</v>
      </c>
      <c r="T96" s="101">
        <f t="shared" si="22"/>
        <v>0</v>
      </c>
      <c r="U96" s="101">
        <f t="shared" si="22"/>
        <v>0</v>
      </c>
      <c r="V96" s="101">
        <f t="shared" si="22"/>
        <v>0</v>
      </c>
      <c r="W96" s="101">
        <f t="shared" si="22"/>
        <v>0</v>
      </c>
      <c r="X96" s="101">
        <f t="shared" si="22"/>
        <v>0</v>
      </c>
      <c r="Y96" s="101">
        <f t="shared" si="22"/>
        <v>0</v>
      </c>
      <c r="Z96" s="101">
        <f t="shared" si="22"/>
        <v>0</v>
      </c>
      <c r="AA96" s="101">
        <f t="shared" si="22"/>
        <v>0</v>
      </c>
      <c r="AB96" s="101">
        <f t="shared" si="22"/>
        <v>0</v>
      </c>
      <c r="AC96" s="101">
        <f t="shared" si="22"/>
        <v>0</v>
      </c>
      <c r="AD96" s="101">
        <f t="shared" si="22"/>
        <v>0</v>
      </c>
      <c r="AE96" s="101">
        <f t="shared" si="22"/>
        <v>0</v>
      </c>
      <c r="AF96" s="101">
        <f t="shared" si="22"/>
        <v>0</v>
      </c>
      <c r="AG96" s="101">
        <f t="shared" si="22"/>
        <v>0</v>
      </c>
      <c r="AH96" s="101">
        <f t="shared" si="22"/>
        <v>0</v>
      </c>
      <c r="AI96" s="101">
        <f t="shared" si="22"/>
        <v>0</v>
      </c>
      <c r="AJ96" s="101">
        <f t="shared" si="22"/>
        <v>0</v>
      </c>
      <c r="AK96" s="150">
        <f t="shared" si="22"/>
        <v>0</v>
      </c>
    </row>
    <row r="97" spans="2:37" x14ac:dyDescent="0.2">
      <c r="B97" s="123" t="s">
        <v>693</v>
      </c>
      <c r="D97" s="101">
        <f ca="1">SUM(H97:AK97)</f>
        <v>123721990.78174593</v>
      </c>
      <c r="E97">
        <f ca="1">D97/D94</f>
        <v>1</v>
      </c>
      <c r="H97" s="101">
        <f t="shared" ref="H97:AK97" ca="1" si="23">H66*H85</f>
        <v>9169476.9418644533</v>
      </c>
      <c r="I97" s="101">
        <f t="shared" ca="1" si="23"/>
        <v>11114517.505290246</v>
      </c>
      <c r="J97" s="101">
        <f t="shared" ca="1" si="23"/>
        <v>10104106.822991131</v>
      </c>
      <c r="K97" s="101">
        <f t="shared" ca="1" si="23"/>
        <v>9185551.6572646648</v>
      </c>
      <c r="L97" s="101">
        <f t="shared" ca="1" si="23"/>
        <v>8350501.5066042393</v>
      </c>
      <c r="M97" s="101">
        <f t="shared" ca="1" si="23"/>
        <v>7591365.0060038539</v>
      </c>
      <c r="N97" s="101">
        <f t="shared" ca="1" si="23"/>
        <v>6901240.9145489568</v>
      </c>
      <c r="O97" s="101">
        <f t="shared" ca="1" si="23"/>
        <v>6273855.376862688</v>
      </c>
      <c r="P97" s="101">
        <f t="shared" ca="1" si="23"/>
        <v>5703504.8880569888</v>
      </c>
      <c r="Q97" s="101">
        <f t="shared" ca="1" si="23"/>
        <v>5185004.443688171</v>
      </c>
      <c r="R97" s="101">
        <f t="shared" ca="1" si="23"/>
        <v>4713640.4033528827</v>
      </c>
      <c r="S97" s="101">
        <f t="shared" ca="1" si="23"/>
        <v>4285127.6394117111</v>
      </c>
      <c r="T97" s="101">
        <f t="shared" ca="1" si="23"/>
        <v>3895570.5812833742</v>
      </c>
      <c r="U97" s="101">
        <f t="shared" ca="1" si="23"/>
        <v>3541427.8011667025</v>
      </c>
      <c r="V97" s="101">
        <f t="shared" ca="1" si="23"/>
        <v>3219479.8192424569</v>
      </c>
      <c r="W97" s="101">
        <f t="shared" ca="1" si="23"/>
        <v>2926799.8356749606</v>
      </c>
      <c r="X97" s="101">
        <f t="shared" ca="1" si="23"/>
        <v>2660727.1233408735</v>
      </c>
      <c r="Y97" s="101">
        <f t="shared" ca="1" si="23"/>
        <v>2418842.8394007939</v>
      </c>
      <c r="Z97" s="101">
        <f t="shared" ca="1" si="23"/>
        <v>2198948.0358189028</v>
      </c>
      <c r="AA97" s="101">
        <f t="shared" ca="1" si="23"/>
        <v>1999043.6689262756</v>
      </c>
      <c r="AB97" s="101">
        <f t="shared" ca="1" si="23"/>
        <v>1817312.4262966141</v>
      </c>
      <c r="AC97" s="101">
        <f t="shared" ca="1" si="23"/>
        <v>1652102.2057241944</v>
      </c>
      <c r="AD97" s="101">
        <f t="shared" ca="1" si="23"/>
        <v>1501911.0961129039</v>
      </c>
      <c r="AE97" s="101">
        <f t="shared" ca="1" si="23"/>
        <v>1365373.7237390038</v>
      </c>
      <c r="AF97" s="101">
        <f t="shared" ca="1" si="23"/>
        <v>1241248.8397627303</v>
      </c>
      <c r="AG97" s="101">
        <f t="shared" ca="1" si="23"/>
        <v>1128408.0361479365</v>
      </c>
      <c r="AH97" s="101">
        <f t="shared" ca="1" si="23"/>
        <v>1025825.4874072149</v>
      </c>
      <c r="AI97" s="101">
        <f t="shared" ca="1" si="23"/>
        <v>932568.62491564988</v>
      </c>
      <c r="AJ97" s="101">
        <f t="shared" ca="1" si="23"/>
        <v>847789.6590142271</v>
      </c>
      <c r="AK97" s="150">
        <f t="shared" ca="1" si="23"/>
        <v>770717.87183111545</v>
      </c>
    </row>
    <row r="98" spans="2:37" x14ac:dyDescent="0.2">
      <c r="B98" s="123"/>
      <c r="AK98" s="140"/>
    </row>
    <row r="99" spans="2:37" x14ac:dyDescent="0.2">
      <c r="B99" s="123" t="s">
        <v>3304</v>
      </c>
      <c r="D99" s="132">
        <f ca="1">D86-SUM(E87:G87)</f>
        <v>-7025610.5262673795</v>
      </c>
      <c r="AK99" s="140"/>
    </row>
    <row r="100" spans="2:37" ht="16" thickBot="1" x14ac:dyDescent="0.25">
      <c r="B100" s="152"/>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c r="AH100" s="69"/>
      <c r="AI100" s="69"/>
      <c r="AJ100" s="69"/>
      <c r="AK100" s="193"/>
    </row>
    <row r="101" spans="2:37" ht="16" thickBot="1" x14ac:dyDescent="0.25"/>
    <row r="102" spans="2:37" ht="16" thickBot="1" x14ac:dyDescent="0.25">
      <c r="B102" s="1145" t="s">
        <v>3305</v>
      </c>
    </row>
    <row r="103" spans="2:37" x14ac:dyDescent="0.2">
      <c r="B103" s="59"/>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c r="AG103" s="60"/>
      <c r="AH103" s="60"/>
      <c r="AI103" s="106"/>
    </row>
    <row r="104" spans="2:37" x14ac:dyDescent="0.2">
      <c r="B104" s="123" t="s">
        <v>519</v>
      </c>
      <c r="C104">
        <f t="shared" ref="C104:AI104" si="24">E51</f>
        <v>-2</v>
      </c>
      <c r="D104">
        <f t="shared" si="24"/>
        <v>-1</v>
      </c>
      <c r="E104">
        <f t="shared" si="24"/>
        <v>0</v>
      </c>
      <c r="F104">
        <f t="shared" si="24"/>
        <v>1</v>
      </c>
      <c r="G104">
        <f t="shared" si="24"/>
        <v>2</v>
      </c>
      <c r="H104">
        <f t="shared" si="24"/>
        <v>3</v>
      </c>
      <c r="I104">
        <f t="shared" si="24"/>
        <v>4</v>
      </c>
      <c r="J104">
        <f t="shared" si="24"/>
        <v>5</v>
      </c>
      <c r="K104">
        <f t="shared" si="24"/>
        <v>6</v>
      </c>
      <c r="L104">
        <f t="shared" si="24"/>
        <v>7</v>
      </c>
      <c r="M104">
        <f t="shared" si="24"/>
        <v>8</v>
      </c>
      <c r="N104">
        <f t="shared" si="24"/>
        <v>9</v>
      </c>
      <c r="O104">
        <f t="shared" si="24"/>
        <v>10</v>
      </c>
      <c r="P104">
        <f t="shared" si="24"/>
        <v>11</v>
      </c>
      <c r="Q104">
        <f t="shared" si="24"/>
        <v>12</v>
      </c>
      <c r="R104">
        <f t="shared" si="24"/>
        <v>13</v>
      </c>
      <c r="S104">
        <f t="shared" si="24"/>
        <v>14</v>
      </c>
      <c r="T104">
        <f t="shared" si="24"/>
        <v>15</v>
      </c>
      <c r="U104">
        <f t="shared" si="24"/>
        <v>16</v>
      </c>
      <c r="V104">
        <f t="shared" si="24"/>
        <v>17</v>
      </c>
      <c r="W104">
        <f t="shared" si="24"/>
        <v>18</v>
      </c>
      <c r="X104">
        <f t="shared" si="24"/>
        <v>19</v>
      </c>
      <c r="Y104">
        <f t="shared" si="24"/>
        <v>20</v>
      </c>
      <c r="Z104">
        <f t="shared" si="24"/>
        <v>21</v>
      </c>
      <c r="AA104">
        <f t="shared" si="24"/>
        <v>22</v>
      </c>
      <c r="AB104">
        <f t="shared" si="24"/>
        <v>23</v>
      </c>
      <c r="AC104">
        <f t="shared" si="24"/>
        <v>24</v>
      </c>
      <c r="AD104">
        <f t="shared" si="24"/>
        <v>25</v>
      </c>
      <c r="AE104">
        <f t="shared" si="24"/>
        <v>26</v>
      </c>
      <c r="AF104">
        <f t="shared" si="24"/>
        <v>27</v>
      </c>
      <c r="AG104">
        <f t="shared" si="24"/>
        <v>28</v>
      </c>
      <c r="AH104">
        <f t="shared" si="24"/>
        <v>29</v>
      </c>
      <c r="AI104" s="140">
        <f t="shared" si="24"/>
        <v>30</v>
      </c>
    </row>
    <row r="105" spans="2:37" x14ac:dyDescent="0.2">
      <c r="B105" s="123" t="s">
        <v>694</v>
      </c>
      <c r="C105" s="132">
        <f ca="1">SUM(E52:E54)/(10^6)</f>
        <v>31.32011161744396</v>
      </c>
      <c r="D105" s="132">
        <f ca="1">SUM(F52:F54)/(10^6)</f>
        <v>32.968538544677855</v>
      </c>
      <c r="E105" s="132">
        <f ca="1">SUM(G52:G54)/(10^6)</f>
        <v>34.61696547191174</v>
      </c>
      <c r="AI105" s="140"/>
    </row>
    <row r="106" spans="2:37" x14ac:dyDescent="0.2">
      <c r="B106" s="123" t="s">
        <v>695</v>
      </c>
      <c r="F106">
        <f ca="1">H82/(10^6)</f>
        <v>0</v>
      </c>
      <c r="G106">
        <f t="shared" ref="G106:Q106" ca="1" si="25">I82/(10^6)</f>
        <v>0</v>
      </c>
      <c r="H106">
        <f t="shared" ca="1" si="25"/>
        <v>0</v>
      </c>
      <c r="I106">
        <f t="shared" ca="1" si="25"/>
        <v>0</v>
      </c>
      <c r="J106">
        <f t="shared" ca="1" si="25"/>
        <v>0</v>
      </c>
      <c r="K106">
        <f t="shared" ca="1" si="25"/>
        <v>0</v>
      </c>
      <c r="L106">
        <f t="shared" ca="1" si="25"/>
        <v>0</v>
      </c>
      <c r="M106">
        <f t="shared" ca="1" si="25"/>
        <v>0</v>
      </c>
      <c r="N106">
        <f t="shared" ca="1" si="25"/>
        <v>0</v>
      </c>
      <c r="O106">
        <f t="shared" ca="1" si="25"/>
        <v>0</v>
      </c>
      <c r="P106">
        <f t="shared" ca="1" si="25"/>
        <v>0</v>
      </c>
      <c r="Q106">
        <f t="shared" ca="1" si="25"/>
        <v>0</v>
      </c>
      <c r="R106">
        <f ca="1">T82/(10^6)*-1</f>
        <v>-0.65263365221922165</v>
      </c>
      <c r="S106">
        <f ca="1">U82/(10^6)*-1</f>
        <v>-8.6225147255402881</v>
      </c>
      <c r="T106">
        <f ca="1">V82/(10^6)*-1</f>
        <v>-8.6225147255402881</v>
      </c>
      <c r="U106">
        <f t="shared" ref="U106:AI106" ca="1" si="26">W82/(10^6)*-1</f>
        <v>-8.6225147255402881</v>
      </c>
      <c r="V106">
        <f t="shared" ca="1" si="26"/>
        <v>-8.6225147255402881</v>
      </c>
      <c r="W106">
        <f t="shared" ca="1" si="26"/>
        <v>-8.6225147255402881</v>
      </c>
      <c r="X106">
        <f t="shared" ca="1" si="26"/>
        <v>-8.6225147255402881</v>
      </c>
      <c r="Y106">
        <f t="shared" ca="1" si="26"/>
        <v>-8.6225147255402881</v>
      </c>
      <c r="Z106">
        <f t="shared" ca="1" si="26"/>
        <v>-8.6225147255402881</v>
      </c>
      <c r="AA106">
        <f t="shared" ca="1" si="26"/>
        <v>-8.6225147255402881</v>
      </c>
      <c r="AB106">
        <f t="shared" ca="1" si="26"/>
        <v>-8.6225147255402881</v>
      </c>
      <c r="AC106">
        <f t="shared" ca="1" si="26"/>
        <v>-8.6225147255402881</v>
      </c>
      <c r="AD106">
        <f t="shared" ca="1" si="26"/>
        <v>-8.6225147255402881</v>
      </c>
      <c r="AE106">
        <f t="shared" ca="1" si="26"/>
        <v>-8.6225147255402881</v>
      </c>
      <c r="AF106">
        <f t="shared" ca="1" si="26"/>
        <v>-8.6225147255402881</v>
      </c>
      <c r="AG106">
        <f t="shared" ca="1" si="26"/>
        <v>-8.6225147255402881</v>
      </c>
      <c r="AH106">
        <f t="shared" ca="1" si="26"/>
        <v>-8.6225147255402881</v>
      </c>
      <c r="AI106" s="140">
        <f t="shared" ca="1" si="26"/>
        <v>-8.6225147255402881</v>
      </c>
    </row>
    <row r="107" spans="2:37" x14ac:dyDescent="0.2">
      <c r="B107" s="123" t="s">
        <v>652</v>
      </c>
      <c r="E107" s="132">
        <f ca="1">(H77*-1)/10^6</f>
        <v>-23.556020790172326</v>
      </c>
      <c r="F107" s="132">
        <f t="shared" ref="F107:AI107" ca="1" si="27">(I77*-1)/10^6</f>
        <v>-40.369975447958026</v>
      </c>
      <c r="G107" s="132">
        <f t="shared" ca="1" si="27"/>
        <v>-28.830986957320782</v>
      </c>
      <c r="H107" s="132">
        <f t="shared" ca="1" si="27"/>
        <v>-20.588852321151318</v>
      </c>
      <c r="I107" s="132">
        <f t="shared" ca="1" si="27"/>
        <v>-14.720452460198663</v>
      </c>
      <c r="J107" s="132">
        <f t="shared" ca="1" si="27"/>
        <v>-14.703968190926323</v>
      </c>
      <c r="K107" s="132">
        <f t="shared" ca="1" si="27"/>
        <v>-14.720452460198663</v>
      </c>
      <c r="L107" s="132">
        <f t="shared" ca="1" si="27"/>
        <v>-7.3519840954631617</v>
      </c>
      <c r="M107" s="132">
        <f t="shared" ca="1" si="27"/>
        <v>0</v>
      </c>
      <c r="N107" s="132">
        <f t="shared" ca="1" si="27"/>
        <v>0</v>
      </c>
      <c r="O107" s="132">
        <f t="shared" ca="1" si="27"/>
        <v>0</v>
      </c>
      <c r="P107" s="132">
        <f t="shared" ca="1" si="27"/>
        <v>0</v>
      </c>
      <c r="Q107" s="132">
        <f t="shared" ca="1" si="27"/>
        <v>0</v>
      </c>
      <c r="R107" s="132">
        <f t="shared" ca="1" si="27"/>
        <v>0</v>
      </c>
      <c r="S107" s="132">
        <f t="shared" ca="1" si="27"/>
        <v>0</v>
      </c>
      <c r="T107" s="132">
        <f t="shared" ca="1" si="27"/>
        <v>0</v>
      </c>
      <c r="U107" s="132">
        <f t="shared" ca="1" si="27"/>
        <v>0</v>
      </c>
      <c r="V107" s="132">
        <f t="shared" ca="1" si="27"/>
        <v>0</v>
      </c>
      <c r="W107" s="132">
        <f t="shared" ca="1" si="27"/>
        <v>0</v>
      </c>
      <c r="X107" s="132">
        <f t="shared" ca="1" si="27"/>
        <v>0</v>
      </c>
      <c r="Y107" s="132">
        <f t="shared" ca="1" si="27"/>
        <v>0</v>
      </c>
      <c r="Z107" s="132">
        <f t="shared" ca="1" si="27"/>
        <v>0</v>
      </c>
      <c r="AA107" s="132">
        <f t="shared" ca="1" si="27"/>
        <v>0</v>
      </c>
      <c r="AB107" s="132">
        <f t="shared" ca="1" si="27"/>
        <v>0</v>
      </c>
      <c r="AC107" s="132">
        <f t="shared" ca="1" si="27"/>
        <v>0</v>
      </c>
      <c r="AD107" s="132">
        <f t="shared" ca="1" si="27"/>
        <v>0</v>
      </c>
      <c r="AE107" s="132">
        <f t="shared" ca="1" si="27"/>
        <v>0</v>
      </c>
      <c r="AF107" s="132">
        <f t="shared" ca="1" si="27"/>
        <v>0</v>
      </c>
      <c r="AG107" s="132">
        <f t="shared" ca="1" si="27"/>
        <v>0</v>
      </c>
      <c r="AH107" s="132">
        <f t="shared" ca="1" si="27"/>
        <v>0</v>
      </c>
      <c r="AI107" s="124">
        <f t="shared" si="27"/>
        <v>0</v>
      </c>
    </row>
    <row r="108" spans="2:37" x14ac:dyDescent="0.2">
      <c r="B108" s="123" t="s">
        <v>677</v>
      </c>
      <c r="C108" s="132">
        <f t="shared" ref="C108:AI108" ca="1" si="28">(E57*-1)/(10^6)</f>
        <v>-0.79124492507226862</v>
      </c>
      <c r="D108" s="132">
        <f t="shared" ca="1" si="28"/>
        <v>-4.7474695504336104</v>
      </c>
      <c r="E108" s="132">
        <f t="shared" ca="1" si="28"/>
        <v>-7.9124492507226849</v>
      </c>
      <c r="F108" s="132">
        <f t="shared" ca="1" si="28"/>
        <v>-7.9124492507226849</v>
      </c>
      <c r="G108" s="132">
        <f t="shared" ca="1" si="28"/>
        <v>-7.3662569246037419</v>
      </c>
      <c r="H108" s="132">
        <f t="shared" ca="1" si="28"/>
        <v>-6.7763692123952817</v>
      </c>
      <c r="I108" s="132">
        <f t="shared" ca="1" si="28"/>
        <v>-6.1392904832101456</v>
      </c>
      <c r="J108" s="132">
        <f t="shared" ca="1" si="28"/>
        <v>-5.4512454556901977</v>
      </c>
      <c r="K108" s="132">
        <f t="shared" ca="1" si="28"/>
        <v>-4.708156825968655</v>
      </c>
      <c r="L108" s="132">
        <f t="shared" ca="1" si="28"/>
        <v>-3.9056211058693884</v>
      </c>
      <c r="M108" s="132">
        <f t="shared" ca="1" si="28"/>
        <v>-3.0388825281621803</v>
      </c>
      <c r="N108" s="132">
        <f t="shared" ca="1" si="28"/>
        <v>-2.1028048642383959</v>
      </c>
      <c r="O108" s="132">
        <f t="shared" ca="1" si="28"/>
        <v>-1.0918409872007084</v>
      </c>
      <c r="P108" s="132">
        <f t="shared" ca="1" si="28"/>
        <v>-5.7555735111236573E-15</v>
      </c>
      <c r="Q108" s="132">
        <f t="shared" ca="1" si="28"/>
        <v>-6.2160193920135498E-15</v>
      </c>
      <c r="R108" s="132">
        <f t="shared" ca="1" si="28"/>
        <v>-6.7133009433746352E-15</v>
      </c>
      <c r="S108" s="132">
        <f t="shared" ca="1" si="28"/>
        <v>-7.2503650188446055E-15</v>
      </c>
      <c r="T108" s="132">
        <f t="shared" ca="1" si="28"/>
        <v>-7.8303942203521742E-15</v>
      </c>
      <c r="U108" s="132">
        <f t="shared" ca="1" si="28"/>
        <v>-8.4568257579803486E-15</v>
      </c>
      <c r="V108" s="132">
        <f t="shared" ca="1" si="28"/>
        <v>-9.1333718186187756E-15</v>
      </c>
      <c r="W108" s="132">
        <f t="shared" ca="1" si="28"/>
        <v>-9.8640415641082769E-15</v>
      </c>
      <c r="X108" s="132">
        <f t="shared" ca="1" si="28"/>
        <v>-1.065316488923694E-14</v>
      </c>
      <c r="Y108" s="132">
        <f t="shared" ca="1" si="28"/>
        <v>-1.1505418080375895E-14</v>
      </c>
      <c r="Z108" s="132">
        <f t="shared" ca="1" si="28"/>
        <v>-1.2425851526805966E-14</v>
      </c>
      <c r="AA108" s="132">
        <f t="shared" ca="1" si="28"/>
        <v>-1.3419919648950444E-14</v>
      </c>
      <c r="AB108" s="132">
        <f t="shared" ca="1" si="28"/>
        <v>-1.449351322086648E-14</v>
      </c>
      <c r="AC108" s="132">
        <f t="shared" ca="1" si="28"/>
        <v>-1.56529942785358E-14</v>
      </c>
      <c r="AD108" s="132">
        <f t="shared" ca="1" si="28"/>
        <v>-1.6905233820818665E-14</v>
      </c>
      <c r="AE108" s="132">
        <f t="shared" ca="1" si="28"/>
        <v>-1.8257652526484155E-14</v>
      </c>
      <c r="AF108" s="132">
        <f t="shared" ca="1" si="28"/>
        <v>-1.9718264728602888E-14</v>
      </c>
      <c r="AG108" s="132">
        <f t="shared" ca="1" si="28"/>
        <v>-2.1295725906891121E-14</v>
      </c>
      <c r="AH108" s="132">
        <f t="shared" ca="1" si="28"/>
        <v>-2.2999383979442411E-14</v>
      </c>
      <c r="AI108" s="124">
        <f t="shared" ca="1" si="28"/>
        <v>-2.4839334697797804E-14</v>
      </c>
    </row>
    <row r="109" spans="2:37" x14ac:dyDescent="0.2">
      <c r="B109" s="123" t="s">
        <v>648</v>
      </c>
      <c r="F109" s="101">
        <f t="shared" ref="F109:AI109" ca="1" si="29">(H71*-1)/10^6</f>
        <v>-26.405480681425576</v>
      </c>
      <c r="G109" s="101">
        <f t="shared" ca="1" si="29"/>
        <v>-35.207307575234097</v>
      </c>
      <c r="H109" s="101">
        <f t="shared" ca="1" si="29"/>
        <v>-35.207307575234097</v>
      </c>
      <c r="I109" s="101">
        <f t="shared" ca="1" si="29"/>
        <v>-35.207307575234097</v>
      </c>
      <c r="J109" s="101">
        <f t="shared" ca="1" si="29"/>
        <v>-35.207307575234097</v>
      </c>
      <c r="K109" s="101">
        <f t="shared" ca="1" si="29"/>
        <v>-35.207307575234097</v>
      </c>
      <c r="L109" s="101">
        <f t="shared" ca="1" si="29"/>
        <v>-35.207307575234097</v>
      </c>
      <c r="M109" s="101">
        <f t="shared" ca="1" si="29"/>
        <v>-35.207307575234097</v>
      </c>
      <c r="N109" s="101">
        <f t="shared" ca="1" si="29"/>
        <v>-35.207307575234097</v>
      </c>
      <c r="O109" s="101">
        <f t="shared" ca="1" si="29"/>
        <v>-35.207307575234097</v>
      </c>
      <c r="P109" s="101">
        <f t="shared" ca="1" si="29"/>
        <v>-35.207307575234097</v>
      </c>
      <c r="Q109" s="101">
        <f t="shared" ca="1" si="29"/>
        <v>-35.207307575234097</v>
      </c>
      <c r="R109" s="101">
        <f t="shared" ca="1" si="29"/>
        <v>-35.207307575234097</v>
      </c>
      <c r="S109" s="101">
        <f t="shared" ca="1" si="29"/>
        <v>-35.207307575234097</v>
      </c>
      <c r="T109" s="101">
        <f t="shared" ca="1" si="29"/>
        <v>-35.207307575234097</v>
      </c>
      <c r="U109" s="101">
        <f t="shared" ca="1" si="29"/>
        <v>-35.207307575234097</v>
      </c>
      <c r="V109" s="101">
        <f t="shared" ca="1" si="29"/>
        <v>-35.207307575234097</v>
      </c>
      <c r="W109" s="101">
        <f t="shared" ca="1" si="29"/>
        <v>-35.207307575234097</v>
      </c>
      <c r="X109" s="101">
        <f t="shared" ca="1" si="29"/>
        <v>-35.207307575234097</v>
      </c>
      <c r="Y109" s="101">
        <f t="shared" ca="1" si="29"/>
        <v>-35.207307575234097</v>
      </c>
      <c r="Z109" s="101">
        <f t="shared" ca="1" si="29"/>
        <v>-35.207307575234097</v>
      </c>
      <c r="AA109" s="101">
        <f t="shared" ca="1" si="29"/>
        <v>-35.207307575234097</v>
      </c>
      <c r="AB109" s="101">
        <f t="shared" ca="1" si="29"/>
        <v>-35.207307575234097</v>
      </c>
      <c r="AC109" s="101">
        <f t="shared" ca="1" si="29"/>
        <v>-35.207307575234097</v>
      </c>
      <c r="AD109" s="101">
        <f t="shared" ca="1" si="29"/>
        <v>-35.207307575234097</v>
      </c>
      <c r="AE109" s="101">
        <f t="shared" ca="1" si="29"/>
        <v>-35.207307575234097</v>
      </c>
      <c r="AF109" s="101">
        <f t="shared" ca="1" si="29"/>
        <v>-35.207307575234097</v>
      </c>
      <c r="AG109" s="101">
        <f t="shared" ca="1" si="29"/>
        <v>-35.207307575234097</v>
      </c>
      <c r="AH109" s="101">
        <f t="shared" ca="1" si="29"/>
        <v>-35.207307575234097</v>
      </c>
      <c r="AI109" s="150">
        <f t="shared" ca="1" si="29"/>
        <v>-35.207307575234097</v>
      </c>
    </row>
    <row r="110" spans="2:37" x14ac:dyDescent="0.2">
      <c r="B110" s="123" t="s">
        <v>696</v>
      </c>
      <c r="F110" s="132">
        <f ca="1">H86/(10^6)</f>
        <v>3.397239947095835</v>
      </c>
      <c r="G110" s="132">
        <f t="shared" ref="G110:AI110" ca="1" si="30">I86/(10^6)</f>
        <v>8.1784322574190487</v>
      </c>
      <c r="H110" s="132">
        <f t="shared" ca="1" si="30"/>
        <v>7.4349384158354965</v>
      </c>
      <c r="I110" s="132">
        <f t="shared" ca="1" si="30"/>
        <v>6.7590349234868157</v>
      </c>
      <c r="J110" s="132">
        <f t="shared" ca="1" si="30"/>
        <v>6.1445772031698311</v>
      </c>
      <c r="K110" s="132">
        <f t="shared" ca="1" si="30"/>
        <v>5.5859792756089375</v>
      </c>
      <c r="L110" s="132">
        <f t="shared" ca="1" si="30"/>
        <v>5.078162977826306</v>
      </c>
      <c r="M110" s="132">
        <f t="shared" ca="1" si="30"/>
        <v>4.6165117980239145</v>
      </c>
      <c r="N110" s="132">
        <f t="shared" ca="1" si="30"/>
        <v>4.196828907294468</v>
      </c>
      <c r="O110" s="132">
        <f t="shared" ca="1" si="30"/>
        <v>3.8152990066313337</v>
      </c>
      <c r="P110" s="132">
        <f t="shared" ca="1" si="30"/>
        <v>8.6346823128295487</v>
      </c>
      <c r="Q110" s="132">
        <f t="shared" ca="1" si="30"/>
        <v>7.849711193481407</v>
      </c>
      <c r="R110" s="132">
        <f t="shared" ca="1" si="30"/>
        <v>6.9470563629177278</v>
      </c>
      <c r="S110" s="132">
        <f t="shared" ca="1" si="30"/>
        <v>4.2167870047627378</v>
      </c>
      <c r="T110" s="132">
        <f t="shared" ca="1" si="30"/>
        <v>3.8334427316024895</v>
      </c>
      <c r="U110" s="132">
        <f t="shared" ca="1" si="30"/>
        <v>3.4849479378204449</v>
      </c>
      <c r="V110" s="132">
        <f t="shared" ca="1" si="30"/>
        <v>3.1681344889276768</v>
      </c>
      <c r="W110" s="132">
        <f t="shared" ca="1" si="30"/>
        <v>2.8801222626615242</v>
      </c>
      <c r="X110" s="132">
        <f t="shared" ca="1" si="30"/>
        <v>2.6182929660559306</v>
      </c>
      <c r="Y110" s="132">
        <f t="shared" ca="1" si="30"/>
        <v>2.3802663327781191</v>
      </c>
      <c r="Z110" s="132">
        <f t="shared" ca="1" si="30"/>
        <v>2.1638784843437442</v>
      </c>
      <c r="AA110" s="132">
        <f t="shared" ca="1" si="30"/>
        <v>1.9671622584943127</v>
      </c>
      <c r="AB110" s="132">
        <f t="shared" ca="1" si="30"/>
        <v>1.7883293259039204</v>
      </c>
      <c r="AC110" s="132">
        <f t="shared" ca="1" si="30"/>
        <v>1.6257539326399282</v>
      </c>
      <c r="AD110" s="132">
        <f t="shared" ca="1" si="30"/>
        <v>1.4779581205817525</v>
      </c>
      <c r="AE110" s="132">
        <f t="shared" ca="1" si="30"/>
        <v>1.3435982914379565</v>
      </c>
      <c r="AF110" s="132">
        <f t="shared" ca="1" si="30"/>
        <v>1.221452992216324</v>
      </c>
      <c r="AG110" s="132">
        <f t="shared" ca="1" si="30"/>
        <v>1.110411811105749</v>
      </c>
      <c r="AH110" s="132">
        <f t="shared" ca="1" si="30"/>
        <v>1.0094652828234081</v>
      </c>
      <c r="AI110" s="124">
        <f t="shared" ca="1" si="30"/>
        <v>0.91769571165764374</v>
      </c>
    </row>
    <row r="111" spans="2:37" x14ac:dyDescent="0.2">
      <c r="B111" s="123" t="s">
        <v>673</v>
      </c>
      <c r="F111" s="132">
        <f ca="1">(H86-SUM($E$87:$G$87))/(10^6)</f>
        <v>-119.47452509660586</v>
      </c>
      <c r="G111" s="132">
        <f ca="1">(SUM($H$86:I86)-SUM($E$87:$G$87))/(10^6)</f>
        <v>-111.29609283918681</v>
      </c>
      <c r="H111" s="132">
        <f ca="1">(SUM($H$86:J86)-SUM($E$87:$G$87))/(10^6)</f>
        <v>-103.86115442335132</v>
      </c>
      <c r="I111" s="132">
        <f ca="1">(SUM($H$86:K86)-SUM($E$87:$G$87))/(10^6)</f>
        <v>-97.102119499864486</v>
      </c>
      <c r="J111" s="132">
        <f ca="1">(SUM($H$86:L86)-SUM($E$87:$G$87))/(10^6)</f>
        <v>-90.957542296694669</v>
      </c>
      <c r="K111" s="132">
        <f ca="1">(SUM($H$86:M86)-SUM($E$87:$G$87))/(10^6)</f>
        <v>-85.371563021085734</v>
      </c>
      <c r="L111" s="132">
        <f ca="1">(SUM($H$86:N86)-SUM($E$87:$G$87))/(10^6)</f>
        <v>-80.293400043259425</v>
      </c>
      <c r="M111" s="132">
        <f ca="1">(SUM($H$86:O86)-SUM($E$87:$G$87))/(10^6)</f>
        <v>-75.676888245235503</v>
      </c>
      <c r="N111" s="132">
        <f ca="1">(SUM($H$86:P86)-SUM($E$87:$G$87))/(10^6)</f>
        <v>-71.480059337941057</v>
      </c>
      <c r="O111" s="132">
        <f ca="1">(SUM($H$86:Q86)-SUM($E$87:$G$87))/(10^6)</f>
        <v>-67.664760331309708</v>
      </c>
      <c r="P111" s="132">
        <f ca="1">(SUM($H$86:R86)-SUM($E$87:$G$87))/(10^6)</f>
        <v>-59.030078018480161</v>
      </c>
      <c r="Q111" s="132">
        <f ca="1">(SUM($H$86:S86)-SUM($E$87:$G$87))/(10^6)</f>
        <v>-51.18036682499875</v>
      </c>
      <c r="R111" s="132">
        <f ca="1">(SUM($H$86:T86)-SUM($E$87:$G$87))/(10^6)</f>
        <v>-44.233310462081029</v>
      </c>
      <c r="S111" s="132">
        <f ca="1">(SUM($H$86:U86)-SUM($E$87:$G$87))/(10^6)</f>
        <v>-40.016523457318293</v>
      </c>
      <c r="T111" s="132">
        <f ca="1">(SUM($H$86:V86)-SUM($E$87:$G$87))/(10^6)</f>
        <v>-36.183080725715804</v>
      </c>
      <c r="U111" s="132">
        <f ca="1">(SUM($H$86:W86)-SUM($E$87:$G$87))/(10^6)</f>
        <v>-32.698132787895354</v>
      </c>
      <c r="V111" s="132">
        <f ca="1">(SUM($H$86:X86)-SUM($E$87:$G$87))/(10^6)</f>
        <v>-29.529998298967673</v>
      </c>
      <c r="W111" s="132">
        <f ca="1">(SUM($H$86:Y86)-SUM($E$87:$G$87))/(10^6)</f>
        <v>-26.649876036306157</v>
      </c>
      <c r="X111" s="132">
        <f ca="1">(SUM($H$86:Z86)-SUM($E$87:$G$87))/(10^6)</f>
        <v>-24.031583070250228</v>
      </c>
      <c r="Y111" s="132">
        <f ca="1">(SUM($H$86:AA86)-SUM($E$87:$G$87))/(10^6)</f>
        <v>-21.651316737472101</v>
      </c>
      <c r="Z111" s="132">
        <f ca="1">(SUM($H$86:AB86)-SUM($E$87:$G$87))/(10^6)</f>
        <v>-19.487438253128364</v>
      </c>
      <c r="AA111" s="132">
        <f ca="1">(SUM($H$86:AC86)-SUM($E$87:$G$87))/(10^6)</f>
        <v>-17.520275994634048</v>
      </c>
      <c r="AB111" s="132">
        <f ca="1">(SUM($H$86:AD86)-SUM($E$87:$G$87))/(10^6)</f>
        <v>-15.731946668730124</v>
      </c>
      <c r="AC111" s="132">
        <f ca="1">(SUM($H$86:AE86)-SUM($E$87:$G$87))/(10^6)</f>
        <v>-14.106192736090199</v>
      </c>
      <c r="AD111" s="132">
        <f ca="1">(SUM($H$86:AF86)-SUM($E$87:$G$87))/(10^6)</f>
        <v>-12.628234615508452</v>
      </c>
      <c r="AE111" s="132">
        <f ca="1">(SUM($H$86:AG86)-SUM($E$87:$G$87))/(10^6)</f>
        <v>-11.284636324070499</v>
      </c>
      <c r="AF111" s="132">
        <f ca="1">(SUM($H$86:AH86)-SUM($E$87:$G$87))/(10^6)</f>
        <v>-10.06318333185418</v>
      </c>
      <c r="AG111" s="132">
        <f ca="1">(SUM($H$86:AI86)-SUM($E$87:$G$87))/(10^6)</f>
        <v>-8.9527715207484366</v>
      </c>
      <c r="AH111" s="132">
        <f ca="1">(SUM($H$86:AJ86)-SUM($E$87:$G$87))/(10^6)</f>
        <v>-7.9433062379250226</v>
      </c>
      <c r="AI111" s="124">
        <f ca="1">(SUM($H$86:AK86)-SUM($E$87:$G$87))/(10^6)</f>
        <v>-7.0256105262673794</v>
      </c>
    </row>
    <row r="112" spans="2:37" ht="16" thickBot="1" x14ac:dyDescent="0.25">
      <c r="B112" s="152"/>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69"/>
      <c r="AG112" s="69"/>
      <c r="AH112" s="69"/>
      <c r="AI112" s="193"/>
    </row>
    <row r="114" spans="2:8" ht="16" thickBot="1" x14ac:dyDescent="0.25">
      <c r="E114" s="104"/>
      <c r="F114" s="104"/>
      <c r="G114" s="104"/>
      <c r="H114" s="104"/>
    </row>
    <row r="115" spans="2:8" ht="16" thickBot="1" x14ac:dyDescent="0.25">
      <c r="B115" s="1614" t="s">
        <v>3306</v>
      </c>
      <c r="C115" s="1615"/>
      <c r="D115" s="1616"/>
      <c r="E115" s="106"/>
    </row>
    <row r="116" spans="2:8" x14ac:dyDescent="0.2">
      <c r="B116" s="123"/>
      <c r="E116" s="140"/>
    </row>
    <row r="117" spans="2:8" x14ac:dyDescent="0.2">
      <c r="B117" s="1484" t="s">
        <v>2987</v>
      </c>
      <c r="C117" s="1485"/>
      <c r="D117" s="1486"/>
      <c r="E117" s="140"/>
    </row>
    <row r="118" spans="2:8" x14ac:dyDescent="0.2">
      <c r="B118" s="1151" t="s">
        <v>580</v>
      </c>
      <c r="C118" s="135" t="s">
        <v>372</v>
      </c>
      <c r="D118" s="9" t="s">
        <v>2988</v>
      </c>
      <c r="E118" s="140"/>
    </row>
    <row r="119" spans="2:8" x14ac:dyDescent="0.2">
      <c r="B119" s="162" t="s">
        <v>687</v>
      </c>
      <c r="C119" s="110" t="s">
        <v>2980</v>
      </c>
      <c r="D119" s="852">
        <f ca="1">D91</f>
        <v>20223960.072118882</v>
      </c>
      <c r="E119" s="140"/>
    </row>
    <row r="120" spans="2:8" x14ac:dyDescent="0.2">
      <c r="B120" s="123" t="s">
        <v>2989</v>
      </c>
      <c r="C120" t="s">
        <v>2980</v>
      </c>
      <c r="D120" s="853">
        <f ca="1">D92</f>
        <v>323894616.31212837</v>
      </c>
      <c r="E120" s="140"/>
    </row>
    <row r="121" spans="2:8" x14ac:dyDescent="0.2">
      <c r="B121" s="123" t="s">
        <v>2990</v>
      </c>
      <c r="C121" t="s">
        <v>2980</v>
      </c>
      <c r="D121" s="853">
        <f ca="1">D93</f>
        <v>78860744.198869422</v>
      </c>
      <c r="E121" s="140"/>
    </row>
    <row r="122" spans="2:8" x14ac:dyDescent="0.2">
      <c r="B122" s="123" t="s">
        <v>690</v>
      </c>
      <c r="C122" t="s">
        <v>2980</v>
      </c>
      <c r="D122" s="853">
        <f ca="1">D94</f>
        <v>123721990.78174593</v>
      </c>
      <c r="E122" s="140"/>
    </row>
    <row r="123" spans="2:8" x14ac:dyDescent="0.2">
      <c r="B123" s="165" t="s">
        <v>2991</v>
      </c>
      <c r="C123" s="118" t="s">
        <v>360</v>
      </c>
      <c r="D123" s="854">
        <f>D43</f>
        <v>4.8525</v>
      </c>
      <c r="E123" s="140"/>
    </row>
    <row r="124" spans="2:8" x14ac:dyDescent="0.2">
      <c r="B124" s="123"/>
      <c r="E124" s="140"/>
    </row>
    <row r="125" spans="2:8" x14ac:dyDescent="0.2">
      <c r="B125" s="1484" t="s">
        <v>2992</v>
      </c>
      <c r="C125" s="1485"/>
      <c r="D125" s="1485"/>
      <c r="E125" s="140"/>
    </row>
    <row r="126" spans="2:8" x14ac:dyDescent="0.2">
      <c r="B126" s="162" t="s">
        <v>2993</v>
      </c>
      <c r="C126" s="110" t="s">
        <v>2980</v>
      </c>
      <c r="D126" s="852">
        <f ca="1">SUM(D119:D121)</f>
        <v>422979320.58311665</v>
      </c>
      <c r="E126" s="140"/>
    </row>
    <row r="127" spans="2:8" x14ac:dyDescent="0.2">
      <c r="B127" s="162" t="s">
        <v>687</v>
      </c>
      <c r="C127" s="110" t="s">
        <v>275</v>
      </c>
      <c r="D127" s="112">
        <f ca="1">D119/D$126*(1+D$130)</f>
        <v>6.1798515712044047E-2</v>
      </c>
      <c r="E127" s="140"/>
    </row>
    <row r="128" spans="2:8" x14ac:dyDescent="0.2">
      <c r="B128" s="123" t="s">
        <v>2989</v>
      </c>
      <c r="C128" t="s">
        <v>275</v>
      </c>
      <c r="D128" s="127">
        <f ca="1">D120/D$126*(1+D$130)</f>
        <v>0.98972735625631736</v>
      </c>
      <c r="E128" s="140"/>
    </row>
    <row r="129" spans="2:5" x14ac:dyDescent="0.2">
      <c r="B129" s="123" t="s">
        <v>2990</v>
      </c>
      <c r="C129" t="s">
        <v>275</v>
      </c>
      <c r="D129" s="127">
        <f ca="1">D121/D$126*(1+D$130)</f>
        <v>0.24097540353414673</v>
      </c>
      <c r="E129" s="140"/>
    </row>
    <row r="130" spans="2:5" x14ac:dyDescent="0.2">
      <c r="B130" s="165" t="s">
        <v>690</v>
      </c>
      <c r="C130" s="118" t="s">
        <v>275</v>
      </c>
      <c r="D130" s="120">
        <f ca="1">D122/D126</f>
        <v>0.29250127550250815</v>
      </c>
      <c r="E130" s="140"/>
    </row>
    <row r="131" spans="2:5" x14ac:dyDescent="0.2">
      <c r="B131" s="162" t="s">
        <v>687</v>
      </c>
      <c r="C131" s="110" t="s">
        <v>2994</v>
      </c>
      <c r="D131" s="1021">
        <f ca="1">D127*D$123</f>
        <v>0.29987729749269376</v>
      </c>
      <c r="E131" s="140"/>
    </row>
    <row r="132" spans="2:5" x14ac:dyDescent="0.2">
      <c r="B132" s="123" t="s">
        <v>2989</v>
      </c>
      <c r="C132" t="s">
        <v>2994</v>
      </c>
      <c r="D132" s="1022">
        <f ca="1">D128*D$123</f>
        <v>4.8026519962337799</v>
      </c>
      <c r="E132" s="140"/>
    </row>
    <row r="133" spans="2:5" x14ac:dyDescent="0.2">
      <c r="B133" s="123" t="s">
        <v>2990</v>
      </c>
      <c r="C133" t="s">
        <v>2994</v>
      </c>
      <c r="D133" s="1022">
        <f ca="1">D129*D$123</f>
        <v>1.1693331456494471</v>
      </c>
      <c r="E133" s="140"/>
    </row>
    <row r="134" spans="2:5" x14ac:dyDescent="0.2">
      <c r="B134" s="165" t="s">
        <v>690</v>
      </c>
      <c r="C134" s="118" t="s">
        <v>2994</v>
      </c>
      <c r="D134" s="1023">
        <f ca="1">D130*D$123</f>
        <v>1.4193624393759208</v>
      </c>
      <c r="E134" s="140"/>
    </row>
    <row r="135" spans="2:5" x14ac:dyDescent="0.2">
      <c r="B135" s="1152" t="s">
        <v>2995</v>
      </c>
      <c r="C135" s="31"/>
      <c r="D135" s="1024">
        <f ca="1">SUM(D131:D133)-D134</f>
        <v>4.8525</v>
      </c>
      <c r="E135" s="140"/>
    </row>
    <row r="136" spans="2:5" x14ac:dyDescent="0.2">
      <c r="B136" s="123"/>
      <c r="E136" s="140"/>
    </row>
    <row r="137" spans="2:5" x14ac:dyDescent="0.2">
      <c r="B137" s="123"/>
      <c r="E137" s="140"/>
    </row>
    <row r="138" spans="2:5" x14ac:dyDescent="0.2">
      <c r="B138" s="123"/>
      <c r="E138" s="140"/>
    </row>
    <row r="139" spans="2:5" x14ac:dyDescent="0.2">
      <c r="B139" s="123"/>
      <c r="C139" s="969" t="s">
        <v>3026</v>
      </c>
      <c r="E139" s="140"/>
    </row>
    <row r="140" spans="2:5" x14ac:dyDescent="0.2">
      <c r="B140" s="1134" t="s">
        <v>753</v>
      </c>
      <c r="C140" s="1040">
        <f ca="1">((BM_CAPEX!B74/SUM(BM_CAPEX!B$74:B$78))*BM_DCFROR!D$133)+((BM_OPEX!B123/SUM(BM_OPEX!B$123:B$131))*BM_DCFROR!D$132)</f>
        <v>0.66643946321457348</v>
      </c>
      <c r="E140" s="140"/>
    </row>
    <row r="141" spans="2:5" x14ac:dyDescent="0.2">
      <c r="B141" s="1134" t="s">
        <v>1415</v>
      </c>
      <c r="C141" s="1040">
        <f ca="1">((BM_CAPEX!B75/SUM(BM_CAPEX!B$74:B$78))*BM_DCFROR!D$133)+((BM_OPEX!B124/SUM(BM_OPEX!B$123:B$131))*BM_DCFROR!D$132)</f>
        <v>0.40083636903468645</v>
      </c>
      <c r="E141" s="140"/>
    </row>
    <row r="142" spans="2:5" x14ac:dyDescent="0.2">
      <c r="B142" s="1134" t="s">
        <v>572</v>
      </c>
      <c r="C142" s="1040">
        <f ca="1">((BM_CAPEX!B76/SUM(BM_CAPEX!B$74:B$78))*BM_DCFROR!D$133)+((BM_OPEX!B125/SUM(BM_OPEX!B$123:B$131))*BM_DCFROR!D$132)</f>
        <v>0.77630420554826185</v>
      </c>
      <c r="E142" s="140"/>
    </row>
    <row r="143" spans="2:5" x14ac:dyDescent="0.2">
      <c r="B143" s="1134" t="s">
        <v>532</v>
      </c>
      <c r="C143" s="1040">
        <f ca="1">((BM_CAPEX!B77/SUM(BM_CAPEX!B$74:B$78))*BM_DCFROR!D$133)+((BM_OPEX!B126/SUM(BM_OPEX!B$123:B$131))*BM_DCFROR!D$132)</f>
        <v>0.32974591275794857</v>
      </c>
      <c r="E143" s="140"/>
    </row>
    <row r="144" spans="2:5" x14ac:dyDescent="0.2">
      <c r="B144" s="1134" t="s">
        <v>3205</v>
      </c>
      <c r="C144" s="1040">
        <f ca="1">((BM_CAPEX!B78/SUM(BM_CAPEX!B$74:B$78))*BM_DCFROR!D$133)+((BM_OPEX!B127/SUM(BM_OPEX!B$123:B$131))*BM_DCFROR!D$132)</f>
        <v>1.4309350453831575</v>
      </c>
      <c r="E144" s="140"/>
    </row>
    <row r="145" spans="2:6" x14ac:dyDescent="0.2">
      <c r="B145" s="1134" t="s">
        <v>2481</v>
      </c>
      <c r="C145" s="1040">
        <f ca="1">BM_OPEX!B128/SUM(BM_OPEX!B$123:B$131)*D$132</f>
        <v>0.93791296902442667</v>
      </c>
      <c r="E145" s="140"/>
    </row>
    <row r="146" spans="2:6" x14ac:dyDescent="0.2">
      <c r="B146" s="1134" t="s">
        <v>2395</v>
      </c>
      <c r="C146" s="1040">
        <f ca="1">BM_OPEX!B129/SUM(BM_OPEX!B$123:B$131)*D$132</f>
        <v>0.84412167212198397</v>
      </c>
      <c r="E146" s="140"/>
    </row>
    <row r="147" spans="2:6" x14ac:dyDescent="0.2">
      <c r="B147" s="1134" t="s">
        <v>2397</v>
      </c>
      <c r="C147" s="1040">
        <f ca="1">BM_OPEX!B130/SUM(BM_OPEX!B$123:B$131)*D$132</f>
        <v>0.47488338226880161</v>
      </c>
      <c r="E147" s="140"/>
    </row>
    <row r="148" spans="2:6" x14ac:dyDescent="0.2">
      <c r="B148" s="1134" t="s">
        <v>2981</v>
      </c>
      <c r="C148" s="1040">
        <f ca="1">BM_OPEX!B131/SUM(BM_OPEX!B$123:B$131)*D$132</f>
        <v>0.11080612252938707</v>
      </c>
      <c r="E148" s="140"/>
      <c r="F148" s="101"/>
    </row>
    <row r="149" spans="2:6" x14ac:dyDescent="0.2">
      <c r="B149" s="1134" t="s">
        <v>695</v>
      </c>
      <c r="C149" s="1040">
        <f ca="1">D131</f>
        <v>0.29987729749269376</v>
      </c>
      <c r="E149" s="140"/>
      <c r="F149" s="101"/>
    </row>
    <row r="150" spans="2:6" x14ac:dyDescent="0.2">
      <c r="B150" s="1151" t="s">
        <v>667</v>
      </c>
      <c r="C150" s="1026">
        <f ca="1">D134*-1</f>
        <v>-1.4193624393759208</v>
      </c>
      <c r="E150" s="140"/>
      <c r="F150" s="101"/>
    </row>
    <row r="151" spans="2:6" x14ac:dyDescent="0.2">
      <c r="B151" s="1134" t="s">
        <v>2998</v>
      </c>
      <c r="C151" s="116">
        <f ca="1">D135</f>
        <v>4.8525</v>
      </c>
      <c r="E151" s="140"/>
      <c r="F151" s="101"/>
    </row>
    <row r="152" spans="2:6" ht="16" thickBot="1" x14ac:dyDescent="0.25">
      <c r="B152" s="152"/>
      <c r="C152" s="1147"/>
      <c r="D152" s="69"/>
      <c r="E152" s="193"/>
      <c r="F152" s="101"/>
    </row>
    <row r="153" spans="2:6" x14ac:dyDescent="0.2">
      <c r="C153" s="101"/>
      <c r="F153" s="101"/>
    </row>
    <row r="154" spans="2:6" x14ac:dyDescent="0.2">
      <c r="C154" s="101"/>
      <c r="F154" s="101"/>
    </row>
    <row r="155" spans="2:6" x14ac:dyDescent="0.2">
      <c r="C155" s="101"/>
      <c r="F155" s="101"/>
    </row>
    <row r="156" spans="2:6" x14ac:dyDescent="0.2">
      <c r="C156" s="101"/>
      <c r="F156" s="101"/>
    </row>
    <row r="157" spans="2:6" x14ac:dyDescent="0.2">
      <c r="F157" s="101"/>
    </row>
    <row r="158" spans="2:6" x14ac:dyDescent="0.2">
      <c r="C158" s="101"/>
      <c r="F158" s="101"/>
    </row>
    <row r="159" spans="2:6" x14ac:dyDescent="0.2">
      <c r="C159" s="101"/>
      <c r="F159" s="101"/>
    </row>
    <row r="160" spans="2:6" x14ac:dyDescent="0.2">
      <c r="C160" s="101"/>
      <c r="F160" s="101"/>
    </row>
  </sheetData>
  <mergeCells count="14">
    <mergeCell ref="G2:J2"/>
    <mergeCell ref="B115:D115"/>
    <mergeCell ref="B125:D125"/>
    <mergeCell ref="B25:D25"/>
    <mergeCell ref="F29:H29"/>
    <mergeCell ref="B35:D35"/>
    <mergeCell ref="B39:D39"/>
    <mergeCell ref="B49:D49"/>
    <mergeCell ref="B117:D117"/>
    <mergeCell ref="B19:D19"/>
    <mergeCell ref="B2:D2"/>
    <mergeCell ref="B4:D4"/>
    <mergeCell ref="B10:D10"/>
    <mergeCell ref="B16:D16"/>
  </mergeCells>
  <pageMargins left="0.7" right="0.7" top="0.75" bottom="0.75" header="0.3" footer="0.3"/>
  <pageSetup orientation="portrait" r:id="rId1"/>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6A3E9-DA30-4331-A6D5-0D4ED49664F9}">
  <sheetPr codeName="Sheet18"/>
  <dimension ref="A1:AJ110"/>
  <sheetViews>
    <sheetView workbookViewId="0">
      <selection activeCell="N18" sqref="N18"/>
    </sheetView>
  </sheetViews>
  <sheetFormatPr baseColWidth="10" defaultColWidth="8.83203125" defaultRowHeight="15" x14ac:dyDescent="0.2"/>
  <cols>
    <col min="1" max="1" width="46.5" customWidth="1"/>
    <col min="2" max="2" width="21.5" customWidth="1"/>
    <col min="3" max="3" width="16.1640625" customWidth="1"/>
    <col min="4" max="4" width="18.1640625" customWidth="1"/>
    <col min="5" max="6" width="15.83203125" bestFit="1" customWidth="1"/>
    <col min="7" max="36" width="20.5" customWidth="1"/>
  </cols>
  <sheetData>
    <row r="1" spans="1:15" x14ac:dyDescent="0.2">
      <c r="A1" s="1762" t="s">
        <v>3615</v>
      </c>
      <c r="B1" s="1762"/>
      <c r="C1" s="1762"/>
      <c r="D1" s="1762"/>
      <c r="E1" s="1762"/>
      <c r="F1" s="1762"/>
      <c r="G1" s="1762"/>
      <c r="H1" s="1762"/>
      <c r="I1" s="1762"/>
      <c r="J1" s="1762"/>
      <c r="K1" s="1762"/>
      <c r="L1" s="1762"/>
      <c r="M1" s="1762"/>
      <c r="N1" s="1762"/>
      <c r="O1" s="1762"/>
    </row>
    <row r="2" spans="1:15" x14ac:dyDescent="0.2">
      <c r="A2" s="1762"/>
      <c r="B2" s="1762"/>
      <c r="C2" s="1762"/>
      <c r="D2" s="1762"/>
      <c r="E2" s="1762"/>
      <c r="F2" s="1762"/>
      <c r="G2" s="1762"/>
      <c r="H2" s="1762"/>
      <c r="I2" s="1762"/>
      <c r="J2" s="1762"/>
      <c r="K2" s="1762"/>
      <c r="L2" s="1762"/>
      <c r="M2" s="1762"/>
      <c r="N2" s="1762"/>
      <c r="O2" s="1762"/>
    </row>
    <row r="3" spans="1:15" x14ac:dyDescent="0.2">
      <c r="A3" s="29" t="s">
        <v>3206</v>
      </c>
      <c r="B3" s="9"/>
    </row>
    <row r="4" spans="1:15" x14ac:dyDescent="0.2">
      <c r="A4" s="339" t="s">
        <v>1770</v>
      </c>
      <c r="B4" s="127">
        <f ca="1">Units!C264/Units!C558*ExpBase!E1156/100</f>
        <v>8.5343368913205521E-3</v>
      </c>
    </row>
    <row r="5" spans="1:15" x14ac:dyDescent="0.2">
      <c r="A5" s="714" t="s">
        <v>1771</v>
      </c>
      <c r="B5" s="127">
        <f ca="1">Units!C265/Units!C559*ExpBase!E1157/100</f>
        <v>0.30259052636905587</v>
      </c>
    </row>
    <row r="6" spans="1:15" x14ac:dyDescent="0.2">
      <c r="A6" s="714" t="s">
        <v>1772</v>
      </c>
      <c r="B6" s="127">
        <f ca="1">Units!C266/Units!C560*ExpBase!E1158/100</f>
        <v>3.501893845564207</v>
      </c>
    </row>
    <row r="7" spans="1:15" x14ac:dyDescent="0.2">
      <c r="A7" s="714" t="s">
        <v>1773</v>
      </c>
      <c r="B7" s="127">
        <f ca="1">Units!C267/Units!C561*ExpBase!E1159/100</f>
        <v>16.519655401094493</v>
      </c>
    </row>
    <row r="8" spans="1:15" x14ac:dyDescent="0.2">
      <c r="A8" s="714" t="s">
        <v>1774</v>
      </c>
      <c r="B8" s="127">
        <f ca="1">Units!C268/Units!C562*ExpBase!E1160/100</f>
        <v>0.94171126585624365</v>
      </c>
    </row>
    <row r="9" spans="1:15" x14ac:dyDescent="0.2">
      <c r="A9" s="714" t="s">
        <v>1775</v>
      </c>
      <c r="B9" s="127">
        <f ca="1">Units!C269/Units!C563*ExpBase!E1161/100</f>
        <v>2.3090539177528928</v>
      </c>
    </row>
    <row r="10" spans="1:15" x14ac:dyDescent="0.2">
      <c r="A10" s="714" t="s">
        <v>1776</v>
      </c>
      <c r="B10" s="127">
        <f ca="1">Units!C270/Units!C564*ExpBase!E1162/100</f>
        <v>3.8632995196361843</v>
      </c>
    </row>
    <row r="11" spans="1:15" x14ac:dyDescent="0.2">
      <c r="A11" s="714" t="s">
        <v>1777</v>
      </c>
      <c r="B11" s="127">
        <f ca="1">Units!C271/Units!C565*ExpBase!E1163/100</f>
        <v>4.4035704400680373</v>
      </c>
    </row>
    <row r="12" spans="1:15" x14ac:dyDescent="0.2">
      <c r="A12" s="714" t="s">
        <v>1778</v>
      </c>
      <c r="B12" s="127">
        <f ca="1">Units!C272/Units!C566*ExpBase!E1164/100</f>
        <v>8.2520340847591829</v>
      </c>
    </row>
    <row r="13" spans="1:15" x14ac:dyDescent="0.2">
      <c r="A13" s="714" t="s">
        <v>1779</v>
      </c>
      <c r="B13" s="127">
        <f ca="1">Units!C273/Units!C567*ExpBase!E1165/100</f>
        <v>0.48670085745040126</v>
      </c>
    </row>
    <row r="14" spans="1:15" x14ac:dyDescent="0.2">
      <c r="A14" s="714" t="s">
        <v>1780</v>
      </c>
      <c r="B14" s="127">
        <f ca="1">Units!C274/Units!C568*ExpBase!E1166/100</f>
        <v>4.3739752915870249E-3</v>
      </c>
    </row>
    <row r="15" spans="1:15" x14ac:dyDescent="0.2">
      <c r="A15" s="714" t="s">
        <v>1781</v>
      </c>
      <c r="B15" s="127">
        <f ca="1">Units!C275/Units!C569*ExpBase!E1167/100</f>
        <v>0</v>
      </c>
    </row>
    <row r="16" spans="1:15" x14ac:dyDescent="0.2">
      <c r="A16" s="714" t="s">
        <v>1782</v>
      </c>
      <c r="B16" s="127">
        <f ca="1">Units!C276/Units!C570*ExpBase!E1168/100</f>
        <v>2.1220844753971585E-3</v>
      </c>
    </row>
    <row r="17" spans="1:36" x14ac:dyDescent="0.2">
      <c r="A17" s="714" t="s">
        <v>1783</v>
      </c>
      <c r="B17" s="127">
        <f ca="1">Units!C277/Units!C571*ExpBase!E1169/100</f>
        <v>3.5765236967252589E-2</v>
      </c>
    </row>
    <row r="18" spans="1:36" x14ac:dyDescent="0.2">
      <c r="A18" s="714" t="s">
        <v>1784</v>
      </c>
      <c r="B18" s="127">
        <f ca="1">Units!C278/Units!C572*ExpBase!E1170/100</f>
        <v>0.1018903671913696</v>
      </c>
    </row>
    <row r="19" spans="1:36" x14ac:dyDescent="0.2">
      <c r="A19" s="714" t="s">
        <v>1785</v>
      </c>
      <c r="B19" s="127">
        <f ca="1">Units!C279/Units!C573*ExpBase!E1171/100</f>
        <v>0.16310984122081165</v>
      </c>
    </row>
    <row r="20" spans="1:36" x14ac:dyDescent="0.2">
      <c r="A20" s="714" t="s">
        <v>1786</v>
      </c>
      <c r="B20" s="127">
        <f ca="1">Units!C280/Units!C574*ExpBase!E1172/100</f>
        <v>0.34149502566932732</v>
      </c>
    </row>
    <row r="21" spans="1:36" x14ac:dyDescent="0.2">
      <c r="A21" s="340" t="s">
        <v>1787</v>
      </c>
      <c r="B21" s="127">
        <f ca="1">Units!C281/Units!C575*ExpBase!E1173/100</f>
        <v>1.8392379619234248E-2</v>
      </c>
    </row>
    <row r="22" spans="1:36" x14ac:dyDescent="0.2">
      <c r="A22" s="1031" t="s">
        <v>577</v>
      </c>
      <c r="B22" s="27">
        <f ca="1">SUM(B4:B21)*1000000</f>
        <v>41256193.10587699</v>
      </c>
      <c r="C22" s="27" t="s">
        <v>3211</v>
      </c>
    </row>
    <row r="26" spans="1:36" s="988" customFormat="1" x14ac:dyDescent="0.2">
      <c r="A26" s="1032" t="s">
        <v>519</v>
      </c>
      <c r="D26" s="988">
        <v>-2</v>
      </c>
      <c r="E26" s="988">
        <v>-1</v>
      </c>
      <c r="F26" s="988">
        <v>0</v>
      </c>
      <c r="G26" s="988">
        <v>1</v>
      </c>
      <c r="H26" s="988">
        <v>2</v>
      </c>
      <c r="I26" s="988">
        <v>3</v>
      </c>
      <c r="J26" s="988">
        <v>4</v>
      </c>
      <c r="K26" s="988">
        <v>5</v>
      </c>
      <c r="L26" s="988">
        <v>6</v>
      </c>
      <c r="M26" s="988">
        <v>7</v>
      </c>
      <c r="N26" s="988">
        <v>8</v>
      </c>
      <c r="O26" s="988">
        <v>9</v>
      </c>
      <c r="P26" s="988">
        <v>10</v>
      </c>
      <c r="Q26" s="988">
        <v>11</v>
      </c>
      <c r="R26" s="988">
        <v>12</v>
      </c>
      <c r="S26" s="988">
        <v>13</v>
      </c>
      <c r="T26" s="988">
        <v>14</v>
      </c>
      <c r="U26" s="988">
        <v>15</v>
      </c>
      <c r="V26" s="988">
        <v>16</v>
      </c>
      <c r="W26" s="988">
        <v>17</v>
      </c>
      <c r="X26" s="988">
        <v>18</v>
      </c>
      <c r="Y26" s="988">
        <v>19</v>
      </c>
      <c r="Z26" s="988">
        <v>20</v>
      </c>
      <c r="AA26" s="988">
        <v>21</v>
      </c>
      <c r="AB26" s="988">
        <v>22</v>
      </c>
      <c r="AC26" s="988">
        <v>23</v>
      </c>
      <c r="AD26" s="988">
        <v>24</v>
      </c>
      <c r="AE26" s="988">
        <v>25</v>
      </c>
      <c r="AF26" s="988">
        <v>26</v>
      </c>
      <c r="AG26" s="988">
        <v>27</v>
      </c>
      <c r="AH26" s="988">
        <v>28</v>
      </c>
      <c r="AI26" s="988">
        <v>29</v>
      </c>
      <c r="AJ26" s="1033">
        <v>30</v>
      </c>
    </row>
    <row r="27" spans="1:36" s="6" customFormat="1" x14ac:dyDescent="0.2"/>
    <row r="28" spans="1:36" s="1036" customFormat="1" x14ac:dyDescent="0.2">
      <c r="A28" s="1035" t="s">
        <v>3003</v>
      </c>
      <c r="B28" s="1035"/>
      <c r="C28" s="1035"/>
      <c r="D28" s="1035">
        <f>1/(1+AB_DCFROR!$D$38)^D26</f>
        <v>1.2100000000000002</v>
      </c>
      <c r="E28" s="1035">
        <f>1/(1+AB_DCFROR!$D$38)^E26</f>
        <v>1.1000000000000001</v>
      </c>
      <c r="F28" s="1035">
        <f>1/(1+AB_DCFROR!$D$38)^F26</f>
        <v>1</v>
      </c>
      <c r="G28" s="1035">
        <f>1/(1+AB_DCFROR!$D$38)^G26</f>
        <v>0.90909090909090906</v>
      </c>
      <c r="H28" s="1035">
        <f>1/(1+AB_DCFROR!$D$38)^H26</f>
        <v>0.82644628099173545</v>
      </c>
      <c r="I28" s="1035">
        <f>1/(1+AB_DCFROR!$D$38)^I26</f>
        <v>0.75131480090157754</v>
      </c>
      <c r="J28" s="1035">
        <f>1/(1+AB_DCFROR!$D$38)^J26</f>
        <v>0.68301345536507052</v>
      </c>
      <c r="K28" s="1035">
        <f>1/(1+AB_DCFROR!$D$38)^K26</f>
        <v>0.62092132305915493</v>
      </c>
      <c r="L28" s="1035">
        <f>1/(1+AB_DCFROR!$D$38)^L26</f>
        <v>0.56447393005377722</v>
      </c>
      <c r="M28" s="1035">
        <f>1/(1+AB_DCFROR!$D$38)^M26</f>
        <v>0.51315811823070645</v>
      </c>
      <c r="N28" s="1035">
        <f>1/(1+AB_DCFROR!$D$38)^N26</f>
        <v>0.46650738020973315</v>
      </c>
      <c r="O28" s="1035">
        <f>1/(1+AB_DCFROR!$D$38)^O26</f>
        <v>0.42409761837248466</v>
      </c>
      <c r="P28" s="1035">
        <f>1/(1+AB_DCFROR!$D$38)^P26</f>
        <v>0.38554328942953148</v>
      </c>
      <c r="Q28" s="1035">
        <f>1/(1+AB_DCFROR!$D$38)^Q26</f>
        <v>0.3504938994813922</v>
      </c>
      <c r="R28" s="1035">
        <f>1/(1+AB_DCFROR!$D$38)^R26</f>
        <v>0.31863081771035656</v>
      </c>
      <c r="S28" s="1035">
        <f>1/(1+AB_DCFROR!$D$38)^S26</f>
        <v>0.28966437973668779</v>
      </c>
      <c r="T28" s="1035">
        <f>1/(1+AB_DCFROR!$D$38)^T26</f>
        <v>0.26333125430607973</v>
      </c>
      <c r="U28" s="1035">
        <f>1/(1+AB_DCFROR!$D$38)^U26</f>
        <v>0.23939204936916339</v>
      </c>
      <c r="V28" s="1035">
        <f>1/(1+AB_DCFROR!$D$38)^V26</f>
        <v>0.21762913579014853</v>
      </c>
      <c r="W28" s="1035">
        <f>1/(1+AB_DCFROR!$D$38)^W26</f>
        <v>0.19784466890013502</v>
      </c>
      <c r="X28" s="1035">
        <f>1/(1+AB_DCFROR!$D$38)^X26</f>
        <v>0.17985878990921364</v>
      </c>
      <c r="Y28" s="1035">
        <f>1/(1+AB_DCFROR!$D$38)^Y26</f>
        <v>0.16350799082655781</v>
      </c>
      <c r="Z28" s="1035">
        <f>1/(1+AB_DCFROR!$D$38)^Z26</f>
        <v>0.14864362802414349</v>
      </c>
      <c r="AA28" s="1035">
        <f>1/(1+AB_DCFROR!$D$38)^AA26</f>
        <v>0.13513057093103953</v>
      </c>
      <c r="AB28" s="1035">
        <f>1/(1+AB_DCFROR!$D$38)^AB26</f>
        <v>0.12284597357367227</v>
      </c>
      <c r="AC28" s="1035">
        <f>1/(1+AB_DCFROR!$D$38)^AC26</f>
        <v>0.11167815779424752</v>
      </c>
      <c r="AD28" s="1035">
        <f>1/(1+AB_DCFROR!$D$38)^AD26</f>
        <v>0.10152559799477048</v>
      </c>
      <c r="AE28" s="1035">
        <f>1/(1+AB_DCFROR!$D$38)^AE26</f>
        <v>9.2295998177064048E-2</v>
      </c>
      <c r="AF28" s="1035">
        <f>1/(1+AB_DCFROR!$D$38)^AF26</f>
        <v>8.3905452888240042E-2</v>
      </c>
      <c r="AG28" s="1035">
        <f>1/(1+AB_DCFROR!$D$38)^AG26</f>
        <v>7.6277684443854576E-2</v>
      </c>
      <c r="AH28" s="1035">
        <f>1/(1+AB_DCFROR!$D$38)^AH26</f>
        <v>6.9343349494413245E-2</v>
      </c>
      <c r="AI28" s="1035">
        <f>1/(1+AB_DCFROR!$D$38)^AI26</f>
        <v>6.3039408631284766E-2</v>
      </c>
      <c r="AJ28" s="1035">
        <f>1/(1+AB_DCFROR!$D$38)^AJ26</f>
        <v>5.7308553301167964E-2</v>
      </c>
    </row>
    <row r="29" spans="1:36" s="6" customFormat="1" x14ac:dyDescent="0.2">
      <c r="A29" s="1037"/>
      <c r="B29" s="1037"/>
      <c r="C29" s="1037"/>
      <c r="D29" s="1037"/>
      <c r="E29" s="1037"/>
      <c r="F29" s="1037"/>
      <c r="G29" s="1037"/>
      <c r="H29" s="1037"/>
      <c r="I29" s="1037"/>
      <c r="J29" s="1037"/>
      <c r="K29" s="1037"/>
      <c r="L29" s="1037"/>
      <c r="M29" s="1037"/>
      <c r="N29" s="1037"/>
      <c r="O29" s="1037"/>
      <c r="P29" s="1037"/>
      <c r="Q29" s="1037"/>
      <c r="R29" s="1037"/>
      <c r="S29" s="1037"/>
      <c r="T29" s="1037"/>
      <c r="U29" s="1037"/>
      <c r="V29" s="1037"/>
      <c r="W29" s="1037"/>
      <c r="X29" s="1037"/>
      <c r="Y29" s="1037"/>
      <c r="Z29" s="1037"/>
      <c r="AA29" s="1037"/>
      <c r="AB29" s="1037"/>
      <c r="AC29" s="1037"/>
      <c r="AD29" s="1037"/>
      <c r="AE29" s="1037"/>
      <c r="AF29" s="1037"/>
      <c r="AG29" s="1037"/>
      <c r="AH29" s="1037"/>
      <c r="AI29" s="1037"/>
      <c r="AJ29" s="1037"/>
    </row>
    <row r="30" spans="1:36" x14ac:dyDescent="0.2">
      <c r="A30" s="1039" t="s">
        <v>3222</v>
      </c>
      <c r="B30" s="243"/>
      <c r="C30" s="243"/>
      <c r="D30" s="243"/>
      <c r="E30" s="243"/>
      <c r="F30" s="243"/>
      <c r="G30" s="243"/>
      <c r="H30" s="243"/>
      <c r="I30" s="243"/>
      <c r="J30" s="243"/>
      <c r="K30" s="243"/>
      <c r="L30" s="243"/>
      <c r="M30" s="243"/>
      <c r="N30" s="243"/>
      <c r="O30" s="243"/>
      <c r="P30" s="243"/>
      <c r="Q30" s="243"/>
      <c r="R30" s="243"/>
      <c r="S30" s="243"/>
      <c r="T30" s="243"/>
      <c r="U30" s="243"/>
      <c r="V30" s="243"/>
      <c r="W30" s="243"/>
      <c r="X30" s="243"/>
      <c r="Y30" s="243"/>
      <c r="Z30" s="243"/>
      <c r="AA30" s="243"/>
      <c r="AB30" s="243"/>
      <c r="AC30" s="243"/>
      <c r="AD30" s="243"/>
      <c r="AE30" s="243"/>
      <c r="AF30" s="243"/>
      <c r="AG30" s="243"/>
      <c r="AH30" s="243"/>
      <c r="AI30" s="243"/>
      <c r="AJ30" s="243"/>
    </row>
    <row r="31" spans="1:36" x14ac:dyDescent="0.2">
      <c r="A31" t="s">
        <v>3221</v>
      </c>
      <c r="D31">
        <v>0</v>
      </c>
      <c r="E31">
        <v>0</v>
      </c>
      <c r="F31">
        <v>0</v>
      </c>
      <c r="G31" s="1291">
        <f ca="1">(H31)*(1-AB_DCFROR!D26)+(J31*AB_DCFROR!D26*AB_DCFROR!D27)</f>
        <v>52821962.157750905</v>
      </c>
      <c r="H31" s="33">
        <f ca="1">$B$22*A_DCFROR!$D$31/3600000</f>
        <v>70429282.877001211</v>
      </c>
      <c r="I31" s="33">
        <f ca="1">$B$22*A_DCFROR!$D$31/3600000</f>
        <v>70429282.877001211</v>
      </c>
      <c r="J31" s="33">
        <f ca="1">$B$22*A_DCFROR!$D$31/3600000</f>
        <v>70429282.877001211</v>
      </c>
      <c r="K31" s="33">
        <f ca="1">$B$22*A_DCFROR!$D$31/3600000</f>
        <v>70429282.877001211</v>
      </c>
      <c r="L31" s="33">
        <f ca="1">$B$22*A_DCFROR!$D$31/3600000</f>
        <v>70429282.877001211</v>
      </c>
      <c r="M31" s="33">
        <f ca="1">$B$22*A_DCFROR!$D$31/3600000</f>
        <v>70429282.877001211</v>
      </c>
      <c r="N31" s="33">
        <f ca="1">$B$22*A_DCFROR!$D$31/3600000</f>
        <v>70429282.877001211</v>
      </c>
      <c r="O31" s="33">
        <f ca="1">$B$22*A_DCFROR!$D$31/3600000</f>
        <v>70429282.877001211</v>
      </c>
      <c r="P31" s="33">
        <f ca="1">$B$22*A_DCFROR!$D$31/3600000</f>
        <v>70429282.877001211</v>
      </c>
      <c r="Q31" s="33">
        <f ca="1">$B$22*A_DCFROR!$D$31/3600000</f>
        <v>70429282.877001211</v>
      </c>
      <c r="R31" s="33">
        <f ca="1">$B$22*A_DCFROR!$D$31/3600000</f>
        <v>70429282.877001211</v>
      </c>
      <c r="S31" s="33">
        <f ca="1">$B$22*A_DCFROR!$D$31/3600000</f>
        <v>70429282.877001211</v>
      </c>
      <c r="T31" s="33">
        <f ca="1">$B$22*A_DCFROR!$D$31/3600000</f>
        <v>70429282.877001211</v>
      </c>
      <c r="U31" s="33">
        <f ca="1">$B$22*A_DCFROR!$D$31/3600000</f>
        <v>70429282.877001211</v>
      </c>
      <c r="V31" s="33">
        <f ca="1">$B$22*A_DCFROR!$D$31/3600000</f>
        <v>70429282.877001211</v>
      </c>
      <c r="W31" s="33">
        <f ca="1">$B$22*A_DCFROR!$D$31/3600000</f>
        <v>70429282.877001211</v>
      </c>
      <c r="X31" s="33">
        <f ca="1">$B$22*A_DCFROR!$D$31/3600000</f>
        <v>70429282.877001211</v>
      </c>
      <c r="Y31" s="33">
        <f ca="1">$B$22*A_DCFROR!$D$31/3600000</f>
        <v>70429282.877001211</v>
      </c>
      <c r="Z31" s="33">
        <f ca="1">$B$22*A_DCFROR!$D$31/3600000</f>
        <v>70429282.877001211</v>
      </c>
      <c r="AA31" s="33">
        <f ca="1">$B$22*A_DCFROR!$D$31/3600000</f>
        <v>70429282.877001211</v>
      </c>
      <c r="AB31" s="33">
        <f ca="1">$B$22*A_DCFROR!$D$31/3600000</f>
        <v>70429282.877001211</v>
      </c>
      <c r="AC31" s="33">
        <f ca="1">$B$22*A_DCFROR!$D$31/3600000</f>
        <v>70429282.877001211</v>
      </c>
      <c r="AD31" s="33">
        <f ca="1">$B$22*A_DCFROR!$D$31/3600000</f>
        <v>70429282.877001211</v>
      </c>
      <c r="AE31" s="33">
        <f ca="1">$B$22*A_DCFROR!$D$31/3600000</f>
        <v>70429282.877001211</v>
      </c>
      <c r="AF31" s="33">
        <f ca="1">$B$22*A_DCFROR!$D$31/3600000</f>
        <v>70429282.877001211</v>
      </c>
      <c r="AG31" s="33">
        <f ca="1">$B$22*A_DCFROR!$D$31/3600000</f>
        <v>70429282.877001211</v>
      </c>
      <c r="AH31" s="33">
        <f ca="1">$B$22*A_DCFROR!$D$31/3600000</f>
        <v>70429282.877001211</v>
      </c>
      <c r="AI31" s="33">
        <f ca="1">$B$22*A_DCFROR!$D$31/3600000</f>
        <v>70429282.877001211</v>
      </c>
      <c r="AJ31" s="33">
        <f ca="1">$B$22*A_DCFROR!$D$31/3600000</f>
        <v>70429282.877001211</v>
      </c>
    </row>
    <row r="32" spans="1:36" s="243" customFormat="1" x14ac:dyDescent="0.2">
      <c r="A32" t="s">
        <v>3212</v>
      </c>
      <c r="B32"/>
      <c r="C32"/>
      <c r="D32">
        <f t="shared" ref="D32:AI32" si="0">D31*D28</f>
        <v>0</v>
      </c>
      <c r="E32">
        <f t="shared" si="0"/>
        <v>0</v>
      </c>
      <c r="F32">
        <f t="shared" si="0"/>
        <v>0</v>
      </c>
      <c r="G32" s="1291">
        <f t="shared" ca="1" si="0"/>
        <v>48019965.597955368</v>
      </c>
      <c r="H32" s="33">
        <f t="shared" ca="1" si="0"/>
        <v>58206018.906612568</v>
      </c>
      <c r="I32" s="33">
        <f t="shared" ca="1" si="0"/>
        <v>52914562.642375052</v>
      </c>
      <c r="J32" s="33">
        <f t="shared" ca="1" si="0"/>
        <v>48104147.856704593</v>
      </c>
      <c r="K32" s="33">
        <f t="shared" ca="1" si="0"/>
        <v>43731043.506095074</v>
      </c>
      <c r="L32" s="33">
        <f t="shared" ca="1" si="0"/>
        <v>39755494.096450068</v>
      </c>
      <c r="M32" s="33">
        <f t="shared" ca="1" si="0"/>
        <v>36141358.269500054</v>
      </c>
      <c r="N32" s="33">
        <f t="shared" ca="1" si="0"/>
        <v>32855780.245000053</v>
      </c>
      <c r="O32" s="33">
        <f t="shared" ca="1" si="0"/>
        <v>29868891.131818227</v>
      </c>
      <c r="P32" s="33">
        <f t="shared" ca="1" si="0"/>
        <v>27153537.392562024</v>
      </c>
      <c r="Q32" s="33">
        <f t="shared" ca="1" si="0"/>
        <v>24685033.9932382</v>
      </c>
      <c r="R32" s="33">
        <f t="shared" ca="1" si="0"/>
        <v>22440939.99385291</v>
      </c>
      <c r="S32" s="33">
        <f t="shared" ca="1" si="0"/>
        <v>20400854.539866284</v>
      </c>
      <c r="T32" s="33">
        <f t="shared" ca="1" si="0"/>
        <v>18546231.399878431</v>
      </c>
      <c r="U32" s="33">
        <f t="shared" ca="1" si="0"/>
        <v>16860210.363525849</v>
      </c>
      <c r="V32" s="33">
        <f t="shared" ca="1" si="0"/>
        <v>15327463.966841679</v>
      </c>
      <c r="W32" s="33">
        <f t="shared" ca="1" si="0"/>
        <v>13934058.151674254</v>
      </c>
      <c r="X32" s="33">
        <f t="shared" ca="1" si="0"/>
        <v>12667325.592431139</v>
      </c>
      <c r="Y32" s="33">
        <f t="shared" ca="1" si="0"/>
        <v>11515750.538573759</v>
      </c>
      <c r="Z32" s="33">
        <f t="shared" ca="1" si="0"/>
        <v>10468864.125976147</v>
      </c>
      <c r="AA32" s="33">
        <f t="shared" ca="1" si="0"/>
        <v>9517149.2054328602</v>
      </c>
      <c r="AB32" s="33">
        <f t="shared" ca="1" si="0"/>
        <v>8651953.8231207803</v>
      </c>
      <c r="AC32" s="33">
        <f t="shared" ca="1" si="0"/>
        <v>7865412.5664734356</v>
      </c>
      <c r="AD32" s="33">
        <f t="shared" ca="1" si="0"/>
        <v>7150375.0604303973</v>
      </c>
      <c r="AE32" s="33">
        <f t="shared" ca="1" si="0"/>
        <v>6500340.964027632</v>
      </c>
      <c r="AF32" s="33">
        <f t="shared" ca="1" si="0"/>
        <v>5909400.8763887566</v>
      </c>
      <c r="AG32" s="33">
        <f t="shared" ca="1" si="0"/>
        <v>5372182.6148988688</v>
      </c>
      <c r="AH32" s="33">
        <f t="shared" ca="1" si="0"/>
        <v>4883802.3771807896</v>
      </c>
      <c r="AI32" s="33">
        <f t="shared" ca="1" si="0"/>
        <v>4439820.3428916261</v>
      </c>
      <c r="AJ32" s="33">
        <f ca="1">AJ31*AJ28</f>
        <v>4036200.3117196602</v>
      </c>
    </row>
    <row r="33" spans="1:36" x14ac:dyDescent="0.2">
      <c r="A33" s="221" t="s">
        <v>3213</v>
      </c>
      <c r="B33" s="1039">
        <f ca="1">SUM(D32:AJ32)</f>
        <v>647924170.45349693</v>
      </c>
      <c r="C33" s="221" t="s">
        <v>378</v>
      </c>
    </row>
    <row r="34" spans="1:36" x14ac:dyDescent="0.2">
      <c r="A34" s="6"/>
      <c r="B34" s="1211"/>
      <c r="C34" s="6"/>
    </row>
    <row r="35" spans="1:36" x14ac:dyDescent="0.2">
      <c r="A35" s="6"/>
      <c r="B35" s="1211"/>
      <c r="C35" s="6"/>
    </row>
    <row r="36" spans="1:36" x14ac:dyDescent="0.2">
      <c r="A36" s="223" t="s">
        <v>3343</v>
      </c>
    </row>
    <row r="37" spans="1:36" x14ac:dyDescent="0.2">
      <c r="A37" t="s">
        <v>3344</v>
      </c>
      <c r="G37" s="33">
        <f ca="1">A_DCFROR!$D$33</f>
        <v>224142769.69001999</v>
      </c>
      <c r="H37" s="33">
        <f ca="1">A_DCFROR!$D$33</f>
        <v>224142769.69001999</v>
      </c>
      <c r="I37" s="33">
        <f ca="1">A_DCFROR!$D$33</f>
        <v>224142769.69001999</v>
      </c>
      <c r="J37" s="33">
        <f ca="1">A_DCFROR!$D$33</f>
        <v>224142769.69001999</v>
      </c>
      <c r="K37" s="33">
        <f ca="1">A_DCFROR!$D$33</f>
        <v>224142769.69001999</v>
      </c>
      <c r="L37" s="33">
        <f ca="1">A_DCFROR!$D$33</f>
        <v>224142769.69001999</v>
      </c>
      <c r="M37" s="33">
        <f ca="1">A_DCFROR!$D$33</f>
        <v>224142769.69001999</v>
      </c>
      <c r="N37" s="33">
        <f ca="1">A_DCFROR!$D$33</f>
        <v>224142769.69001999</v>
      </c>
      <c r="O37" s="33">
        <f ca="1">A_DCFROR!$D$33</f>
        <v>224142769.69001999</v>
      </c>
      <c r="P37" s="33">
        <f ca="1">A_DCFROR!$D$33</f>
        <v>224142769.69001999</v>
      </c>
      <c r="Q37" s="33">
        <f ca="1">A_DCFROR!$D$33</f>
        <v>224142769.69001999</v>
      </c>
      <c r="R37" s="33">
        <f ca="1">A_DCFROR!$D$33</f>
        <v>224142769.69001999</v>
      </c>
      <c r="S37" s="33">
        <f ca="1">A_DCFROR!$D$33</f>
        <v>224142769.69001999</v>
      </c>
      <c r="T37" s="33">
        <f ca="1">A_DCFROR!$D$33</f>
        <v>224142769.69001999</v>
      </c>
      <c r="U37" s="33">
        <f ca="1">A_DCFROR!$D$33</f>
        <v>224142769.69001999</v>
      </c>
      <c r="V37" s="33">
        <f ca="1">A_DCFROR!$D$33</f>
        <v>224142769.69001999</v>
      </c>
      <c r="W37" s="33">
        <f ca="1">A_DCFROR!$D$33</f>
        <v>224142769.69001999</v>
      </c>
      <c r="X37" s="33">
        <f ca="1">A_DCFROR!$D$33</f>
        <v>224142769.69001999</v>
      </c>
      <c r="Y37" s="33">
        <f ca="1">A_DCFROR!$D$33</f>
        <v>224142769.69001999</v>
      </c>
      <c r="Z37" s="33">
        <f ca="1">A_DCFROR!$D$33</f>
        <v>224142769.69001999</v>
      </c>
      <c r="AA37" s="33">
        <f ca="1">A_DCFROR!$D$33</f>
        <v>224142769.69001999</v>
      </c>
      <c r="AB37" s="33">
        <f ca="1">A_DCFROR!$D$33</f>
        <v>224142769.69001999</v>
      </c>
      <c r="AC37" s="33">
        <f ca="1">A_DCFROR!$D$33</f>
        <v>224142769.69001999</v>
      </c>
      <c r="AD37" s="33">
        <f ca="1">A_DCFROR!$D$33</f>
        <v>224142769.69001999</v>
      </c>
      <c r="AE37" s="33">
        <f ca="1">A_DCFROR!$D$33</f>
        <v>224142769.69001999</v>
      </c>
      <c r="AF37" s="33">
        <f ca="1">A_DCFROR!$D$33</f>
        <v>224142769.69001999</v>
      </c>
      <c r="AG37" s="33">
        <f ca="1">A_DCFROR!$D$33</f>
        <v>224142769.69001999</v>
      </c>
      <c r="AH37" s="33">
        <f ca="1">A_DCFROR!$D$33</f>
        <v>224142769.69001999</v>
      </c>
      <c r="AI37" s="33">
        <f ca="1">A_DCFROR!$D$33</f>
        <v>224142769.69001999</v>
      </c>
      <c r="AJ37" s="33">
        <f ca="1">A_DCFROR!$D$33</f>
        <v>224142769.69001999</v>
      </c>
    </row>
    <row r="38" spans="1:36" x14ac:dyDescent="0.2">
      <c r="A38" t="s">
        <v>3345</v>
      </c>
      <c r="G38" s="33">
        <f ca="1">G37*G28</f>
        <v>203766154.26365453</v>
      </c>
      <c r="H38" s="33">
        <f ca="1">H37*H28</f>
        <v>185241958.42150411</v>
      </c>
      <c r="I38" s="33">
        <f t="shared" ref="I38:AJ38" ca="1" si="1">I37*I28</f>
        <v>168401780.38318554</v>
      </c>
      <c r="J38" s="33">
        <f t="shared" ca="1" si="1"/>
        <v>153092527.62107775</v>
      </c>
      <c r="K38" s="33">
        <f t="shared" ca="1" si="1"/>
        <v>139175025.11007068</v>
      </c>
      <c r="L38" s="33">
        <f t="shared" ca="1" si="1"/>
        <v>126522750.10006425</v>
      </c>
      <c r="M38" s="33">
        <f t="shared" ca="1" si="1"/>
        <v>115020681.90914929</v>
      </c>
      <c r="N38" s="33">
        <f t="shared" ca="1" si="1"/>
        <v>104564256.28104481</v>
      </c>
      <c r="O38" s="33">
        <f t="shared" ca="1" si="1"/>
        <v>95058414.800949827</v>
      </c>
      <c r="P38" s="33">
        <f t="shared" ca="1" si="1"/>
        <v>86416740.728136197</v>
      </c>
      <c r="Q38" s="33">
        <f t="shared" ca="1" si="1"/>
        <v>78560673.389214709</v>
      </c>
      <c r="R38" s="33">
        <f t="shared" ca="1" si="1"/>
        <v>71418793.9901952</v>
      </c>
      <c r="S38" s="33">
        <f t="shared" ca="1" si="1"/>
        <v>64926176.35472291</v>
      </c>
      <c r="T38" s="33">
        <f t="shared" ca="1" si="1"/>
        <v>59023796.686111718</v>
      </c>
      <c r="U38" s="33">
        <f t="shared" ca="1" si="1"/>
        <v>53657996.987374283</v>
      </c>
      <c r="V38" s="33">
        <f t="shared" ca="1" si="1"/>
        <v>48779997.261249349</v>
      </c>
      <c r="W38" s="33">
        <f t="shared" ca="1" si="1"/>
        <v>44345452.055681229</v>
      </c>
      <c r="X38" s="33">
        <f t="shared" ca="1" si="1"/>
        <v>40314047.323346563</v>
      </c>
      <c r="Y38" s="33">
        <f t="shared" ca="1" si="1"/>
        <v>36649133.930315048</v>
      </c>
      <c r="Z38" s="33">
        <f t="shared" ca="1" si="1"/>
        <v>33317394.482104596</v>
      </c>
      <c r="AA38" s="33">
        <f t="shared" ca="1" si="1"/>
        <v>30288540.438276906</v>
      </c>
      <c r="AB38" s="33">
        <f t="shared" ca="1" si="1"/>
        <v>27535036.762069907</v>
      </c>
      <c r="AC38" s="33">
        <f t="shared" ca="1" si="1"/>
        <v>25031851.601881731</v>
      </c>
      <c r="AD38" s="33">
        <f t="shared" ca="1" si="1"/>
        <v>22756228.728983395</v>
      </c>
      <c r="AE38" s="33">
        <f t="shared" ca="1" si="1"/>
        <v>20687480.662712172</v>
      </c>
      <c r="AF38" s="33">
        <f t="shared" ca="1" si="1"/>
        <v>18806800.602465611</v>
      </c>
      <c r="AG38" s="33">
        <f t="shared" ca="1" si="1"/>
        <v>17097091.456786916</v>
      </c>
      <c r="AH38" s="33">
        <f t="shared" ca="1" si="1"/>
        <v>15542810.415260833</v>
      </c>
      <c r="AI38" s="33">
        <f t="shared" ca="1" si="1"/>
        <v>14129827.650237121</v>
      </c>
      <c r="AJ38" s="33">
        <f t="shared" ca="1" si="1"/>
        <v>12845297.863851925</v>
      </c>
    </row>
    <row r="39" spans="1:36" x14ac:dyDescent="0.2">
      <c r="A39" s="223" t="s">
        <v>3346</v>
      </c>
      <c r="B39" s="1209">
        <f ca="1">SUM(G38:AJ38)</f>
        <v>2112974718.2616794</v>
      </c>
      <c r="C39" s="223" t="s">
        <v>15</v>
      </c>
    </row>
    <row r="40" spans="1:36" x14ac:dyDescent="0.2">
      <c r="A40" s="6"/>
      <c r="B40" s="1211"/>
      <c r="C40" s="6"/>
      <c r="E40" s="1"/>
    </row>
    <row r="41" spans="1:36" x14ac:dyDescent="0.2">
      <c r="A41" s="14" t="s">
        <v>3355</v>
      </c>
      <c r="B41" s="14"/>
      <c r="C41" s="14"/>
    </row>
    <row r="42" spans="1:36" x14ac:dyDescent="0.2">
      <c r="A42" t="s">
        <v>3214</v>
      </c>
      <c r="D42" s="101">
        <f ca="1">A_DCFROR!D6*A_DCFROR!D21*D28</f>
        <v>46980202.557095677</v>
      </c>
      <c r="E42" s="101">
        <f ca="1">A_DCFROR!D6*A_DCFROR!D22*E28</f>
        <v>213546375.25952581</v>
      </c>
      <c r="F42" s="101">
        <f ca="1">A_DCFROR!D6*A_DCFROR!D23*F28</f>
        <v>155306454.73420057</v>
      </c>
    </row>
    <row r="43" spans="1:36" x14ac:dyDescent="0.2">
      <c r="A43" t="s">
        <v>3215</v>
      </c>
      <c r="D43" s="1">
        <f ca="1">A_DCFROR!D7*D28</f>
        <v>70470303.83564353</v>
      </c>
    </row>
    <row r="44" spans="1:36" x14ac:dyDescent="0.2">
      <c r="A44" t="s">
        <v>3216</v>
      </c>
      <c r="F44" s="1">
        <f ca="1">A_DCFROR!D8*F28</f>
        <v>19413306.841775071</v>
      </c>
    </row>
    <row r="45" spans="1:36" x14ac:dyDescent="0.2">
      <c r="A45" t="s">
        <v>1215</v>
      </c>
      <c r="G45" s="101">
        <f ca="1">A_DCFROR!$D$5*G28</f>
        <v>63452696.086698741</v>
      </c>
      <c r="H45" s="101">
        <f ca="1">A_DCFROR!$D$5*H28</f>
        <v>57684269.169726126</v>
      </c>
      <c r="I45" s="101">
        <f ca="1">A_DCFROR!$D$5*I28</f>
        <v>52440244.699751012</v>
      </c>
      <c r="J45" s="101">
        <f ca="1">A_DCFROR!$D$5*J28</f>
        <v>47672949.727046378</v>
      </c>
      <c r="K45" s="101">
        <f ca="1">A_DCFROR!$D$5*K28</f>
        <v>43339045.206405789</v>
      </c>
      <c r="L45" s="101">
        <f ca="1">A_DCFROR!$D$5*L28</f>
        <v>39399132.005823448</v>
      </c>
      <c r="M45" s="101">
        <f ca="1">A_DCFROR!$D$5*M28</f>
        <v>35817392.732566759</v>
      </c>
      <c r="N45" s="101">
        <f ca="1">A_DCFROR!$D$5*N28</f>
        <v>32561266.120515238</v>
      </c>
      <c r="O45" s="101">
        <f ca="1">A_DCFROR!$D$5*O28</f>
        <v>29601151.018650215</v>
      </c>
      <c r="P45" s="101">
        <f ca="1">A_DCFROR!$D$5*P28</f>
        <v>26910137.289682012</v>
      </c>
      <c r="Q45" s="101">
        <f ca="1">A_DCFROR!$D$5*Q28</f>
        <v>24463761.172438189</v>
      </c>
      <c r="R45" s="101">
        <f ca="1">A_DCFROR!$D$5*R28</f>
        <v>22239782.884034719</v>
      </c>
      <c r="S45" s="101">
        <f ca="1">A_DCFROR!$D$5*S28</f>
        <v>20217984.440031562</v>
      </c>
      <c r="T45" s="101">
        <f ca="1">A_DCFROR!$D$5*T28</f>
        <v>18379985.854574144</v>
      </c>
      <c r="U45" s="101">
        <f ca="1">A_DCFROR!$D$5*U28</f>
        <v>16709078.049612857</v>
      </c>
      <c r="V45" s="101">
        <f ca="1">A_DCFROR!$D$5*V28</f>
        <v>15190070.954193506</v>
      </c>
      <c r="W45" s="101">
        <f ca="1">A_DCFROR!$D$5*W28</f>
        <v>13809155.412903186</v>
      </c>
      <c r="X45" s="101">
        <f ca="1">A_DCFROR!$D$5*X28</f>
        <v>12553777.648093805</v>
      </c>
      <c r="Y45" s="101">
        <f ca="1">A_DCFROR!$D$5*Y28</f>
        <v>11412525.134630729</v>
      </c>
      <c r="Z45" s="101">
        <f ca="1">A_DCFROR!$D$5*Z28</f>
        <v>10375022.849664301</v>
      </c>
      <c r="AA45" s="101">
        <f ca="1">A_DCFROR!$D$5*AA28</f>
        <v>9431838.9542402737</v>
      </c>
      <c r="AB45" s="101">
        <f ca="1">A_DCFROR!$D$5*AB28</f>
        <v>8574399.0493093375</v>
      </c>
      <c r="AC45" s="101">
        <f ca="1">A_DCFROR!$D$5*AC28</f>
        <v>7794908.2266448513</v>
      </c>
      <c r="AD45" s="101">
        <f ca="1">A_DCFROR!$D$5*AD28</f>
        <v>7086280.2060407754</v>
      </c>
      <c r="AE45" s="101">
        <f ca="1">A_DCFROR!$D$5*AE28</f>
        <v>6442072.9145825207</v>
      </c>
      <c r="AF45" s="101">
        <f ca="1">A_DCFROR!$D$5*AF28</f>
        <v>5856429.9223477459</v>
      </c>
      <c r="AG45" s="101">
        <f ca="1">A_DCFROR!$D$5*AG28</f>
        <v>5324027.202134314</v>
      </c>
      <c r="AH45" s="101">
        <f ca="1">A_DCFROR!$D$5*AH28</f>
        <v>4840024.7292130124</v>
      </c>
      <c r="AI45" s="101">
        <f ca="1">A_DCFROR!$D$5*AI28</f>
        <v>4400022.4811027385</v>
      </c>
      <c r="AJ45" s="101">
        <f ca="1">A_DCFROR!$D$5*AJ28</f>
        <v>4000020.4373661256</v>
      </c>
    </row>
    <row r="46" spans="1:36" x14ac:dyDescent="0.2">
      <c r="A46" t="s">
        <v>3217</v>
      </c>
      <c r="B46" s="1">
        <f>1.25/Units!C10</f>
        <v>0.41254125412541259</v>
      </c>
      <c r="C46" t="s">
        <v>639</v>
      </c>
      <c r="G46" s="1">
        <f ca="1">A_DCFROR!$H$64/A_DCFROR!$D$43*$B$46*G28</f>
        <v>1728632.120952131</v>
      </c>
      <c r="H46" s="1">
        <f ca="1">A_DCFROR!$H$64/A_DCFROR!$D$43*$B$46*H28</f>
        <v>1571483.7463201189</v>
      </c>
      <c r="I46" s="1">
        <f ca="1">A_DCFROR!$H$64/A_DCFROR!$D$43*$B$46*I28</f>
        <v>1428621.5875637443</v>
      </c>
      <c r="J46" s="1">
        <f ca="1">A_DCFROR!$H$64/A_DCFROR!$D$43*$B$46*J28</f>
        <v>1298746.8977852222</v>
      </c>
      <c r="K46" s="1">
        <f ca="1">A_DCFROR!$H$64/A_DCFROR!$D$43*$B$46*K28</f>
        <v>1180678.9979865653</v>
      </c>
      <c r="L46" s="1">
        <f ca="1">A_DCFROR!$H$64/A_DCFROR!$D$43*$B$46*L28</f>
        <v>1073344.5436241503</v>
      </c>
      <c r="M46" s="1">
        <f ca="1">A_DCFROR!$H$64/A_DCFROR!$D$43*$B$46*M28</f>
        <v>975767.76693104557</v>
      </c>
      <c r="N46" s="1">
        <f ca="1">A_DCFROR!$H$64/A_DCFROR!$D$43*$B$46*N28</f>
        <v>887061.60630095052</v>
      </c>
      <c r="O46" s="1">
        <f ca="1">A_DCFROR!$H$64/A_DCFROR!$D$43*$B$46*O28</f>
        <v>806419.64209177322</v>
      </c>
      <c r="P46" s="1">
        <f ca="1">A_DCFROR!$H$64/A_DCFROR!$D$43*$B$46*P28</f>
        <v>733108.76553797559</v>
      </c>
      <c r="Q46" s="1">
        <f ca="1">A_DCFROR!$H$64/A_DCFROR!$D$43*$B$46*Q28</f>
        <v>666462.51412543224</v>
      </c>
      <c r="R46" s="1">
        <f ca="1">A_DCFROR!$H$64/A_DCFROR!$D$43*$B$46*R28</f>
        <v>605875.01284130209</v>
      </c>
      <c r="S46" s="1">
        <f ca="1">A_DCFROR!$H$64/A_DCFROR!$D$43*$B$46*S28</f>
        <v>550795.46621936548</v>
      </c>
      <c r="T46" s="1">
        <f ca="1">A_DCFROR!$H$64/A_DCFROR!$D$43*$B$46*T28</f>
        <v>500723.15110851394</v>
      </c>
      <c r="U46" s="1">
        <f ca="1">A_DCFROR!$H$64/A_DCFROR!$D$43*$B$46*U28</f>
        <v>455202.86464410357</v>
      </c>
      <c r="V46" s="1">
        <f ca="1">A_DCFROR!$H$64/A_DCFROR!$D$43*$B$46*V28</f>
        <v>413820.78604009416</v>
      </c>
      <c r="W46" s="1">
        <f ca="1">A_DCFROR!$H$64/A_DCFROR!$D$43*$B$46*W28</f>
        <v>376200.71458190377</v>
      </c>
      <c r="X46" s="1">
        <f ca="1">A_DCFROR!$H$64/A_DCFROR!$D$43*$B$46*X28</f>
        <v>342000.6496199125</v>
      </c>
      <c r="Y46" s="1">
        <f ca="1">A_DCFROR!$H$64/A_DCFROR!$D$43*$B$46*Y28</f>
        <v>310909.68147264764</v>
      </c>
      <c r="Z46" s="1">
        <f ca="1">A_DCFROR!$H$64/A_DCFROR!$D$43*$B$46*Z28</f>
        <v>282645.16497513425</v>
      </c>
      <c r="AA46" s="1">
        <f ca="1">A_DCFROR!$H$64/A_DCFROR!$D$43*$B$46*AA28</f>
        <v>256950.14997739476</v>
      </c>
      <c r="AB46" s="1">
        <f ca="1">A_DCFROR!$H$64/A_DCFROR!$D$43*$B$46*AB28</f>
        <v>233591.0454339952</v>
      </c>
      <c r="AC46" s="1">
        <f ca="1">A_DCFROR!$H$64/A_DCFROR!$D$43*$B$46*AC28</f>
        <v>212355.49584908652</v>
      </c>
      <c r="AD46" s="1">
        <f ca="1">A_DCFROR!$H$64/A_DCFROR!$D$43*$B$46*AD28</f>
        <v>193050.45077189687</v>
      </c>
      <c r="AE46" s="1">
        <f ca="1">A_DCFROR!$H$64/A_DCFROR!$D$43*$B$46*AE28</f>
        <v>175500.40979263347</v>
      </c>
      <c r="AF46" s="1">
        <f ca="1">A_DCFROR!$H$64/A_DCFROR!$D$43*$B$46*AF28</f>
        <v>159545.82708421224</v>
      </c>
      <c r="AG46" s="1">
        <f ca="1">A_DCFROR!$H$64/A_DCFROR!$D$43*$B$46*AG28</f>
        <v>145041.66098564747</v>
      </c>
      <c r="AH46" s="1">
        <f ca="1">A_DCFROR!$H$64/A_DCFROR!$D$43*$B$46*AH28</f>
        <v>131856.05544149771</v>
      </c>
      <c r="AI46" s="1">
        <f ca="1">A_DCFROR!$H$64/A_DCFROR!$D$43*$B$46*AI28</f>
        <v>119869.14131045244</v>
      </c>
      <c r="AJ46" s="1">
        <f ca="1">A_DCFROR!$H$64/A_DCFROR!$D$43*$B$46*AJ28</f>
        <v>108971.94664586584</v>
      </c>
    </row>
    <row r="47" spans="1:36" x14ac:dyDescent="0.2">
      <c r="A47" s="221" t="s">
        <v>3219</v>
      </c>
      <c r="B47" s="1034">
        <f ca="1">SUM(D42:AJ46)</f>
        <v>1181621329.6722794</v>
      </c>
    </row>
    <row r="49" spans="1:36" x14ac:dyDescent="0.2">
      <c r="A49" s="221" t="s">
        <v>3220</v>
      </c>
      <c r="B49" s="1041">
        <f ca="1">B47/B33</f>
        <v>1.8237031176738407</v>
      </c>
      <c r="C49" s="221" t="s">
        <v>3226</v>
      </c>
    </row>
    <row r="50" spans="1:36" x14ac:dyDescent="0.2">
      <c r="A50" s="223" t="s">
        <v>3347</v>
      </c>
      <c r="B50" s="1212">
        <f ca="1">B47/B39</f>
        <v>0.55922170741559363</v>
      </c>
      <c r="C50" s="223" t="s">
        <v>3356</v>
      </c>
    </row>
    <row r="52" spans="1:36" x14ac:dyDescent="0.2">
      <c r="A52" s="1038" t="s">
        <v>3223</v>
      </c>
      <c r="G52" s="243">
        <f ca="1">G53/1000000</f>
        <v>71.491984944763331</v>
      </c>
    </row>
    <row r="53" spans="1:36" x14ac:dyDescent="0.2">
      <c r="A53" t="s">
        <v>3221</v>
      </c>
      <c r="B53">
        <v>9.9700000000000006</v>
      </c>
      <c r="C53" t="s">
        <v>2695</v>
      </c>
      <c r="D53">
        <v>0</v>
      </c>
      <c r="E53">
        <v>0</v>
      </c>
      <c r="F53">
        <v>0</v>
      </c>
      <c r="G53" s="33">
        <f ca="1">(BM_DCFROR!$D$31*$B$53)*BM_DCFROR!D26+(H53*BM_DCFROR!D27*BM_DCFROR!D26)</f>
        <v>71491984.944763333</v>
      </c>
      <c r="H53" s="33">
        <f ca="1">BM_DCFROR!$D$31*$B$53</f>
        <v>95322646.593017787</v>
      </c>
      <c r="I53" s="33">
        <f ca="1">BM_DCFROR!$D$31*$B$53</f>
        <v>95322646.593017787</v>
      </c>
      <c r="J53" s="33">
        <f ca="1">BM_DCFROR!$D$31*$B$53</f>
        <v>95322646.593017787</v>
      </c>
      <c r="K53" s="33">
        <f ca="1">BM_DCFROR!$D$31*$B$53</f>
        <v>95322646.593017787</v>
      </c>
      <c r="L53" s="33">
        <f ca="1">BM_DCFROR!$D$31*$B$53</f>
        <v>95322646.593017787</v>
      </c>
      <c r="M53" s="33">
        <f ca="1">BM_DCFROR!$D$31*$B$53</f>
        <v>95322646.593017787</v>
      </c>
      <c r="N53" s="33">
        <f ca="1">BM_DCFROR!$D$31*$B$53</f>
        <v>95322646.593017787</v>
      </c>
      <c r="O53" s="33">
        <f ca="1">BM_DCFROR!$D$31*$B$53</f>
        <v>95322646.593017787</v>
      </c>
      <c r="P53" s="33">
        <f ca="1">BM_DCFROR!$D$31*$B$53</f>
        <v>95322646.593017787</v>
      </c>
      <c r="Q53" s="33">
        <f ca="1">BM_DCFROR!$D$31*$B$53</f>
        <v>95322646.593017787</v>
      </c>
      <c r="R53" s="33">
        <f ca="1">BM_DCFROR!$D$31*$B$53</f>
        <v>95322646.593017787</v>
      </c>
      <c r="S53" s="33">
        <f ca="1">BM_DCFROR!$D$31*$B$53</f>
        <v>95322646.593017787</v>
      </c>
      <c r="T53" s="33">
        <f ca="1">BM_DCFROR!$D$31*$B$53</f>
        <v>95322646.593017787</v>
      </c>
      <c r="U53" s="33">
        <f ca="1">BM_DCFROR!$D$31*$B$53</f>
        <v>95322646.593017787</v>
      </c>
      <c r="V53" s="33">
        <f ca="1">BM_DCFROR!$D$31*$B$53</f>
        <v>95322646.593017787</v>
      </c>
      <c r="W53" s="33">
        <f ca="1">BM_DCFROR!$D$31*$B$53</f>
        <v>95322646.593017787</v>
      </c>
      <c r="X53" s="33">
        <f ca="1">BM_DCFROR!$D$31*$B$53</f>
        <v>95322646.593017787</v>
      </c>
      <c r="Y53" s="33">
        <f ca="1">BM_DCFROR!$D$31*$B$53</f>
        <v>95322646.593017787</v>
      </c>
      <c r="Z53" s="33">
        <f ca="1">BM_DCFROR!$D$31*$B$53</f>
        <v>95322646.593017787</v>
      </c>
      <c r="AA53" s="33">
        <f ca="1">BM_DCFROR!$D$31*$B$53</f>
        <v>95322646.593017787</v>
      </c>
      <c r="AB53" s="33">
        <f ca="1">BM_DCFROR!$D$31*$B$53</f>
        <v>95322646.593017787</v>
      </c>
      <c r="AC53" s="33">
        <f ca="1">BM_DCFROR!$D$31*$B$53</f>
        <v>95322646.593017787</v>
      </c>
      <c r="AD53" s="33">
        <f ca="1">BM_DCFROR!$D$31*$B$53</f>
        <v>95322646.593017787</v>
      </c>
      <c r="AE53" s="33">
        <f ca="1">BM_DCFROR!$D$31*$B$53</f>
        <v>95322646.593017787</v>
      </c>
      <c r="AF53" s="33">
        <f ca="1">BM_DCFROR!$D$31*$B$53</f>
        <v>95322646.593017787</v>
      </c>
      <c r="AG53" s="33">
        <f ca="1">BM_DCFROR!$D$31*$B$53</f>
        <v>95322646.593017787</v>
      </c>
      <c r="AH53" s="33">
        <f ca="1">BM_DCFROR!$D$31*$B$53</f>
        <v>95322646.593017787</v>
      </c>
      <c r="AI53" s="33">
        <f ca="1">BM_DCFROR!$D$31*$B$53</f>
        <v>95322646.593017787</v>
      </c>
      <c r="AJ53" s="33">
        <f ca="1">BM_DCFROR!$D$31*$B$53</f>
        <v>95322646.593017787</v>
      </c>
    </row>
    <row r="54" spans="1:36" s="1" customFormat="1" x14ac:dyDescent="0.2">
      <c r="A54" s="1" t="s">
        <v>3212</v>
      </c>
      <c r="D54" s="1">
        <f t="shared" ref="D54:AJ54" si="2">D28*D53</f>
        <v>0</v>
      </c>
      <c r="E54" s="1">
        <f t="shared" si="2"/>
        <v>0</v>
      </c>
      <c r="F54" s="1">
        <f t="shared" si="2"/>
        <v>0</v>
      </c>
      <c r="G54" s="1043">
        <f t="shared" ca="1" si="2"/>
        <v>64992713.586148486</v>
      </c>
      <c r="H54" s="1043">
        <f t="shared" ca="1" si="2"/>
        <v>78779046.771089077</v>
      </c>
      <c r="I54" s="1043">
        <f t="shared" ca="1" si="2"/>
        <v>71617315.246444598</v>
      </c>
      <c r="J54" s="1043">
        <f t="shared" ca="1" si="2"/>
        <v>65106650.224040546</v>
      </c>
      <c r="K54" s="1043">
        <f t="shared" ca="1" si="2"/>
        <v>59187863.840036854</v>
      </c>
      <c r="L54" s="1043">
        <f t="shared" ca="1" si="2"/>
        <v>53807148.945488051</v>
      </c>
      <c r="M54" s="1043">
        <f t="shared" ca="1" si="2"/>
        <v>48915589.95044367</v>
      </c>
      <c r="N54" s="1043">
        <f t="shared" ca="1" si="2"/>
        <v>44468718.13676697</v>
      </c>
      <c r="O54" s="1043">
        <f t="shared" ca="1" si="2"/>
        <v>40426107.397060886</v>
      </c>
      <c r="P54" s="1043">
        <f t="shared" ca="1" si="2"/>
        <v>36751006.724600799</v>
      </c>
      <c r="Q54" s="1043">
        <f t="shared" ca="1" si="2"/>
        <v>33410006.113273449</v>
      </c>
      <c r="R54" s="1043">
        <f t="shared" ca="1" si="2"/>
        <v>30372732.830248591</v>
      </c>
      <c r="S54" s="1043">
        <f t="shared" ca="1" si="2"/>
        <v>27611575.300225992</v>
      </c>
      <c r="T54" s="1043">
        <f t="shared" ca="1" si="2"/>
        <v>25101432.091114532</v>
      </c>
      <c r="U54" s="1043">
        <f t="shared" ca="1" si="2"/>
        <v>22819483.719195027</v>
      </c>
      <c r="V54" s="1043">
        <f t="shared" ca="1" si="2"/>
        <v>20744985.199268207</v>
      </c>
      <c r="W54" s="1043">
        <f t="shared" ca="1" si="2"/>
        <v>18859077.453880187</v>
      </c>
      <c r="X54" s="1043">
        <f t="shared" ca="1" si="2"/>
        <v>17144615.867163807</v>
      </c>
      <c r="Y54" s="1043">
        <f t="shared" ca="1" si="2"/>
        <v>15586014.424694365</v>
      </c>
      <c r="Z54" s="1043">
        <f t="shared" ca="1" si="2"/>
        <v>14169104.022449424</v>
      </c>
      <c r="AA54" s="1043">
        <f t="shared" ca="1" si="2"/>
        <v>12881003.656772204</v>
      </c>
      <c r="AB54" s="1043">
        <f t="shared" ca="1" si="2"/>
        <v>11710003.324338363</v>
      </c>
      <c r="AC54" s="1043">
        <f t="shared" ca="1" si="2"/>
        <v>10645457.567580331</v>
      </c>
      <c r="AD54" s="1043">
        <f t="shared" ca="1" si="2"/>
        <v>9677688.6978003029</v>
      </c>
      <c r="AE54" s="1043">
        <f t="shared" ca="1" si="2"/>
        <v>8797898.81618209</v>
      </c>
      <c r="AF54" s="1043">
        <f t="shared" ca="1" si="2"/>
        <v>7998089.8328928091</v>
      </c>
      <c r="AG54" s="1043">
        <f t="shared" ca="1" si="2"/>
        <v>7270990.7571752807</v>
      </c>
      <c r="AH54" s="1043">
        <f t="shared" ca="1" si="2"/>
        <v>6609991.5974320723</v>
      </c>
      <c r="AI54" s="1043">
        <f t="shared" ca="1" si="2"/>
        <v>6009083.2703927932</v>
      </c>
      <c r="AJ54" s="1043">
        <f t="shared" ca="1" si="2"/>
        <v>5462802.9730843566</v>
      </c>
    </row>
    <row r="55" spans="1:36" x14ac:dyDescent="0.2">
      <c r="A55" s="1038" t="s">
        <v>3213</v>
      </c>
      <c r="B55" s="1047">
        <f ca="1">SUM(D54:AJ54)</f>
        <v>876934198.33728409</v>
      </c>
      <c r="C55" s="1038" t="s">
        <v>378</v>
      </c>
    </row>
    <row r="57" spans="1:36" x14ac:dyDescent="0.2">
      <c r="A57" t="s">
        <v>3214</v>
      </c>
      <c r="D57" s="101">
        <f ca="1">BM_DCFROR!D6*BM_DCFROR!D21*D28</f>
        <v>19945965.819530103</v>
      </c>
      <c r="E57" s="101">
        <f ca="1">BM_DCFROR!D6*BM_DCFROR!D22*E28</f>
        <v>90663480.997864097</v>
      </c>
      <c r="F57" s="101">
        <f ca="1">BM_DCFROR!D6*BM_DCFROR!D23*F28</f>
        <v>65937077.089355707</v>
      </c>
    </row>
    <row r="58" spans="1:36" x14ac:dyDescent="0.2">
      <c r="A58" t="s">
        <v>3215</v>
      </c>
      <c r="D58" s="100">
        <f ca="1">BM_DCFROR!D7*D28</f>
        <v>29918948.729295157</v>
      </c>
    </row>
    <row r="59" spans="1:36" x14ac:dyDescent="0.2">
      <c r="A59" t="s">
        <v>3216</v>
      </c>
      <c r="F59" s="100">
        <f ca="1">BM_DCFROR!D8*F28</f>
        <v>8242134.6361694634</v>
      </c>
    </row>
    <row r="60" spans="1:36" x14ac:dyDescent="0.2">
      <c r="A60" t="s">
        <v>1215</v>
      </c>
      <c r="G60" s="101">
        <f ca="1">BM_DCFROR!$D$5*G28</f>
        <v>32006643.250212818</v>
      </c>
      <c r="H60" s="101">
        <f ca="1">BM_DCFROR!$D$5*H28</f>
        <v>29096948.409284376</v>
      </c>
      <c r="I60" s="101">
        <f ca="1">BM_DCFROR!$D$5*I28</f>
        <v>26451771.281167611</v>
      </c>
      <c r="J60" s="101">
        <f ca="1">BM_DCFROR!$D$5*J28</f>
        <v>24047064.801061466</v>
      </c>
      <c r="K60" s="101">
        <f ca="1">BM_DCFROR!$D$5*K28</f>
        <v>21860968.000964966</v>
      </c>
      <c r="L60" s="101">
        <f ca="1">BM_DCFROR!$D$5*L28</f>
        <v>19873607.273604516</v>
      </c>
      <c r="M60" s="101">
        <f ca="1">BM_DCFROR!$D$5*M28</f>
        <v>18066915.703276828</v>
      </c>
      <c r="N60" s="101">
        <f ca="1">BM_DCFROR!$D$5*N28</f>
        <v>16424468.821160752</v>
      </c>
      <c r="O60" s="101">
        <f ca="1">BM_DCFROR!$D$5*O28</f>
        <v>14931335.29196432</v>
      </c>
      <c r="P60" s="101">
        <f ca="1">BM_DCFROR!$D$5*P28</f>
        <v>13573941.174513016</v>
      </c>
      <c r="Q60" s="101">
        <f ca="1">BM_DCFROR!$D$5*Q28</f>
        <v>12339946.522284558</v>
      </c>
      <c r="R60" s="101">
        <f ca="1">BM_DCFROR!$D$5*R28</f>
        <v>11218133.202076873</v>
      </c>
      <c r="S60" s="101">
        <f ca="1">BM_DCFROR!$D$5*S28</f>
        <v>10198302.910978975</v>
      </c>
      <c r="T60" s="101">
        <f ca="1">BM_DCFROR!$D$5*T28</f>
        <v>9271184.4645263385</v>
      </c>
      <c r="U60" s="101">
        <f ca="1">BM_DCFROR!$D$5*U28</f>
        <v>8428349.5132057611</v>
      </c>
      <c r="V60" s="101">
        <f ca="1">BM_DCFROR!$D$5*V28</f>
        <v>7662135.921096147</v>
      </c>
      <c r="W60" s="101">
        <f ca="1">BM_DCFROR!$D$5*W28</f>
        <v>6965578.1100874059</v>
      </c>
      <c r="X60" s="101">
        <f ca="1">BM_DCFROR!$D$5*X28</f>
        <v>6332343.7364430958</v>
      </c>
      <c r="Y60" s="101">
        <f ca="1">BM_DCFROR!$D$5*Y28</f>
        <v>5756676.1240391769</v>
      </c>
      <c r="Z60" s="101">
        <f ca="1">BM_DCFROR!$D$5*Z28</f>
        <v>5233341.9309447072</v>
      </c>
      <c r="AA60" s="101">
        <f ca="1">BM_DCFROR!$D$5*AA28</f>
        <v>4757583.573586097</v>
      </c>
      <c r="AB60" s="101">
        <f ca="1">BM_DCFROR!$D$5*AB28</f>
        <v>4325075.9759873599</v>
      </c>
      <c r="AC60" s="101">
        <f ca="1">BM_DCFROR!$D$5*AC28</f>
        <v>3931887.2508975998</v>
      </c>
      <c r="AD60" s="101">
        <f ca="1">BM_DCFROR!$D$5*AD28</f>
        <v>3574442.9553614547</v>
      </c>
      <c r="AE60" s="101">
        <f ca="1">BM_DCFROR!$D$5*AE28</f>
        <v>3249493.5957831396</v>
      </c>
      <c r="AF60" s="101">
        <f ca="1">BM_DCFROR!$D$5*AF28</f>
        <v>2954085.0870755818</v>
      </c>
      <c r="AG60" s="101">
        <f ca="1">BM_DCFROR!$D$5*AG28</f>
        <v>2685531.8973414376</v>
      </c>
      <c r="AH60" s="101">
        <f ca="1">BM_DCFROR!$D$5*AH28</f>
        <v>2441392.633946761</v>
      </c>
      <c r="AI60" s="101">
        <f ca="1">BM_DCFROR!$D$5*AI28</f>
        <v>2219447.8490425101</v>
      </c>
      <c r="AJ60" s="101">
        <f ca="1">BM_DCFROR!$D$5*AJ28</f>
        <v>2017679.862765918</v>
      </c>
    </row>
    <row r="62" spans="1:36" x14ac:dyDescent="0.2">
      <c r="A62" s="1038" t="s">
        <v>3219</v>
      </c>
      <c r="B62" s="1046">
        <f ca="1">SUM(D57:AJ61)</f>
        <v>546603884.396896</v>
      </c>
      <c r="C62" s="101">
        <f ca="1">B62/2</f>
        <v>273301942.198448</v>
      </c>
    </row>
    <row r="64" spans="1:36" x14ac:dyDescent="0.2">
      <c r="A64" s="1038" t="s">
        <v>3224</v>
      </c>
      <c r="B64" s="1048">
        <f ca="1">B62/B55</f>
        <v>0.62331231400632714</v>
      </c>
      <c r="C64" s="1038" t="s">
        <v>3226</v>
      </c>
    </row>
    <row r="65" spans="1:9" x14ac:dyDescent="0.2">
      <c r="A65" s="236" t="s">
        <v>3357</v>
      </c>
      <c r="B65" s="1213">
        <f ca="1">B62/B39</f>
        <v>0.25868926858082847</v>
      </c>
      <c r="C65" s="236" t="s">
        <v>3356</v>
      </c>
    </row>
    <row r="67" spans="1:9" x14ac:dyDescent="0.2">
      <c r="A67" s="205" t="s">
        <v>3227</v>
      </c>
    </row>
    <row r="68" spans="1:9" x14ac:dyDescent="0.2">
      <c r="A68" t="s">
        <v>3229</v>
      </c>
      <c r="B68" s="1">
        <v>6.25</v>
      </c>
      <c r="C68" t="s">
        <v>3230</v>
      </c>
    </row>
    <row r="69" spans="1:9" x14ac:dyDescent="0.2">
      <c r="A69" t="s">
        <v>3228</v>
      </c>
      <c r="B69">
        <v>36.799999999999997</v>
      </c>
      <c r="C69" t="s">
        <v>3231</v>
      </c>
    </row>
    <row r="70" spans="1:9" x14ac:dyDescent="0.2">
      <c r="A70" s="205" t="s">
        <v>3232</v>
      </c>
      <c r="B70" s="1049">
        <f>B68/B69</f>
        <v>0.16983695652173914</v>
      </c>
      <c r="C70" s="205" t="s">
        <v>3233</v>
      </c>
    </row>
    <row r="71" spans="1:9" ht="16" thickBot="1" x14ac:dyDescent="0.25"/>
    <row r="72" spans="1:9" x14ac:dyDescent="0.2">
      <c r="A72" s="59"/>
      <c r="B72" s="1146" t="s">
        <v>3592</v>
      </c>
      <c r="C72" s="1146"/>
      <c r="D72" s="1146"/>
      <c r="E72" s="1293"/>
      <c r="F72" s="1910"/>
      <c r="G72" s="1910"/>
      <c r="H72" s="1910"/>
      <c r="I72" s="1910"/>
    </row>
    <row r="73" spans="1:9" x14ac:dyDescent="0.2">
      <c r="A73" s="123"/>
      <c r="B73" s="6" t="s">
        <v>386</v>
      </c>
      <c r="C73" s="1294" t="s">
        <v>3590</v>
      </c>
      <c r="D73" s="6" t="s">
        <v>386</v>
      </c>
      <c r="E73" s="1294" t="s">
        <v>3590</v>
      </c>
      <c r="F73" s="180"/>
      <c r="G73" s="180"/>
      <c r="H73" s="180"/>
      <c r="I73" s="180"/>
    </row>
    <row r="74" spans="1:9" x14ac:dyDescent="0.2">
      <c r="A74" s="123"/>
      <c r="B74" s="141" t="s">
        <v>3358</v>
      </c>
      <c r="C74" s="141" t="s">
        <v>3360</v>
      </c>
      <c r="D74" s="141" t="s">
        <v>3361</v>
      </c>
      <c r="E74" s="137" t="s">
        <v>3361</v>
      </c>
      <c r="F74" s="1"/>
      <c r="G74" s="1"/>
      <c r="H74" s="1"/>
      <c r="I74" s="1"/>
    </row>
    <row r="75" spans="1:9" x14ac:dyDescent="0.2">
      <c r="A75" s="123" t="s">
        <v>3234</v>
      </c>
      <c r="B75" s="101">
        <f ca="1">SUM(D57:F59)/B55</f>
        <v>0.24483890316891743</v>
      </c>
      <c r="C75" s="101">
        <f ca="1">SUM(D57:F59)/B39</f>
        <v>0.10161390262579766</v>
      </c>
      <c r="D75" s="101">
        <f ca="1">SUM(D42:F44)/B33</f>
        <v>0.78051825551480503</v>
      </c>
      <c r="E75" s="150">
        <f ca="1">SUM(D42:F44)/B39</f>
        <v>0.23933870995119527</v>
      </c>
    </row>
    <row r="76" spans="1:9" x14ac:dyDescent="0.2">
      <c r="A76" s="123" t="s">
        <v>3235</v>
      </c>
      <c r="B76" s="101">
        <f ca="1">SUM(F60:AJ60)/B55</f>
        <v>0.37847341083740987</v>
      </c>
      <c r="C76" s="141">
        <f ca="1">SUM(F60:AJ60)/B39</f>
        <v>0.15707536595503088</v>
      </c>
      <c r="D76" s="141">
        <f ca="1">SUM(D45:AJ45)/B33</f>
        <v>1.0155192267630482</v>
      </c>
      <c r="E76" s="137">
        <f ca="1">SUM(D45:AJ45)/B39</f>
        <v>0.3113995860401666</v>
      </c>
    </row>
    <row r="77" spans="1:9" x14ac:dyDescent="0.2">
      <c r="A77" s="123" t="s">
        <v>3236</v>
      </c>
      <c r="B77" s="141"/>
      <c r="D77" s="141">
        <f ca="1">-SUM(D46:AJ46)/B33</f>
        <v>-2.7665635395988538E-2</v>
      </c>
      <c r="E77" s="137">
        <f ca="1">-SUM(D46:AJ46)/B39</f>
        <v>-8.4834114242321196E-3</v>
      </c>
    </row>
    <row r="78" spans="1:9" x14ac:dyDescent="0.2">
      <c r="A78" s="123" t="s">
        <v>513</v>
      </c>
      <c r="B78" s="101">
        <f ca="1">SUM(B75:B77)</f>
        <v>0.62331231400632725</v>
      </c>
      <c r="C78" s="101">
        <f ca="1">SUM(C75:C77)</f>
        <v>0.25868926858082852</v>
      </c>
      <c r="D78" s="101">
        <f ca="1">SUM(D75:D77)</f>
        <v>1.7683718468818648</v>
      </c>
      <c r="E78" s="150">
        <f ca="1">SUM(E75:E77)</f>
        <v>0.54225488456712967</v>
      </c>
    </row>
    <row r="79" spans="1:9" ht="16" thickBot="1" x14ac:dyDescent="0.25">
      <c r="A79" s="152"/>
      <c r="B79" s="69"/>
      <c r="C79" s="69"/>
      <c r="D79" s="1147"/>
      <c r="E79" s="346"/>
    </row>
    <row r="80" spans="1:9" ht="16" thickBot="1" x14ac:dyDescent="0.25"/>
    <row r="81" spans="1:9" ht="16" thickBot="1" x14ac:dyDescent="0.25">
      <c r="B81" s="1493" t="s">
        <v>3592</v>
      </c>
      <c r="C81" s="1494"/>
      <c r="D81" s="1494"/>
      <c r="E81" s="1494"/>
      <c r="F81" s="1493" t="s">
        <v>3593</v>
      </c>
      <c r="G81" s="1494"/>
      <c r="H81" s="1494"/>
      <c r="I81" s="1495"/>
    </row>
    <row r="82" spans="1:9" ht="16" thickBot="1" x14ac:dyDescent="0.25">
      <c r="A82" s="1292"/>
      <c r="B82" s="1911" t="s">
        <v>386</v>
      </c>
      <c r="C82" s="1912"/>
      <c r="D82" s="1911" t="s">
        <v>3590</v>
      </c>
      <c r="E82" s="1912"/>
      <c r="F82" s="1911" t="s">
        <v>386</v>
      </c>
      <c r="G82" s="1912"/>
      <c r="H82" s="1911" t="s">
        <v>3590</v>
      </c>
      <c r="I82" s="1913"/>
    </row>
    <row r="83" spans="1:9" x14ac:dyDescent="0.2">
      <c r="A83" s="194"/>
      <c r="B83" s="194" t="s">
        <v>3358</v>
      </c>
      <c r="C83" s="141" t="s">
        <v>3359</v>
      </c>
      <c r="D83" s="141" t="s">
        <v>3360</v>
      </c>
      <c r="E83" s="141" t="s">
        <v>3361</v>
      </c>
      <c r="F83" s="194" t="s">
        <v>3358</v>
      </c>
      <c r="G83" s="141" t="s">
        <v>3361</v>
      </c>
      <c r="H83" s="141" t="s">
        <v>3360</v>
      </c>
      <c r="I83" s="137" t="s">
        <v>3361</v>
      </c>
    </row>
    <row r="84" spans="1:9" x14ac:dyDescent="0.2">
      <c r="A84" s="194" t="s">
        <v>3234</v>
      </c>
      <c r="B84" s="194">
        <v>0.2095750329088733</v>
      </c>
      <c r="C84" s="141">
        <v>0.63976759080067402</v>
      </c>
      <c r="D84" s="141">
        <v>8.7128718296374613E-2</v>
      </c>
      <c r="E84" s="141">
        <v>0.19382100636231284</v>
      </c>
      <c r="F84" s="194">
        <v>0.1935409639223821</v>
      </c>
      <c r="G84" s="101">
        <v>3.4091098023842941</v>
      </c>
      <c r="H84" s="141">
        <v>8.054287352948096E-2</v>
      </c>
      <c r="I84" s="137">
        <v>1.0255147215092784</v>
      </c>
    </row>
    <row r="85" spans="1:9" x14ac:dyDescent="0.2">
      <c r="A85" s="194" t="s">
        <v>3235</v>
      </c>
      <c r="B85" s="194">
        <v>0.25485856450746741</v>
      </c>
      <c r="C85" s="141">
        <v>0.61127366093619617</v>
      </c>
      <c r="D85" s="141">
        <v>0.10595489245154914</v>
      </c>
      <c r="E85" s="141">
        <v>0.18518861822486665</v>
      </c>
      <c r="F85" s="194">
        <v>0.21250768293242742</v>
      </c>
      <c r="G85" s="141">
        <v>1.6524069966106254</v>
      </c>
      <c r="H85" s="141">
        <v>8.8435952180819746E-2</v>
      </c>
      <c r="I85" s="137">
        <v>0.49707043749777913</v>
      </c>
    </row>
    <row r="86" spans="1:9" x14ac:dyDescent="0.2">
      <c r="A86" s="194" t="s">
        <v>3236</v>
      </c>
      <c r="B86" s="194"/>
      <c r="C86" s="141">
        <v>-2.7665630378266862E-2</v>
      </c>
      <c r="D86" s="141"/>
      <c r="E86" s="141">
        <v>-8.3814503870892343E-3</v>
      </c>
      <c r="F86" s="194"/>
      <c r="G86" s="141">
        <v>-2.7665627482114711E-2</v>
      </c>
      <c r="H86" s="141"/>
      <c r="I86" s="137">
        <v>-8.3222629681383633E-3</v>
      </c>
    </row>
    <row r="87" spans="1:9" x14ac:dyDescent="0.2">
      <c r="A87" s="194" t="s">
        <v>513</v>
      </c>
      <c r="B87" s="194">
        <v>0.46443359741634072</v>
      </c>
      <c r="C87" s="141">
        <v>1.2233756213586033</v>
      </c>
      <c r="D87" s="141">
        <v>0.19308361074792374</v>
      </c>
      <c r="E87" s="141">
        <v>0.3706281742000902</v>
      </c>
      <c r="F87" s="194">
        <v>0.40604864685480951</v>
      </c>
      <c r="G87" s="141">
        <v>-0.36814404720836402</v>
      </c>
      <c r="H87" s="141">
        <v>0.16897882571030071</v>
      </c>
      <c r="I87" s="137">
        <v>-0.11074361400273025</v>
      </c>
    </row>
    <row r="88" spans="1:9" ht="16" thickBot="1" x14ac:dyDescent="0.25">
      <c r="A88" s="194"/>
      <c r="B88" s="195"/>
      <c r="C88" s="196"/>
      <c r="D88" s="196"/>
      <c r="E88" s="196"/>
      <c r="F88" s="194"/>
      <c r="G88" s="101"/>
      <c r="H88" s="141"/>
      <c r="I88" s="137"/>
    </row>
    <row r="89" spans="1:9" x14ac:dyDescent="0.2">
      <c r="A89" s="194" t="s">
        <v>3354</v>
      </c>
      <c r="F89" s="194">
        <v>0</v>
      </c>
      <c r="G89" s="101">
        <v>-5.4019952187211553</v>
      </c>
      <c r="H89" s="141">
        <v>0</v>
      </c>
      <c r="I89" s="137">
        <v>-1.6250065100416506</v>
      </c>
    </row>
    <row r="90" spans="1:9" ht="16" thickBot="1" x14ac:dyDescent="0.25">
      <c r="A90" s="152"/>
      <c r="B90" s="69"/>
      <c r="C90" s="69"/>
      <c r="D90" s="69"/>
      <c r="E90" s="69"/>
      <c r="F90" s="152"/>
      <c r="G90" s="69"/>
      <c r="H90" s="69"/>
      <c r="I90" s="193"/>
    </row>
    <row r="91" spans="1:9" x14ac:dyDescent="0.2">
      <c r="E91" s="1"/>
    </row>
    <row r="92" spans="1:9" x14ac:dyDescent="0.2">
      <c r="E92" s="1"/>
      <c r="H92" s="1"/>
    </row>
    <row r="93" spans="1:9" x14ac:dyDescent="0.2">
      <c r="E93" s="1"/>
      <c r="H93" s="1"/>
    </row>
    <row r="94" spans="1:9" x14ac:dyDescent="0.2">
      <c r="E94" s="1"/>
      <c r="H94" s="1"/>
    </row>
    <row r="95" spans="1:9" x14ac:dyDescent="0.2">
      <c r="H95" s="1"/>
    </row>
    <row r="96" spans="1:9" x14ac:dyDescent="0.2">
      <c r="H96" s="1"/>
    </row>
    <row r="97" spans="1:9" x14ac:dyDescent="0.2">
      <c r="H97" s="1"/>
    </row>
    <row r="104" spans="1:9" x14ac:dyDescent="0.2">
      <c r="A104" s="1"/>
      <c r="B104" s="1"/>
      <c r="C104" s="1"/>
      <c r="D104" s="1"/>
      <c r="E104" s="1"/>
      <c r="F104" s="1"/>
      <c r="G104" s="1"/>
      <c r="H104" s="1"/>
      <c r="I104" s="1"/>
    </row>
    <row r="105" spans="1:9" x14ac:dyDescent="0.2">
      <c r="A105" s="1"/>
      <c r="B105" s="1"/>
      <c r="C105" s="1"/>
      <c r="D105" s="1"/>
      <c r="E105" s="1"/>
      <c r="F105" s="1"/>
      <c r="G105" s="1"/>
      <c r="H105" s="1"/>
      <c r="I105" s="1"/>
    </row>
    <row r="106" spans="1:9" x14ac:dyDescent="0.2">
      <c r="A106" s="1"/>
      <c r="B106" s="1"/>
      <c r="C106" s="1"/>
      <c r="D106" s="1"/>
      <c r="E106" s="1"/>
      <c r="F106" s="1"/>
      <c r="G106" s="1"/>
      <c r="H106" s="1"/>
      <c r="I106" s="1"/>
    </row>
    <row r="107" spans="1:9" x14ac:dyDescent="0.2">
      <c r="A107" s="1"/>
      <c r="B107" s="1"/>
      <c r="C107" s="1"/>
      <c r="D107" s="1"/>
      <c r="E107" s="1"/>
      <c r="F107" s="1"/>
      <c r="G107" s="1"/>
      <c r="H107" s="1"/>
      <c r="I107" s="1"/>
    </row>
    <row r="108" spans="1:9" x14ac:dyDescent="0.2">
      <c r="A108" s="1"/>
      <c r="B108" s="1"/>
      <c r="C108" s="1"/>
      <c r="D108" s="1"/>
      <c r="E108" s="1"/>
      <c r="F108" s="1"/>
      <c r="G108" s="1"/>
      <c r="H108" s="1"/>
      <c r="I108" s="1"/>
    </row>
    <row r="109" spans="1:9" x14ac:dyDescent="0.2">
      <c r="A109" s="1"/>
      <c r="B109" s="1"/>
      <c r="C109" s="1"/>
      <c r="D109" s="1"/>
      <c r="E109" s="1"/>
      <c r="F109" s="1"/>
      <c r="G109" s="1"/>
      <c r="H109" s="1"/>
      <c r="I109" s="1"/>
    </row>
    <row r="110" spans="1:9" x14ac:dyDescent="0.2">
      <c r="A110" s="1"/>
      <c r="B110" s="1"/>
      <c r="C110" s="1"/>
      <c r="D110" s="1"/>
      <c r="E110" s="1"/>
      <c r="F110" s="1"/>
      <c r="G110" s="1"/>
      <c r="H110" s="1"/>
      <c r="I110" s="1"/>
    </row>
  </sheetData>
  <mergeCells count="8">
    <mergeCell ref="A1:O2"/>
    <mergeCell ref="F72:I72"/>
    <mergeCell ref="B82:C82"/>
    <mergeCell ref="D82:E82"/>
    <mergeCell ref="F82:G82"/>
    <mergeCell ref="H82:I82"/>
    <mergeCell ref="B81:E81"/>
    <mergeCell ref="F81:I81"/>
  </mergeCells>
  <pageMargins left="0.7" right="0.7" top="0.75" bottom="0.75" header="0.3" footer="0.3"/>
  <pageSetup orientation="portrait" horizontalDpi="0" verticalDpi="0"/>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6B804-7B17-4AF3-99FA-53DF7B1392EC}">
  <sheetPr codeName="Sheet15"/>
  <dimension ref="A1:AJ86"/>
  <sheetViews>
    <sheetView zoomScale="90" zoomScaleNormal="90" workbookViewId="0">
      <selection activeCell="N15" sqref="N15"/>
    </sheetView>
  </sheetViews>
  <sheetFormatPr baseColWidth="10" defaultColWidth="8.83203125" defaultRowHeight="15" x14ac:dyDescent="0.2"/>
  <cols>
    <col min="1" max="1" width="46.5" customWidth="1"/>
    <col min="2" max="2" width="21.5" customWidth="1"/>
    <col min="3" max="3" width="16.1640625" customWidth="1"/>
    <col min="4" max="4" width="15.5" customWidth="1"/>
    <col min="5" max="6" width="17.5" bestFit="1" customWidth="1"/>
    <col min="7" max="36" width="20.5" customWidth="1"/>
  </cols>
  <sheetData>
    <row r="1" spans="1:15" x14ac:dyDescent="0.2">
      <c r="A1" s="2057" t="s">
        <v>3614</v>
      </c>
      <c r="B1" s="2057"/>
      <c r="C1" s="2057"/>
      <c r="D1" s="2057"/>
      <c r="E1" s="2057"/>
      <c r="F1" s="2057"/>
      <c r="G1" s="2057"/>
      <c r="H1" s="2057"/>
      <c r="I1" s="2057"/>
      <c r="J1" s="2057"/>
      <c r="K1" s="2057"/>
      <c r="L1" s="2057"/>
      <c r="M1" s="2057"/>
      <c r="N1" s="2057"/>
      <c r="O1" s="2057"/>
    </row>
    <row r="2" spans="1:15" ht="25" customHeight="1" x14ac:dyDescent="0.2">
      <c r="A2" s="2057"/>
      <c r="B2" s="2057"/>
      <c r="C2" s="2057"/>
      <c r="D2" s="2057"/>
      <c r="E2" s="2057"/>
      <c r="F2" s="2057"/>
      <c r="G2" s="2057"/>
      <c r="H2" s="2057"/>
      <c r="I2" s="2057"/>
      <c r="J2" s="2057"/>
      <c r="K2" s="2057"/>
      <c r="L2" s="2057"/>
      <c r="M2" s="2057"/>
      <c r="N2" s="2057"/>
      <c r="O2" s="2057"/>
    </row>
    <row r="3" spans="1:15" ht="22" x14ac:dyDescent="0.3">
      <c r="A3" s="2110" t="s">
        <v>3206</v>
      </c>
      <c r="B3" s="9"/>
    </row>
    <row r="4" spans="1:15" x14ac:dyDescent="0.2">
      <c r="A4" s="339" t="s">
        <v>1770</v>
      </c>
      <c r="B4" s="127">
        <f ca="1">Units!C264/Units!C558*ExpBase!E1156/100</f>
        <v>8.5343368913205521E-3</v>
      </c>
    </row>
    <row r="5" spans="1:15" x14ac:dyDescent="0.2">
      <c r="A5" s="714" t="s">
        <v>1771</v>
      </c>
      <c r="B5" s="127">
        <f ca="1">Units!C265/Units!C559*ExpBase!E1157/100</f>
        <v>0.30259052636905587</v>
      </c>
    </row>
    <row r="6" spans="1:15" x14ac:dyDescent="0.2">
      <c r="A6" s="714" t="s">
        <v>1772</v>
      </c>
      <c r="B6" s="127">
        <f ca="1">Units!C266/Units!C560*ExpBase!E1158/100</f>
        <v>3.501893845564207</v>
      </c>
    </row>
    <row r="7" spans="1:15" x14ac:dyDescent="0.2">
      <c r="A7" s="714" t="s">
        <v>1773</v>
      </c>
      <c r="B7" s="127">
        <f ca="1">Units!C267/Units!C561*ExpBase!E1159/100</f>
        <v>16.519655401094493</v>
      </c>
    </row>
    <row r="8" spans="1:15" x14ac:dyDescent="0.2">
      <c r="A8" s="714" t="s">
        <v>1774</v>
      </c>
      <c r="B8" s="127">
        <f ca="1">Units!C268/Units!C562*ExpBase!E1160/100</f>
        <v>0.94171126585624365</v>
      </c>
    </row>
    <row r="9" spans="1:15" x14ac:dyDescent="0.2">
      <c r="A9" s="714" t="s">
        <v>1775</v>
      </c>
      <c r="B9" s="127">
        <f ca="1">Units!C269/Units!C563*ExpBase!E1161/100</f>
        <v>2.3090539177528928</v>
      </c>
    </row>
    <row r="10" spans="1:15" x14ac:dyDescent="0.2">
      <c r="A10" s="714" t="s">
        <v>1776</v>
      </c>
      <c r="B10" s="127">
        <f ca="1">Units!C270/Units!C564*ExpBase!E1162/100</f>
        <v>3.8632995196361843</v>
      </c>
    </row>
    <row r="11" spans="1:15" x14ac:dyDescent="0.2">
      <c r="A11" s="714" t="s">
        <v>1777</v>
      </c>
      <c r="B11" s="127">
        <f ca="1">Units!C271/Units!C565*ExpBase!E1163/100</f>
        <v>4.4035704400680373</v>
      </c>
    </row>
    <row r="12" spans="1:15" x14ac:dyDescent="0.2">
      <c r="A12" s="714" t="s">
        <v>1778</v>
      </c>
      <c r="B12" s="127">
        <f ca="1">Units!C272/Units!C566*ExpBase!E1164/100</f>
        <v>8.2520340847591829</v>
      </c>
    </row>
    <row r="13" spans="1:15" x14ac:dyDescent="0.2">
      <c r="A13" s="714" t="s">
        <v>1779</v>
      </c>
      <c r="B13" s="127">
        <f ca="1">Units!C273/Units!C567*ExpBase!E1165/100</f>
        <v>0.48670085745040126</v>
      </c>
    </row>
    <row r="14" spans="1:15" x14ac:dyDescent="0.2">
      <c r="A14" s="714" t="s">
        <v>1780</v>
      </c>
      <c r="B14" s="127">
        <f ca="1">Units!C274/Units!C568*ExpBase!E1166/100</f>
        <v>4.3739752915870249E-3</v>
      </c>
    </row>
    <row r="15" spans="1:15" x14ac:dyDescent="0.2">
      <c r="A15" s="714" t="s">
        <v>1781</v>
      </c>
      <c r="B15" s="127">
        <f ca="1">Units!C275/Units!C569*ExpBase!E1167/100</f>
        <v>0</v>
      </c>
    </row>
    <row r="16" spans="1:15" x14ac:dyDescent="0.2">
      <c r="A16" s="714" t="s">
        <v>1782</v>
      </c>
      <c r="B16" s="127">
        <f ca="1">Units!C276/Units!C570*ExpBase!E1168/100</f>
        <v>2.1220844753971585E-3</v>
      </c>
    </row>
    <row r="17" spans="1:36" x14ac:dyDescent="0.2">
      <c r="A17" s="714" t="s">
        <v>1783</v>
      </c>
      <c r="B17" s="127">
        <f ca="1">Units!C277/Units!C571*ExpBase!E1169/100</f>
        <v>3.5765236967252589E-2</v>
      </c>
    </row>
    <row r="18" spans="1:36" x14ac:dyDescent="0.2">
      <c r="A18" s="714" t="s">
        <v>1784</v>
      </c>
      <c r="B18" s="127">
        <f ca="1">Units!C278/Units!C572*ExpBase!E1170/100</f>
        <v>0.1018903671913696</v>
      </c>
    </row>
    <row r="19" spans="1:36" x14ac:dyDescent="0.2">
      <c r="A19" s="714" t="s">
        <v>1785</v>
      </c>
      <c r="B19" s="127">
        <f ca="1">Units!C279/Units!C573*ExpBase!E1171/100</f>
        <v>0.16310984122081165</v>
      </c>
    </row>
    <row r="20" spans="1:36" x14ac:dyDescent="0.2">
      <c r="A20" s="714" t="s">
        <v>1786</v>
      </c>
      <c r="B20" s="127">
        <f ca="1">Units!C280/Units!C574*ExpBase!E1172/100</f>
        <v>0.34149502566932732</v>
      </c>
    </row>
    <row r="21" spans="1:36" x14ac:dyDescent="0.2">
      <c r="A21" s="340" t="s">
        <v>1787</v>
      </c>
      <c r="B21" s="127">
        <f ca="1">Units!C281/Units!C575*ExpBase!E1173/100</f>
        <v>1.8392379619234248E-2</v>
      </c>
    </row>
    <row r="22" spans="1:36" x14ac:dyDescent="0.2">
      <c r="A22" s="1031" t="s">
        <v>577</v>
      </c>
      <c r="B22" s="27">
        <f ca="1">SUM(B4:B21)*1000000</f>
        <v>41256193.10587699</v>
      </c>
      <c r="C22" s="27" t="s">
        <v>3211</v>
      </c>
      <c r="D22" s="98">
        <f ca="1">B22/1000000</f>
        <v>41.256193105876989</v>
      </c>
      <c r="E22" s="9" t="s">
        <v>3281</v>
      </c>
    </row>
    <row r="23" spans="1:36" x14ac:dyDescent="0.2">
      <c r="B23" s="98">
        <f ca="1">B22*A_DCFROR!D31/(365*24*3600)</f>
        <v>8039872.4745435165</v>
      </c>
      <c r="C23" s="9" t="s">
        <v>3280</v>
      </c>
      <c r="G23" s="100"/>
    </row>
    <row r="24" spans="1:36" x14ac:dyDescent="0.2">
      <c r="B24" s="1290">
        <f ca="1">B23*Inputs!F3*1/1000</f>
        <v>64318979.796348132</v>
      </c>
      <c r="C24" s="9" t="s">
        <v>40</v>
      </c>
    </row>
    <row r="26" spans="1:36" s="988" customFormat="1" x14ac:dyDescent="0.2">
      <c r="A26" s="1032" t="s">
        <v>519</v>
      </c>
      <c r="D26" s="988">
        <v>-2</v>
      </c>
      <c r="E26" s="988">
        <v>-1</v>
      </c>
      <c r="F26" s="988">
        <v>0</v>
      </c>
      <c r="G26" s="988">
        <v>1</v>
      </c>
      <c r="H26" s="988">
        <v>2</v>
      </c>
      <c r="I26" s="988">
        <v>3</v>
      </c>
      <c r="J26" s="988">
        <v>4</v>
      </c>
      <c r="K26" s="988">
        <v>5</v>
      </c>
      <c r="L26" s="988">
        <v>6</v>
      </c>
      <c r="M26" s="988">
        <v>7</v>
      </c>
      <c r="N26" s="988">
        <v>8</v>
      </c>
      <c r="O26" s="988">
        <v>9</v>
      </c>
      <c r="P26" s="988">
        <v>10</v>
      </c>
      <c r="Q26" s="988">
        <v>11</v>
      </c>
      <c r="R26" s="988">
        <v>12</v>
      </c>
      <c r="S26" s="988">
        <v>13</v>
      </c>
      <c r="T26" s="988">
        <v>14</v>
      </c>
      <c r="U26" s="988">
        <v>15</v>
      </c>
      <c r="V26" s="988">
        <v>16</v>
      </c>
      <c r="W26" s="988">
        <v>17</v>
      </c>
      <c r="X26" s="988">
        <v>18</v>
      </c>
      <c r="Y26" s="988">
        <v>19</v>
      </c>
      <c r="Z26" s="988">
        <v>20</v>
      </c>
      <c r="AA26" s="988">
        <v>21</v>
      </c>
      <c r="AB26" s="988">
        <v>22</v>
      </c>
      <c r="AC26" s="988">
        <v>23</v>
      </c>
      <c r="AD26" s="988">
        <v>24</v>
      </c>
      <c r="AE26" s="988">
        <v>25</v>
      </c>
      <c r="AF26" s="988">
        <v>26</v>
      </c>
      <c r="AG26" s="988">
        <v>27</v>
      </c>
      <c r="AH26" s="988">
        <v>28</v>
      </c>
      <c r="AI26" s="988">
        <v>29</v>
      </c>
      <c r="AJ26" s="1033">
        <v>30</v>
      </c>
    </row>
    <row r="27" spans="1:36" s="6" customFormat="1" x14ac:dyDescent="0.2"/>
    <row r="28" spans="1:36" s="1036" customFormat="1" x14ac:dyDescent="0.2">
      <c r="A28" s="1035" t="s">
        <v>3003</v>
      </c>
      <c r="B28" s="1035"/>
      <c r="C28" s="1035"/>
      <c r="D28" s="1035">
        <f>1/(1+AB_DCFROR!$D$38)^D26</f>
        <v>1.2100000000000002</v>
      </c>
      <c r="E28" s="1035">
        <f>1/(1+AB_DCFROR!$D$38)^E26</f>
        <v>1.1000000000000001</v>
      </c>
      <c r="F28" s="1035">
        <f>1/(1+AB_DCFROR!$D$38)^F26</f>
        <v>1</v>
      </c>
      <c r="G28" s="1035">
        <f>1/(1+AB_DCFROR!$D$38)^G26</f>
        <v>0.90909090909090906</v>
      </c>
      <c r="H28" s="1035">
        <f>1/(1+AB_DCFROR!$D$38)^H26</f>
        <v>0.82644628099173545</v>
      </c>
      <c r="I28" s="1035">
        <f>1/(1+AB_DCFROR!$D$38)^I26</f>
        <v>0.75131480090157754</v>
      </c>
      <c r="J28" s="1035">
        <f>1/(1+AB_DCFROR!$D$38)^J26</f>
        <v>0.68301345536507052</v>
      </c>
      <c r="K28" s="1035">
        <f>1/(1+AB_DCFROR!$D$38)^K26</f>
        <v>0.62092132305915493</v>
      </c>
      <c r="L28" s="1035">
        <f>1/(1+AB_DCFROR!$D$38)^L26</f>
        <v>0.56447393005377722</v>
      </c>
      <c r="M28" s="1035">
        <f>1/(1+AB_DCFROR!$D$38)^M26</f>
        <v>0.51315811823070645</v>
      </c>
      <c r="N28" s="1035">
        <f>1/(1+AB_DCFROR!$D$38)^N26</f>
        <v>0.46650738020973315</v>
      </c>
      <c r="O28" s="1035">
        <f>1/(1+AB_DCFROR!$D$38)^O26</f>
        <v>0.42409761837248466</v>
      </c>
      <c r="P28" s="1035">
        <f>1/(1+AB_DCFROR!$D$38)^P26</f>
        <v>0.38554328942953148</v>
      </c>
      <c r="Q28" s="1035">
        <f>1/(1+AB_DCFROR!$D$38)^Q26</f>
        <v>0.3504938994813922</v>
      </c>
      <c r="R28" s="1035">
        <f>1/(1+AB_DCFROR!$D$38)^R26</f>
        <v>0.31863081771035656</v>
      </c>
      <c r="S28" s="1035">
        <f>1/(1+AB_DCFROR!$D$38)^S26</f>
        <v>0.28966437973668779</v>
      </c>
      <c r="T28" s="1035">
        <f>1/(1+AB_DCFROR!$D$38)^T26</f>
        <v>0.26333125430607973</v>
      </c>
      <c r="U28" s="1035">
        <f>1/(1+AB_DCFROR!$D$38)^U26</f>
        <v>0.23939204936916339</v>
      </c>
      <c r="V28" s="1035">
        <f>1/(1+AB_DCFROR!$D$38)^V26</f>
        <v>0.21762913579014853</v>
      </c>
      <c r="W28" s="1035">
        <f>1/(1+AB_DCFROR!$D$38)^W26</f>
        <v>0.19784466890013502</v>
      </c>
      <c r="X28" s="1035">
        <f>1/(1+AB_DCFROR!$D$38)^X26</f>
        <v>0.17985878990921364</v>
      </c>
      <c r="Y28" s="1035">
        <f>1/(1+AB_DCFROR!$D$38)^Y26</f>
        <v>0.16350799082655781</v>
      </c>
      <c r="Z28" s="1035">
        <f>1/(1+AB_DCFROR!$D$38)^Z26</f>
        <v>0.14864362802414349</v>
      </c>
      <c r="AA28" s="1035">
        <f>1/(1+AB_DCFROR!$D$38)^AA26</f>
        <v>0.13513057093103953</v>
      </c>
      <c r="AB28" s="1035">
        <f>1/(1+AB_DCFROR!$D$38)^AB26</f>
        <v>0.12284597357367227</v>
      </c>
      <c r="AC28" s="1035">
        <f>1/(1+AB_DCFROR!$D$38)^AC26</f>
        <v>0.11167815779424752</v>
      </c>
      <c r="AD28" s="1035">
        <f>1/(1+AB_DCFROR!$D$38)^AD26</f>
        <v>0.10152559799477048</v>
      </c>
      <c r="AE28" s="1035">
        <f>1/(1+AB_DCFROR!$D$38)^AE26</f>
        <v>9.2295998177064048E-2</v>
      </c>
      <c r="AF28" s="1035">
        <f>1/(1+AB_DCFROR!$D$38)^AF26</f>
        <v>8.3905452888240042E-2</v>
      </c>
      <c r="AG28" s="1035">
        <f>1/(1+AB_DCFROR!$D$38)^AG26</f>
        <v>7.6277684443854576E-2</v>
      </c>
      <c r="AH28" s="1035">
        <f>1/(1+AB_DCFROR!$D$38)^AH26</f>
        <v>6.9343349494413245E-2</v>
      </c>
      <c r="AI28" s="1035">
        <f>1/(1+AB_DCFROR!$D$38)^AI26</f>
        <v>6.3039408631284766E-2</v>
      </c>
      <c r="AJ28" s="1035">
        <f>1/(1+AB_DCFROR!$D$38)^AJ26</f>
        <v>5.7308553301167964E-2</v>
      </c>
    </row>
    <row r="29" spans="1:36" s="6" customFormat="1" x14ac:dyDescent="0.2">
      <c r="A29" s="1037"/>
      <c r="B29" s="1037"/>
      <c r="C29" s="1037"/>
      <c r="D29" s="1037"/>
      <c r="E29" s="1037"/>
      <c r="F29" s="1037"/>
      <c r="G29" s="1037"/>
      <c r="H29" s="1037"/>
      <c r="I29" s="1037"/>
      <c r="J29" s="1037"/>
      <c r="K29" s="1037"/>
      <c r="L29" s="1037"/>
      <c r="M29" s="1037"/>
      <c r="N29" s="1037"/>
      <c r="O29" s="1037"/>
      <c r="P29" s="1037"/>
      <c r="Q29" s="1037"/>
      <c r="R29" s="1037"/>
      <c r="S29" s="1037"/>
      <c r="T29" s="1037"/>
      <c r="U29" s="1037"/>
      <c r="V29" s="1037"/>
      <c r="W29" s="1037"/>
      <c r="X29" s="1037"/>
      <c r="Y29" s="1037"/>
      <c r="Z29" s="1037"/>
      <c r="AA29" s="1037"/>
      <c r="AB29" s="1037"/>
      <c r="AC29" s="1037"/>
      <c r="AD29" s="1037"/>
      <c r="AE29" s="1037"/>
      <c r="AF29" s="1037"/>
      <c r="AG29" s="1037"/>
      <c r="AH29" s="1037"/>
      <c r="AI29" s="1037"/>
      <c r="AJ29" s="1037"/>
    </row>
    <row r="30" spans="1:36" x14ac:dyDescent="0.2">
      <c r="A30" s="1039" t="s">
        <v>3222</v>
      </c>
      <c r="B30" s="243"/>
      <c r="C30" s="243"/>
      <c r="D30" s="243"/>
      <c r="E30" s="243"/>
      <c r="F30" s="243"/>
      <c r="G30" s="243"/>
      <c r="H30" s="243"/>
      <c r="I30" s="243"/>
      <c r="J30" s="243"/>
      <c r="K30" s="243"/>
      <c r="L30" s="243"/>
      <c r="M30" s="243"/>
      <c r="N30" s="243"/>
      <c r="O30" s="243"/>
      <c r="P30" s="243"/>
      <c r="Q30" s="243"/>
      <c r="R30" s="243"/>
      <c r="S30" s="243"/>
      <c r="T30" s="243"/>
      <c r="U30" s="243"/>
      <c r="V30" s="243"/>
      <c r="W30" s="243"/>
      <c r="X30" s="243"/>
      <c r="Y30" s="243"/>
      <c r="Z30" s="243"/>
      <c r="AA30" s="243"/>
      <c r="AB30" s="243"/>
      <c r="AC30" s="243"/>
      <c r="AD30" s="243"/>
      <c r="AE30" s="243"/>
      <c r="AF30" s="243"/>
      <c r="AG30" s="243"/>
      <c r="AH30" s="243"/>
      <c r="AI30" s="243"/>
      <c r="AJ30" s="243"/>
    </row>
    <row r="31" spans="1:36" x14ac:dyDescent="0.2">
      <c r="A31" t="s">
        <v>3221</v>
      </c>
      <c r="D31">
        <v>0</v>
      </c>
      <c r="E31">
        <v>0</v>
      </c>
      <c r="F31">
        <v>0</v>
      </c>
      <c r="G31" s="33">
        <f ca="1">(H31)*(1-AB_DCFROR!D26)+(J31*AB_DCFROR!D26*AB_DCFROR!D27)</f>
        <v>52821962.157750905</v>
      </c>
      <c r="H31" s="33">
        <f ca="1">$B$22*A_DCFROR!$D$31/3600000</f>
        <v>70429282.877001211</v>
      </c>
      <c r="I31" s="33">
        <f ca="1">$B$22*A_DCFROR!$D$31/3600000</f>
        <v>70429282.877001211</v>
      </c>
      <c r="J31" s="33">
        <f ca="1">$B$22*A_DCFROR!$D$31/3600000</f>
        <v>70429282.877001211</v>
      </c>
      <c r="K31" s="33">
        <f ca="1">$B$22*A_DCFROR!$D$31/3600000</f>
        <v>70429282.877001211</v>
      </c>
      <c r="L31" s="33">
        <f ca="1">$B$22*A_DCFROR!$D$31/3600000</f>
        <v>70429282.877001211</v>
      </c>
      <c r="M31" s="33">
        <f ca="1">$B$22*A_DCFROR!$D$31/3600000</f>
        <v>70429282.877001211</v>
      </c>
      <c r="N31" s="33">
        <f ca="1">$B$22*A_DCFROR!$D$31/3600000</f>
        <v>70429282.877001211</v>
      </c>
      <c r="O31" s="33">
        <f ca="1">$B$22*A_DCFROR!$D$31/3600000</f>
        <v>70429282.877001211</v>
      </c>
      <c r="P31" s="33">
        <f ca="1">$B$22*A_DCFROR!$D$31/3600000</f>
        <v>70429282.877001211</v>
      </c>
      <c r="Q31" s="33">
        <f ca="1">$B$22*A_DCFROR!$D$31/3600000</f>
        <v>70429282.877001211</v>
      </c>
      <c r="R31" s="33">
        <f ca="1">$B$22*A_DCFROR!$D$31/3600000</f>
        <v>70429282.877001211</v>
      </c>
      <c r="S31" s="33">
        <f ca="1">$B$22*A_DCFROR!$D$31/3600000</f>
        <v>70429282.877001211</v>
      </c>
      <c r="T31" s="33">
        <f ca="1">$B$22*A_DCFROR!$D$31/3600000</f>
        <v>70429282.877001211</v>
      </c>
      <c r="U31" s="33">
        <f ca="1">$B$22*A_DCFROR!$D$31/3600000</f>
        <v>70429282.877001211</v>
      </c>
      <c r="V31" s="33">
        <f ca="1">$B$22*A_DCFROR!$D$31/3600000</f>
        <v>70429282.877001211</v>
      </c>
      <c r="W31" s="33">
        <f ca="1">$B$22*A_DCFROR!$D$31/3600000</f>
        <v>70429282.877001211</v>
      </c>
      <c r="X31" s="33">
        <f ca="1">$B$22*A_DCFROR!$D$31/3600000</f>
        <v>70429282.877001211</v>
      </c>
      <c r="Y31" s="33">
        <f ca="1">$B$22*A_DCFROR!$D$31/3600000</f>
        <v>70429282.877001211</v>
      </c>
      <c r="Z31" s="33">
        <f ca="1">$B$22*A_DCFROR!$D$31/3600000</f>
        <v>70429282.877001211</v>
      </c>
      <c r="AA31" s="33">
        <f ca="1">$B$22*A_DCFROR!$D$31/3600000</f>
        <v>70429282.877001211</v>
      </c>
      <c r="AB31" s="33">
        <f ca="1">$B$22*A_DCFROR!$D$31/3600000</f>
        <v>70429282.877001211</v>
      </c>
      <c r="AC31" s="33">
        <f ca="1">$B$22*A_DCFROR!$D$31/3600000</f>
        <v>70429282.877001211</v>
      </c>
      <c r="AD31" s="33">
        <f ca="1">$B$22*A_DCFROR!$D$31/3600000</f>
        <v>70429282.877001211</v>
      </c>
      <c r="AE31" s="33">
        <f ca="1">$B$22*A_DCFROR!$D$31/3600000</f>
        <v>70429282.877001211</v>
      </c>
      <c r="AF31" s="33">
        <f ca="1">$B$22*A_DCFROR!$D$31/3600000</f>
        <v>70429282.877001211</v>
      </c>
      <c r="AG31" s="33">
        <f ca="1">$B$22*A_DCFROR!$D$31/3600000</f>
        <v>70429282.877001211</v>
      </c>
      <c r="AH31" s="33">
        <f ca="1">$B$22*A_DCFROR!$D$31/3600000</f>
        <v>70429282.877001211</v>
      </c>
      <c r="AI31" s="33">
        <f ca="1">$B$22*A_DCFROR!$D$31/3600000</f>
        <v>70429282.877001211</v>
      </c>
      <c r="AJ31" s="33">
        <f ca="1">$B$22*A_DCFROR!$D$31/3600000</f>
        <v>70429282.877001211</v>
      </c>
    </row>
    <row r="32" spans="1:36" s="243" customFormat="1" x14ac:dyDescent="0.2">
      <c r="A32" t="s">
        <v>3212</v>
      </c>
      <c r="B32"/>
      <c r="C32"/>
      <c r="D32">
        <f t="shared" ref="D32:AJ32" si="0">D31*D28</f>
        <v>0</v>
      </c>
      <c r="E32">
        <f t="shared" si="0"/>
        <v>0</v>
      </c>
      <c r="F32">
        <f t="shared" si="0"/>
        <v>0</v>
      </c>
      <c r="G32" s="33">
        <f t="shared" ca="1" si="0"/>
        <v>48019965.597955368</v>
      </c>
      <c r="H32" s="33">
        <f t="shared" ca="1" si="0"/>
        <v>58206018.906612568</v>
      </c>
      <c r="I32" s="33">
        <f t="shared" ca="1" si="0"/>
        <v>52914562.642375052</v>
      </c>
      <c r="J32" s="33">
        <f t="shared" ca="1" si="0"/>
        <v>48104147.856704593</v>
      </c>
      <c r="K32" s="33">
        <f t="shared" ca="1" si="0"/>
        <v>43731043.506095074</v>
      </c>
      <c r="L32" s="33">
        <f t="shared" ca="1" si="0"/>
        <v>39755494.096450068</v>
      </c>
      <c r="M32" s="33">
        <f t="shared" ca="1" si="0"/>
        <v>36141358.269500054</v>
      </c>
      <c r="N32" s="33">
        <f t="shared" ca="1" si="0"/>
        <v>32855780.245000053</v>
      </c>
      <c r="O32" s="33">
        <f t="shared" ca="1" si="0"/>
        <v>29868891.131818227</v>
      </c>
      <c r="P32" s="33">
        <f t="shared" ca="1" si="0"/>
        <v>27153537.392562024</v>
      </c>
      <c r="Q32" s="33">
        <f t="shared" ca="1" si="0"/>
        <v>24685033.9932382</v>
      </c>
      <c r="R32" s="33">
        <f t="shared" ca="1" si="0"/>
        <v>22440939.99385291</v>
      </c>
      <c r="S32" s="33">
        <f t="shared" ca="1" si="0"/>
        <v>20400854.539866284</v>
      </c>
      <c r="T32" s="33">
        <f t="shared" ca="1" si="0"/>
        <v>18546231.399878431</v>
      </c>
      <c r="U32" s="33">
        <f t="shared" ca="1" si="0"/>
        <v>16860210.363525849</v>
      </c>
      <c r="V32" s="33">
        <f t="shared" ca="1" si="0"/>
        <v>15327463.966841679</v>
      </c>
      <c r="W32" s="33">
        <f t="shared" ca="1" si="0"/>
        <v>13934058.151674254</v>
      </c>
      <c r="X32" s="33">
        <f t="shared" ca="1" si="0"/>
        <v>12667325.592431139</v>
      </c>
      <c r="Y32" s="33">
        <f t="shared" ca="1" si="0"/>
        <v>11515750.538573759</v>
      </c>
      <c r="Z32" s="33">
        <f t="shared" ca="1" si="0"/>
        <v>10468864.125976147</v>
      </c>
      <c r="AA32" s="33">
        <f t="shared" ca="1" si="0"/>
        <v>9517149.2054328602</v>
      </c>
      <c r="AB32" s="33">
        <f t="shared" ca="1" si="0"/>
        <v>8651953.8231207803</v>
      </c>
      <c r="AC32" s="33">
        <f t="shared" ca="1" si="0"/>
        <v>7865412.5664734356</v>
      </c>
      <c r="AD32" s="33">
        <f t="shared" ca="1" si="0"/>
        <v>7150375.0604303973</v>
      </c>
      <c r="AE32" s="33">
        <f t="shared" ca="1" si="0"/>
        <v>6500340.964027632</v>
      </c>
      <c r="AF32" s="33">
        <f t="shared" ca="1" si="0"/>
        <v>5909400.8763887566</v>
      </c>
      <c r="AG32" s="33">
        <f t="shared" ca="1" si="0"/>
        <v>5372182.6148988688</v>
      </c>
      <c r="AH32" s="33">
        <f t="shared" ca="1" si="0"/>
        <v>4883802.3771807896</v>
      </c>
      <c r="AI32" s="33">
        <f t="shared" ca="1" si="0"/>
        <v>4439820.3428916261</v>
      </c>
      <c r="AJ32" s="33">
        <f t="shared" ca="1" si="0"/>
        <v>4036200.3117196602</v>
      </c>
    </row>
    <row r="33" spans="1:36" x14ac:dyDescent="0.2">
      <c r="A33" s="221" t="s">
        <v>3213</v>
      </c>
      <c r="B33" s="1039">
        <f ca="1">SUM(D32:AJ32)</f>
        <v>647924170.45349693</v>
      </c>
      <c r="C33" s="221" t="s">
        <v>378</v>
      </c>
    </row>
    <row r="34" spans="1:36" x14ac:dyDescent="0.2">
      <c r="A34" s="6"/>
      <c r="B34" s="6"/>
      <c r="C34" s="6"/>
    </row>
    <row r="35" spans="1:36" x14ac:dyDescent="0.2">
      <c r="A35" s="223" t="s">
        <v>3343</v>
      </c>
    </row>
    <row r="36" spans="1:36" x14ac:dyDescent="0.2">
      <c r="A36" t="s">
        <v>3344</v>
      </c>
      <c r="G36" s="33">
        <f ca="1">A_DCFROR!$D$33</f>
        <v>224142769.69001999</v>
      </c>
      <c r="H36" s="33">
        <f ca="1">A_DCFROR!$D$33</f>
        <v>224142769.69001999</v>
      </c>
      <c r="I36" s="33">
        <f ca="1">A_DCFROR!$D$33</f>
        <v>224142769.69001999</v>
      </c>
      <c r="J36" s="33">
        <f ca="1">A_DCFROR!$D$33</f>
        <v>224142769.69001999</v>
      </c>
      <c r="K36" s="33">
        <f ca="1">A_DCFROR!$D$33</f>
        <v>224142769.69001999</v>
      </c>
      <c r="L36" s="33">
        <f ca="1">A_DCFROR!$D$33</f>
        <v>224142769.69001999</v>
      </c>
      <c r="M36" s="33">
        <f ca="1">A_DCFROR!$D$33</f>
        <v>224142769.69001999</v>
      </c>
      <c r="N36" s="33">
        <f ca="1">A_DCFROR!$D$33</f>
        <v>224142769.69001999</v>
      </c>
      <c r="O36" s="33">
        <f ca="1">A_DCFROR!$D$33</f>
        <v>224142769.69001999</v>
      </c>
      <c r="P36" s="33">
        <f ca="1">A_DCFROR!$D$33</f>
        <v>224142769.69001999</v>
      </c>
      <c r="Q36" s="33">
        <f ca="1">A_DCFROR!$D$33</f>
        <v>224142769.69001999</v>
      </c>
      <c r="R36" s="33">
        <f ca="1">A_DCFROR!$D$33</f>
        <v>224142769.69001999</v>
      </c>
      <c r="S36" s="33">
        <f ca="1">A_DCFROR!$D$33</f>
        <v>224142769.69001999</v>
      </c>
      <c r="T36" s="33">
        <f ca="1">A_DCFROR!$D$33</f>
        <v>224142769.69001999</v>
      </c>
      <c r="U36" s="33">
        <f ca="1">A_DCFROR!$D$33</f>
        <v>224142769.69001999</v>
      </c>
      <c r="V36" s="33">
        <f ca="1">A_DCFROR!$D$33</f>
        <v>224142769.69001999</v>
      </c>
      <c r="W36" s="33">
        <f ca="1">A_DCFROR!$D$33</f>
        <v>224142769.69001999</v>
      </c>
      <c r="X36" s="33">
        <f ca="1">A_DCFROR!$D$33</f>
        <v>224142769.69001999</v>
      </c>
      <c r="Y36" s="33">
        <f ca="1">A_DCFROR!$D$33</f>
        <v>224142769.69001999</v>
      </c>
      <c r="Z36" s="33">
        <f ca="1">A_DCFROR!$D$33</f>
        <v>224142769.69001999</v>
      </c>
      <c r="AA36" s="33">
        <f ca="1">A_DCFROR!$D$33</f>
        <v>224142769.69001999</v>
      </c>
      <c r="AB36" s="33">
        <f ca="1">A_DCFROR!$D$33</f>
        <v>224142769.69001999</v>
      </c>
      <c r="AC36" s="33">
        <f ca="1">A_DCFROR!$D$33</f>
        <v>224142769.69001999</v>
      </c>
      <c r="AD36" s="33">
        <f ca="1">A_DCFROR!$D$33</f>
        <v>224142769.69001999</v>
      </c>
      <c r="AE36" s="33">
        <f ca="1">A_DCFROR!$D$33</f>
        <v>224142769.69001999</v>
      </c>
      <c r="AF36" s="33">
        <f ca="1">A_DCFROR!$D$33</f>
        <v>224142769.69001999</v>
      </c>
      <c r="AG36" s="33">
        <f ca="1">A_DCFROR!$D$33</f>
        <v>224142769.69001999</v>
      </c>
      <c r="AH36" s="33">
        <f ca="1">A_DCFROR!$D$33</f>
        <v>224142769.69001999</v>
      </c>
      <c r="AI36" s="33">
        <f ca="1">A_DCFROR!$D$33</f>
        <v>224142769.69001999</v>
      </c>
      <c r="AJ36" s="33">
        <f ca="1">A_DCFROR!$D$33</f>
        <v>224142769.69001999</v>
      </c>
    </row>
    <row r="37" spans="1:36" x14ac:dyDescent="0.2">
      <c r="A37" t="s">
        <v>3345</v>
      </c>
      <c r="G37" s="33">
        <f ca="1">G36*G28</f>
        <v>203766154.26365453</v>
      </c>
      <c r="H37" s="33">
        <f t="shared" ref="H37:AJ37" ca="1" si="1">H36*H28</f>
        <v>185241958.42150411</v>
      </c>
      <c r="I37" s="33">
        <f t="shared" ca="1" si="1"/>
        <v>168401780.38318554</v>
      </c>
      <c r="J37" s="33">
        <f t="shared" ca="1" si="1"/>
        <v>153092527.62107775</v>
      </c>
      <c r="K37" s="33">
        <f t="shared" ca="1" si="1"/>
        <v>139175025.11007068</v>
      </c>
      <c r="L37" s="33">
        <f t="shared" ca="1" si="1"/>
        <v>126522750.10006425</v>
      </c>
      <c r="M37" s="33">
        <f t="shared" ca="1" si="1"/>
        <v>115020681.90914929</v>
      </c>
      <c r="N37" s="33">
        <f t="shared" ca="1" si="1"/>
        <v>104564256.28104481</v>
      </c>
      <c r="O37" s="33">
        <f t="shared" ca="1" si="1"/>
        <v>95058414.800949827</v>
      </c>
      <c r="P37" s="33">
        <f t="shared" ca="1" si="1"/>
        <v>86416740.728136197</v>
      </c>
      <c r="Q37" s="33">
        <f t="shared" ca="1" si="1"/>
        <v>78560673.389214709</v>
      </c>
      <c r="R37" s="33">
        <f t="shared" ca="1" si="1"/>
        <v>71418793.9901952</v>
      </c>
      <c r="S37" s="33">
        <f t="shared" ca="1" si="1"/>
        <v>64926176.35472291</v>
      </c>
      <c r="T37" s="33">
        <f t="shared" ca="1" si="1"/>
        <v>59023796.686111718</v>
      </c>
      <c r="U37" s="33">
        <f t="shared" ca="1" si="1"/>
        <v>53657996.987374283</v>
      </c>
      <c r="V37" s="33">
        <f t="shared" ca="1" si="1"/>
        <v>48779997.261249349</v>
      </c>
      <c r="W37" s="33">
        <f t="shared" ca="1" si="1"/>
        <v>44345452.055681229</v>
      </c>
      <c r="X37" s="33">
        <f t="shared" ca="1" si="1"/>
        <v>40314047.323346563</v>
      </c>
      <c r="Y37" s="33">
        <f t="shared" ca="1" si="1"/>
        <v>36649133.930315048</v>
      </c>
      <c r="Z37" s="33">
        <f t="shared" ca="1" si="1"/>
        <v>33317394.482104596</v>
      </c>
      <c r="AA37" s="33">
        <f t="shared" ca="1" si="1"/>
        <v>30288540.438276906</v>
      </c>
      <c r="AB37" s="33">
        <f t="shared" ca="1" si="1"/>
        <v>27535036.762069907</v>
      </c>
      <c r="AC37" s="33">
        <f t="shared" ca="1" si="1"/>
        <v>25031851.601881731</v>
      </c>
      <c r="AD37" s="33">
        <f t="shared" ca="1" si="1"/>
        <v>22756228.728983395</v>
      </c>
      <c r="AE37" s="33">
        <f t="shared" ca="1" si="1"/>
        <v>20687480.662712172</v>
      </c>
      <c r="AF37" s="33">
        <f t="shared" ca="1" si="1"/>
        <v>18806800.602465611</v>
      </c>
      <c r="AG37" s="33">
        <f t="shared" ca="1" si="1"/>
        <v>17097091.456786916</v>
      </c>
      <c r="AH37" s="33">
        <f t="shared" ca="1" si="1"/>
        <v>15542810.415260833</v>
      </c>
      <c r="AI37" s="33">
        <f t="shared" ca="1" si="1"/>
        <v>14129827.650237121</v>
      </c>
      <c r="AJ37" s="33">
        <f t="shared" ca="1" si="1"/>
        <v>12845297.863851925</v>
      </c>
    </row>
    <row r="38" spans="1:36" x14ac:dyDescent="0.2">
      <c r="A38" s="223" t="s">
        <v>3346</v>
      </c>
      <c r="B38" s="1209">
        <f ca="1">SUM(G37:AJ37)</f>
        <v>2112974718.2616794</v>
      </c>
      <c r="C38" s="223" t="s">
        <v>15</v>
      </c>
    </row>
    <row r="40" spans="1:36" x14ac:dyDescent="0.2">
      <c r="A40" t="s">
        <v>3214</v>
      </c>
      <c r="D40" s="243">
        <f ca="1">(AB_DCFROR!D6)*AB_DCFROR!D21*D28</f>
        <v>300090697.4651013</v>
      </c>
      <c r="E40" s="101">
        <f ca="1">(AB_DCFROR!D6)*A_DCFROR!D22*E28</f>
        <v>1364048624.8413694</v>
      </c>
      <c r="F40" s="101">
        <f ca="1">AB_DCFROR!D6*AB_DCFROR!D23*F28</f>
        <v>992035363.52099597</v>
      </c>
    </row>
    <row r="41" spans="1:36" x14ac:dyDescent="0.2">
      <c r="A41" t="s">
        <v>3215</v>
      </c>
      <c r="D41" s="243">
        <f ca="1">AB_DCFROR!D7*D28</f>
        <v>450136046.19765198</v>
      </c>
    </row>
    <row r="42" spans="1:36" x14ac:dyDescent="0.2">
      <c r="A42" t="s">
        <v>3216</v>
      </c>
      <c r="F42" s="1">
        <f ca="1">AB_DCFROR!D8*F28</f>
        <v>124004420.4401245</v>
      </c>
    </row>
    <row r="43" spans="1:36" x14ac:dyDescent="0.2">
      <c r="A43" t="s">
        <v>1215</v>
      </c>
      <c r="G43" s="101">
        <f ca="1">AB_DCFROR!$D$5*G28</f>
        <v>191815598.75895602</v>
      </c>
      <c r="H43" s="101">
        <f ca="1">AB_DCFROR!$D$5*H28</f>
        <v>174377817.05359638</v>
      </c>
      <c r="I43" s="101">
        <f ca="1">AB_DCFROR!$D$5*I28</f>
        <v>158525288.23054212</v>
      </c>
      <c r="J43" s="101">
        <f ca="1">AB_DCFROR!$D$5*J28</f>
        <v>144113898.39140195</v>
      </c>
      <c r="K43" s="101">
        <f ca="1">AB_DCFROR!$D$5*K28</f>
        <v>131012634.90127447</v>
      </c>
      <c r="L43" s="101">
        <f ca="1">AB_DCFROR!$D$5*L28</f>
        <v>119102395.36479498</v>
      </c>
      <c r="M43" s="101">
        <f ca="1">AB_DCFROR!$D$5*M28</f>
        <v>108274904.87708633</v>
      </c>
      <c r="N43" s="101">
        <f ca="1">AB_DCFROR!$D$5*N28</f>
        <v>98431731.706442118</v>
      </c>
      <c r="O43" s="101">
        <f ca="1">AB_DCFROR!$D$5*O28</f>
        <v>89483392.460401922</v>
      </c>
      <c r="P43" s="101">
        <f ca="1">AB_DCFROR!$D$5*P28</f>
        <v>81348538.600365371</v>
      </c>
      <c r="Q43" s="101">
        <f ca="1">AB_DCFROR!$D$5*Q28</f>
        <v>73953216.909423053</v>
      </c>
      <c r="R43" s="101">
        <f ca="1">AB_DCFROR!$D$5*R28</f>
        <v>67230197.190384597</v>
      </c>
      <c r="S43" s="101">
        <f ca="1">AB_DCFROR!$D$5*S28</f>
        <v>61118361.082167819</v>
      </c>
      <c r="T43" s="101">
        <f ca="1">AB_DCFROR!$D$5*T28</f>
        <v>55562146.438334361</v>
      </c>
      <c r="U43" s="101">
        <f ca="1">AB_DCFROR!$D$5*U28</f>
        <v>50511042.2166676</v>
      </c>
      <c r="V43" s="101">
        <f ca="1">AB_DCFROR!$D$5*V28</f>
        <v>45919129.287879638</v>
      </c>
      <c r="W43" s="101">
        <f ca="1">AB_DCFROR!$D$5*W28</f>
        <v>41744662.988981485</v>
      </c>
      <c r="X43" s="101">
        <f ca="1">AB_DCFROR!$D$5*X28</f>
        <v>37949693.626346804</v>
      </c>
      <c r="Y43" s="101">
        <f ca="1">AB_DCFROR!$D$5*Y28</f>
        <v>34499721.478497088</v>
      </c>
      <c r="Z43" s="101">
        <f ca="1">AB_DCFROR!$D$5*Z28</f>
        <v>31363383.162270084</v>
      </c>
      <c r="AA43" s="101">
        <f ca="1">AB_DCFROR!$D$5*AA28</f>
        <v>28512166.511154618</v>
      </c>
      <c r="AB43" s="101">
        <f ca="1">AB_DCFROR!$D$5*AB28</f>
        <v>25920151.37377692</v>
      </c>
      <c r="AC43" s="101">
        <f ca="1">AB_DCFROR!$D$5*AC28</f>
        <v>23563773.976160835</v>
      </c>
      <c r="AD43" s="101">
        <f ca="1">AB_DCFROR!$D$5*AD28</f>
        <v>21421612.705600761</v>
      </c>
      <c r="AE43" s="101">
        <f ca="1">AB_DCFROR!$D$5*AE28</f>
        <v>19474193.36872796</v>
      </c>
      <c r="AF43" s="101">
        <f ca="1">AB_DCFROR!$D$5*AF28</f>
        <v>17703812.153389055</v>
      </c>
      <c r="AG43" s="101">
        <f ca="1">AB_DCFROR!$D$5*AG28</f>
        <v>16094374.684899138</v>
      </c>
      <c r="AH43" s="101">
        <f ca="1">AB_DCFROR!$D$5*AH28</f>
        <v>14631249.71354467</v>
      </c>
      <c r="AI43" s="101">
        <f ca="1">AB_DCFROR!$D$5*AI28</f>
        <v>13301136.103222428</v>
      </c>
      <c r="AJ43" s="101">
        <f ca="1">AB_DCFROR!$D$5*AJ28</f>
        <v>12091941.912020387</v>
      </c>
    </row>
    <row r="44" spans="1:36" x14ac:dyDescent="0.2">
      <c r="A44" t="s">
        <v>3217</v>
      </c>
      <c r="B44" s="1">
        <f>1.25/Units!C10</f>
        <v>0.41254125412541259</v>
      </c>
      <c r="C44" t="s">
        <v>639</v>
      </c>
      <c r="G44" s="1">
        <f ca="1">A_DCFROR!$H$64/A_DCFROR!$D$43*$B$44*G28</f>
        <v>1728632.120952131</v>
      </c>
      <c r="H44" s="1">
        <f ca="1">A_DCFROR!$H$64/A_DCFROR!$D$43*$B$44*H28</f>
        <v>1571483.7463201189</v>
      </c>
      <c r="I44" s="1">
        <f ca="1">A_DCFROR!$H$64/A_DCFROR!$D$43*$B$44*I28</f>
        <v>1428621.5875637443</v>
      </c>
      <c r="J44" s="1">
        <f ca="1">A_DCFROR!$H$64/A_DCFROR!$D$43*$B$44*J28</f>
        <v>1298746.8977852222</v>
      </c>
      <c r="K44" s="1">
        <f ca="1">A_DCFROR!$H$64/A_DCFROR!$D$43*$B$44*K28</f>
        <v>1180678.9979865653</v>
      </c>
      <c r="L44" s="1">
        <f ca="1">A_DCFROR!$H$64/A_DCFROR!$D$43*$B$44*L28</f>
        <v>1073344.5436241503</v>
      </c>
      <c r="M44" s="1">
        <f ca="1">A_DCFROR!$H$64/A_DCFROR!$D$43*$B$44*M28</f>
        <v>975767.76693104557</v>
      </c>
      <c r="N44" s="1">
        <f ca="1">A_DCFROR!$H$64/A_DCFROR!$D$43*$B$44*N28</f>
        <v>887061.60630095052</v>
      </c>
      <c r="O44" s="1">
        <f ca="1">A_DCFROR!$H$64/A_DCFROR!$D$43*$B$44*O28</f>
        <v>806419.64209177322</v>
      </c>
      <c r="P44" s="1">
        <f ca="1">A_DCFROR!$H$64/A_DCFROR!$D$43*$B$44*P28</f>
        <v>733108.76553797559</v>
      </c>
      <c r="Q44" s="1">
        <f ca="1">A_DCFROR!$H$64/A_DCFROR!$D$43*$B$44*Q28</f>
        <v>666462.51412543224</v>
      </c>
      <c r="R44" s="1">
        <f ca="1">A_DCFROR!$H$64/A_DCFROR!$D$43*$B$44*R28</f>
        <v>605875.01284130209</v>
      </c>
      <c r="S44" s="1">
        <f ca="1">A_DCFROR!$H$64/A_DCFROR!$D$43*$B$44*S28</f>
        <v>550795.46621936548</v>
      </c>
      <c r="T44" s="1">
        <f ca="1">A_DCFROR!$H$64/A_DCFROR!$D$43*$B$44*T28</f>
        <v>500723.15110851394</v>
      </c>
      <c r="U44" s="1">
        <f ca="1">A_DCFROR!$H$64/A_DCFROR!$D$43*$B$44*U28</f>
        <v>455202.86464410357</v>
      </c>
      <c r="V44" s="1">
        <f ca="1">A_DCFROR!$H$64/A_DCFROR!$D$43*$B$44*V28</f>
        <v>413820.78604009416</v>
      </c>
      <c r="W44" s="1">
        <f ca="1">A_DCFROR!$H$64/A_DCFROR!$D$43*$B$44*W28</f>
        <v>376200.71458190377</v>
      </c>
      <c r="X44" s="1">
        <f ca="1">A_DCFROR!$H$64/A_DCFROR!$D$43*$B$44*X28</f>
        <v>342000.6496199125</v>
      </c>
      <c r="Y44" s="1">
        <f ca="1">A_DCFROR!$H$64/A_DCFROR!$D$43*$B$44*Y28</f>
        <v>310909.68147264764</v>
      </c>
      <c r="Z44" s="1">
        <f ca="1">A_DCFROR!$H$64/A_DCFROR!$D$43*$B$44*Z28</f>
        <v>282645.16497513425</v>
      </c>
      <c r="AA44" s="1">
        <f ca="1">A_DCFROR!$H$64/A_DCFROR!$D$43*$B$44*AA28</f>
        <v>256950.14997739476</v>
      </c>
      <c r="AB44" s="1">
        <f ca="1">A_DCFROR!$H$64/A_DCFROR!$D$43*$B$44*AB28</f>
        <v>233591.0454339952</v>
      </c>
      <c r="AC44" s="1">
        <f ca="1">A_DCFROR!$H$64/A_DCFROR!$D$43*$B$44*AC28</f>
        <v>212355.49584908652</v>
      </c>
      <c r="AD44" s="1">
        <f ca="1">A_DCFROR!$H$64/A_DCFROR!$D$43*$B$44*AD28</f>
        <v>193050.45077189687</v>
      </c>
      <c r="AE44" s="1">
        <f ca="1">A_DCFROR!$H$64/A_DCFROR!$D$43*$B$44*AE28</f>
        <v>175500.40979263347</v>
      </c>
      <c r="AF44" s="1">
        <f ca="1">A_DCFROR!$H$64/A_DCFROR!$D$43*$B$44*AF28</f>
        <v>159545.82708421224</v>
      </c>
      <c r="AG44" s="1">
        <f ca="1">A_DCFROR!$H$64/A_DCFROR!$D$43*$B$44*AG28</f>
        <v>145041.66098564747</v>
      </c>
      <c r="AH44" s="1">
        <f ca="1">A_DCFROR!$H$64/A_DCFROR!$D$43*$B$44*AH28</f>
        <v>131856.05544149771</v>
      </c>
      <c r="AI44" s="1">
        <f ca="1">A_DCFROR!$H$64/A_DCFROR!$D$43*$B$44*AI28</f>
        <v>119869.14131045244</v>
      </c>
      <c r="AJ44" s="1">
        <f ca="1">A_DCFROR!$H$64/A_DCFROR!$D$43*$B$44*AJ28</f>
        <v>108971.94664586584</v>
      </c>
    </row>
    <row r="45" spans="1:36" x14ac:dyDescent="0.2">
      <c r="A45" s="221" t="s">
        <v>3219</v>
      </c>
      <c r="B45" s="1034">
        <f ca="1">SUM(D40:AJ44)</f>
        <v>5237292553.5575714</v>
      </c>
    </row>
    <row r="46" spans="1:36" x14ac:dyDescent="0.2">
      <c r="A46" s="6"/>
      <c r="B46" s="181"/>
    </row>
    <row r="47" spans="1:36" x14ac:dyDescent="0.2">
      <c r="A47" t="s">
        <v>2996</v>
      </c>
      <c r="B47" s="181"/>
      <c r="G47" s="1">
        <f ca="1">AB_DCFROR!$D29*AB_DCFROR!$D43*G$28</f>
        <v>348587.52020718961</v>
      </c>
      <c r="H47" s="1">
        <f ca="1">AB_DCFROR!$D29*AB_DCFROR!$D43*H$28</f>
        <v>316897.74564289965</v>
      </c>
      <c r="I47" s="1">
        <f ca="1">AB_DCFROR!$D29*AB_DCFROR!$D43*I$28</f>
        <v>288088.85967536323</v>
      </c>
      <c r="J47" s="1">
        <f ca="1">AB_DCFROR!$D29*AB_DCFROR!$D43*J$28</f>
        <v>261898.96334123935</v>
      </c>
      <c r="K47" s="1">
        <f ca="1">AB_DCFROR!$D29*AB_DCFROR!$D43*K$28</f>
        <v>238089.96667385389</v>
      </c>
      <c r="L47" s="1">
        <f ca="1">AB_DCFROR!$D29*AB_DCFROR!$D43*L$28</f>
        <v>216445.42424895809</v>
      </c>
      <c r="M47" s="1">
        <f ca="1">AB_DCFROR!$D29*AB_DCFROR!$D43*M$28</f>
        <v>196768.56749905276</v>
      </c>
      <c r="N47" s="1">
        <f ca="1">AB_DCFROR!$D29*AB_DCFROR!$D43*N$28</f>
        <v>178880.51590822981</v>
      </c>
      <c r="O47" s="1">
        <f ca="1">AB_DCFROR!$D29*AB_DCFROR!$D43*O$28</f>
        <v>162618.65082566344</v>
      </c>
      <c r="P47" s="1">
        <f ca="1">AB_DCFROR!$D29*AB_DCFROR!$D43*P$28</f>
        <v>147835.13711423948</v>
      </c>
      <c r="Q47" s="1">
        <f ca="1">AB_DCFROR!$D29*AB_DCFROR!$D43*Q$28</f>
        <v>134395.57919476315</v>
      </c>
      <c r="R47" s="1">
        <f ca="1">AB_DCFROR!$D29*AB_DCFROR!$D43*R$28</f>
        <v>122177.7992679665</v>
      </c>
      <c r="S47" s="1">
        <f ca="1">AB_DCFROR!$D29*AB_DCFROR!$D43*S$28</f>
        <v>111070.72660724228</v>
      </c>
      <c r="T47" s="1">
        <f ca="1">AB_DCFROR!$D29*AB_DCFROR!$D43*T$28</f>
        <v>100973.38782476568</v>
      </c>
      <c r="U47" s="1">
        <f ca="1">AB_DCFROR!$D29*AB_DCFROR!$D43*U$28</f>
        <v>91793.988931605156</v>
      </c>
      <c r="V47" s="1">
        <f ca="1">AB_DCFROR!$D29*AB_DCFROR!$D43*V$28</f>
        <v>83449.080846913785</v>
      </c>
      <c r="W47" s="1">
        <f ca="1">AB_DCFROR!$D29*AB_DCFROR!$D43*W$28</f>
        <v>75862.80076992161</v>
      </c>
      <c r="X47" s="1">
        <f ca="1">AB_DCFROR!$D29*AB_DCFROR!$D43*X$28</f>
        <v>68966.182518110552</v>
      </c>
      <c r="Y47" s="1">
        <f ca="1">AB_DCFROR!$D29*AB_DCFROR!$D43*Y$28</f>
        <v>62696.529561918673</v>
      </c>
      <c r="Z47" s="1">
        <f ca="1">AB_DCFROR!$D29*AB_DCFROR!$D43*Z$28</f>
        <v>56996.845056289712</v>
      </c>
      <c r="AA47" s="1">
        <f ca="1">AB_DCFROR!$D29*AB_DCFROR!$D43*AA$28</f>
        <v>51815.313687536094</v>
      </c>
      <c r="AB47" s="1">
        <f ca="1">AB_DCFROR!$D29*AB_DCFROR!$D43*AB$28</f>
        <v>47104.830625032802</v>
      </c>
      <c r="AC47" s="1">
        <f ca="1">AB_DCFROR!$D29*AB_DCFROR!$D43*AC$28</f>
        <v>42822.573295484362</v>
      </c>
      <c r="AD47" s="1">
        <f ca="1">AB_DCFROR!$D29*AB_DCFROR!$D43*AD$28</f>
        <v>38929.612086803972</v>
      </c>
      <c r="AE47" s="1">
        <f ca="1">AB_DCFROR!$D29*AB_DCFROR!$D43*AE$28</f>
        <v>35390.556442549059</v>
      </c>
      <c r="AF47" s="1">
        <f ca="1">AB_DCFROR!$D29*AB_DCFROR!$D43*AF$28</f>
        <v>32173.233129590051</v>
      </c>
      <c r="AG47" s="1">
        <f ca="1">AB_DCFROR!$D29*AB_DCFROR!$D43*AG$28</f>
        <v>29248.393754172772</v>
      </c>
      <c r="AH47" s="1">
        <f ca="1">AB_DCFROR!$D29*AB_DCFROR!$D43*AH$28</f>
        <v>26589.44886742979</v>
      </c>
      <c r="AI47" s="1">
        <f ca="1">AB_DCFROR!$D29*AB_DCFROR!$D43*AI$28</f>
        <v>24172.226243117988</v>
      </c>
      <c r="AJ47" s="1">
        <f ca="1">AB_DCFROR!$D29*AB_DCFROR!$D43*AJ$28</f>
        <v>21974.751130107263</v>
      </c>
    </row>
    <row r="48" spans="1:36" x14ac:dyDescent="0.2">
      <c r="A48" t="s">
        <v>2997</v>
      </c>
      <c r="B48" s="181"/>
      <c r="G48" s="1">
        <f ca="1">AB_DCFROR!$D30*AB_DCFROR!$D44*G$28</f>
        <v>600478.95949273568</v>
      </c>
      <c r="H48" s="1">
        <f ca="1">AB_DCFROR!$D30*AB_DCFROR!$D44*H$28</f>
        <v>545889.96317521424</v>
      </c>
      <c r="I48" s="1">
        <f ca="1">AB_DCFROR!$D30*AB_DCFROR!$D44*I$28</f>
        <v>496263.60288655828</v>
      </c>
      <c r="J48" s="1">
        <f ca="1">AB_DCFROR!$D30*AB_DCFROR!$D44*J$28</f>
        <v>451148.7298968712</v>
      </c>
      <c r="K48" s="1">
        <f ca="1">AB_DCFROR!$D30*AB_DCFROR!$D44*K$28</f>
        <v>410135.2089971556</v>
      </c>
      <c r="L48" s="1">
        <f ca="1">AB_DCFROR!$D30*AB_DCFROR!$D44*L$28</f>
        <v>372850.18999741419</v>
      </c>
      <c r="M48" s="1">
        <f ca="1">AB_DCFROR!$D30*AB_DCFROR!$D44*M$28</f>
        <v>338954.71817946737</v>
      </c>
      <c r="N48" s="1">
        <f ca="1">AB_DCFROR!$D30*AB_DCFROR!$D44*N$28</f>
        <v>308140.65289042488</v>
      </c>
      <c r="O48" s="1">
        <f ca="1">AB_DCFROR!$D30*AB_DCFROR!$D44*O$28</f>
        <v>280127.8662640226</v>
      </c>
      <c r="P48" s="1">
        <f ca="1">AB_DCFROR!$D30*AB_DCFROR!$D44*P$28</f>
        <v>254661.69660365689</v>
      </c>
      <c r="Q48" s="1">
        <f ca="1">AB_DCFROR!$D30*AB_DCFROR!$D44*Q$28</f>
        <v>231510.63327605167</v>
      </c>
      <c r="R48" s="1">
        <f ca="1">AB_DCFROR!$D30*AB_DCFROR!$D44*R$28</f>
        <v>210464.2120691379</v>
      </c>
      <c r="S48" s="1">
        <f ca="1">AB_DCFROR!$D30*AB_DCFROR!$D44*S$28</f>
        <v>191331.10188103447</v>
      </c>
      <c r="T48" s="1">
        <f ca="1">AB_DCFROR!$D30*AB_DCFROR!$D44*T$28</f>
        <v>173937.36534639492</v>
      </c>
      <c r="U48" s="1">
        <f ca="1">AB_DCFROR!$D30*AB_DCFROR!$D44*U$28</f>
        <v>158124.87758763172</v>
      </c>
      <c r="V48" s="1">
        <f ca="1">AB_DCFROR!$D30*AB_DCFROR!$D44*V$28</f>
        <v>143749.88871602886</v>
      </c>
      <c r="W48" s="1">
        <f ca="1">AB_DCFROR!$D30*AB_DCFROR!$D44*W$28</f>
        <v>130681.71701457168</v>
      </c>
      <c r="X48" s="1">
        <f ca="1">AB_DCFROR!$D30*AB_DCFROR!$D44*X$28</f>
        <v>118801.56092233787</v>
      </c>
      <c r="Y48" s="1">
        <f ca="1">AB_DCFROR!$D30*AB_DCFROR!$D44*Y$28</f>
        <v>108001.41902030713</v>
      </c>
      <c r="Z48" s="1">
        <f ca="1">AB_DCFROR!$D30*AB_DCFROR!$D44*Z$28</f>
        <v>98183.108200279225</v>
      </c>
      <c r="AA48" s="1">
        <f ca="1">AB_DCFROR!$D30*AB_DCFROR!$D44*AA$28</f>
        <v>89257.371091162931</v>
      </c>
      <c r="AB48" s="1">
        <f ca="1">AB_DCFROR!$D30*AB_DCFROR!$D44*AB$28</f>
        <v>81143.064628329914</v>
      </c>
      <c r="AC48" s="1">
        <f ca="1">AB_DCFROR!$D30*AB_DCFROR!$D44*AC$28</f>
        <v>73766.422389390835</v>
      </c>
      <c r="AD48" s="1">
        <f ca="1">AB_DCFROR!$D30*AB_DCFROR!$D44*AD$28</f>
        <v>67060.383990355316</v>
      </c>
      <c r="AE48" s="1">
        <f ca="1">AB_DCFROR!$D30*AB_DCFROR!$D44*AE$28</f>
        <v>60963.985445777536</v>
      </c>
      <c r="AF48" s="1">
        <f ca="1">AB_DCFROR!$D30*AB_DCFROR!$D44*AF$28</f>
        <v>55421.80495070685</v>
      </c>
      <c r="AG48" s="1">
        <f ca="1">AB_DCFROR!$D30*AB_DCFROR!$D44*AG$28</f>
        <v>50383.45904609713</v>
      </c>
      <c r="AH48" s="1">
        <f ca="1">AB_DCFROR!$D30*AB_DCFROR!$D44*AH$28</f>
        <v>45803.144587361028</v>
      </c>
      <c r="AI48" s="1">
        <f ca="1">AB_DCFROR!$D30*AB_DCFROR!$D44*AI$28</f>
        <v>41639.222352146382</v>
      </c>
      <c r="AJ48" s="1">
        <f ca="1">AB_DCFROR!$D30*AB_DCFROR!$D44*AJ$28</f>
        <v>37853.838501951257</v>
      </c>
    </row>
    <row r="49" spans="1:36" x14ac:dyDescent="0.2">
      <c r="A49" t="s">
        <v>664</v>
      </c>
      <c r="B49" s="181"/>
      <c r="G49" s="1">
        <f ca="1">AB_DCFROR!$D32*AB_DCFROR!$D46*G$28</f>
        <v>72169.69494703869</v>
      </c>
      <c r="H49" s="1">
        <f ca="1">AB_DCFROR!$D32*AB_DCFROR!$D46*H$28</f>
        <v>65608.813588216988</v>
      </c>
      <c r="I49" s="1">
        <f ca="1">AB_DCFROR!$D32*AB_DCFROR!$D46*I$28</f>
        <v>59644.375989288157</v>
      </c>
      <c r="J49" s="1">
        <f ca="1">AB_DCFROR!$D32*AB_DCFROR!$D46*J$28</f>
        <v>54222.159990261964</v>
      </c>
      <c r="K49" s="1">
        <f ca="1">AB_DCFROR!$D32*AB_DCFROR!$D46*K$28</f>
        <v>49292.87271841996</v>
      </c>
      <c r="L49" s="1">
        <f ca="1">AB_DCFROR!$D32*AB_DCFROR!$D46*L$28</f>
        <v>44811.702471290868</v>
      </c>
      <c r="M49" s="1">
        <f ca="1">AB_DCFROR!$D32*AB_DCFROR!$D46*M$28</f>
        <v>40737.911337537145</v>
      </c>
      <c r="N49" s="1">
        <f ca="1">AB_DCFROR!$D32*AB_DCFROR!$D46*N$28</f>
        <v>37034.464852306497</v>
      </c>
      <c r="O49" s="1">
        <f ca="1">AB_DCFROR!$D32*AB_DCFROR!$D46*O$28</f>
        <v>33667.695320278632</v>
      </c>
      <c r="P49" s="1">
        <f ca="1">AB_DCFROR!$D32*AB_DCFROR!$D46*P$28</f>
        <v>30606.995745707845</v>
      </c>
      <c r="Q49" s="1">
        <f ca="1">AB_DCFROR!$D32*AB_DCFROR!$D46*Q$28</f>
        <v>27824.541587007127</v>
      </c>
      <c r="R49" s="1">
        <f ca="1">AB_DCFROR!$D32*AB_DCFROR!$D46*R$28</f>
        <v>25295.037806370117</v>
      </c>
      <c r="S49" s="1">
        <f ca="1">AB_DCFROR!$D32*AB_DCFROR!$D46*S$28</f>
        <v>22995.488914881927</v>
      </c>
      <c r="T49" s="1">
        <f ca="1">AB_DCFROR!$D32*AB_DCFROR!$D46*T$28</f>
        <v>20904.989922619927</v>
      </c>
      <c r="U49" s="1">
        <f ca="1">AB_DCFROR!$D32*AB_DCFROR!$D46*U$28</f>
        <v>19004.536293290843</v>
      </c>
      <c r="V49" s="1">
        <f ca="1">AB_DCFROR!$D32*AB_DCFROR!$D46*V$28</f>
        <v>17276.851175718948</v>
      </c>
      <c r="W49" s="1">
        <f ca="1">AB_DCFROR!$D32*AB_DCFROR!$D46*W$28</f>
        <v>15706.228341562679</v>
      </c>
      <c r="X49" s="1">
        <f ca="1">AB_DCFROR!$D32*AB_DCFROR!$D46*X$28</f>
        <v>14278.389401420616</v>
      </c>
      <c r="Y49" s="1">
        <f ca="1">AB_DCFROR!$D32*AB_DCFROR!$D46*Y$28</f>
        <v>12980.354001291465</v>
      </c>
      <c r="Z49" s="1">
        <f ca="1">AB_DCFROR!$D32*AB_DCFROR!$D46*Z$28</f>
        <v>11800.321819355879</v>
      </c>
      <c r="AA49" s="1">
        <f ca="1">AB_DCFROR!$D32*AB_DCFROR!$D46*AA$28</f>
        <v>10727.565290323526</v>
      </c>
      <c r="AB49" s="1">
        <f ca="1">AB_DCFROR!$D32*AB_DCFROR!$D46*AB$28</f>
        <v>9752.3320821122943</v>
      </c>
      <c r="AC49" s="1">
        <f ca="1">AB_DCFROR!$D32*AB_DCFROR!$D46*AC$28</f>
        <v>8865.7564382839028</v>
      </c>
      <c r="AD49" s="1">
        <f ca="1">AB_DCFROR!$D32*AB_DCFROR!$D46*AD$28</f>
        <v>8059.7785802580956</v>
      </c>
      <c r="AE49" s="1">
        <f ca="1">AB_DCFROR!$D32*AB_DCFROR!$D46*AE$28</f>
        <v>7327.0714365982658</v>
      </c>
      <c r="AF49" s="1">
        <f ca="1">AB_DCFROR!$D32*AB_DCFROR!$D46*AF$28</f>
        <v>6660.9740332711508</v>
      </c>
      <c r="AG49" s="1">
        <f ca="1">AB_DCFROR!$D32*AB_DCFROR!$D46*AG$28</f>
        <v>6055.4309393374097</v>
      </c>
      <c r="AH49" s="1">
        <f ca="1">AB_DCFROR!$D32*AB_DCFROR!$D46*AH$28</f>
        <v>5504.9372175794624</v>
      </c>
      <c r="AI49" s="1">
        <f ca="1">AB_DCFROR!$D32*AB_DCFROR!$D46*AI$28</f>
        <v>5004.4883796176928</v>
      </c>
      <c r="AJ49" s="1">
        <f ca="1">AB_DCFROR!$D32*AB_DCFROR!$D46*AJ$28</f>
        <v>4549.5348905615383</v>
      </c>
    </row>
    <row r="50" spans="1:36" x14ac:dyDescent="0.2">
      <c r="A50" t="s">
        <v>2136</v>
      </c>
      <c r="B50" s="181"/>
      <c r="G50" s="1">
        <f ca="1">AB_DCFROR!$D33*AB_DCFROR!$D47*G$28</f>
        <v>83236046.311976448</v>
      </c>
      <c r="H50" s="1">
        <f ca="1">AB_DCFROR!$D33*AB_DCFROR!$D47*H$28</f>
        <v>75669133.010887668</v>
      </c>
      <c r="I50" s="1">
        <f ca="1">AB_DCFROR!$D33*AB_DCFROR!$D47*I$28</f>
        <v>68790120.918988779</v>
      </c>
      <c r="J50" s="1">
        <f ca="1">AB_DCFROR!$D33*AB_DCFROR!$D47*J$28</f>
        <v>62536473.562717073</v>
      </c>
      <c r="K50" s="1">
        <f ca="1">AB_DCFROR!$D33*AB_DCFROR!$D47*K$28</f>
        <v>56851339.602470063</v>
      </c>
      <c r="L50" s="1">
        <f ca="1">AB_DCFROR!$D33*AB_DCFROR!$D47*L$28</f>
        <v>51683036.002245508</v>
      </c>
      <c r="M50" s="1">
        <f ca="1">AB_DCFROR!$D33*AB_DCFROR!$D47*M$28</f>
        <v>46984578.183859542</v>
      </c>
      <c r="N50" s="1">
        <f ca="1">AB_DCFROR!$D33*AB_DCFROR!$D47*N$28</f>
        <v>42713252.89441777</v>
      </c>
      <c r="O50" s="1">
        <f ca="1">AB_DCFROR!$D33*AB_DCFROR!$D47*O$28</f>
        <v>38830229.904016152</v>
      </c>
      <c r="P50" s="1">
        <f ca="1">AB_DCFROR!$D33*AB_DCFROR!$D47*P$28</f>
        <v>35300209.003651045</v>
      </c>
      <c r="Q50" s="1">
        <f ca="1">AB_DCFROR!$D33*AB_DCFROR!$D47*Q$28</f>
        <v>32091099.094228219</v>
      </c>
      <c r="R50" s="1">
        <f ca="1">AB_DCFROR!$D33*AB_DCFROR!$D47*R$28</f>
        <v>29173726.449298382</v>
      </c>
      <c r="S50" s="1">
        <f ca="1">AB_DCFROR!$D33*AB_DCFROR!$D47*S$28</f>
        <v>26521569.499362167</v>
      </c>
      <c r="T50" s="1">
        <f ca="1">AB_DCFROR!$D33*AB_DCFROR!$D47*T$28</f>
        <v>24110517.72669287</v>
      </c>
      <c r="U50" s="1">
        <f ca="1">AB_DCFROR!$D33*AB_DCFROR!$D47*U$28</f>
        <v>21918652.4788117</v>
      </c>
      <c r="V50" s="1">
        <f ca="1">AB_DCFROR!$D33*AB_DCFROR!$D47*V$28</f>
        <v>19926047.708010636</v>
      </c>
      <c r="W50" s="1">
        <f ca="1">AB_DCFROR!$D33*AB_DCFROR!$D47*W$28</f>
        <v>18114588.825464215</v>
      </c>
      <c r="X50" s="1">
        <f ca="1">AB_DCFROR!$D33*AB_DCFROR!$D47*X$28</f>
        <v>16467808.023149284</v>
      </c>
      <c r="Y50" s="1">
        <f ca="1">AB_DCFROR!$D33*AB_DCFROR!$D47*Y$28</f>
        <v>14970734.566499345</v>
      </c>
      <c r="Z50" s="1">
        <f ca="1">AB_DCFROR!$D33*AB_DCFROR!$D47*Z$28</f>
        <v>13609758.696817588</v>
      </c>
      <c r="AA50" s="1">
        <f ca="1">AB_DCFROR!$D33*AB_DCFROR!$D47*AA$28</f>
        <v>12372507.906197807</v>
      </c>
      <c r="AB50" s="1">
        <f ca="1">AB_DCFROR!$D33*AB_DCFROR!$D47*AB$28</f>
        <v>11247734.460179823</v>
      </c>
      <c r="AC50" s="1">
        <f ca="1">AB_DCFROR!$D33*AB_DCFROR!$D47*AC$28</f>
        <v>10225213.14561802</v>
      </c>
      <c r="AD50" s="1">
        <f ca="1">AB_DCFROR!$D33*AB_DCFROR!$D47*AD$28</f>
        <v>9295648.3141982015</v>
      </c>
      <c r="AE50" s="1">
        <f ca="1">AB_DCFROR!$D33*AB_DCFROR!$D47*AE$28</f>
        <v>8450589.3765438162</v>
      </c>
      <c r="AF50" s="1">
        <f ca="1">AB_DCFROR!$D33*AB_DCFROR!$D47*AF$28</f>
        <v>7682353.9786761971</v>
      </c>
      <c r="AG50" s="1">
        <f ca="1">AB_DCFROR!$D33*AB_DCFROR!$D47*AG$28</f>
        <v>6983958.1624329053</v>
      </c>
      <c r="AH50" s="1">
        <f ca="1">AB_DCFROR!$D33*AB_DCFROR!$D47*AH$28</f>
        <v>6349052.8749390049</v>
      </c>
      <c r="AI50" s="1">
        <f ca="1">AB_DCFROR!$D33*AB_DCFROR!$D47*AI$28</f>
        <v>5771866.2499445491</v>
      </c>
      <c r="AJ50" s="1">
        <f ca="1">AB_DCFROR!$D33*AB_DCFROR!$D47*AJ$28</f>
        <v>5247151.1363132261</v>
      </c>
    </row>
    <row r="51" spans="1:36" x14ac:dyDescent="0.2">
      <c r="A51" t="s">
        <v>3043</v>
      </c>
      <c r="B51" s="181"/>
      <c r="G51" s="1">
        <f ca="1">AB_DCFROR!$D34*AB_DCFROR!$D48*G$28</f>
        <v>195570200.72780067</v>
      </c>
      <c r="H51" s="1">
        <f ca="1">AB_DCFROR!$D34*AB_DCFROR!$D48*H$28</f>
        <v>177791091.57072785</v>
      </c>
      <c r="I51" s="1">
        <f ca="1">AB_DCFROR!$D34*AB_DCFROR!$D48*I$28</f>
        <v>161628265.06429803</v>
      </c>
      <c r="J51" s="1">
        <f ca="1">AB_DCFROR!$D34*AB_DCFROR!$D48*J$28</f>
        <v>146934786.42208913</v>
      </c>
      <c r="K51" s="1">
        <f ca="1">AB_DCFROR!$D34*AB_DCFROR!$D48*K$28</f>
        <v>133577078.56553555</v>
      </c>
      <c r="L51" s="1">
        <f ca="1">AB_DCFROR!$D34*AB_DCFROR!$D48*L$28</f>
        <v>121433707.7868505</v>
      </c>
      <c r="M51" s="1">
        <f ca="1">AB_DCFROR!$D34*AB_DCFROR!$D48*M$28</f>
        <v>110394279.8062277</v>
      </c>
      <c r="N51" s="1">
        <f ca="1">AB_DCFROR!$D34*AB_DCFROR!$D48*N$28</f>
        <v>100358436.18747973</v>
      </c>
      <c r="O51" s="1">
        <f ca="1">AB_DCFROR!$D34*AB_DCFROR!$D48*O$28</f>
        <v>91234941.988617942</v>
      </c>
      <c r="P51" s="1">
        <f ca="1">AB_DCFROR!$D34*AB_DCFROR!$D48*P$28</f>
        <v>82940856.353289023</v>
      </c>
      <c r="Q51" s="1">
        <f ca="1">AB_DCFROR!$D34*AB_DCFROR!$D48*Q$28</f>
        <v>75400778.502990007</v>
      </c>
      <c r="R51" s="1">
        <f ca="1">AB_DCFROR!$D34*AB_DCFROR!$D48*R$28</f>
        <v>68546162.275445461</v>
      </c>
      <c r="S51" s="1">
        <f ca="1">AB_DCFROR!$D34*AB_DCFROR!$D48*S$28</f>
        <v>62314692.977677703</v>
      </c>
      <c r="T51" s="1">
        <f ca="1">AB_DCFROR!$D34*AB_DCFROR!$D48*T$28</f>
        <v>56649720.888797894</v>
      </c>
      <c r="U51" s="1">
        <f ca="1">AB_DCFROR!$D34*AB_DCFROR!$D48*U$28</f>
        <v>51499746.262543537</v>
      </c>
      <c r="V51" s="1">
        <f ca="1">AB_DCFROR!$D34*AB_DCFROR!$D48*V$28</f>
        <v>46817951.147766851</v>
      </c>
      <c r="W51" s="1">
        <f ca="1">AB_DCFROR!$D34*AB_DCFROR!$D48*W$28</f>
        <v>42561773.770697139</v>
      </c>
      <c r="X51" s="1">
        <f ca="1">AB_DCFROR!$D34*AB_DCFROR!$D48*X$28</f>
        <v>38692521.609724663</v>
      </c>
      <c r="Y51" s="1">
        <f ca="1">AB_DCFROR!$D34*AB_DCFROR!$D48*Y$28</f>
        <v>35175019.645204231</v>
      </c>
      <c r="Z51" s="1">
        <f ca="1">AB_DCFROR!$D34*AB_DCFROR!$D48*Z$28</f>
        <v>31977290.586549308</v>
      </c>
      <c r="AA51" s="1">
        <f ca="1">AB_DCFROR!$D34*AB_DCFROR!$D48*AA$28</f>
        <v>29070264.169590279</v>
      </c>
      <c r="AB51" s="1">
        <f ca="1">AB_DCFROR!$D34*AB_DCFROR!$D48*AB$28</f>
        <v>26427512.881445702</v>
      </c>
      <c r="AC51" s="1">
        <f ca="1">AB_DCFROR!$D34*AB_DCFROR!$D48*AC$28</f>
        <v>24025011.710405182</v>
      </c>
      <c r="AD51" s="1">
        <f ca="1">AB_DCFROR!$D34*AB_DCFROR!$D48*AD$28</f>
        <v>21840919.736731987</v>
      </c>
      <c r="AE51" s="1">
        <f ca="1">AB_DCFROR!$D34*AB_DCFROR!$D48*AE$28</f>
        <v>19855381.578847256</v>
      </c>
      <c r="AF51" s="1">
        <f ca="1">AB_DCFROR!$D34*AB_DCFROR!$D48*AF$28</f>
        <v>18050346.88986114</v>
      </c>
      <c r="AG51" s="1">
        <f ca="1">AB_DCFROR!$D34*AB_DCFROR!$D48*AG$28</f>
        <v>16409406.263510127</v>
      </c>
      <c r="AH51" s="1">
        <f ca="1">AB_DCFROR!$D34*AB_DCFROR!$D48*AH$28</f>
        <v>14917642.057736477</v>
      </c>
      <c r="AI51" s="1">
        <f ca="1">AB_DCFROR!$D34*AB_DCFROR!$D48*AI$28</f>
        <v>13561492.779760433</v>
      </c>
      <c r="AJ51" s="1">
        <f ca="1">AB_DCFROR!$D34*AB_DCFROR!$D48*AJ$28</f>
        <v>12328629.799782211</v>
      </c>
    </row>
    <row r="52" spans="1:36" x14ac:dyDescent="0.2">
      <c r="A52" s="221" t="s">
        <v>3279</v>
      </c>
      <c r="B52" s="1034">
        <f ca="1">SUM(G47:AJ51)</f>
        <v>2901700724.7524829</v>
      </c>
    </row>
    <row r="54" spans="1:36" x14ac:dyDescent="0.2">
      <c r="A54" s="221" t="s">
        <v>3220</v>
      </c>
      <c r="B54" s="1041">
        <f ca="1">(B45-B52)/B33</f>
        <v>3.6047302065770359</v>
      </c>
      <c r="C54" s="221" t="s">
        <v>3226</v>
      </c>
    </row>
    <row r="55" spans="1:36" x14ac:dyDescent="0.2">
      <c r="A55" s="223" t="s">
        <v>3347</v>
      </c>
      <c r="B55" s="1210">
        <f ca="1">(B45-B52)/B38</f>
        <v>1.10535720499607</v>
      </c>
      <c r="C55" s="223" t="s">
        <v>3348</v>
      </c>
    </row>
    <row r="57" spans="1:36" x14ac:dyDescent="0.2">
      <c r="A57" s="1038" t="s">
        <v>3223</v>
      </c>
      <c r="G57" s="243">
        <f ca="1">G58/1000000</f>
        <v>71.491984944763331</v>
      </c>
    </row>
    <row r="58" spans="1:36" x14ac:dyDescent="0.2">
      <c r="A58" t="s">
        <v>3221</v>
      </c>
      <c r="B58">
        <v>9.9700000000000006</v>
      </c>
      <c r="C58" t="s">
        <v>2695</v>
      </c>
      <c r="D58">
        <v>0</v>
      </c>
      <c r="E58">
        <v>0</v>
      </c>
      <c r="F58">
        <v>0</v>
      </c>
      <c r="G58" s="33">
        <f ca="1">'LCOE&amp;D'!G53</f>
        <v>71491984.944763333</v>
      </c>
      <c r="H58" s="33">
        <f ca="1">'LCOE&amp;D'!H53</f>
        <v>95322646.593017787</v>
      </c>
      <c r="I58" s="33">
        <f ca="1">'LCOE&amp;D'!I53</f>
        <v>95322646.593017787</v>
      </c>
      <c r="J58" s="33">
        <f ca="1">'LCOE&amp;D'!J53</f>
        <v>95322646.593017787</v>
      </c>
      <c r="K58" s="33">
        <f ca="1">'LCOE&amp;D'!K53</f>
        <v>95322646.593017787</v>
      </c>
      <c r="L58" s="33">
        <f ca="1">'LCOE&amp;D'!L53</f>
        <v>95322646.593017787</v>
      </c>
      <c r="M58" s="33">
        <f ca="1">'LCOE&amp;D'!M53</f>
        <v>95322646.593017787</v>
      </c>
      <c r="N58" s="33">
        <f ca="1">'LCOE&amp;D'!N53</f>
        <v>95322646.593017787</v>
      </c>
      <c r="O58" s="33">
        <f ca="1">'LCOE&amp;D'!O53</f>
        <v>95322646.593017787</v>
      </c>
      <c r="P58" s="33">
        <f ca="1">'LCOE&amp;D'!P53</f>
        <v>95322646.593017787</v>
      </c>
      <c r="Q58" s="33">
        <f ca="1">'LCOE&amp;D'!Q53</f>
        <v>95322646.593017787</v>
      </c>
      <c r="R58" s="33">
        <f ca="1">'LCOE&amp;D'!R53</f>
        <v>95322646.593017787</v>
      </c>
      <c r="S58" s="33">
        <f ca="1">'LCOE&amp;D'!S53</f>
        <v>95322646.593017787</v>
      </c>
      <c r="T58" s="33">
        <f ca="1">'LCOE&amp;D'!T53</f>
        <v>95322646.593017787</v>
      </c>
      <c r="U58" s="33">
        <f ca="1">'LCOE&amp;D'!U53</f>
        <v>95322646.593017787</v>
      </c>
      <c r="V58" s="33">
        <f ca="1">'LCOE&amp;D'!V53</f>
        <v>95322646.593017787</v>
      </c>
      <c r="W58" s="33">
        <f ca="1">'LCOE&amp;D'!W53</f>
        <v>95322646.593017787</v>
      </c>
      <c r="X58" s="33">
        <f ca="1">'LCOE&amp;D'!X53</f>
        <v>95322646.593017787</v>
      </c>
      <c r="Y58" s="33">
        <f ca="1">'LCOE&amp;D'!Y53</f>
        <v>95322646.593017787</v>
      </c>
      <c r="Z58" s="33">
        <f ca="1">'LCOE&amp;D'!Z53</f>
        <v>95322646.593017787</v>
      </c>
      <c r="AA58" s="33">
        <f ca="1">'LCOE&amp;D'!AA53</f>
        <v>95322646.593017787</v>
      </c>
      <c r="AB58" s="33">
        <f ca="1">'LCOE&amp;D'!AB53</f>
        <v>95322646.593017787</v>
      </c>
      <c r="AC58" s="33">
        <f ca="1">'LCOE&amp;D'!AC53</f>
        <v>95322646.593017787</v>
      </c>
      <c r="AD58" s="33">
        <f ca="1">'LCOE&amp;D'!AD53</f>
        <v>95322646.593017787</v>
      </c>
      <c r="AE58" s="33">
        <f ca="1">'LCOE&amp;D'!AE53</f>
        <v>95322646.593017787</v>
      </c>
      <c r="AF58" s="33">
        <f ca="1">'LCOE&amp;D'!AF53</f>
        <v>95322646.593017787</v>
      </c>
      <c r="AG58" s="33">
        <f ca="1">'LCOE&amp;D'!AG53</f>
        <v>95322646.593017787</v>
      </c>
      <c r="AH58" s="33">
        <f ca="1">'LCOE&amp;D'!AH53</f>
        <v>95322646.593017787</v>
      </c>
      <c r="AI58" s="33">
        <f ca="1">'LCOE&amp;D'!AI53</f>
        <v>95322646.593017787</v>
      </c>
      <c r="AJ58" s="33">
        <f ca="1">'LCOE&amp;D'!AJ53</f>
        <v>95322646.593017787</v>
      </c>
    </row>
    <row r="59" spans="1:36" s="1" customFormat="1" x14ac:dyDescent="0.2">
      <c r="A59" s="1" t="s">
        <v>3212</v>
      </c>
      <c r="D59" s="1">
        <f t="shared" ref="D59:AJ59" si="2">D28*D58</f>
        <v>0</v>
      </c>
      <c r="E59" s="1">
        <f t="shared" si="2"/>
        <v>0</v>
      </c>
      <c r="F59" s="1">
        <f t="shared" si="2"/>
        <v>0</v>
      </c>
      <c r="G59" s="1043">
        <f t="shared" ca="1" si="2"/>
        <v>64992713.586148486</v>
      </c>
      <c r="H59" s="1043">
        <f t="shared" ca="1" si="2"/>
        <v>78779046.771089077</v>
      </c>
      <c r="I59" s="1043">
        <f t="shared" ca="1" si="2"/>
        <v>71617315.246444598</v>
      </c>
      <c r="J59" s="1043">
        <f t="shared" ca="1" si="2"/>
        <v>65106650.224040546</v>
      </c>
      <c r="K59" s="1043">
        <f t="shared" ca="1" si="2"/>
        <v>59187863.840036854</v>
      </c>
      <c r="L59" s="1043">
        <f t="shared" ca="1" si="2"/>
        <v>53807148.945488051</v>
      </c>
      <c r="M59" s="1043">
        <f t="shared" ca="1" si="2"/>
        <v>48915589.95044367</v>
      </c>
      <c r="N59" s="1043">
        <f t="shared" ca="1" si="2"/>
        <v>44468718.13676697</v>
      </c>
      <c r="O59" s="1043">
        <f t="shared" ca="1" si="2"/>
        <v>40426107.397060886</v>
      </c>
      <c r="P59" s="1043">
        <f t="shared" ca="1" si="2"/>
        <v>36751006.724600799</v>
      </c>
      <c r="Q59" s="1043">
        <f t="shared" ca="1" si="2"/>
        <v>33410006.113273449</v>
      </c>
      <c r="R59" s="1043">
        <f t="shared" ca="1" si="2"/>
        <v>30372732.830248591</v>
      </c>
      <c r="S59" s="1043">
        <f t="shared" ca="1" si="2"/>
        <v>27611575.300225992</v>
      </c>
      <c r="T59" s="1043">
        <f t="shared" ca="1" si="2"/>
        <v>25101432.091114532</v>
      </c>
      <c r="U59" s="1043">
        <f t="shared" ca="1" si="2"/>
        <v>22819483.719195027</v>
      </c>
      <c r="V59" s="1043">
        <f t="shared" ca="1" si="2"/>
        <v>20744985.199268207</v>
      </c>
      <c r="W59" s="1043">
        <f t="shared" ca="1" si="2"/>
        <v>18859077.453880187</v>
      </c>
      <c r="X59" s="1043">
        <f t="shared" ca="1" si="2"/>
        <v>17144615.867163807</v>
      </c>
      <c r="Y59" s="1043">
        <f t="shared" ca="1" si="2"/>
        <v>15586014.424694365</v>
      </c>
      <c r="Z59" s="1043">
        <f t="shared" ca="1" si="2"/>
        <v>14169104.022449424</v>
      </c>
      <c r="AA59" s="1043">
        <f t="shared" ca="1" si="2"/>
        <v>12881003.656772204</v>
      </c>
      <c r="AB59" s="1043">
        <f t="shared" ca="1" si="2"/>
        <v>11710003.324338363</v>
      </c>
      <c r="AC59" s="1043">
        <f t="shared" ca="1" si="2"/>
        <v>10645457.567580331</v>
      </c>
      <c r="AD59" s="1043">
        <f t="shared" ca="1" si="2"/>
        <v>9677688.6978003029</v>
      </c>
      <c r="AE59" s="1043">
        <f t="shared" ca="1" si="2"/>
        <v>8797898.81618209</v>
      </c>
      <c r="AF59" s="1043">
        <f t="shared" ca="1" si="2"/>
        <v>7998089.8328928091</v>
      </c>
      <c r="AG59" s="1043">
        <f t="shared" ca="1" si="2"/>
        <v>7270990.7571752807</v>
      </c>
      <c r="AH59" s="1043">
        <f t="shared" ca="1" si="2"/>
        <v>6609991.5974320723</v>
      </c>
      <c r="AI59" s="1043">
        <f t="shared" ca="1" si="2"/>
        <v>6009083.2703927932</v>
      </c>
      <c r="AJ59" s="1043">
        <f t="shared" ca="1" si="2"/>
        <v>5462802.9730843566</v>
      </c>
    </row>
    <row r="60" spans="1:36" x14ac:dyDescent="0.2">
      <c r="A60" s="1038" t="s">
        <v>3213</v>
      </c>
      <c r="B60" s="1047">
        <f ca="1">SUM(D59:AJ59)</f>
        <v>876934198.33728409</v>
      </c>
      <c r="C60" s="1038" t="s">
        <v>378</v>
      </c>
    </row>
    <row r="62" spans="1:36" x14ac:dyDescent="0.2">
      <c r="A62" t="s">
        <v>3214</v>
      </c>
      <c r="D62" s="101">
        <f ca="1">'LCOE&amp;D'!D57</f>
        <v>19945965.819530103</v>
      </c>
      <c r="E62" s="101">
        <f ca="1">'LCOE&amp;D'!E57</f>
        <v>90663480.997864097</v>
      </c>
      <c r="F62" s="101">
        <f ca="1">'LCOE&amp;D'!F57</f>
        <v>65937077.089355707</v>
      </c>
    </row>
    <row r="63" spans="1:36" x14ac:dyDescent="0.2">
      <c r="A63" t="s">
        <v>3215</v>
      </c>
      <c r="D63" s="100">
        <f ca="1">'LCOE&amp;D'!D58</f>
        <v>29918948.729295157</v>
      </c>
    </row>
    <row r="64" spans="1:36" x14ac:dyDescent="0.2">
      <c r="A64" t="s">
        <v>3216</v>
      </c>
      <c r="F64" s="1">
        <f ca="1">'LCOE&amp;D'!F59</f>
        <v>8242134.6361694634</v>
      </c>
    </row>
    <row r="65" spans="1:36" x14ac:dyDescent="0.2">
      <c r="A65" t="s">
        <v>1215</v>
      </c>
      <c r="G65" s="101">
        <f ca="1">'LCOE&amp;D'!G60</f>
        <v>32006643.250212818</v>
      </c>
      <c r="H65" s="101">
        <f ca="1">'LCOE&amp;D'!H60</f>
        <v>29096948.409284376</v>
      </c>
      <c r="I65" s="101">
        <f ca="1">'LCOE&amp;D'!I60</f>
        <v>26451771.281167611</v>
      </c>
      <c r="J65" s="101">
        <f ca="1">'LCOE&amp;D'!J60</f>
        <v>24047064.801061466</v>
      </c>
      <c r="K65" s="101">
        <f ca="1">'LCOE&amp;D'!K60</f>
        <v>21860968.000964966</v>
      </c>
      <c r="L65" s="101">
        <f ca="1">'LCOE&amp;D'!L60</f>
        <v>19873607.273604516</v>
      </c>
      <c r="M65" s="101">
        <f ca="1">'LCOE&amp;D'!M60</f>
        <v>18066915.703276828</v>
      </c>
      <c r="N65" s="101">
        <f ca="1">'LCOE&amp;D'!N60</f>
        <v>16424468.821160752</v>
      </c>
      <c r="O65" s="101">
        <f ca="1">'LCOE&amp;D'!O60</f>
        <v>14931335.29196432</v>
      </c>
      <c r="P65" s="101">
        <f ca="1">'LCOE&amp;D'!P60</f>
        <v>13573941.174513016</v>
      </c>
      <c r="Q65" s="101">
        <f ca="1">'LCOE&amp;D'!Q60</f>
        <v>12339946.522284558</v>
      </c>
      <c r="R65" s="101">
        <f ca="1">'LCOE&amp;D'!R60</f>
        <v>11218133.202076873</v>
      </c>
      <c r="S65" s="101">
        <f ca="1">'LCOE&amp;D'!S60</f>
        <v>10198302.910978975</v>
      </c>
      <c r="T65" s="101">
        <f ca="1">'LCOE&amp;D'!T60</f>
        <v>9271184.4645263385</v>
      </c>
      <c r="U65" s="101">
        <f ca="1">'LCOE&amp;D'!U60</f>
        <v>8428349.5132057611</v>
      </c>
      <c r="V65" s="101">
        <f ca="1">'LCOE&amp;D'!V60</f>
        <v>7662135.921096147</v>
      </c>
      <c r="W65" s="101">
        <f ca="1">'LCOE&amp;D'!W60</f>
        <v>6965578.1100874059</v>
      </c>
      <c r="X65" s="101">
        <f ca="1">'LCOE&amp;D'!X60</f>
        <v>6332343.7364430958</v>
      </c>
      <c r="Y65" s="101">
        <f ca="1">'LCOE&amp;D'!Y60</f>
        <v>5756676.1240391769</v>
      </c>
      <c r="Z65" s="101">
        <f ca="1">'LCOE&amp;D'!Z60</f>
        <v>5233341.9309447072</v>
      </c>
      <c r="AA65" s="101">
        <f ca="1">'LCOE&amp;D'!AA60</f>
        <v>4757583.573586097</v>
      </c>
      <c r="AB65" s="101">
        <f ca="1">'LCOE&amp;D'!AB60</f>
        <v>4325075.9759873599</v>
      </c>
      <c r="AC65" s="101">
        <f ca="1">'LCOE&amp;D'!AC60</f>
        <v>3931887.2508975998</v>
      </c>
      <c r="AD65" s="101">
        <f ca="1">'LCOE&amp;D'!AD60</f>
        <v>3574442.9553614547</v>
      </c>
      <c r="AE65" s="101">
        <f ca="1">'LCOE&amp;D'!AE60</f>
        <v>3249493.5957831396</v>
      </c>
      <c r="AF65" s="101">
        <f ca="1">'LCOE&amp;D'!AF60</f>
        <v>2954085.0870755818</v>
      </c>
      <c r="AG65" s="101">
        <f ca="1">'LCOE&amp;D'!AG60</f>
        <v>2685531.8973414376</v>
      </c>
      <c r="AH65" s="101">
        <f ca="1">'LCOE&amp;D'!AH60</f>
        <v>2441392.633946761</v>
      </c>
      <c r="AI65" s="101">
        <f ca="1">'LCOE&amp;D'!AI60</f>
        <v>2219447.8490425101</v>
      </c>
      <c r="AJ65" s="101">
        <f ca="1">'LCOE&amp;D'!AJ60</f>
        <v>2017679.862765918</v>
      </c>
    </row>
    <row r="67" spans="1:36" x14ac:dyDescent="0.2">
      <c r="A67" s="1038" t="s">
        <v>3219</v>
      </c>
      <c r="B67" s="1046">
        <f ca="1">SUM(D62:AJ66)</f>
        <v>546603884.396896</v>
      </c>
      <c r="C67" s="101">
        <f ca="1">B67/2</f>
        <v>273301942.198448</v>
      </c>
    </row>
    <row r="68" spans="1:36" x14ac:dyDescent="0.2">
      <c r="A68" s="6"/>
      <c r="B68" s="181"/>
      <c r="C68" s="101"/>
    </row>
    <row r="70" spans="1:36" x14ac:dyDescent="0.2">
      <c r="A70" s="1038" t="s">
        <v>3224</v>
      </c>
      <c r="B70" s="1048">
        <f ca="1">(B67)/B60</f>
        <v>0.62331231400632714</v>
      </c>
      <c r="C70" s="1038" t="s">
        <v>3226</v>
      </c>
    </row>
    <row r="71" spans="1:36" x14ac:dyDescent="0.2">
      <c r="A71" s="223" t="s">
        <v>3349</v>
      </c>
      <c r="B71" s="1210">
        <f ca="1">(B67)/B38</f>
        <v>0.25868926858082847</v>
      </c>
      <c r="C71" s="223" t="s">
        <v>3348</v>
      </c>
    </row>
    <row r="73" spans="1:36" x14ac:dyDescent="0.2">
      <c r="A73" s="205" t="s">
        <v>3227</v>
      </c>
    </row>
    <row r="74" spans="1:36" x14ac:dyDescent="0.2">
      <c r="A74" t="s">
        <v>3229</v>
      </c>
      <c r="B74" s="1">
        <v>6.25</v>
      </c>
      <c r="C74" t="s">
        <v>3230</v>
      </c>
    </row>
    <row r="75" spans="1:36" x14ac:dyDescent="0.2">
      <c r="A75" t="s">
        <v>3228</v>
      </c>
      <c r="B75">
        <v>36.799999999999997</v>
      </c>
      <c r="C75" t="s">
        <v>3231</v>
      </c>
    </row>
    <row r="76" spans="1:36" x14ac:dyDescent="0.2">
      <c r="A76" s="205" t="s">
        <v>3232</v>
      </c>
      <c r="B76" s="1049">
        <f>B74/B75</f>
        <v>0.16983695652173914</v>
      </c>
      <c r="C76" s="205" t="s">
        <v>3233</v>
      </c>
    </row>
    <row r="77" spans="1:36" ht="16" thickBot="1" x14ac:dyDescent="0.25"/>
    <row r="78" spans="1:36" ht="16" thickBot="1" x14ac:dyDescent="0.25">
      <c r="A78" s="59"/>
      <c r="B78" s="1614" t="s">
        <v>3591</v>
      </c>
      <c r="C78" s="1615"/>
      <c r="D78" s="1615"/>
      <c r="E78" s="1616"/>
      <c r="F78" s="106"/>
    </row>
    <row r="79" spans="1:36" x14ac:dyDescent="0.2">
      <c r="A79" s="123"/>
      <c r="B79" s="141" t="s">
        <v>3350</v>
      </c>
      <c r="C79" s="141" t="s">
        <v>3351</v>
      </c>
      <c r="D79" s="141" t="s">
        <v>3352</v>
      </c>
      <c r="E79" s="141" t="s">
        <v>3353</v>
      </c>
      <c r="F79" s="140"/>
    </row>
    <row r="80" spans="1:36" x14ac:dyDescent="0.2">
      <c r="A80" s="194" t="s">
        <v>3234</v>
      </c>
      <c r="B80" s="101">
        <f ca="1">SUM(D62:F64)/B60</f>
        <v>0.24483890316891743</v>
      </c>
      <c r="C80" s="101">
        <f ca="1">SUM(D62:F64)/B38</f>
        <v>0.10161390262579766</v>
      </c>
      <c r="D80" s="101">
        <f ca="1">SUM(D40:F42)/B33</f>
        <v>4.9856376714643496</v>
      </c>
      <c r="E80" s="141">
        <f ca="1">SUM(D40:F42)/B38</f>
        <v>1.5287997175483419</v>
      </c>
      <c r="F80" s="140"/>
    </row>
    <row r="81" spans="1:6" x14ac:dyDescent="0.2">
      <c r="A81" s="194" t="s">
        <v>3235</v>
      </c>
      <c r="B81" s="101">
        <f ca="1">SUM(F65:AJ65)/B60</f>
        <v>0.37847341083740987</v>
      </c>
      <c r="C81" s="141">
        <f ca="1">SUM(F65:AJ65)/B38</f>
        <v>0.15707536595503088</v>
      </c>
      <c r="D81" s="141">
        <f ca="1">SUM(D43:AJ43)/B33</f>
        <v>3.0698841900528699</v>
      </c>
      <c r="E81" s="141">
        <f ca="1">SUM(D43:AJ43)/B38</f>
        <v>0.94135161676931089</v>
      </c>
      <c r="F81" s="140"/>
    </row>
    <row r="82" spans="1:6" x14ac:dyDescent="0.2">
      <c r="A82" s="194" t="s">
        <v>3236</v>
      </c>
      <c r="B82" s="141"/>
      <c r="D82" s="141">
        <f ca="1">-SUM(D44:AJ44)/B33</f>
        <v>-2.7665635395988538E-2</v>
      </c>
      <c r="E82" s="141">
        <f ca="1">-SUM(D44:AJ44)/B38</f>
        <v>-8.4834114242321196E-3</v>
      </c>
      <c r="F82" s="140"/>
    </row>
    <row r="83" spans="1:6" x14ac:dyDescent="0.2">
      <c r="A83" s="194" t="s">
        <v>513</v>
      </c>
      <c r="B83" s="141">
        <f ca="1">SUM(B80:B82)-B85</f>
        <v>0.62331231400632725</v>
      </c>
      <c r="C83" s="141">
        <f ca="1">SUM(C80:C82)-C85</f>
        <v>0.25868926858082852</v>
      </c>
      <c r="D83" s="141">
        <f ca="1">SUM(D80:D82)+D85</f>
        <v>3.5493989357850531</v>
      </c>
      <c r="E83" s="141">
        <f ca="1">SUM(E80:E82)+E85</f>
        <v>1.0883903821476044</v>
      </c>
      <c r="F83" s="140"/>
    </row>
    <row r="84" spans="1:6" x14ac:dyDescent="0.2">
      <c r="A84" s="194" t="s">
        <v>3284</v>
      </c>
      <c r="B84" s="101"/>
      <c r="C84" s="101"/>
      <c r="D84" s="101">
        <v>0.17</v>
      </c>
      <c r="E84" s="141"/>
      <c r="F84" s="140"/>
    </row>
    <row r="85" spans="1:6" x14ac:dyDescent="0.2">
      <c r="A85" s="194" t="s">
        <v>3354</v>
      </c>
      <c r="B85" s="141">
        <v>0</v>
      </c>
      <c r="C85" s="141">
        <v>0</v>
      </c>
      <c r="D85" s="101">
        <f ca="1">-B52/B33</f>
        <v>-4.478457290336177</v>
      </c>
      <c r="E85" s="141">
        <f ca="1">-B52/B38</f>
        <v>-1.3732775407458162</v>
      </c>
      <c r="F85" s="140"/>
    </row>
    <row r="86" spans="1:6" ht="16" thickBot="1" x14ac:dyDescent="0.25">
      <c r="A86" s="152"/>
      <c r="B86" s="69"/>
      <c r="C86" s="69"/>
      <c r="D86" s="69"/>
      <c r="E86" s="69"/>
      <c r="F86" s="193"/>
    </row>
  </sheetData>
  <mergeCells count="2">
    <mergeCell ref="A1:O2"/>
    <mergeCell ref="B78:E78"/>
  </mergeCells>
  <pageMargins left="0.7" right="0.7" top="0.75" bottom="0.75" header="0.3" footer="0.3"/>
  <pageSetup orientation="portrait" horizontalDpi="0" verticalDpi="0"/>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8E6D1-E8F2-490B-87EA-A33BAB62ED68}">
  <sheetPr codeName="Sheet16"/>
  <dimension ref="A1:P2903"/>
  <sheetViews>
    <sheetView zoomScaleNormal="100" workbookViewId="0">
      <selection activeCell="O28" sqref="O28"/>
    </sheetView>
  </sheetViews>
  <sheetFormatPr baseColWidth="10" defaultColWidth="8.83203125" defaultRowHeight="15" x14ac:dyDescent="0.2"/>
  <cols>
    <col min="1" max="1" width="39.83203125" style="208" customWidth="1"/>
    <col min="2" max="2" width="20.1640625" style="243" customWidth="1"/>
    <col min="3" max="3" width="14.5" style="133" customWidth="1"/>
    <col min="4" max="4" width="14.5" customWidth="1"/>
    <col min="5" max="5" width="48.33203125" style="8" customWidth="1"/>
    <col min="6" max="7" width="14.5" customWidth="1"/>
    <col min="8" max="8" width="37.6640625" customWidth="1"/>
    <col min="9" max="10" width="14.5" customWidth="1"/>
    <col min="11" max="11" width="37.33203125" customWidth="1"/>
    <col min="12" max="12" width="20.5" style="243" customWidth="1"/>
    <col min="13" max="13" width="17.5" customWidth="1"/>
  </cols>
  <sheetData>
    <row r="1" spans="1:16" ht="16" thickBot="1" x14ac:dyDescent="0.25"/>
    <row r="2" spans="1:16" x14ac:dyDescent="0.2">
      <c r="A2" s="1813" t="s">
        <v>753</v>
      </c>
      <c r="B2" s="1814"/>
      <c r="C2" s="1814"/>
      <c r="D2" s="1814"/>
      <c r="E2" s="1814"/>
      <c r="F2" s="1814"/>
      <c r="G2" s="1814"/>
      <c r="H2" s="1814"/>
      <c r="I2" s="1814"/>
      <c r="J2" s="1814"/>
      <c r="K2" s="1814"/>
      <c r="L2" s="1814"/>
      <c r="M2" s="1814"/>
      <c r="N2" s="1814"/>
      <c r="O2" s="1814"/>
      <c r="P2" s="1815"/>
    </row>
    <row r="3" spans="1:16" ht="16" thickBot="1" x14ac:dyDescent="0.25">
      <c r="A3" s="1816"/>
      <c r="B3" s="1817"/>
      <c r="C3" s="1817"/>
      <c r="D3" s="1817"/>
      <c r="E3" s="1817"/>
      <c r="F3" s="1817"/>
      <c r="G3" s="1817"/>
      <c r="H3" s="1817"/>
      <c r="I3" s="1817"/>
      <c r="J3" s="1817"/>
      <c r="K3" s="1817"/>
      <c r="L3" s="1817"/>
      <c r="M3" s="1817"/>
      <c r="N3" s="1817"/>
      <c r="O3" s="1817"/>
      <c r="P3" s="1818"/>
    </row>
    <row r="4" spans="1:16" s="6" customFormat="1" x14ac:dyDescent="0.2">
      <c r="A4" s="1920" t="s">
        <v>697</v>
      </c>
      <c r="B4" s="1515" t="s">
        <v>698</v>
      </c>
      <c r="C4" s="1515"/>
      <c r="D4" s="1515"/>
      <c r="E4" s="1921" t="s">
        <v>3362</v>
      </c>
      <c r="F4" s="1515" t="s">
        <v>699</v>
      </c>
      <c r="G4" s="1515"/>
      <c r="H4" s="1515" t="s">
        <v>3363</v>
      </c>
      <c r="I4" s="1515"/>
      <c r="J4" s="1515"/>
      <c r="K4" s="1515" t="s">
        <v>700</v>
      </c>
      <c r="L4" s="1515"/>
      <c r="M4" s="1515"/>
    </row>
    <row r="5" spans="1:16" s="6" customFormat="1" ht="15.75" customHeight="1" x14ac:dyDescent="0.2">
      <c r="A5" s="1520"/>
      <c r="B5" s="1214" t="s">
        <v>515</v>
      </c>
      <c r="C5" s="1112" t="s">
        <v>372</v>
      </c>
      <c r="D5" s="969" t="s">
        <v>583</v>
      </c>
      <c r="E5" s="1922"/>
      <c r="F5" s="969" t="s">
        <v>42</v>
      </c>
      <c r="G5" s="969" t="s">
        <v>372</v>
      </c>
      <c r="H5" s="29" t="s">
        <v>697</v>
      </c>
      <c r="I5" s="969" t="s">
        <v>42</v>
      </c>
      <c r="J5" s="969" t="s">
        <v>372</v>
      </c>
      <c r="K5" s="969" t="s">
        <v>697</v>
      </c>
      <c r="L5" s="1214" t="s">
        <v>42</v>
      </c>
      <c r="M5" s="969" t="s">
        <v>372</v>
      </c>
    </row>
    <row r="6" spans="1:16" ht="64" x14ac:dyDescent="0.2">
      <c r="A6" s="1215" t="s">
        <v>2482</v>
      </c>
      <c r="B6" s="845">
        <v>1</v>
      </c>
      <c r="C6" s="1103" t="s">
        <v>2788</v>
      </c>
      <c r="D6" s="110">
        <v>2</v>
      </c>
      <c r="E6" s="1216" t="s">
        <v>3364</v>
      </c>
      <c r="F6" s="110">
        <v>1</v>
      </c>
      <c r="G6" s="110" t="s">
        <v>3365</v>
      </c>
      <c r="H6" s="110"/>
      <c r="I6" s="110"/>
      <c r="J6" s="110"/>
      <c r="K6" s="110"/>
      <c r="L6" s="845"/>
      <c r="M6" s="112"/>
    </row>
    <row r="7" spans="1:16" x14ac:dyDescent="0.2">
      <c r="A7" s="1217"/>
      <c r="B7" s="166">
        <v>10</v>
      </c>
      <c r="C7" s="133" t="s">
        <v>3366</v>
      </c>
      <c r="E7" s="83"/>
      <c r="H7" t="s">
        <v>701</v>
      </c>
      <c r="I7">
        <v>1.9000000000000001E-4</v>
      </c>
      <c r="J7" t="s">
        <v>702</v>
      </c>
      <c r="K7" t="s">
        <v>701</v>
      </c>
      <c r="L7" s="166">
        <f>I7*$B$11</f>
        <v>350.07723230479115</v>
      </c>
      <c r="M7" s="127" t="s">
        <v>3367</v>
      </c>
    </row>
    <row r="8" spans="1:16" x14ac:dyDescent="0.2">
      <c r="A8" s="1217"/>
      <c r="B8" s="166">
        <v>383.85661436928854</v>
      </c>
      <c r="C8" s="133" t="s">
        <v>267</v>
      </c>
      <c r="E8" s="83"/>
      <c r="H8" t="s">
        <v>703</v>
      </c>
      <c r="I8" s="33">
        <f>0.000000000555807</f>
        <v>5.5580700000000004E-10</v>
      </c>
      <c r="J8" t="s">
        <v>704</v>
      </c>
      <c r="K8" t="s">
        <v>703</v>
      </c>
      <c r="L8" s="166">
        <f t="shared" ref="L8:L16" si="0">I8*$B$11</f>
        <v>1.0240809276612056E-3</v>
      </c>
      <c r="M8" s="127" t="s">
        <v>3368</v>
      </c>
    </row>
    <row r="9" spans="1:16" x14ac:dyDescent="0.2">
      <c r="A9" s="1217"/>
      <c r="B9" s="166">
        <v>3070.8529149543083</v>
      </c>
      <c r="C9" s="133" t="s">
        <v>3369</v>
      </c>
      <c r="E9" s="83"/>
      <c r="H9" t="s">
        <v>705</v>
      </c>
      <c r="I9">
        <v>3.1060000000000001E-2</v>
      </c>
      <c r="J9" t="s">
        <v>706</v>
      </c>
      <c r="K9" t="s">
        <v>705</v>
      </c>
      <c r="L9" s="166">
        <f t="shared" si="0"/>
        <v>57228.414923088487</v>
      </c>
      <c r="M9" s="127" t="s">
        <v>3370</v>
      </c>
    </row>
    <row r="10" spans="1:16" x14ac:dyDescent="0.2">
      <c r="A10" s="1217"/>
      <c r="B10" s="166">
        <f>B9*B7*30</f>
        <v>921255.87448629248</v>
      </c>
      <c r="C10" s="133" t="s">
        <v>3371</v>
      </c>
      <c r="E10" s="83"/>
      <c r="H10" t="s">
        <v>3372</v>
      </c>
      <c r="I10">
        <f>0.000000275933</f>
        <v>2.7593299999999999E-7</v>
      </c>
      <c r="J10" t="s">
        <v>3373</v>
      </c>
      <c r="K10" t="s">
        <v>3372</v>
      </c>
      <c r="L10" s="166">
        <f t="shared" si="0"/>
        <v>0.50840979442925227</v>
      </c>
      <c r="M10" s="127" t="s">
        <v>3374</v>
      </c>
    </row>
    <row r="11" spans="1:16" x14ac:dyDescent="0.2">
      <c r="A11" s="1217"/>
      <c r="B11" s="1218">
        <f>D6*B10</f>
        <v>1842511.748972585</v>
      </c>
      <c r="C11" s="1114" t="s">
        <v>3371</v>
      </c>
      <c r="D11" s="6" t="s">
        <v>577</v>
      </c>
      <c r="E11" s="83"/>
      <c r="H11" t="s">
        <v>3375</v>
      </c>
      <c r="I11">
        <v>1.3999999999999999E-4</v>
      </c>
      <c r="J11" t="s">
        <v>707</v>
      </c>
      <c r="K11" t="s">
        <v>3375</v>
      </c>
      <c r="L11" s="166">
        <f t="shared" si="0"/>
        <v>257.95164485616186</v>
      </c>
      <c r="M11" s="127" t="s">
        <v>3376</v>
      </c>
    </row>
    <row r="12" spans="1:16" x14ac:dyDescent="0.2">
      <c r="A12" s="1217"/>
      <c r="B12" s="166"/>
      <c r="E12" s="83"/>
      <c r="H12" t="s">
        <v>708</v>
      </c>
      <c r="I12">
        <v>8.0599999999999995E-3</v>
      </c>
      <c r="J12" t="s">
        <v>709</v>
      </c>
      <c r="K12" t="s">
        <v>708</v>
      </c>
      <c r="L12" s="166">
        <f t="shared" si="0"/>
        <v>14850.644696719033</v>
      </c>
      <c r="M12" s="127" t="s">
        <v>3377</v>
      </c>
    </row>
    <row r="13" spans="1:16" x14ac:dyDescent="0.2">
      <c r="A13" s="1217"/>
      <c r="B13" s="166"/>
      <c r="E13" s="83"/>
      <c r="H13" t="s">
        <v>3378</v>
      </c>
      <c r="I13">
        <f>0.000000000420185</f>
        <v>4.2018499999999998E-10</v>
      </c>
      <c r="J13" t="s">
        <v>704</v>
      </c>
      <c r="K13" t="s">
        <v>3378</v>
      </c>
      <c r="L13" s="166">
        <f t="shared" si="0"/>
        <v>7.7419579924204558E-4</v>
      </c>
      <c r="M13" s="127" t="s">
        <v>3368</v>
      </c>
    </row>
    <row r="14" spans="1:16" x14ac:dyDescent="0.2">
      <c r="A14" s="1217"/>
      <c r="B14" s="166"/>
      <c r="E14" s="83"/>
      <c r="H14" t="s">
        <v>710</v>
      </c>
      <c r="I14" s="33">
        <v>1.3143099999999999E-10</v>
      </c>
      <c r="J14" t="s">
        <v>3379</v>
      </c>
      <c r="K14" t="s">
        <v>710</v>
      </c>
      <c r="L14" s="166">
        <f t="shared" si="0"/>
        <v>2.421631616792158E-4</v>
      </c>
      <c r="M14" s="127" t="s">
        <v>3380</v>
      </c>
    </row>
    <row r="15" spans="1:16" x14ac:dyDescent="0.2">
      <c r="A15" s="1217"/>
      <c r="B15" s="166"/>
      <c r="E15" s="83"/>
      <c r="H15" t="s">
        <v>3381</v>
      </c>
      <c r="I15" s="33">
        <v>1.16793E-5</v>
      </c>
      <c r="J15" t="s">
        <v>3382</v>
      </c>
      <c r="K15" t="s">
        <v>3381</v>
      </c>
      <c r="L15" s="166">
        <f t="shared" si="0"/>
        <v>21.519247469775511</v>
      </c>
      <c r="M15" s="127" t="s">
        <v>3383</v>
      </c>
    </row>
    <row r="16" spans="1:16" x14ac:dyDescent="0.2">
      <c r="A16" s="1217"/>
      <c r="B16" s="166"/>
      <c r="E16" s="83"/>
      <c r="H16" t="s">
        <v>3384</v>
      </c>
      <c r="I16">
        <v>3.31E-3</v>
      </c>
      <c r="J16" t="s">
        <v>711</v>
      </c>
      <c r="K16" t="s">
        <v>3384</v>
      </c>
      <c r="L16" s="166">
        <f t="shared" si="0"/>
        <v>6098.7138890992564</v>
      </c>
      <c r="M16" s="127" t="s">
        <v>3385</v>
      </c>
    </row>
    <row r="17" spans="1:13" x14ac:dyDescent="0.2">
      <c r="A17" s="1219"/>
      <c r="B17" s="833"/>
      <c r="C17" s="1102"/>
      <c r="D17" s="118"/>
      <c r="E17" s="1220"/>
      <c r="F17" s="118"/>
      <c r="G17" s="118"/>
      <c r="H17" s="118"/>
      <c r="I17" s="118"/>
      <c r="J17" s="118"/>
      <c r="K17" s="118"/>
      <c r="L17" s="833"/>
      <c r="M17" s="120"/>
    </row>
    <row r="18" spans="1:13" ht="48" x14ac:dyDescent="0.2">
      <c r="A18" s="1215" t="s">
        <v>2483</v>
      </c>
      <c r="B18" s="845">
        <v>40</v>
      </c>
      <c r="C18" s="1103" t="s">
        <v>13</v>
      </c>
      <c r="D18" s="110">
        <v>82</v>
      </c>
      <c r="E18" s="159" t="s">
        <v>3386</v>
      </c>
      <c r="F18" s="110">
        <v>1</v>
      </c>
      <c r="G18" s="110" t="s">
        <v>3365</v>
      </c>
      <c r="H18" s="110"/>
      <c r="I18" s="110"/>
      <c r="J18" s="110"/>
      <c r="K18" s="110"/>
      <c r="L18" s="845"/>
      <c r="M18" s="112"/>
    </row>
    <row r="19" spans="1:13" x14ac:dyDescent="0.2">
      <c r="A19" s="1217"/>
      <c r="B19" s="1218">
        <f>B11</f>
        <v>1842511.748972585</v>
      </c>
      <c r="C19" s="1221" t="str">
        <f t="shared" ref="C19:D19" si="1">C11</f>
        <v>tonne*km/30 yr</v>
      </c>
      <c r="D19" s="1221" t="str">
        <f t="shared" si="1"/>
        <v>TOTAL</v>
      </c>
      <c r="E19" s="83"/>
      <c r="H19" t="s">
        <v>701</v>
      </c>
      <c r="I19">
        <v>7.6999999999999996E-4</v>
      </c>
      <c r="J19" t="s">
        <v>702</v>
      </c>
      <c r="K19" t="s">
        <v>701</v>
      </c>
      <c r="L19" s="166">
        <f>B$19*I19</f>
        <v>1418.7340467088904</v>
      </c>
      <c r="M19" s="127" t="s">
        <v>3367</v>
      </c>
    </row>
    <row r="20" spans="1:13" x14ac:dyDescent="0.2">
      <c r="A20" s="1217"/>
      <c r="B20" s="166"/>
      <c r="E20" s="83"/>
      <c r="H20" t="s">
        <v>703</v>
      </c>
      <c r="I20" s="33">
        <v>1.22517E-8</v>
      </c>
      <c r="J20" t="s">
        <v>704</v>
      </c>
      <c r="K20" t="s">
        <v>703</v>
      </c>
      <c r="L20" s="166">
        <f t="shared" ref="L20:L28" si="2">B$19*I20</f>
        <v>2.2573901194887419E-2</v>
      </c>
      <c r="M20" s="127" t="s">
        <v>3368</v>
      </c>
    </row>
    <row r="21" spans="1:13" x14ac:dyDescent="0.2">
      <c r="A21" s="1217"/>
      <c r="B21" s="166"/>
      <c r="E21" s="83"/>
      <c r="H21" t="s">
        <v>705</v>
      </c>
      <c r="I21">
        <v>3.8108300000000002</v>
      </c>
      <c r="J21" t="s">
        <v>706</v>
      </c>
      <c r="K21" t="s">
        <v>705</v>
      </c>
      <c r="L21" s="166">
        <f t="shared" si="2"/>
        <v>7021499.048337196</v>
      </c>
      <c r="M21" s="127" t="s">
        <v>3370</v>
      </c>
    </row>
    <row r="22" spans="1:13" x14ac:dyDescent="0.2">
      <c r="A22" s="1217"/>
      <c r="B22" s="166"/>
      <c r="E22" s="83"/>
      <c r="H22" t="s">
        <v>3372</v>
      </c>
      <c r="I22" s="33">
        <v>1.37568E-5</v>
      </c>
      <c r="J22" t="s">
        <v>3373</v>
      </c>
      <c r="K22" t="s">
        <v>3372</v>
      </c>
      <c r="L22" s="166">
        <f t="shared" si="2"/>
        <v>25.347065628266058</v>
      </c>
      <c r="M22" s="127" t="s">
        <v>3374</v>
      </c>
    </row>
    <row r="23" spans="1:13" x14ac:dyDescent="0.2">
      <c r="A23" s="1217"/>
      <c r="B23" s="166"/>
      <c r="E23" s="83"/>
      <c r="H23" t="s">
        <v>3375</v>
      </c>
      <c r="I23">
        <v>8.1999999999999998E-4</v>
      </c>
      <c r="J23" t="s">
        <v>707</v>
      </c>
      <c r="K23" t="s">
        <v>3375</v>
      </c>
      <c r="L23" s="166">
        <f t="shared" si="2"/>
        <v>1510.8596341575196</v>
      </c>
      <c r="M23" s="127" t="s">
        <v>3376</v>
      </c>
    </row>
    <row r="24" spans="1:13" x14ac:dyDescent="0.2">
      <c r="A24" s="1217"/>
      <c r="B24" s="166"/>
      <c r="E24" s="83"/>
      <c r="H24" t="s">
        <v>708</v>
      </c>
      <c r="I24" s="33">
        <v>0.19194</v>
      </c>
      <c r="J24" t="s">
        <v>709</v>
      </c>
      <c r="K24" t="s">
        <v>708</v>
      </c>
      <c r="L24" s="166">
        <f t="shared" si="2"/>
        <v>353651.70509779797</v>
      </c>
      <c r="M24" s="127" t="s">
        <v>3377</v>
      </c>
    </row>
    <row r="25" spans="1:13" x14ac:dyDescent="0.2">
      <c r="A25" s="1217"/>
      <c r="B25" s="166"/>
      <c r="E25" s="83"/>
      <c r="H25" t="s">
        <v>3378</v>
      </c>
      <c r="I25" s="33">
        <v>3.8108300000000002E-8</v>
      </c>
      <c r="J25" t="s">
        <v>704</v>
      </c>
      <c r="K25" t="s">
        <v>3378</v>
      </c>
      <c r="L25" s="166">
        <f t="shared" si="2"/>
        <v>7.0214990483371958E-2</v>
      </c>
      <c r="M25" s="127" t="s">
        <v>3368</v>
      </c>
    </row>
    <row r="26" spans="1:13" x14ac:dyDescent="0.2">
      <c r="A26" s="1217"/>
      <c r="B26" s="166"/>
      <c r="E26" s="83"/>
      <c r="H26" t="s">
        <v>710</v>
      </c>
      <c r="I26" s="33">
        <v>7.4862200000000006E-9</v>
      </c>
      <c r="J26" t="s">
        <v>3379</v>
      </c>
      <c r="K26" t="s">
        <v>710</v>
      </c>
      <c r="L26" s="166">
        <f t="shared" si="2"/>
        <v>1.3793448305393545E-2</v>
      </c>
      <c r="M26" s="127" t="s">
        <v>3380</v>
      </c>
    </row>
    <row r="27" spans="1:13" x14ac:dyDescent="0.2">
      <c r="A27" s="1217"/>
      <c r="B27" s="166"/>
      <c r="E27" s="83"/>
      <c r="H27" t="s">
        <v>3381</v>
      </c>
      <c r="I27" s="33">
        <v>1.4999999999999999E-4</v>
      </c>
      <c r="J27" t="s">
        <v>3382</v>
      </c>
      <c r="K27" t="s">
        <v>3381</v>
      </c>
      <c r="L27" s="166">
        <f t="shared" si="2"/>
        <v>276.3767623458877</v>
      </c>
      <c r="M27" s="127" t="s">
        <v>3383</v>
      </c>
    </row>
    <row r="28" spans="1:13" x14ac:dyDescent="0.2">
      <c r="A28" s="1217"/>
      <c r="B28" s="166"/>
      <c r="E28" s="83"/>
      <c r="H28" t="s">
        <v>3384</v>
      </c>
      <c r="I28" s="33">
        <v>1.951E-2</v>
      </c>
      <c r="J28" t="s">
        <v>711</v>
      </c>
      <c r="K28" t="s">
        <v>3384</v>
      </c>
      <c r="L28" s="166">
        <f t="shared" si="2"/>
        <v>35947.40422245513</v>
      </c>
      <c r="M28" s="127" t="s">
        <v>3385</v>
      </c>
    </row>
    <row r="29" spans="1:13" x14ac:dyDescent="0.2">
      <c r="A29" s="1219"/>
      <c r="B29" s="833"/>
      <c r="C29" s="1102"/>
      <c r="D29" s="118"/>
      <c r="E29" s="1220"/>
      <c r="F29" s="118"/>
      <c r="G29" s="118"/>
      <c r="H29" s="118"/>
      <c r="I29" s="118"/>
      <c r="J29" s="118"/>
      <c r="K29" s="118"/>
      <c r="L29" s="833"/>
      <c r="M29" s="120"/>
    </row>
    <row r="30" spans="1:13" ht="48" x14ac:dyDescent="0.2">
      <c r="A30" s="1215" t="s">
        <v>2325</v>
      </c>
      <c r="B30" s="845">
        <v>40</v>
      </c>
      <c r="C30" s="1103" t="s">
        <v>13</v>
      </c>
      <c r="D30" s="110">
        <v>35</v>
      </c>
      <c r="E30" s="159" t="s">
        <v>3386</v>
      </c>
      <c r="F30" s="110">
        <v>1</v>
      </c>
      <c r="G30" s="110" t="s">
        <v>3365</v>
      </c>
      <c r="H30" s="110"/>
      <c r="I30" s="110"/>
      <c r="J30" s="110"/>
      <c r="K30" s="110"/>
      <c r="L30" s="845"/>
      <c r="M30" s="112"/>
    </row>
    <row r="31" spans="1:13" x14ac:dyDescent="0.2">
      <c r="A31" s="1217"/>
      <c r="B31" s="166">
        <v>25.78</v>
      </c>
      <c r="C31" s="901" t="s">
        <v>444</v>
      </c>
      <c r="E31" s="83"/>
      <c r="H31" t="s">
        <v>701</v>
      </c>
      <c r="I31">
        <v>7.6999999999999996E-4</v>
      </c>
      <c r="J31" t="s">
        <v>702</v>
      </c>
      <c r="K31" t="s">
        <v>701</v>
      </c>
      <c r="L31" s="166">
        <f>I31*B$35</f>
        <v>1456754.2259424001</v>
      </c>
      <c r="M31" s="127" t="s">
        <v>3367</v>
      </c>
    </row>
    <row r="32" spans="1:13" x14ac:dyDescent="0.2">
      <c r="A32" s="1217"/>
      <c r="B32" s="166">
        <v>206240</v>
      </c>
      <c r="C32" s="133" t="s">
        <v>3369</v>
      </c>
      <c r="E32" s="83"/>
      <c r="H32" t="s">
        <v>703</v>
      </c>
      <c r="I32" s="33">
        <v>1.22517E-8</v>
      </c>
      <c r="J32" t="s">
        <v>704</v>
      </c>
      <c r="K32" t="s">
        <v>703</v>
      </c>
      <c r="L32" s="166">
        <f t="shared" ref="L32:L40" si="3">I32*B$35</f>
        <v>23.178851623348706</v>
      </c>
      <c r="M32" s="127" t="s">
        <v>3368</v>
      </c>
    </row>
    <row r="33" spans="1:13" x14ac:dyDescent="0.2">
      <c r="A33" s="1217"/>
      <c r="B33" s="166">
        <v>190</v>
      </c>
      <c r="C33" s="133" t="s">
        <v>3387</v>
      </c>
      <c r="E33" s="83"/>
      <c r="H33" t="s">
        <v>705</v>
      </c>
      <c r="I33">
        <v>3.8108300000000002</v>
      </c>
      <c r="J33" t="s">
        <v>706</v>
      </c>
      <c r="K33" t="s">
        <v>705</v>
      </c>
      <c r="L33" s="166">
        <f t="shared" si="3"/>
        <v>7209665853.0494499</v>
      </c>
      <c r="M33" s="127" t="s">
        <v>3370</v>
      </c>
    </row>
    <row r="34" spans="1:13" x14ac:dyDescent="0.2">
      <c r="A34" s="1217"/>
      <c r="B34" s="166">
        <v>305.77460000000002</v>
      </c>
      <c r="C34" s="133" t="s">
        <v>3366</v>
      </c>
      <c r="E34" s="83"/>
      <c r="H34" t="s">
        <v>3372</v>
      </c>
      <c r="I34" s="33">
        <v>1.37568E-5</v>
      </c>
      <c r="J34" t="s">
        <v>3373</v>
      </c>
      <c r="K34" t="s">
        <v>3372</v>
      </c>
      <c r="L34" s="166">
        <f t="shared" si="3"/>
        <v>26026.33316291482</v>
      </c>
      <c r="M34" s="127" t="s">
        <v>3374</v>
      </c>
    </row>
    <row r="35" spans="1:13" x14ac:dyDescent="0.2">
      <c r="A35" s="1217"/>
      <c r="B35" s="1218">
        <f>B34*B32*30</f>
        <v>1891888605.1200001</v>
      </c>
      <c r="C35" s="1221" t="s">
        <v>3371</v>
      </c>
      <c r="D35" s="1221" t="s">
        <v>577</v>
      </c>
      <c r="E35" s="83"/>
      <c r="H35" t="s">
        <v>3375</v>
      </c>
      <c r="I35">
        <v>8.1999999999999998E-4</v>
      </c>
      <c r="J35" t="s">
        <v>707</v>
      </c>
      <c r="K35" t="s">
        <v>3375</v>
      </c>
      <c r="L35" s="166">
        <f t="shared" si="3"/>
        <v>1551348.6561984001</v>
      </c>
      <c r="M35" s="127" t="s">
        <v>3376</v>
      </c>
    </row>
    <row r="36" spans="1:13" x14ac:dyDescent="0.2">
      <c r="A36" s="1217"/>
      <c r="B36" s="166"/>
      <c r="E36" s="83"/>
      <c r="H36" t="s">
        <v>708</v>
      </c>
      <c r="I36" s="33">
        <v>0.19194</v>
      </c>
      <c r="J36" t="s">
        <v>709</v>
      </c>
      <c r="K36" t="s">
        <v>708</v>
      </c>
      <c r="L36" s="166">
        <f t="shared" si="3"/>
        <v>363129098.86673284</v>
      </c>
      <c r="M36" s="127" t="s">
        <v>3377</v>
      </c>
    </row>
    <row r="37" spans="1:13" x14ac:dyDescent="0.2">
      <c r="A37" s="1217"/>
      <c r="B37" s="166"/>
      <c r="E37" s="83"/>
      <c r="H37" t="s">
        <v>3378</v>
      </c>
      <c r="I37" s="33">
        <v>3.8108300000000002E-8</v>
      </c>
      <c r="J37" t="s">
        <v>704</v>
      </c>
      <c r="K37" t="s">
        <v>3378</v>
      </c>
      <c r="L37" s="166">
        <f t="shared" si="3"/>
        <v>72.096658530494508</v>
      </c>
      <c r="M37" s="127" t="s">
        <v>3368</v>
      </c>
    </row>
    <row r="38" spans="1:13" x14ac:dyDescent="0.2">
      <c r="A38" s="1217"/>
      <c r="B38" s="166"/>
      <c r="E38" s="83"/>
      <c r="H38" t="s">
        <v>710</v>
      </c>
      <c r="I38" s="33">
        <v>7.4862200000000006E-9</v>
      </c>
      <c r="J38" t="s">
        <v>3379</v>
      </c>
      <c r="K38" t="s">
        <v>710</v>
      </c>
      <c r="L38" s="166">
        <f t="shared" si="3"/>
        <v>14.163094313421448</v>
      </c>
      <c r="M38" s="127" t="s">
        <v>3380</v>
      </c>
    </row>
    <row r="39" spans="1:13" x14ac:dyDescent="0.2">
      <c r="A39" s="1217"/>
      <c r="B39" s="166"/>
      <c r="E39" s="83"/>
      <c r="H39" t="s">
        <v>3381</v>
      </c>
      <c r="I39" s="33">
        <v>1.4999999999999999E-4</v>
      </c>
      <c r="J39" t="s">
        <v>3382</v>
      </c>
      <c r="K39" t="s">
        <v>3381</v>
      </c>
      <c r="L39" s="166">
        <f t="shared" si="3"/>
        <v>283783.29076800001</v>
      </c>
      <c r="M39" s="127" t="s">
        <v>3383</v>
      </c>
    </row>
    <row r="40" spans="1:13" x14ac:dyDescent="0.2">
      <c r="A40" s="1217"/>
      <c r="B40" s="166"/>
      <c r="E40" s="83"/>
      <c r="H40" t="s">
        <v>3384</v>
      </c>
      <c r="I40" s="33">
        <v>1.951E-2</v>
      </c>
      <c r="J40" t="s">
        <v>711</v>
      </c>
      <c r="K40" t="s">
        <v>3384</v>
      </c>
      <c r="L40" s="166">
        <f t="shared" si="3"/>
        <v>36910746.685891204</v>
      </c>
      <c r="M40" s="127" t="s">
        <v>3385</v>
      </c>
    </row>
    <row r="41" spans="1:13" x14ac:dyDescent="0.2">
      <c r="A41" s="1219"/>
      <c r="B41" s="833"/>
      <c r="C41" s="1102"/>
      <c r="D41" s="118"/>
      <c r="E41" s="1220"/>
      <c r="F41" s="118"/>
      <c r="G41" s="118"/>
      <c r="H41" s="118"/>
      <c r="I41" s="118"/>
      <c r="J41" s="118"/>
      <c r="K41" s="118"/>
      <c r="L41" s="833"/>
      <c r="M41" s="120"/>
    </row>
    <row r="42" spans="1:13" ht="48" x14ac:dyDescent="0.2">
      <c r="A42" s="1215" t="s">
        <v>2321</v>
      </c>
      <c r="B42" s="845">
        <v>40</v>
      </c>
      <c r="C42" s="1103" t="s">
        <v>13</v>
      </c>
      <c r="D42" s="110">
        <v>86</v>
      </c>
      <c r="E42" s="159" t="s">
        <v>3386</v>
      </c>
      <c r="F42" s="110">
        <v>1</v>
      </c>
      <c r="G42" s="110" t="s">
        <v>3365</v>
      </c>
      <c r="H42" s="110"/>
      <c r="I42" s="110"/>
      <c r="J42" s="110"/>
      <c r="K42" s="110"/>
      <c r="L42" s="845"/>
      <c r="M42" s="112"/>
    </row>
    <row r="43" spans="1:13" x14ac:dyDescent="0.2">
      <c r="A43" s="1217"/>
      <c r="B43" s="166">
        <v>50</v>
      </c>
      <c r="C43" s="133" t="s">
        <v>444</v>
      </c>
      <c r="E43" s="83"/>
      <c r="H43" t="s">
        <v>701</v>
      </c>
      <c r="I43">
        <v>7.6999999999999996E-4</v>
      </c>
      <c r="J43" t="s">
        <v>702</v>
      </c>
      <c r="K43" t="s">
        <v>701</v>
      </c>
      <c r="L43" s="166">
        <f>I43*B$47</f>
        <v>3598612.9871999999</v>
      </c>
      <c r="M43" s="127" t="s">
        <v>3367</v>
      </c>
    </row>
    <row r="44" spans="1:13" x14ac:dyDescent="0.2">
      <c r="A44" s="1217"/>
      <c r="B44" s="166">
        <v>400000</v>
      </c>
      <c r="C44" s="133" t="s">
        <v>3369</v>
      </c>
      <c r="E44" s="83"/>
      <c r="H44" t="s">
        <v>703</v>
      </c>
      <c r="I44" s="33">
        <v>1.22517E-8</v>
      </c>
      <c r="J44" t="s">
        <v>704</v>
      </c>
      <c r="K44" t="s">
        <v>703</v>
      </c>
      <c r="L44" s="166">
        <f t="shared" ref="L44:L52" si="4">I44*B$47</f>
        <v>57.258606149712001</v>
      </c>
      <c r="M44" s="127" t="s">
        <v>3368</v>
      </c>
    </row>
    <row r="45" spans="1:13" x14ac:dyDescent="0.2">
      <c r="A45" s="1217"/>
      <c r="B45" s="166">
        <v>242</v>
      </c>
      <c r="C45" s="133" t="s">
        <v>3387</v>
      </c>
      <c r="E45" s="83"/>
      <c r="H45" t="s">
        <v>705</v>
      </c>
      <c r="I45">
        <v>3.8108300000000002</v>
      </c>
      <c r="J45" t="s">
        <v>706</v>
      </c>
      <c r="K45" t="s">
        <v>705</v>
      </c>
      <c r="L45" s="166">
        <f t="shared" si="4"/>
        <v>17810003025.9888</v>
      </c>
      <c r="M45" s="127" t="s">
        <v>3370</v>
      </c>
    </row>
    <row r="46" spans="1:13" x14ac:dyDescent="0.2">
      <c r="A46" s="1217"/>
      <c r="B46" s="166">
        <v>389.46028000000001</v>
      </c>
      <c r="C46" s="133" t="s">
        <v>3366</v>
      </c>
      <c r="E46" s="83"/>
      <c r="H46" t="s">
        <v>3372</v>
      </c>
      <c r="I46" s="33">
        <v>1.37568E-5</v>
      </c>
      <c r="J46" t="s">
        <v>3373</v>
      </c>
      <c r="K46" t="s">
        <v>3372</v>
      </c>
      <c r="L46" s="166">
        <f t="shared" si="4"/>
        <v>64292.726158848003</v>
      </c>
      <c r="M46" s="127" t="s">
        <v>3374</v>
      </c>
    </row>
    <row r="47" spans="1:13" x14ac:dyDescent="0.2">
      <c r="A47" s="1217"/>
      <c r="B47" s="1218">
        <f>B44*30*B46</f>
        <v>4673523360</v>
      </c>
      <c r="C47" s="1221" t="s">
        <v>3371</v>
      </c>
      <c r="D47" s="1221" t="s">
        <v>577</v>
      </c>
      <c r="E47" s="83"/>
      <c r="H47" t="s">
        <v>3375</v>
      </c>
      <c r="I47">
        <v>8.1999999999999998E-4</v>
      </c>
      <c r="J47" t="s">
        <v>707</v>
      </c>
      <c r="K47" t="s">
        <v>3375</v>
      </c>
      <c r="L47" s="166">
        <f t="shared" si="4"/>
        <v>3832289.1551999999</v>
      </c>
      <c r="M47" s="127" t="s">
        <v>3376</v>
      </c>
    </row>
    <row r="48" spans="1:13" x14ac:dyDescent="0.2">
      <c r="A48" s="1217"/>
      <c r="B48" s="166"/>
      <c r="E48" s="83"/>
      <c r="H48" t="s">
        <v>708</v>
      </c>
      <c r="I48" s="33">
        <v>0.19194</v>
      </c>
      <c r="J48" t="s">
        <v>709</v>
      </c>
      <c r="K48" t="s">
        <v>708</v>
      </c>
      <c r="L48" s="166">
        <f t="shared" si="4"/>
        <v>897036073.7184</v>
      </c>
      <c r="M48" s="127" t="s">
        <v>3377</v>
      </c>
    </row>
    <row r="49" spans="1:13" x14ac:dyDescent="0.2">
      <c r="A49" s="1217"/>
      <c r="B49" s="166"/>
      <c r="E49" s="83"/>
      <c r="H49" t="s">
        <v>3378</v>
      </c>
      <c r="I49" s="33">
        <v>3.8108300000000002E-8</v>
      </c>
      <c r="J49" t="s">
        <v>704</v>
      </c>
      <c r="K49" t="s">
        <v>3378</v>
      </c>
      <c r="L49" s="166">
        <f t="shared" si="4"/>
        <v>178.100030259888</v>
      </c>
      <c r="M49" s="127" t="s">
        <v>3368</v>
      </c>
    </row>
    <row r="50" spans="1:13" x14ac:dyDescent="0.2">
      <c r="A50" s="1217"/>
      <c r="B50" s="166"/>
      <c r="E50" s="83"/>
      <c r="H50" t="s">
        <v>710</v>
      </c>
      <c r="I50" s="33">
        <v>7.4862200000000006E-9</v>
      </c>
      <c r="J50" t="s">
        <v>3379</v>
      </c>
      <c r="K50" t="s">
        <v>710</v>
      </c>
      <c r="L50" s="166">
        <f t="shared" si="4"/>
        <v>34.987024048099201</v>
      </c>
      <c r="M50" s="127" t="s">
        <v>3380</v>
      </c>
    </row>
    <row r="51" spans="1:13" x14ac:dyDescent="0.2">
      <c r="A51" s="1217"/>
      <c r="B51" s="166"/>
      <c r="E51" s="83"/>
      <c r="H51" t="s">
        <v>3381</v>
      </c>
      <c r="I51" s="33">
        <v>1.4999999999999999E-4</v>
      </c>
      <c r="J51" t="s">
        <v>3382</v>
      </c>
      <c r="K51" t="s">
        <v>3381</v>
      </c>
      <c r="L51" s="166">
        <f t="shared" si="4"/>
        <v>701028.50399999996</v>
      </c>
      <c r="M51" s="127" t="s">
        <v>3383</v>
      </c>
    </row>
    <row r="52" spans="1:13" x14ac:dyDescent="0.2">
      <c r="A52" s="1217"/>
      <c r="B52" s="166"/>
      <c r="E52" s="83"/>
      <c r="H52" t="s">
        <v>3384</v>
      </c>
      <c r="I52" s="33">
        <v>1.951E-2</v>
      </c>
      <c r="J52" t="s">
        <v>711</v>
      </c>
      <c r="K52" t="s">
        <v>3384</v>
      </c>
      <c r="L52" s="166">
        <f t="shared" si="4"/>
        <v>91180440.753600001</v>
      </c>
      <c r="M52" s="127" t="s">
        <v>3385</v>
      </c>
    </row>
    <row r="53" spans="1:13" x14ac:dyDescent="0.2">
      <c r="A53" s="1219"/>
      <c r="B53" s="833"/>
      <c r="C53" s="1102"/>
      <c r="D53" s="118"/>
      <c r="E53" s="1220"/>
      <c r="F53" s="118"/>
      <c r="G53" s="118"/>
      <c r="H53" s="118"/>
      <c r="I53" s="118"/>
      <c r="J53" s="118"/>
      <c r="K53" s="118"/>
      <c r="L53" s="833"/>
      <c r="M53" s="120"/>
    </row>
    <row r="54" spans="1:13" ht="48" x14ac:dyDescent="0.2">
      <c r="A54" s="1215" t="s">
        <v>2496</v>
      </c>
      <c r="B54" s="845">
        <v>62909.576444494836</v>
      </c>
      <c r="C54" s="1103" t="s">
        <v>2494</v>
      </c>
      <c r="D54" s="110">
        <v>2</v>
      </c>
      <c r="E54" s="159" t="s">
        <v>3386</v>
      </c>
      <c r="F54" s="110">
        <v>1</v>
      </c>
      <c r="G54" s="110" t="s">
        <v>3365</v>
      </c>
      <c r="H54" s="110"/>
      <c r="I54" s="110"/>
      <c r="J54" s="110"/>
      <c r="K54" s="110"/>
      <c r="L54" s="845"/>
      <c r="M54" s="112"/>
    </row>
    <row r="55" spans="1:13" x14ac:dyDescent="0.2">
      <c r="A55" s="1217"/>
      <c r="B55" s="166">
        <v>228282.39577187388</v>
      </c>
      <c r="C55" s="133" t="s">
        <v>3369</v>
      </c>
      <c r="E55" s="83"/>
      <c r="H55" t="s">
        <v>701</v>
      </c>
      <c r="I55">
        <v>7.6999999999999996E-4</v>
      </c>
      <c r="J55" t="s">
        <v>702</v>
      </c>
      <c r="K55" t="s">
        <v>701</v>
      </c>
      <c r="L55" s="166">
        <f>I55*B$57</f>
        <v>10546.646684660573</v>
      </c>
      <c r="M55" s="127" t="s">
        <v>3367</v>
      </c>
    </row>
    <row r="56" spans="1:13" x14ac:dyDescent="0.2">
      <c r="A56" s="1217"/>
      <c r="B56" s="166">
        <v>2</v>
      </c>
      <c r="C56" s="133" t="s">
        <v>3366</v>
      </c>
      <c r="E56" s="83"/>
      <c r="H56" t="s">
        <v>703</v>
      </c>
      <c r="I56" s="33">
        <v>1.22517E-8</v>
      </c>
      <c r="J56" t="s">
        <v>704</v>
      </c>
      <c r="K56" t="s">
        <v>703</v>
      </c>
      <c r="L56" s="166">
        <f t="shared" ref="L56:L64" si="5">I56*B$57</f>
        <v>0.16781084569669602</v>
      </c>
      <c r="M56" s="127" t="s">
        <v>3368</v>
      </c>
    </row>
    <row r="57" spans="1:13" x14ac:dyDescent="0.2">
      <c r="A57" s="1217"/>
      <c r="B57" s="1218">
        <f>B55*B56*30</f>
        <v>13696943.746312432</v>
      </c>
      <c r="C57" s="1221" t="s">
        <v>3371</v>
      </c>
      <c r="D57" s="1221" t="s">
        <v>577</v>
      </c>
      <c r="E57" s="83"/>
      <c r="H57" t="s">
        <v>705</v>
      </c>
      <c r="I57">
        <v>3.8108300000000002</v>
      </c>
      <c r="J57" t="s">
        <v>706</v>
      </c>
      <c r="K57" t="s">
        <v>705</v>
      </c>
      <c r="L57" s="166">
        <f t="shared" si="5"/>
        <v>52196724.13675981</v>
      </c>
      <c r="M57" s="127" t="s">
        <v>3370</v>
      </c>
    </row>
    <row r="58" spans="1:13" x14ac:dyDescent="0.2">
      <c r="A58" s="1217"/>
      <c r="B58" s="166"/>
      <c r="E58" s="83"/>
      <c r="H58" t="s">
        <v>3372</v>
      </c>
      <c r="I58" s="33">
        <v>1.37568E-5</v>
      </c>
      <c r="J58" t="s">
        <v>3373</v>
      </c>
      <c r="K58" t="s">
        <v>3372</v>
      </c>
      <c r="L58" s="166">
        <f t="shared" si="5"/>
        <v>188.42611572927086</v>
      </c>
      <c r="M58" s="127" t="s">
        <v>3374</v>
      </c>
    </row>
    <row r="59" spans="1:13" x14ac:dyDescent="0.2">
      <c r="A59" s="1217"/>
      <c r="B59" s="166"/>
      <c r="E59" s="83"/>
      <c r="H59" t="s">
        <v>3375</v>
      </c>
      <c r="I59">
        <v>8.1999999999999998E-4</v>
      </c>
      <c r="J59" t="s">
        <v>707</v>
      </c>
      <c r="K59" t="s">
        <v>3375</v>
      </c>
      <c r="L59" s="166">
        <f t="shared" si="5"/>
        <v>11231.493871976194</v>
      </c>
      <c r="M59" s="127" t="s">
        <v>3376</v>
      </c>
    </row>
    <row r="60" spans="1:13" x14ac:dyDescent="0.2">
      <c r="A60" s="1217"/>
      <c r="B60" s="166"/>
      <c r="E60" s="83"/>
      <c r="H60" t="s">
        <v>708</v>
      </c>
      <c r="I60" s="33">
        <v>0.19194</v>
      </c>
      <c r="J60" t="s">
        <v>709</v>
      </c>
      <c r="K60" t="s">
        <v>708</v>
      </c>
      <c r="L60" s="166">
        <f t="shared" si="5"/>
        <v>2628991.3826672081</v>
      </c>
      <c r="M60" s="127" t="s">
        <v>3377</v>
      </c>
    </row>
    <row r="61" spans="1:13" x14ac:dyDescent="0.2">
      <c r="A61" s="1217"/>
      <c r="B61" s="166"/>
      <c r="E61" s="83"/>
      <c r="H61" t="s">
        <v>3378</v>
      </c>
      <c r="I61" s="33">
        <v>3.8108300000000002E-8</v>
      </c>
      <c r="J61" t="s">
        <v>704</v>
      </c>
      <c r="K61" t="s">
        <v>3378</v>
      </c>
      <c r="L61" s="166">
        <f t="shared" si="5"/>
        <v>0.52196724136759809</v>
      </c>
      <c r="M61" s="127" t="s">
        <v>3368</v>
      </c>
    </row>
    <row r="62" spans="1:13" x14ac:dyDescent="0.2">
      <c r="A62" s="1217"/>
      <c r="B62" s="166"/>
      <c r="E62" s="83"/>
      <c r="H62" t="s">
        <v>710</v>
      </c>
      <c r="I62" s="33">
        <v>7.4862200000000006E-9</v>
      </c>
      <c r="J62" t="s">
        <v>3379</v>
      </c>
      <c r="K62" t="s">
        <v>710</v>
      </c>
      <c r="L62" s="166">
        <f t="shared" si="5"/>
        <v>0.10253833421251907</v>
      </c>
      <c r="M62" s="127" t="s">
        <v>3380</v>
      </c>
    </row>
    <row r="63" spans="1:13" x14ac:dyDescent="0.2">
      <c r="A63" s="1217"/>
      <c r="B63" s="166"/>
      <c r="E63" s="83"/>
      <c r="H63" t="s">
        <v>3381</v>
      </c>
      <c r="I63" s="33">
        <v>1.4999999999999999E-4</v>
      </c>
      <c r="J63" t="s">
        <v>3382</v>
      </c>
      <c r="K63" t="s">
        <v>3381</v>
      </c>
      <c r="L63" s="166">
        <f t="shared" si="5"/>
        <v>2054.5415619468645</v>
      </c>
      <c r="M63" s="127" t="s">
        <v>3383</v>
      </c>
    </row>
    <row r="64" spans="1:13" x14ac:dyDescent="0.2">
      <c r="A64" s="1217"/>
      <c r="B64" s="166"/>
      <c r="E64" s="83"/>
      <c r="H64" t="s">
        <v>3384</v>
      </c>
      <c r="I64" s="33">
        <v>1.951E-2</v>
      </c>
      <c r="J64" t="s">
        <v>711</v>
      </c>
      <c r="K64" t="s">
        <v>3384</v>
      </c>
      <c r="L64" s="166">
        <f t="shared" si="5"/>
        <v>267227.37249055551</v>
      </c>
      <c r="M64" s="127" t="s">
        <v>3385</v>
      </c>
    </row>
    <row r="65" spans="1:16" x14ac:dyDescent="0.2">
      <c r="A65" s="1219"/>
      <c r="B65" s="833"/>
      <c r="C65" s="1102"/>
      <c r="D65" s="118"/>
      <c r="E65" s="1220"/>
      <c r="F65" s="118"/>
      <c r="G65" s="118"/>
      <c r="H65" s="118"/>
      <c r="I65" s="118"/>
      <c r="J65" s="118"/>
      <c r="K65" s="118"/>
      <c r="L65" s="833"/>
      <c r="M65" s="120"/>
    </row>
    <row r="66" spans="1:16" x14ac:dyDescent="0.2">
      <c r="A66" s="1222"/>
      <c r="E66" s="83"/>
    </row>
    <row r="69" spans="1:16" ht="16" thickBot="1" x14ac:dyDescent="0.25"/>
    <row r="70" spans="1:16" x14ac:dyDescent="0.2">
      <c r="A70" s="1837" t="s">
        <v>2317</v>
      </c>
      <c r="B70" s="1838"/>
      <c r="C70" s="1838"/>
      <c r="D70" s="1838"/>
      <c r="E70" s="1838"/>
      <c r="F70" s="1838"/>
      <c r="G70" s="1838"/>
      <c r="H70" s="1838"/>
      <c r="I70" s="1838"/>
      <c r="J70" s="1838"/>
      <c r="K70" s="1838"/>
      <c r="L70" s="1838"/>
      <c r="M70" s="1838"/>
      <c r="N70" s="1838"/>
      <c r="O70" s="1838"/>
      <c r="P70" s="1839"/>
    </row>
    <row r="71" spans="1:16" ht="16" thickBot="1" x14ac:dyDescent="0.25">
      <c r="A71" s="1840"/>
      <c r="B71" s="1841"/>
      <c r="C71" s="1841"/>
      <c r="D71" s="1841"/>
      <c r="E71" s="1841"/>
      <c r="F71" s="1841"/>
      <c r="G71" s="1841"/>
      <c r="H71" s="1841"/>
      <c r="I71" s="1841"/>
      <c r="J71" s="1841"/>
      <c r="K71" s="1841"/>
      <c r="L71" s="1841"/>
      <c r="M71" s="1841"/>
      <c r="N71" s="1841"/>
      <c r="O71" s="1841"/>
      <c r="P71" s="1842"/>
    </row>
    <row r="72" spans="1:16" s="6" customFormat="1" x14ac:dyDescent="0.2">
      <c r="A72" s="1920" t="s">
        <v>697</v>
      </c>
      <c r="B72" s="1515" t="s">
        <v>698</v>
      </c>
      <c r="C72" s="1515"/>
      <c r="D72" s="1515"/>
      <c r="E72" s="1921" t="s">
        <v>3362</v>
      </c>
      <c r="F72" s="1515" t="s">
        <v>699</v>
      </c>
      <c r="G72" s="1515"/>
      <c r="H72" s="1515" t="s">
        <v>3363</v>
      </c>
      <c r="I72" s="1515"/>
      <c r="J72" s="1515"/>
      <c r="K72" s="1515" t="s">
        <v>700</v>
      </c>
      <c r="L72" s="1515"/>
      <c r="M72" s="1515"/>
    </row>
    <row r="73" spans="1:16" s="6" customFormat="1" ht="15.75" customHeight="1" x14ac:dyDescent="0.2">
      <c r="A73" s="1520"/>
      <c r="B73" s="1214" t="s">
        <v>515</v>
      </c>
      <c r="C73" s="969" t="s">
        <v>372</v>
      </c>
      <c r="D73" s="969" t="s">
        <v>583</v>
      </c>
      <c r="E73" s="1922"/>
      <c r="F73" s="969" t="s">
        <v>42</v>
      </c>
      <c r="G73" s="969" t="s">
        <v>372</v>
      </c>
      <c r="H73" s="29" t="s">
        <v>697</v>
      </c>
      <c r="I73" s="969" t="s">
        <v>42</v>
      </c>
      <c r="J73" s="969" t="s">
        <v>372</v>
      </c>
      <c r="K73" s="969" t="s">
        <v>697</v>
      </c>
      <c r="L73" s="1214" t="s">
        <v>42</v>
      </c>
      <c r="M73" s="969" t="s">
        <v>372</v>
      </c>
    </row>
    <row r="74" spans="1:16" ht="16" x14ac:dyDescent="0.2">
      <c r="A74" s="486" t="s">
        <v>1027</v>
      </c>
      <c r="B74" s="845">
        <v>67911.896763888712</v>
      </c>
      <c r="C74" s="1159" t="s">
        <v>267</v>
      </c>
      <c r="D74" s="110">
        <v>2</v>
      </c>
      <c r="E74" s="83" t="s">
        <v>3388</v>
      </c>
      <c r="F74" s="110"/>
      <c r="G74" s="110"/>
      <c r="H74" s="110"/>
      <c r="I74" s="110"/>
      <c r="J74" s="110"/>
      <c r="K74" s="110"/>
      <c r="L74" s="845"/>
      <c r="M74" s="112"/>
    </row>
    <row r="75" spans="1:16" ht="16" x14ac:dyDescent="0.2">
      <c r="A75" s="1223" t="s">
        <v>3389</v>
      </c>
      <c r="B75" s="243">
        <f>B74/1000</f>
        <v>67.911896763888706</v>
      </c>
      <c r="C75" s="133" t="s">
        <v>444</v>
      </c>
      <c r="F75">
        <v>1</v>
      </c>
      <c r="G75" t="s">
        <v>713</v>
      </c>
      <c r="H75" t="s">
        <v>701</v>
      </c>
      <c r="I75">
        <v>0.14229</v>
      </c>
      <c r="J75" t="s">
        <v>702</v>
      </c>
      <c r="K75" t="s">
        <v>701</v>
      </c>
      <c r="L75" s="243">
        <f>I75*B$80</f>
        <v>13.944419999999999</v>
      </c>
      <c r="M75" s="127" t="s">
        <v>3367</v>
      </c>
    </row>
    <row r="76" spans="1:16" x14ac:dyDescent="0.2">
      <c r="A76" s="1217"/>
      <c r="B76" s="243">
        <v>20</v>
      </c>
      <c r="C76" s="133" t="s">
        <v>10</v>
      </c>
      <c r="D76" t="s">
        <v>3390</v>
      </c>
      <c r="E76" s="83"/>
      <c r="F76">
        <v>40</v>
      </c>
      <c r="G76" t="s">
        <v>12</v>
      </c>
      <c r="H76" t="s">
        <v>703</v>
      </c>
      <c r="I76" s="33">
        <v>2.2291000000000001E-5</v>
      </c>
      <c r="J76" t="s">
        <v>704</v>
      </c>
      <c r="K76" t="s">
        <v>703</v>
      </c>
      <c r="L76" s="243">
        <f t="shared" ref="L76:L84" si="6">I76*B$78</f>
        <v>4.3252116878966948E-2</v>
      </c>
      <c r="M76" s="127" t="s">
        <v>3368</v>
      </c>
    </row>
    <row r="77" spans="1:16" x14ac:dyDescent="0.2">
      <c r="A77" s="1217"/>
      <c r="B77" s="243">
        <v>0.7</v>
      </c>
      <c r="D77" s="24" t="s">
        <v>3391</v>
      </c>
      <c r="E77" s="83"/>
      <c r="H77" t="s">
        <v>705</v>
      </c>
      <c r="I77">
        <v>3203.5834399999999</v>
      </c>
      <c r="J77" t="s">
        <v>706</v>
      </c>
      <c r="K77" t="s">
        <v>705</v>
      </c>
      <c r="L77" s="243">
        <f t="shared" si="6"/>
        <v>6216040.7957652416</v>
      </c>
      <c r="M77" s="127" t="s">
        <v>3370</v>
      </c>
    </row>
    <row r="78" spans="1:16" x14ac:dyDescent="0.2">
      <c r="A78" s="1217"/>
      <c r="B78" s="243">
        <f>B75*B76/B77</f>
        <v>1940.3399075396774</v>
      </c>
      <c r="C78" s="133" t="s">
        <v>12</v>
      </c>
      <c r="D78" s="6"/>
      <c r="E78" s="83"/>
      <c r="H78" t="s">
        <v>3372</v>
      </c>
      <c r="I78">
        <v>1.278E-2</v>
      </c>
      <c r="J78" t="s">
        <v>3373</v>
      </c>
      <c r="K78" t="s">
        <v>3372</v>
      </c>
      <c r="L78" s="243">
        <f t="shared" si="6"/>
        <v>24.797544018357076</v>
      </c>
      <c r="M78" s="127" t="s">
        <v>3374</v>
      </c>
    </row>
    <row r="79" spans="1:16" x14ac:dyDescent="0.2">
      <c r="A79" s="1217"/>
      <c r="B79" s="243">
        <f>B78*D74</f>
        <v>3880.6798150793547</v>
      </c>
      <c r="C79" s="133" t="s">
        <v>12</v>
      </c>
      <c r="E79" s="83"/>
      <c r="H79" t="s">
        <v>3375</v>
      </c>
      <c r="I79">
        <v>3.7339999999999998E-2</v>
      </c>
      <c r="J79" t="s">
        <v>707</v>
      </c>
      <c r="K79" t="s">
        <v>3375</v>
      </c>
      <c r="L79" s="243">
        <f t="shared" si="6"/>
        <v>72.452292147531551</v>
      </c>
      <c r="M79" s="127" t="s">
        <v>3376</v>
      </c>
    </row>
    <row r="80" spans="1:16" x14ac:dyDescent="0.2">
      <c r="A80" s="1217"/>
      <c r="B80" s="1224">
        <f>ROUNDUP(B79/F76,0)</f>
        <v>98</v>
      </c>
      <c r="C80" s="1114" t="s">
        <v>3392</v>
      </c>
      <c r="D80" s="6" t="s">
        <v>577</v>
      </c>
      <c r="E80" s="83"/>
      <c r="H80" t="s">
        <v>708</v>
      </c>
      <c r="I80">
        <v>9.0477000000000007</v>
      </c>
      <c r="J80" t="s">
        <v>709</v>
      </c>
      <c r="K80" t="s">
        <v>708</v>
      </c>
      <c r="L80" s="243">
        <f t="shared" si="6"/>
        <v>17555.613381446739</v>
      </c>
      <c r="M80" s="127" t="s">
        <v>3377</v>
      </c>
    </row>
    <row r="81" spans="1:13" x14ac:dyDescent="0.2">
      <c r="A81" s="1217"/>
      <c r="E81" s="83"/>
      <c r="H81" t="s">
        <v>3378</v>
      </c>
      <c r="I81" s="33">
        <v>3.5905399999999997E-5</v>
      </c>
      <c r="J81" t="s">
        <v>704</v>
      </c>
      <c r="K81" t="s">
        <v>3378</v>
      </c>
      <c r="L81" s="243">
        <f t="shared" si="6"/>
        <v>6.9668680516175127E-2</v>
      </c>
      <c r="M81" s="127" t="s">
        <v>3368</v>
      </c>
    </row>
    <row r="82" spans="1:13" x14ac:dyDescent="0.2">
      <c r="A82" s="1217"/>
      <c r="E82" s="83"/>
      <c r="H82" t="s">
        <v>710</v>
      </c>
      <c r="I82" s="33">
        <v>1.7364199999999999E-7</v>
      </c>
      <c r="J82" t="s">
        <v>3379</v>
      </c>
      <c r="K82" t="s">
        <v>710</v>
      </c>
      <c r="L82" s="243">
        <f t="shared" si="6"/>
        <v>3.3692450222500464E-4</v>
      </c>
      <c r="M82" s="127" t="s">
        <v>3380</v>
      </c>
    </row>
    <row r="83" spans="1:13" x14ac:dyDescent="0.2">
      <c r="A83" s="1217"/>
      <c r="E83" s="83"/>
      <c r="H83" t="s">
        <v>3381</v>
      </c>
      <c r="I83">
        <v>2.9360000000000001E-2</v>
      </c>
      <c r="J83" t="s">
        <v>3382</v>
      </c>
      <c r="K83" t="s">
        <v>3381</v>
      </c>
      <c r="L83" s="243">
        <f t="shared" si="6"/>
        <v>56.96837968536493</v>
      </c>
      <c r="M83" s="127" t="s">
        <v>3383</v>
      </c>
    </row>
    <row r="84" spans="1:13" x14ac:dyDescent="0.2">
      <c r="A84" s="1217"/>
      <c r="E84" s="83"/>
      <c r="H84" t="s">
        <v>3384</v>
      </c>
      <c r="I84">
        <v>0.84404000000000001</v>
      </c>
      <c r="J84" t="s">
        <v>711</v>
      </c>
      <c r="K84" t="s">
        <v>3384</v>
      </c>
      <c r="L84" s="243">
        <f t="shared" si="6"/>
        <v>1637.7244955597894</v>
      </c>
      <c r="M84" s="127" t="s">
        <v>3385</v>
      </c>
    </row>
    <row r="85" spans="1:13" x14ac:dyDescent="0.2">
      <c r="A85" s="1219"/>
      <c r="B85" s="833"/>
      <c r="C85" s="1102"/>
      <c r="D85" s="118"/>
      <c r="E85" s="1220"/>
      <c r="F85" s="118"/>
      <c r="G85" s="118"/>
      <c r="H85" s="118"/>
      <c r="I85" s="118"/>
      <c r="J85" s="118"/>
      <c r="K85" s="118"/>
      <c r="L85" s="833"/>
      <c r="M85" s="120"/>
    </row>
    <row r="86" spans="1:13" ht="16" x14ac:dyDescent="0.2">
      <c r="A86" s="486" t="s">
        <v>2889</v>
      </c>
      <c r="B86" s="845">
        <v>67911.896763888712</v>
      </c>
      <c r="C86" s="1159" t="s">
        <v>267</v>
      </c>
      <c r="D86" s="110">
        <v>2</v>
      </c>
      <c r="E86" s="1216" t="s">
        <v>3393</v>
      </c>
      <c r="F86" s="110"/>
      <c r="G86" s="110"/>
      <c r="H86" s="110"/>
      <c r="I86" s="110"/>
      <c r="J86" s="110"/>
      <c r="K86" s="110"/>
      <c r="L86" s="845"/>
      <c r="M86" s="112"/>
    </row>
    <row r="87" spans="1:13" ht="16" x14ac:dyDescent="0.2">
      <c r="A87" s="1223" t="s">
        <v>3389</v>
      </c>
      <c r="B87" s="243">
        <v>4.0000000000000001E-3</v>
      </c>
      <c r="C87" s="133" t="s">
        <v>3394</v>
      </c>
      <c r="F87">
        <v>1</v>
      </c>
      <c r="G87" t="s">
        <v>15</v>
      </c>
      <c r="H87" t="s">
        <v>701</v>
      </c>
      <c r="I87">
        <v>6.0200000000000002E-3</v>
      </c>
      <c r="J87" t="s">
        <v>702</v>
      </c>
      <c r="K87" t="s">
        <v>701</v>
      </c>
      <c r="L87" s="243">
        <f>I87*B$90</f>
        <v>3.2706369481488808</v>
      </c>
      <c r="M87" s="127" t="s">
        <v>3367</v>
      </c>
    </row>
    <row r="88" spans="1:13" x14ac:dyDescent="0.2">
      <c r="A88" s="1217"/>
      <c r="C88" s="133" t="s">
        <v>3395</v>
      </c>
      <c r="E88" s="83"/>
      <c r="H88" t="s">
        <v>703</v>
      </c>
      <c r="I88" s="33">
        <v>1.2843299999999999E-6</v>
      </c>
      <c r="J88" t="s">
        <v>704</v>
      </c>
      <c r="K88" t="s">
        <v>703</v>
      </c>
      <c r="L88" s="243">
        <f t="shared" ref="L88:L96" si="7">I88*B$90</f>
        <v>6.9777029096612154E-4</v>
      </c>
      <c r="M88" s="127" t="s">
        <v>3368</v>
      </c>
    </row>
    <row r="89" spans="1:13" x14ac:dyDescent="0.2">
      <c r="A89" s="1217"/>
      <c r="B89" s="243">
        <f>B87*B86</f>
        <v>271.64758705555488</v>
      </c>
      <c r="C89" s="133" t="s">
        <v>3394</v>
      </c>
      <c r="E89" s="83"/>
      <c r="H89" t="s">
        <v>705</v>
      </c>
      <c r="I89">
        <v>67.217029999999994</v>
      </c>
      <c r="J89" t="s">
        <v>706</v>
      </c>
      <c r="K89" t="s">
        <v>705</v>
      </c>
      <c r="L89" s="243">
        <f t="shared" si="7"/>
        <v>36518.688017081688</v>
      </c>
      <c r="M89" s="127" t="s">
        <v>3370</v>
      </c>
    </row>
    <row r="90" spans="1:13" x14ac:dyDescent="0.2">
      <c r="A90" s="1217"/>
      <c r="B90" s="1224">
        <f>B89*D86</f>
        <v>543.29517411110976</v>
      </c>
      <c r="C90" s="1114" t="s">
        <v>3394</v>
      </c>
      <c r="D90" s="6" t="s">
        <v>577</v>
      </c>
      <c r="E90" s="83"/>
      <c r="H90" t="s">
        <v>3372</v>
      </c>
      <c r="I90">
        <v>7.6999999999999996E-4</v>
      </c>
      <c r="J90" t="s">
        <v>3373</v>
      </c>
      <c r="K90" t="s">
        <v>3372</v>
      </c>
      <c r="L90" s="243">
        <f t="shared" si="7"/>
        <v>0.41833728406555448</v>
      </c>
      <c r="M90" s="127" t="s">
        <v>3374</v>
      </c>
    </row>
    <row r="91" spans="1:13" x14ac:dyDescent="0.2">
      <c r="A91" s="1217"/>
      <c r="E91" s="83"/>
      <c r="H91" t="s">
        <v>3375</v>
      </c>
      <c r="I91">
        <v>4.1700000000000001E-3</v>
      </c>
      <c r="J91" t="s">
        <v>707</v>
      </c>
      <c r="K91" t="s">
        <v>3375</v>
      </c>
      <c r="L91" s="243">
        <f t="shared" si="7"/>
        <v>2.2655408760433278</v>
      </c>
      <c r="M91" s="127" t="s">
        <v>3376</v>
      </c>
    </row>
    <row r="92" spans="1:13" x14ac:dyDescent="0.2">
      <c r="A92" s="1217"/>
      <c r="E92" s="83"/>
      <c r="H92" t="s">
        <v>708</v>
      </c>
      <c r="I92">
        <v>1.7658199999999999</v>
      </c>
      <c r="J92" t="s">
        <v>709</v>
      </c>
      <c r="K92" t="s">
        <v>708</v>
      </c>
      <c r="L92" s="243">
        <f t="shared" si="7"/>
        <v>959.3614843488798</v>
      </c>
      <c r="M92" s="127" t="s">
        <v>3377</v>
      </c>
    </row>
    <row r="93" spans="1:13" x14ac:dyDescent="0.2">
      <c r="A93" s="1217"/>
      <c r="E93" s="83"/>
      <c r="H93" t="s">
        <v>3378</v>
      </c>
      <c r="I93" s="33">
        <v>3.4665800000000001E-7</v>
      </c>
      <c r="J93" t="s">
        <v>704</v>
      </c>
      <c r="K93" t="s">
        <v>3378</v>
      </c>
      <c r="L93" s="243">
        <f t="shared" si="7"/>
        <v>1.8833761846700909E-4</v>
      </c>
      <c r="M93" s="127" t="s">
        <v>3368</v>
      </c>
    </row>
    <row r="94" spans="1:13" x14ac:dyDescent="0.2">
      <c r="A94" s="1217"/>
      <c r="E94" s="83"/>
      <c r="H94" t="s">
        <v>710</v>
      </c>
      <c r="I94" s="33">
        <v>5.15501E-8</v>
      </c>
      <c r="J94" t="s">
        <v>3379</v>
      </c>
      <c r="K94" t="s">
        <v>710</v>
      </c>
      <c r="L94" s="243">
        <f t="shared" si="7"/>
        <v>2.800692055494512E-5</v>
      </c>
      <c r="M94" s="127" t="s">
        <v>3380</v>
      </c>
    </row>
    <row r="95" spans="1:13" x14ac:dyDescent="0.2">
      <c r="A95" s="1217"/>
      <c r="E95" s="83"/>
      <c r="H95" t="s">
        <v>3381</v>
      </c>
      <c r="I95">
        <v>2.7299999999999998E-3</v>
      </c>
      <c r="J95" t="s">
        <v>3382</v>
      </c>
      <c r="K95" t="s">
        <v>3381</v>
      </c>
      <c r="L95" s="243">
        <f t="shared" si="7"/>
        <v>1.4831958253233295</v>
      </c>
      <c r="M95" s="127" t="s">
        <v>3383</v>
      </c>
    </row>
    <row r="96" spans="1:13" x14ac:dyDescent="0.2">
      <c r="A96" s="1217"/>
      <c r="E96" s="83"/>
      <c r="H96" t="s">
        <v>3384</v>
      </c>
      <c r="I96">
        <v>0.10051</v>
      </c>
      <c r="J96" t="s">
        <v>711</v>
      </c>
      <c r="K96" t="s">
        <v>3384</v>
      </c>
      <c r="L96" s="243">
        <f t="shared" si="7"/>
        <v>54.606597949907645</v>
      </c>
      <c r="M96" s="127" t="s">
        <v>3385</v>
      </c>
    </row>
    <row r="97" spans="1:13" x14ac:dyDescent="0.2">
      <c r="A97" s="1219"/>
      <c r="B97" s="833"/>
      <c r="C97" s="1102"/>
      <c r="D97" s="118"/>
      <c r="E97" s="1220"/>
      <c r="F97" s="118"/>
      <c r="G97" s="118"/>
      <c r="H97" s="118"/>
      <c r="I97" s="118"/>
      <c r="J97" s="118"/>
      <c r="K97" s="118"/>
      <c r="L97" s="833"/>
      <c r="M97" s="120"/>
    </row>
    <row r="98" spans="1:13" ht="32" x14ac:dyDescent="0.2">
      <c r="A98" s="486" t="s">
        <v>533</v>
      </c>
      <c r="B98" s="845">
        <v>67.911896763888706</v>
      </c>
      <c r="C98" s="1159" t="s">
        <v>444</v>
      </c>
      <c r="D98" s="110">
        <v>2</v>
      </c>
      <c r="E98" s="159" t="s">
        <v>718</v>
      </c>
      <c r="F98" s="110">
        <v>1</v>
      </c>
      <c r="G98" s="110" t="s">
        <v>3396</v>
      </c>
      <c r="H98" s="110"/>
      <c r="I98" s="110"/>
      <c r="J98" s="110"/>
      <c r="K98" s="110"/>
      <c r="L98" s="845"/>
      <c r="M98" s="112"/>
    </row>
    <row r="99" spans="1:13" x14ac:dyDescent="0.2">
      <c r="A99" s="1217"/>
      <c r="B99" s="243">
        <v>17</v>
      </c>
      <c r="C99" s="133" t="s">
        <v>7</v>
      </c>
      <c r="E99" s="83"/>
      <c r="F99">
        <v>50</v>
      </c>
      <c r="G99" t="s">
        <v>3397</v>
      </c>
      <c r="H99" t="s">
        <v>701</v>
      </c>
      <c r="I99">
        <v>0.82547999999999999</v>
      </c>
      <c r="J99" t="s">
        <v>702</v>
      </c>
      <c r="K99" t="s">
        <v>701</v>
      </c>
      <c r="L99" s="243">
        <f>I99*B$102/F$99</f>
        <v>38.120740527645296</v>
      </c>
      <c r="M99" s="127" t="s">
        <v>3367</v>
      </c>
    </row>
    <row r="100" spans="1:13" x14ac:dyDescent="0.2">
      <c r="A100" s="1217"/>
      <c r="C100" s="133" t="s">
        <v>3398</v>
      </c>
      <c r="E100" s="83"/>
      <c r="H100" t="s">
        <v>703</v>
      </c>
      <c r="I100" s="33">
        <v>1.3020000000000001E-5</v>
      </c>
      <c r="J100" t="s">
        <v>704</v>
      </c>
      <c r="K100" t="s">
        <v>703</v>
      </c>
      <c r="L100" s="243">
        <f t="shared" ref="L100:L108" si="8">I100*B$102/F$99</f>
        <v>6.012647691887651E-4</v>
      </c>
      <c r="M100" s="127" t="s">
        <v>3368</v>
      </c>
    </row>
    <row r="101" spans="1:13" x14ac:dyDescent="0.2">
      <c r="A101" s="1217"/>
      <c r="E101" s="83"/>
      <c r="H101" t="s">
        <v>705</v>
      </c>
      <c r="I101">
        <v>3440.7478099999998</v>
      </c>
      <c r="J101" t="s">
        <v>706</v>
      </c>
      <c r="K101" t="s">
        <v>705</v>
      </c>
      <c r="L101" s="243">
        <f t="shared" si="8"/>
        <v>158894.04284304139</v>
      </c>
      <c r="M101" s="127" t="s">
        <v>3370</v>
      </c>
    </row>
    <row r="102" spans="1:13" x14ac:dyDescent="0.2">
      <c r="A102" s="1217"/>
      <c r="B102" s="1224">
        <f>B98*B99*D98</f>
        <v>2309.0044899722161</v>
      </c>
      <c r="C102" s="1114" t="s">
        <v>3397</v>
      </c>
      <c r="D102" s="6" t="s">
        <v>586</v>
      </c>
      <c r="E102" s="83"/>
      <c r="H102" t="s">
        <v>3372</v>
      </c>
      <c r="I102">
        <v>4.9140000000000003E-2</v>
      </c>
      <c r="J102" t="s">
        <v>3373</v>
      </c>
      <c r="K102" t="s">
        <v>3372</v>
      </c>
      <c r="L102" s="243">
        <f t="shared" si="8"/>
        <v>2.2692896127446942</v>
      </c>
      <c r="M102" s="127" t="s">
        <v>3374</v>
      </c>
    </row>
    <row r="103" spans="1:13" x14ac:dyDescent="0.2">
      <c r="A103" s="1217"/>
      <c r="E103" s="83"/>
      <c r="H103" t="s">
        <v>3375</v>
      </c>
      <c r="I103">
        <v>0.37484000000000001</v>
      </c>
      <c r="J103" t="s">
        <v>707</v>
      </c>
      <c r="K103" t="s">
        <v>3375</v>
      </c>
      <c r="L103" s="243">
        <f t="shared" si="8"/>
        <v>17.310144860423708</v>
      </c>
      <c r="M103" s="127" t="s">
        <v>3376</v>
      </c>
    </row>
    <row r="104" spans="1:13" x14ac:dyDescent="0.2">
      <c r="A104" s="1217"/>
      <c r="E104" s="83"/>
      <c r="H104" t="s">
        <v>708</v>
      </c>
      <c r="I104">
        <v>234.66023000000001</v>
      </c>
      <c r="J104" t="s">
        <v>709</v>
      </c>
      <c r="K104" t="s">
        <v>708</v>
      </c>
      <c r="L104" s="243">
        <f t="shared" si="8"/>
        <v>10836.630493758257</v>
      </c>
      <c r="M104" s="127" t="s">
        <v>3377</v>
      </c>
    </row>
    <row r="105" spans="1:13" x14ac:dyDescent="0.2">
      <c r="A105" s="1217"/>
      <c r="E105" s="83"/>
      <c r="H105" t="s">
        <v>3378</v>
      </c>
      <c r="I105" s="33">
        <v>5.7967699999999997E-5</v>
      </c>
      <c r="J105" t="s">
        <v>704</v>
      </c>
      <c r="K105" t="s">
        <v>3378</v>
      </c>
      <c r="L105" s="243">
        <f t="shared" si="8"/>
        <v>2.6769535914672486E-3</v>
      </c>
      <c r="M105" s="127" t="s">
        <v>3368</v>
      </c>
    </row>
    <row r="106" spans="1:13" x14ac:dyDescent="0.2">
      <c r="A106" s="1217"/>
      <c r="E106" s="83"/>
      <c r="H106" t="s">
        <v>710</v>
      </c>
      <c r="I106" s="33">
        <v>2.5430099999999999E-6</v>
      </c>
      <c r="J106" t="s">
        <v>3379</v>
      </c>
      <c r="K106" t="s">
        <v>710</v>
      </c>
      <c r="L106" s="243">
        <f t="shared" si="8"/>
        <v>1.1743643016088489E-4</v>
      </c>
      <c r="M106" s="127" t="s">
        <v>3380</v>
      </c>
    </row>
    <row r="107" spans="1:13" x14ac:dyDescent="0.2">
      <c r="A107" s="1217"/>
      <c r="E107" s="83"/>
      <c r="H107" t="s">
        <v>3381</v>
      </c>
      <c r="I107">
        <v>0.17479</v>
      </c>
      <c r="J107" t="s">
        <v>3382</v>
      </c>
      <c r="K107" t="s">
        <v>3381</v>
      </c>
      <c r="L107" s="243">
        <f t="shared" si="8"/>
        <v>8.0718178960448732</v>
      </c>
      <c r="M107" s="127" t="s">
        <v>3383</v>
      </c>
    </row>
    <row r="108" spans="1:13" x14ac:dyDescent="0.2">
      <c r="A108" s="1217"/>
      <c r="E108" s="83"/>
      <c r="H108" t="s">
        <v>3384</v>
      </c>
      <c r="I108">
        <v>8.8856599999999997</v>
      </c>
      <c r="J108" t="s">
        <v>711</v>
      </c>
      <c r="K108" t="s">
        <v>3384</v>
      </c>
      <c r="L108" s="243">
        <f t="shared" si="8"/>
        <v>410.34057672733041</v>
      </c>
      <c r="M108" s="127" t="s">
        <v>3385</v>
      </c>
    </row>
    <row r="109" spans="1:13" x14ac:dyDescent="0.2">
      <c r="A109" s="1219"/>
      <c r="B109" s="833"/>
      <c r="C109" s="1102"/>
      <c r="D109" s="118"/>
      <c r="E109" s="1220"/>
      <c r="F109" s="118"/>
      <c r="G109" s="118"/>
      <c r="H109" s="118"/>
      <c r="I109" s="118"/>
      <c r="J109" s="118"/>
      <c r="K109" s="118"/>
      <c r="L109" s="833"/>
      <c r="M109" s="120"/>
    </row>
    <row r="110" spans="1:13" ht="32" x14ac:dyDescent="0.2">
      <c r="A110" s="486" t="s">
        <v>799</v>
      </c>
      <c r="B110" s="845">
        <v>67920</v>
      </c>
      <c r="C110" s="1159" t="s">
        <v>7</v>
      </c>
      <c r="D110" s="110">
        <v>2</v>
      </c>
      <c r="E110" s="159" t="s">
        <v>718</v>
      </c>
      <c r="F110" s="110">
        <v>1</v>
      </c>
      <c r="G110" s="110" t="s">
        <v>3396</v>
      </c>
      <c r="H110" s="110"/>
      <c r="I110" s="110"/>
      <c r="J110" s="110"/>
      <c r="K110" s="110"/>
      <c r="L110" s="845"/>
      <c r="M110" s="112"/>
    </row>
    <row r="111" spans="1:13" x14ac:dyDescent="0.2">
      <c r="A111" s="1223"/>
      <c r="E111" s="83"/>
      <c r="F111">
        <v>50</v>
      </c>
      <c r="G111" t="s">
        <v>3397</v>
      </c>
      <c r="H111" t="s">
        <v>701</v>
      </c>
      <c r="I111">
        <v>0.82547999999999999</v>
      </c>
      <c r="J111" t="s">
        <v>702</v>
      </c>
      <c r="K111" t="s">
        <v>701</v>
      </c>
      <c r="L111" s="243">
        <f>I111*B$110/F$111*D$110</f>
        <v>2242.6640640000001</v>
      </c>
      <c r="M111" s="127" t="s">
        <v>3367</v>
      </c>
    </row>
    <row r="112" spans="1:13" x14ac:dyDescent="0.2">
      <c r="A112" s="637"/>
      <c r="E112" s="83"/>
      <c r="H112" t="s">
        <v>703</v>
      </c>
      <c r="I112" s="33">
        <v>1.3020000000000001E-5</v>
      </c>
      <c r="J112" t="s">
        <v>704</v>
      </c>
      <c r="K112" t="s">
        <v>703</v>
      </c>
      <c r="L112" s="243">
        <f t="shared" ref="L112:L120" si="9">I112*B$110/F$111*D$110</f>
        <v>3.5372736000000002E-2</v>
      </c>
      <c r="M112" s="127" t="s">
        <v>3368</v>
      </c>
    </row>
    <row r="113" spans="1:13" x14ac:dyDescent="0.2">
      <c r="A113" s="1217"/>
      <c r="E113" s="83"/>
      <c r="H113" t="s">
        <v>705</v>
      </c>
      <c r="I113">
        <v>3440.7478099999998</v>
      </c>
      <c r="J113" t="s">
        <v>706</v>
      </c>
      <c r="K113" t="s">
        <v>705</v>
      </c>
      <c r="L113" s="243">
        <f t="shared" si="9"/>
        <v>9347823.6502080001</v>
      </c>
      <c r="M113" s="127" t="s">
        <v>3370</v>
      </c>
    </row>
    <row r="114" spans="1:13" x14ac:dyDescent="0.2">
      <c r="A114" s="1217"/>
      <c r="B114" s="1224"/>
      <c r="C114" s="1114"/>
      <c r="D114" s="6"/>
      <c r="E114" s="83"/>
      <c r="H114" t="s">
        <v>3372</v>
      </c>
      <c r="I114">
        <v>4.9140000000000003E-2</v>
      </c>
      <c r="J114" t="s">
        <v>3373</v>
      </c>
      <c r="K114" t="s">
        <v>3372</v>
      </c>
      <c r="L114" s="243">
        <f t="shared" si="9"/>
        <v>133.50355200000001</v>
      </c>
      <c r="M114" s="127" t="s">
        <v>3374</v>
      </c>
    </row>
    <row r="115" spans="1:13" x14ac:dyDescent="0.2">
      <c r="A115" s="1217"/>
      <c r="E115" s="83"/>
      <c r="H115" t="s">
        <v>3375</v>
      </c>
      <c r="I115">
        <v>0.37484000000000001</v>
      </c>
      <c r="J115" t="s">
        <v>707</v>
      </c>
      <c r="K115" t="s">
        <v>3375</v>
      </c>
      <c r="L115" s="243">
        <f t="shared" si="9"/>
        <v>1018.365312</v>
      </c>
      <c r="M115" s="127" t="s">
        <v>3376</v>
      </c>
    </row>
    <row r="116" spans="1:13" x14ac:dyDescent="0.2">
      <c r="A116" s="1217"/>
      <c r="E116" s="83"/>
      <c r="H116" t="s">
        <v>708</v>
      </c>
      <c r="I116">
        <v>234.66023000000001</v>
      </c>
      <c r="J116" t="s">
        <v>709</v>
      </c>
      <c r="K116" t="s">
        <v>708</v>
      </c>
      <c r="L116" s="243">
        <f t="shared" si="9"/>
        <v>637524.91286400007</v>
      </c>
      <c r="M116" s="127" t="s">
        <v>3377</v>
      </c>
    </row>
    <row r="117" spans="1:13" x14ac:dyDescent="0.2">
      <c r="A117" s="1217"/>
      <c r="E117" s="83"/>
      <c r="H117" t="s">
        <v>3378</v>
      </c>
      <c r="I117" s="33">
        <v>5.7967699999999997E-5</v>
      </c>
      <c r="J117" t="s">
        <v>704</v>
      </c>
      <c r="K117" t="s">
        <v>3378</v>
      </c>
      <c r="L117" s="243">
        <f t="shared" si="9"/>
        <v>0.15748664735999998</v>
      </c>
      <c r="M117" s="127" t="s">
        <v>3368</v>
      </c>
    </row>
    <row r="118" spans="1:13" x14ac:dyDescent="0.2">
      <c r="A118" s="1217"/>
      <c r="E118" s="83"/>
      <c r="H118" t="s">
        <v>710</v>
      </c>
      <c r="I118" s="33">
        <v>2.5430099999999999E-6</v>
      </c>
      <c r="J118" t="s">
        <v>3379</v>
      </c>
      <c r="K118" t="s">
        <v>710</v>
      </c>
      <c r="L118" s="243">
        <f t="shared" si="9"/>
        <v>6.9088495679999994E-3</v>
      </c>
      <c r="M118" s="127" t="s">
        <v>3380</v>
      </c>
    </row>
    <row r="119" spans="1:13" x14ac:dyDescent="0.2">
      <c r="A119" s="1217"/>
      <c r="E119" s="83"/>
      <c r="H119" t="s">
        <v>3381</v>
      </c>
      <c r="I119">
        <v>0.17479</v>
      </c>
      <c r="J119" t="s">
        <v>3382</v>
      </c>
      <c r="K119" t="s">
        <v>3381</v>
      </c>
      <c r="L119" s="243">
        <f t="shared" si="9"/>
        <v>474.86947200000003</v>
      </c>
      <c r="M119" s="127" t="s">
        <v>3383</v>
      </c>
    </row>
    <row r="120" spans="1:13" x14ac:dyDescent="0.2">
      <c r="A120" s="1217"/>
      <c r="E120" s="83"/>
      <c r="H120" t="s">
        <v>3384</v>
      </c>
      <c r="I120">
        <v>8.8856599999999997</v>
      </c>
      <c r="J120" t="s">
        <v>711</v>
      </c>
      <c r="K120" t="s">
        <v>3384</v>
      </c>
      <c r="L120" s="243">
        <f t="shared" si="9"/>
        <v>24140.561088000002</v>
      </c>
      <c r="M120" s="127" t="s">
        <v>3385</v>
      </c>
    </row>
    <row r="121" spans="1:13" x14ac:dyDescent="0.2">
      <c r="A121" s="1219"/>
      <c r="B121" s="833"/>
      <c r="C121" s="1102"/>
      <c r="D121" s="118"/>
      <c r="E121" s="1220"/>
      <c r="F121" s="118"/>
      <c r="G121" s="118"/>
      <c r="H121" s="118"/>
      <c r="I121" s="118"/>
      <c r="J121" s="118"/>
      <c r="K121" s="118"/>
      <c r="L121" s="833"/>
      <c r="M121" s="120"/>
    </row>
    <row r="122" spans="1:13" ht="32" x14ac:dyDescent="0.2">
      <c r="A122" s="486" t="s">
        <v>800</v>
      </c>
      <c r="B122" s="845">
        <v>67920</v>
      </c>
      <c r="C122" s="1159" t="s">
        <v>7</v>
      </c>
      <c r="D122" s="110">
        <v>2</v>
      </c>
      <c r="E122" s="159" t="s">
        <v>718</v>
      </c>
      <c r="F122" s="110">
        <v>1</v>
      </c>
      <c r="G122" s="110" t="s">
        <v>3396</v>
      </c>
      <c r="H122" s="110"/>
      <c r="I122" s="110"/>
      <c r="J122" s="110"/>
      <c r="K122" s="110"/>
      <c r="L122" s="845"/>
      <c r="M122" s="112"/>
    </row>
    <row r="123" spans="1:13" x14ac:dyDescent="0.2">
      <c r="A123" s="1217"/>
      <c r="E123" s="83"/>
      <c r="F123">
        <v>50</v>
      </c>
      <c r="G123" t="s">
        <v>3397</v>
      </c>
      <c r="H123" t="s">
        <v>701</v>
      </c>
      <c r="I123">
        <v>0.82547999999999999</v>
      </c>
      <c r="J123" t="s">
        <v>702</v>
      </c>
      <c r="K123" t="s">
        <v>701</v>
      </c>
      <c r="L123" s="243">
        <f>I123/F$123*B$122*D$122</f>
        <v>2242.6640640000001</v>
      </c>
      <c r="M123" s="127" t="s">
        <v>3367</v>
      </c>
    </row>
    <row r="124" spans="1:13" x14ac:dyDescent="0.2">
      <c r="A124" s="1217"/>
      <c r="E124" s="83"/>
      <c r="H124" t="s">
        <v>703</v>
      </c>
      <c r="I124" s="33">
        <v>1.3020000000000001E-5</v>
      </c>
      <c r="J124" t="s">
        <v>704</v>
      </c>
      <c r="K124" t="s">
        <v>703</v>
      </c>
      <c r="L124" s="243">
        <f t="shared" ref="L124:L132" si="10">I124/F$123*B$122*D$122</f>
        <v>3.5372736000000002E-2</v>
      </c>
      <c r="M124" s="127" t="s">
        <v>3368</v>
      </c>
    </row>
    <row r="125" spans="1:13" x14ac:dyDescent="0.2">
      <c r="A125" s="1217"/>
      <c r="E125" s="83"/>
      <c r="H125" t="s">
        <v>705</v>
      </c>
      <c r="I125">
        <v>3440.7478099999998</v>
      </c>
      <c r="J125" t="s">
        <v>706</v>
      </c>
      <c r="K125" t="s">
        <v>705</v>
      </c>
      <c r="L125" s="243">
        <f t="shared" si="10"/>
        <v>9347823.6502080001</v>
      </c>
      <c r="M125" s="127" t="s">
        <v>3370</v>
      </c>
    </row>
    <row r="126" spans="1:13" x14ac:dyDescent="0.2">
      <c r="A126" s="1217"/>
      <c r="E126" s="83"/>
      <c r="H126" t="s">
        <v>3372</v>
      </c>
      <c r="I126">
        <v>4.9140000000000003E-2</v>
      </c>
      <c r="J126" t="s">
        <v>3373</v>
      </c>
      <c r="K126" t="s">
        <v>3372</v>
      </c>
      <c r="L126" s="243">
        <f t="shared" si="10"/>
        <v>133.50355200000001</v>
      </c>
      <c r="M126" s="127" t="s">
        <v>3374</v>
      </c>
    </row>
    <row r="127" spans="1:13" x14ac:dyDescent="0.2">
      <c r="A127" s="1217"/>
      <c r="E127" s="83"/>
      <c r="H127" t="s">
        <v>3375</v>
      </c>
      <c r="I127">
        <v>0.37484000000000001</v>
      </c>
      <c r="J127" t="s">
        <v>707</v>
      </c>
      <c r="K127" t="s">
        <v>3375</v>
      </c>
      <c r="L127" s="243">
        <f t="shared" si="10"/>
        <v>1018.365312</v>
      </c>
      <c r="M127" s="127" t="s">
        <v>3376</v>
      </c>
    </row>
    <row r="128" spans="1:13" x14ac:dyDescent="0.2">
      <c r="A128" s="1217"/>
      <c r="E128" s="83"/>
      <c r="H128" t="s">
        <v>708</v>
      </c>
      <c r="I128">
        <v>234.66023000000001</v>
      </c>
      <c r="J128" t="s">
        <v>709</v>
      </c>
      <c r="K128" t="s">
        <v>708</v>
      </c>
      <c r="L128" s="243">
        <f t="shared" si="10"/>
        <v>637524.91286400007</v>
      </c>
      <c r="M128" s="127" t="s">
        <v>3377</v>
      </c>
    </row>
    <row r="129" spans="1:13" x14ac:dyDescent="0.2">
      <c r="A129" s="1217"/>
      <c r="E129" s="83"/>
      <c r="H129" t="s">
        <v>3378</v>
      </c>
      <c r="I129" s="33">
        <v>5.7967699999999997E-5</v>
      </c>
      <c r="J129" t="s">
        <v>704</v>
      </c>
      <c r="K129" t="s">
        <v>3378</v>
      </c>
      <c r="L129" s="243">
        <f t="shared" si="10"/>
        <v>0.15748664735999998</v>
      </c>
      <c r="M129" s="127" t="s">
        <v>3368</v>
      </c>
    </row>
    <row r="130" spans="1:13" x14ac:dyDescent="0.2">
      <c r="A130" s="1217"/>
      <c r="E130" s="83"/>
      <c r="H130" t="s">
        <v>710</v>
      </c>
      <c r="I130" s="33">
        <v>2.5430099999999999E-6</v>
      </c>
      <c r="J130" t="s">
        <v>3379</v>
      </c>
      <c r="K130" t="s">
        <v>710</v>
      </c>
      <c r="L130" s="243">
        <f t="shared" si="10"/>
        <v>6.9088495679999994E-3</v>
      </c>
      <c r="M130" s="127" t="s">
        <v>3380</v>
      </c>
    </row>
    <row r="131" spans="1:13" x14ac:dyDescent="0.2">
      <c r="A131" s="1217"/>
      <c r="E131" s="83"/>
      <c r="H131" t="s">
        <v>3381</v>
      </c>
      <c r="I131">
        <v>0.17479</v>
      </c>
      <c r="J131" t="s">
        <v>3382</v>
      </c>
      <c r="K131" t="s">
        <v>3381</v>
      </c>
      <c r="L131" s="243">
        <f t="shared" si="10"/>
        <v>474.86947199999997</v>
      </c>
      <c r="M131" s="127" t="s">
        <v>3383</v>
      </c>
    </row>
    <row r="132" spans="1:13" x14ac:dyDescent="0.2">
      <c r="A132" s="1217"/>
      <c r="E132" s="83"/>
      <c r="H132" t="s">
        <v>3384</v>
      </c>
      <c r="I132">
        <v>8.8856599999999997</v>
      </c>
      <c r="J132" t="s">
        <v>711</v>
      </c>
      <c r="K132" t="s">
        <v>3384</v>
      </c>
      <c r="L132" s="243">
        <f t="shared" si="10"/>
        <v>24140.561087999999</v>
      </c>
      <c r="M132" s="127" t="s">
        <v>3385</v>
      </c>
    </row>
    <row r="133" spans="1:13" x14ac:dyDescent="0.2">
      <c r="A133" s="1219"/>
      <c r="B133" s="833"/>
      <c r="C133" s="1102"/>
      <c r="D133" s="118"/>
      <c r="E133" s="1220"/>
      <c r="F133" s="118"/>
      <c r="G133" s="118"/>
      <c r="H133" s="118"/>
      <c r="I133" s="118"/>
      <c r="J133" s="118"/>
      <c r="K133" s="118"/>
      <c r="L133" s="833"/>
      <c r="M133" s="120"/>
    </row>
    <row r="134" spans="1:13" ht="32" x14ac:dyDescent="0.2">
      <c r="A134" s="486" t="s">
        <v>802</v>
      </c>
      <c r="B134" s="845">
        <v>135840</v>
      </c>
      <c r="C134" s="1159" t="s">
        <v>7</v>
      </c>
      <c r="D134" s="110">
        <v>2</v>
      </c>
      <c r="E134" s="159" t="s">
        <v>718</v>
      </c>
      <c r="F134" s="110">
        <v>1</v>
      </c>
      <c r="G134" s="110" t="s">
        <v>3396</v>
      </c>
      <c r="H134" s="110"/>
      <c r="I134" s="110"/>
      <c r="J134" s="110"/>
      <c r="K134" s="110"/>
      <c r="L134" s="845"/>
      <c r="M134" s="112"/>
    </row>
    <row r="135" spans="1:13" x14ac:dyDescent="0.2">
      <c r="A135" s="1217"/>
      <c r="E135" s="83"/>
      <c r="F135">
        <v>50</v>
      </c>
      <c r="G135" t="s">
        <v>3397</v>
      </c>
      <c r="H135" t="s">
        <v>701</v>
      </c>
      <c r="I135">
        <v>0.82547999999999999</v>
      </c>
      <c r="J135" t="s">
        <v>702</v>
      </c>
      <c r="K135" t="s">
        <v>701</v>
      </c>
      <c r="L135" s="243">
        <f>I135*B$134/F$135*D$134</f>
        <v>4485.3281280000001</v>
      </c>
      <c r="M135" s="127" t="s">
        <v>3367</v>
      </c>
    </row>
    <row r="136" spans="1:13" x14ac:dyDescent="0.2">
      <c r="A136" s="1217"/>
      <c r="E136" s="83"/>
      <c r="H136" t="s">
        <v>703</v>
      </c>
      <c r="I136" s="33">
        <v>1.3020000000000001E-5</v>
      </c>
      <c r="J136" t="s">
        <v>704</v>
      </c>
      <c r="K136" t="s">
        <v>703</v>
      </c>
      <c r="L136" s="243">
        <f t="shared" ref="L136:L144" si="11">I136*B$134/F$135*D$134</f>
        <v>7.0745472000000004E-2</v>
      </c>
      <c r="M136" s="127" t="s">
        <v>3368</v>
      </c>
    </row>
    <row r="137" spans="1:13" x14ac:dyDescent="0.2">
      <c r="A137" s="1217"/>
      <c r="E137" s="83"/>
      <c r="H137" t="s">
        <v>705</v>
      </c>
      <c r="I137">
        <v>3440.7478099999998</v>
      </c>
      <c r="J137" t="s">
        <v>706</v>
      </c>
      <c r="K137" t="s">
        <v>705</v>
      </c>
      <c r="L137" s="243">
        <f t="shared" si="11"/>
        <v>18695647.300416</v>
      </c>
      <c r="M137" s="127" t="s">
        <v>3370</v>
      </c>
    </row>
    <row r="138" spans="1:13" x14ac:dyDescent="0.2">
      <c r="A138" s="1217"/>
      <c r="E138" s="83"/>
      <c r="H138" t="s">
        <v>3372</v>
      </c>
      <c r="I138">
        <v>4.9140000000000003E-2</v>
      </c>
      <c r="J138" t="s">
        <v>3373</v>
      </c>
      <c r="K138" t="s">
        <v>3372</v>
      </c>
      <c r="L138" s="243">
        <f t="shared" si="11"/>
        <v>267.00710400000003</v>
      </c>
      <c r="M138" s="127" t="s">
        <v>3374</v>
      </c>
    </row>
    <row r="139" spans="1:13" x14ac:dyDescent="0.2">
      <c r="A139" s="1217"/>
      <c r="E139" s="83"/>
      <c r="H139" t="s">
        <v>3375</v>
      </c>
      <c r="I139">
        <v>0.37484000000000001</v>
      </c>
      <c r="J139" t="s">
        <v>707</v>
      </c>
      <c r="K139" t="s">
        <v>3375</v>
      </c>
      <c r="L139" s="243">
        <f t="shared" si="11"/>
        <v>2036.730624</v>
      </c>
      <c r="M139" s="127" t="s">
        <v>3376</v>
      </c>
    </row>
    <row r="140" spans="1:13" x14ac:dyDescent="0.2">
      <c r="A140" s="1217"/>
      <c r="E140" s="83"/>
      <c r="H140" t="s">
        <v>708</v>
      </c>
      <c r="I140">
        <v>234.66023000000001</v>
      </c>
      <c r="J140" t="s">
        <v>709</v>
      </c>
      <c r="K140" t="s">
        <v>708</v>
      </c>
      <c r="L140" s="243">
        <f t="shared" si="11"/>
        <v>1275049.8257280001</v>
      </c>
      <c r="M140" s="127" t="s">
        <v>3377</v>
      </c>
    </row>
    <row r="141" spans="1:13" x14ac:dyDescent="0.2">
      <c r="A141" s="1217"/>
      <c r="E141" s="83"/>
      <c r="H141" t="s">
        <v>3378</v>
      </c>
      <c r="I141" s="33">
        <v>5.7967699999999997E-5</v>
      </c>
      <c r="J141" t="s">
        <v>704</v>
      </c>
      <c r="K141" t="s">
        <v>3378</v>
      </c>
      <c r="L141" s="243">
        <f t="shared" si="11"/>
        <v>0.31497329471999996</v>
      </c>
      <c r="M141" s="127" t="s">
        <v>3368</v>
      </c>
    </row>
    <row r="142" spans="1:13" x14ac:dyDescent="0.2">
      <c r="A142" s="1217"/>
      <c r="E142" s="83"/>
      <c r="H142" t="s">
        <v>710</v>
      </c>
      <c r="I142" s="33">
        <v>2.5430099999999999E-6</v>
      </c>
      <c r="J142" t="s">
        <v>3379</v>
      </c>
      <c r="K142" t="s">
        <v>710</v>
      </c>
      <c r="L142" s="243">
        <f t="shared" si="11"/>
        <v>1.3817699135999999E-2</v>
      </c>
      <c r="M142" s="127" t="s">
        <v>3380</v>
      </c>
    </row>
    <row r="143" spans="1:13" x14ac:dyDescent="0.2">
      <c r="A143" s="1217"/>
      <c r="E143" s="83"/>
      <c r="H143" t="s">
        <v>3381</v>
      </c>
      <c r="I143">
        <v>0.17479</v>
      </c>
      <c r="J143" t="s">
        <v>3382</v>
      </c>
      <c r="K143" t="s">
        <v>3381</v>
      </c>
      <c r="L143" s="243">
        <f t="shared" si="11"/>
        <v>949.73894400000006</v>
      </c>
      <c r="M143" s="127" t="s">
        <v>3383</v>
      </c>
    </row>
    <row r="144" spans="1:13" x14ac:dyDescent="0.2">
      <c r="A144" s="1217"/>
      <c r="E144" s="83"/>
      <c r="H144" t="s">
        <v>3384</v>
      </c>
      <c r="I144">
        <v>8.8856599999999997</v>
      </c>
      <c r="J144" t="s">
        <v>711</v>
      </c>
      <c r="K144" t="s">
        <v>3384</v>
      </c>
      <c r="L144" s="243">
        <f t="shared" si="11"/>
        <v>48281.122176000004</v>
      </c>
      <c r="M144" s="127" t="s">
        <v>3385</v>
      </c>
    </row>
    <row r="145" spans="1:13" x14ac:dyDescent="0.2">
      <c r="A145" s="1219"/>
      <c r="B145" s="833"/>
      <c r="C145" s="1102"/>
      <c r="D145" s="118"/>
      <c r="E145" s="1220"/>
      <c r="F145" s="118"/>
      <c r="G145" s="118"/>
      <c r="H145" s="118"/>
      <c r="I145" s="118"/>
      <c r="J145" s="118"/>
      <c r="K145" s="118"/>
      <c r="L145" s="833"/>
      <c r="M145" s="120"/>
    </row>
    <row r="146" spans="1:13" ht="16" x14ac:dyDescent="0.2">
      <c r="A146" s="486" t="s">
        <v>812</v>
      </c>
      <c r="B146" s="845">
        <v>345.942227880752</v>
      </c>
      <c r="C146" s="1159" t="s">
        <v>14</v>
      </c>
      <c r="D146" s="110">
        <v>2</v>
      </c>
      <c r="E146" s="159" t="s">
        <v>3399</v>
      </c>
      <c r="F146" s="110">
        <v>1</v>
      </c>
      <c r="G146" s="110" t="s">
        <v>15</v>
      </c>
      <c r="H146" s="110"/>
      <c r="I146" s="110"/>
      <c r="J146" s="110"/>
      <c r="K146" s="110"/>
      <c r="L146" s="845"/>
      <c r="M146" s="112"/>
    </row>
    <row r="147" spans="1:13" x14ac:dyDescent="0.2">
      <c r="A147" s="1217"/>
      <c r="B147" s="243">
        <f>B146*1000</f>
        <v>345942.22788075201</v>
      </c>
      <c r="C147" s="133" t="s">
        <v>15</v>
      </c>
      <c r="E147" s="83"/>
      <c r="H147" t="s">
        <v>701</v>
      </c>
      <c r="I147">
        <v>8.2000000000000007E-3</v>
      </c>
      <c r="J147" t="s">
        <v>702</v>
      </c>
      <c r="K147" t="s">
        <v>701</v>
      </c>
      <c r="L147" s="243">
        <f>I147*B$147*D$146</f>
        <v>5673.4525372443331</v>
      </c>
      <c r="M147" s="127" t="s">
        <v>3367</v>
      </c>
    </row>
    <row r="148" spans="1:13" x14ac:dyDescent="0.2">
      <c r="A148" s="1217"/>
      <c r="E148" s="83"/>
      <c r="H148" t="s">
        <v>703</v>
      </c>
      <c r="I148" s="33">
        <v>1.03715E-7</v>
      </c>
      <c r="J148" t="s">
        <v>704</v>
      </c>
      <c r="K148" t="s">
        <v>703</v>
      </c>
      <c r="L148" s="243">
        <f t="shared" ref="L148:L156" si="12">I148*B$147*D$146</f>
        <v>7.1758796329304389E-2</v>
      </c>
      <c r="M148" s="127" t="s">
        <v>3368</v>
      </c>
    </row>
    <row r="149" spans="1:13" x14ac:dyDescent="0.2">
      <c r="A149" s="1217"/>
      <c r="E149" s="83"/>
      <c r="H149" t="s">
        <v>705</v>
      </c>
      <c r="I149">
        <v>14.472849999999999</v>
      </c>
      <c r="J149" t="s">
        <v>706</v>
      </c>
      <c r="K149" t="s">
        <v>705</v>
      </c>
      <c r="L149" s="243">
        <f t="shared" si="12"/>
        <v>10013539.945567884</v>
      </c>
      <c r="M149" s="127" t="s">
        <v>3370</v>
      </c>
    </row>
    <row r="150" spans="1:13" x14ac:dyDescent="0.2">
      <c r="A150" s="1217"/>
      <c r="E150" s="83"/>
      <c r="H150" t="s">
        <v>3372</v>
      </c>
      <c r="I150">
        <v>1.1E-4</v>
      </c>
      <c r="J150" t="s">
        <v>3373</v>
      </c>
      <c r="K150" t="s">
        <v>3372</v>
      </c>
      <c r="L150" s="243">
        <f t="shared" si="12"/>
        <v>76.107290133765446</v>
      </c>
      <c r="M150" s="127" t="s">
        <v>3374</v>
      </c>
    </row>
    <row r="151" spans="1:13" x14ac:dyDescent="0.2">
      <c r="A151" s="1217"/>
      <c r="E151" s="83"/>
      <c r="H151" t="s">
        <v>3375</v>
      </c>
      <c r="I151">
        <v>4.0000000000000001E-3</v>
      </c>
      <c r="J151" t="s">
        <v>707</v>
      </c>
      <c r="K151" t="s">
        <v>3375</v>
      </c>
      <c r="L151" s="243">
        <f t="shared" si="12"/>
        <v>2767.537823046016</v>
      </c>
      <c r="M151" s="127" t="s">
        <v>3376</v>
      </c>
    </row>
    <row r="152" spans="1:13" x14ac:dyDescent="0.2">
      <c r="A152" s="1217"/>
      <c r="E152" s="83"/>
      <c r="H152" t="s">
        <v>708</v>
      </c>
      <c r="I152">
        <v>2.29596</v>
      </c>
      <c r="J152" t="s">
        <v>709</v>
      </c>
      <c r="K152" t="s">
        <v>708</v>
      </c>
      <c r="L152" s="243">
        <f t="shared" si="12"/>
        <v>1588539.0350501828</v>
      </c>
      <c r="M152" s="127" t="s">
        <v>3377</v>
      </c>
    </row>
    <row r="153" spans="1:13" x14ac:dyDescent="0.2">
      <c r="A153" s="1217"/>
      <c r="E153" s="83"/>
      <c r="H153" t="s">
        <v>3378</v>
      </c>
      <c r="I153" s="33">
        <v>2.0654900000000001E-7</v>
      </c>
      <c r="J153" t="s">
        <v>704</v>
      </c>
      <c r="K153" t="s">
        <v>3378</v>
      </c>
      <c r="L153" s="243">
        <f t="shared" si="12"/>
        <v>0.14290804245308289</v>
      </c>
      <c r="M153" s="127" t="s">
        <v>3368</v>
      </c>
    </row>
    <row r="154" spans="1:13" x14ac:dyDescent="0.2">
      <c r="A154" s="1217"/>
      <c r="E154" s="83"/>
      <c r="H154" t="s">
        <v>710</v>
      </c>
      <c r="I154" s="33">
        <v>9.36496E-8</v>
      </c>
      <c r="J154" t="s">
        <v>3379</v>
      </c>
      <c r="K154" t="s">
        <v>710</v>
      </c>
      <c r="L154" s="243">
        <f t="shared" si="12"/>
        <v>6.4794702528282552E-2</v>
      </c>
      <c r="M154" s="127" t="s">
        <v>3380</v>
      </c>
    </row>
    <row r="155" spans="1:13" x14ac:dyDescent="0.2">
      <c r="A155" s="1217"/>
      <c r="E155" s="83"/>
      <c r="H155" t="s">
        <v>3381</v>
      </c>
      <c r="I155">
        <v>1.6999999999999999E-3</v>
      </c>
      <c r="J155" t="s">
        <v>3382</v>
      </c>
      <c r="K155" t="s">
        <v>3381</v>
      </c>
      <c r="L155" s="243">
        <f t="shared" si="12"/>
        <v>1176.2035747945567</v>
      </c>
      <c r="M155" s="127" t="s">
        <v>3383</v>
      </c>
    </row>
    <row r="156" spans="1:13" x14ac:dyDescent="0.2">
      <c r="A156" s="1217"/>
      <c r="E156" s="83"/>
      <c r="H156" t="s">
        <v>3384</v>
      </c>
      <c r="I156">
        <v>9.5829999999999999E-2</v>
      </c>
      <c r="J156" t="s">
        <v>711</v>
      </c>
      <c r="K156" t="s">
        <v>3384</v>
      </c>
      <c r="L156" s="243">
        <f t="shared" si="12"/>
        <v>66303.287395624924</v>
      </c>
      <c r="M156" s="127" t="s">
        <v>3385</v>
      </c>
    </row>
    <row r="157" spans="1:13" x14ac:dyDescent="0.2">
      <c r="A157" s="1219"/>
      <c r="B157" s="833"/>
      <c r="C157" s="1102"/>
      <c r="D157" s="118"/>
      <c r="E157" s="1220"/>
      <c r="F157" s="118"/>
      <c r="G157" s="118"/>
      <c r="H157" s="118"/>
      <c r="I157" s="118"/>
      <c r="J157" s="118"/>
      <c r="K157" s="118"/>
      <c r="L157" s="833"/>
      <c r="M157" s="120"/>
    </row>
    <row r="158" spans="1:13" ht="16" x14ac:dyDescent="0.2">
      <c r="A158" s="486" t="s">
        <v>834</v>
      </c>
      <c r="B158" s="845">
        <v>123.13283025044301</v>
      </c>
      <c r="C158" s="1159" t="s">
        <v>1</v>
      </c>
      <c r="D158" s="110">
        <v>2</v>
      </c>
      <c r="E158" s="159" t="s">
        <v>3400</v>
      </c>
      <c r="F158" s="110">
        <v>1</v>
      </c>
      <c r="G158" s="110" t="s">
        <v>1</v>
      </c>
      <c r="H158" s="110"/>
      <c r="I158" s="110"/>
      <c r="J158" s="110"/>
      <c r="K158" s="110"/>
      <c r="L158" s="845"/>
      <c r="M158" s="112"/>
    </row>
    <row r="159" spans="1:13" x14ac:dyDescent="0.2">
      <c r="A159" s="1217"/>
      <c r="B159" s="1224">
        <f>B158*D158</f>
        <v>246.26566050088601</v>
      </c>
      <c r="C159" s="1114" t="s">
        <v>1</v>
      </c>
      <c r="D159" s="6" t="s">
        <v>2279</v>
      </c>
      <c r="E159" s="83"/>
      <c r="H159" t="s">
        <v>701</v>
      </c>
      <c r="I159">
        <v>1.0140499999999999</v>
      </c>
      <c r="J159" t="s">
        <v>702</v>
      </c>
      <c r="K159" t="s">
        <v>701</v>
      </c>
      <c r="L159" s="243">
        <f>I159*B$159</f>
        <v>249.72569303092342</v>
      </c>
      <c r="M159" s="127" t="s">
        <v>3367</v>
      </c>
    </row>
    <row r="160" spans="1:13" x14ac:dyDescent="0.2">
      <c r="A160" s="1217"/>
      <c r="E160" s="83"/>
      <c r="H160" t="s">
        <v>703</v>
      </c>
      <c r="I160" s="33">
        <v>1.39005E-5</v>
      </c>
      <c r="J160" t="s">
        <v>704</v>
      </c>
      <c r="K160" t="s">
        <v>703</v>
      </c>
      <c r="L160" s="243">
        <f t="shared" ref="L160:L168" si="13">I160*B$159</f>
        <v>3.4232158137925662E-3</v>
      </c>
      <c r="M160" s="127" t="s">
        <v>3368</v>
      </c>
    </row>
    <row r="161" spans="1:13" x14ac:dyDescent="0.2">
      <c r="A161" s="1217"/>
      <c r="E161" s="83"/>
      <c r="H161" t="s">
        <v>705</v>
      </c>
      <c r="I161">
        <v>1967.76115</v>
      </c>
      <c r="J161" t="s">
        <v>706</v>
      </c>
      <c r="K161" t="s">
        <v>705</v>
      </c>
      <c r="L161" s="243">
        <f t="shared" si="13"/>
        <v>484591.99931273307</v>
      </c>
      <c r="M161" s="127" t="s">
        <v>3370</v>
      </c>
    </row>
    <row r="162" spans="1:13" x14ac:dyDescent="0.2">
      <c r="A162" s="1217"/>
      <c r="E162" s="83"/>
      <c r="H162" t="s">
        <v>3372</v>
      </c>
      <c r="I162">
        <v>3.6429999999999997E-2</v>
      </c>
      <c r="J162" t="s">
        <v>3373</v>
      </c>
      <c r="K162" t="s">
        <v>3372</v>
      </c>
      <c r="L162" s="243">
        <f t="shared" si="13"/>
        <v>8.9714580120472771</v>
      </c>
      <c r="M162" s="127" t="s">
        <v>3374</v>
      </c>
    </row>
    <row r="163" spans="1:13" x14ac:dyDescent="0.2">
      <c r="A163" s="1217"/>
      <c r="E163" s="83"/>
      <c r="H163" t="s">
        <v>3375</v>
      </c>
      <c r="I163">
        <v>0.84194000000000002</v>
      </c>
      <c r="J163" t="s">
        <v>707</v>
      </c>
      <c r="K163" t="s">
        <v>3375</v>
      </c>
      <c r="L163" s="243">
        <f t="shared" si="13"/>
        <v>207.34091020211596</v>
      </c>
      <c r="M163" s="127" t="s">
        <v>3376</v>
      </c>
    </row>
    <row r="164" spans="1:13" x14ac:dyDescent="0.2">
      <c r="A164" s="1217"/>
      <c r="E164" s="83"/>
      <c r="H164" t="s">
        <v>708</v>
      </c>
      <c r="I164">
        <v>297.96800000000002</v>
      </c>
      <c r="J164" t="s">
        <v>709</v>
      </c>
      <c r="K164" t="s">
        <v>708</v>
      </c>
      <c r="L164" s="243">
        <f t="shared" si="13"/>
        <v>73379.286328128015</v>
      </c>
      <c r="M164" s="127" t="s">
        <v>3377</v>
      </c>
    </row>
    <row r="165" spans="1:13" x14ac:dyDescent="0.2">
      <c r="A165" s="1217"/>
      <c r="E165" s="83"/>
      <c r="H165" t="s">
        <v>3378</v>
      </c>
      <c r="I165" s="33">
        <v>4.3792199999999997E-5</v>
      </c>
      <c r="J165" t="s">
        <v>704</v>
      </c>
      <c r="K165" t="s">
        <v>3378</v>
      </c>
      <c r="L165" s="243">
        <f t="shared" si="13"/>
        <v>1.07845150577869E-2</v>
      </c>
      <c r="M165" s="127" t="s">
        <v>3368</v>
      </c>
    </row>
    <row r="166" spans="1:13" x14ac:dyDescent="0.2">
      <c r="A166" s="1217"/>
      <c r="E166" s="83"/>
      <c r="H166" t="s">
        <v>710</v>
      </c>
      <c r="I166" s="33">
        <v>1.91505E-6</v>
      </c>
      <c r="J166" t="s">
        <v>3379</v>
      </c>
      <c r="K166" t="s">
        <v>710</v>
      </c>
      <c r="L166" s="243">
        <f t="shared" si="13"/>
        <v>4.7161105314222178E-4</v>
      </c>
      <c r="M166" s="127" t="s">
        <v>3380</v>
      </c>
    </row>
    <row r="167" spans="1:13" x14ac:dyDescent="0.2">
      <c r="A167" s="1217"/>
      <c r="E167" s="83"/>
      <c r="H167" t="s">
        <v>3381</v>
      </c>
      <c r="I167">
        <v>0.14111000000000001</v>
      </c>
      <c r="J167" t="s">
        <v>3382</v>
      </c>
      <c r="K167" t="s">
        <v>3381</v>
      </c>
      <c r="L167" s="243">
        <f t="shared" si="13"/>
        <v>34.750547353280027</v>
      </c>
      <c r="M167" s="127" t="s">
        <v>3383</v>
      </c>
    </row>
    <row r="168" spans="1:13" x14ac:dyDescent="0.2">
      <c r="A168" s="1217"/>
      <c r="E168" s="83"/>
      <c r="H168" t="s">
        <v>3384</v>
      </c>
      <c r="I168">
        <v>20.29383</v>
      </c>
      <c r="J168" t="s">
        <v>711</v>
      </c>
      <c r="K168" t="s">
        <v>3384</v>
      </c>
      <c r="L168" s="243">
        <f t="shared" si="13"/>
        <v>4997.6734490426952</v>
      </c>
      <c r="M168" s="127" t="s">
        <v>3385</v>
      </c>
    </row>
    <row r="169" spans="1:13" x14ac:dyDescent="0.2">
      <c r="A169" s="1219"/>
      <c r="B169" s="833"/>
      <c r="C169" s="1102"/>
      <c r="D169" s="118"/>
      <c r="E169" s="1220"/>
      <c r="F169" s="118"/>
      <c r="G169" s="118"/>
      <c r="H169" s="118"/>
      <c r="I169" s="118"/>
      <c r="J169" s="118"/>
      <c r="K169" s="118"/>
      <c r="L169" s="833"/>
      <c r="M169" s="120"/>
    </row>
    <row r="170" spans="1:13" ht="16" x14ac:dyDescent="0.2">
      <c r="A170" s="486" t="s">
        <v>835</v>
      </c>
      <c r="B170" s="845">
        <v>52.216299131200934</v>
      </c>
      <c r="C170" s="1159" t="s">
        <v>1</v>
      </c>
      <c r="D170" s="110">
        <v>2</v>
      </c>
      <c r="E170" s="159" t="s">
        <v>3400</v>
      </c>
      <c r="F170" s="110">
        <v>1</v>
      </c>
      <c r="G170" s="110" t="s">
        <v>1</v>
      </c>
      <c r="H170" s="110"/>
      <c r="I170" s="110"/>
      <c r="J170" s="110"/>
      <c r="K170" s="110"/>
      <c r="L170" s="845"/>
      <c r="M170" s="112"/>
    </row>
    <row r="171" spans="1:13" x14ac:dyDescent="0.2">
      <c r="A171" s="1217"/>
      <c r="B171" s="243">
        <f>D170*B170</f>
        <v>104.43259826240187</v>
      </c>
      <c r="C171" s="133" t="s">
        <v>1</v>
      </c>
      <c r="D171" t="s">
        <v>2279</v>
      </c>
      <c r="E171" s="83"/>
      <c r="H171" t="s">
        <v>701</v>
      </c>
      <c r="I171">
        <v>1.0140499999999999</v>
      </c>
      <c r="J171" t="s">
        <v>702</v>
      </c>
      <c r="K171" t="s">
        <v>701</v>
      </c>
      <c r="L171" s="243">
        <f>I171*B$171</f>
        <v>105.8998762679886</v>
      </c>
      <c r="M171" s="127" t="s">
        <v>3367</v>
      </c>
    </row>
    <row r="172" spans="1:13" x14ac:dyDescent="0.2">
      <c r="A172" s="1217"/>
      <c r="E172" s="83"/>
      <c r="H172" t="s">
        <v>703</v>
      </c>
      <c r="I172" s="33">
        <v>1.39005E-5</v>
      </c>
      <c r="J172" t="s">
        <v>704</v>
      </c>
      <c r="K172" t="s">
        <v>703</v>
      </c>
      <c r="L172" s="243">
        <f t="shared" ref="L172:L180" si="14">I172*B$171</f>
        <v>1.4516653321465171E-3</v>
      </c>
      <c r="M172" s="127" t="s">
        <v>3368</v>
      </c>
    </row>
    <row r="173" spans="1:13" x14ac:dyDescent="0.2">
      <c r="A173" s="1217"/>
      <c r="E173" s="83"/>
      <c r="H173" t="s">
        <v>705</v>
      </c>
      <c r="I173">
        <v>1967.76115</v>
      </c>
      <c r="J173" t="s">
        <v>706</v>
      </c>
      <c r="K173" t="s">
        <v>705</v>
      </c>
      <c r="L173" s="243">
        <f t="shared" si="14"/>
        <v>205498.40965431189</v>
      </c>
      <c r="M173" s="127" t="s">
        <v>3370</v>
      </c>
    </row>
    <row r="174" spans="1:13" x14ac:dyDescent="0.2">
      <c r="A174" s="1217"/>
      <c r="E174" s="83"/>
      <c r="H174" t="s">
        <v>3372</v>
      </c>
      <c r="I174">
        <v>3.6429999999999997E-2</v>
      </c>
      <c r="J174" t="s">
        <v>3373</v>
      </c>
      <c r="K174" t="s">
        <v>3372</v>
      </c>
      <c r="L174" s="243">
        <f t="shared" si="14"/>
        <v>3.8044795546992995</v>
      </c>
      <c r="M174" s="127" t="s">
        <v>3374</v>
      </c>
    </row>
    <row r="175" spans="1:13" x14ac:dyDescent="0.2">
      <c r="A175" s="1217"/>
      <c r="E175" s="83"/>
      <c r="H175" t="s">
        <v>3375</v>
      </c>
      <c r="I175">
        <v>0.84194000000000002</v>
      </c>
      <c r="J175" t="s">
        <v>707</v>
      </c>
      <c r="K175" t="s">
        <v>3375</v>
      </c>
      <c r="L175" s="243">
        <f t="shared" si="14"/>
        <v>87.92598178104663</v>
      </c>
      <c r="M175" s="127" t="s">
        <v>3376</v>
      </c>
    </row>
    <row r="176" spans="1:13" x14ac:dyDescent="0.2">
      <c r="A176" s="1217"/>
      <c r="E176" s="83"/>
      <c r="H176" t="s">
        <v>708</v>
      </c>
      <c r="I176">
        <v>297.96800000000002</v>
      </c>
      <c r="J176" t="s">
        <v>709</v>
      </c>
      <c r="K176" t="s">
        <v>708</v>
      </c>
      <c r="L176" s="243">
        <f t="shared" si="14"/>
        <v>31117.572439051361</v>
      </c>
      <c r="M176" s="127" t="s">
        <v>3377</v>
      </c>
    </row>
    <row r="177" spans="1:13" x14ac:dyDescent="0.2">
      <c r="A177" s="1217"/>
      <c r="E177" s="83"/>
      <c r="H177" t="s">
        <v>3378</v>
      </c>
      <c r="I177" s="33">
        <v>4.3792199999999997E-5</v>
      </c>
      <c r="J177" t="s">
        <v>704</v>
      </c>
      <c r="K177" t="s">
        <v>3378</v>
      </c>
      <c r="L177" s="243">
        <f t="shared" si="14"/>
        <v>4.5733332296267548E-3</v>
      </c>
      <c r="M177" s="127" t="s">
        <v>3368</v>
      </c>
    </row>
    <row r="178" spans="1:13" x14ac:dyDescent="0.2">
      <c r="A178" s="1217"/>
      <c r="E178" s="83"/>
      <c r="H178" t="s">
        <v>710</v>
      </c>
      <c r="I178" s="33">
        <v>1.91505E-6</v>
      </c>
      <c r="J178" t="s">
        <v>3379</v>
      </c>
      <c r="K178" t="s">
        <v>710</v>
      </c>
      <c r="L178" s="243">
        <f t="shared" si="14"/>
        <v>1.9999364730241269E-4</v>
      </c>
      <c r="M178" s="127" t="s">
        <v>3380</v>
      </c>
    </row>
    <row r="179" spans="1:13" x14ac:dyDescent="0.2">
      <c r="A179" s="1217"/>
      <c r="E179" s="83"/>
      <c r="H179" t="s">
        <v>3381</v>
      </c>
      <c r="I179">
        <v>0.14111000000000001</v>
      </c>
      <c r="J179" t="s">
        <v>3382</v>
      </c>
      <c r="K179" t="s">
        <v>3381</v>
      </c>
      <c r="L179" s="243">
        <f t="shared" si="14"/>
        <v>14.736483940807529</v>
      </c>
      <c r="M179" s="127" t="s">
        <v>3383</v>
      </c>
    </row>
    <row r="180" spans="1:13" x14ac:dyDescent="0.2">
      <c r="A180" s="1217"/>
      <c r="E180" s="83"/>
      <c r="H180" t="s">
        <v>3384</v>
      </c>
      <c r="I180">
        <v>20.29383</v>
      </c>
      <c r="J180" t="s">
        <v>711</v>
      </c>
      <c r="K180" t="s">
        <v>3384</v>
      </c>
      <c r="L180" s="243">
        <f t="shared" si="14"/>
        <v>2119.3373955954789</v>
      </c>
      <c r="M180" s="127" t="s">
        <v>3385</v>
      </c>
    </row>
    <row r="181" spans="1:13" x14ac:dyDescent="0.2">
      <c r="A181" s="1219"/>
      <c r="B181" s="833"/>
      <c r="C181" s="1102"/>
      <c r="D181" s="118"/>
      <c r="E181" s="1220"/>
      <c r="F181" s="118"/>
      <c r="G181" s="118"/>
      <c r="H181" s="118"/>
      <c r="I181" s="118"/>
      <c r="J181" s="118"/>
      <c r="K181" s="118"/>
      <c r="L181" s="833"/>
      <c r="M181" s="120"/>
    </row>
    <row r="182" spans="1:13" ht="16" x14ac:dyDescent="0.2">
      <c r="A182" s="486" t="s">
        <v>836</v>
      </c>
      <c r="B182" s="845">
        <v>52.216299131200934</v>
      </c>
      <c r="C182" s="1159" t="s">
        <v>1</v>
      </c>
      <c r="D182" s="110">
        <v>2</v>
      </c>
      <c r="E182" s="159" t="s">
        <v>3400</v>
      </c>
      <c r="F182" s="110">
        <v>1</v>
      </c>
      <c r="G182" s="110" t="s">
        <v>1</v>
      </c>
      <c r="H182" s="110"/>
      <c r="I182" s="110"/>
      <c r="J182" s="110"/>
      <c r="K182" s="110"/>
      <c r="L182" s="845"/>
      <c r="M182" s="112"/>
    </row>
    <row r="183" spans="1:13" x14ac:dyDescent="0.2">
      <c r="A183" s="1217"/>
      <c r="E183" s="83"/>
      <c r="H183" t="s">
        <v>701</v>
      </c>
      <c r="I183">
        <v>1.0140499999999999</v>
      </c>
      <c r="J183" t="s">
        <v>702</v>
      </c>
      <c r="K183" t="s">
        <v>701</v>
      </c>
      <c r="L183" s="243">
        <f>I183*B$171</f>
        <v>105.8998762679886</v>
      </c>
      <c r="M183" s="127" t="s">
        <v>3367</v>
      </c>
    </row>
    <row r="184" spans="1:13" x14ac:dyDescent="0.2">
      <c r="A184" s="1217"/>
      <c r="E184" s="83"/>
      <c r="H184" t="s">
        <v>703</v>
      </c>
      <c r="I184" s="33">
        <v>1.39005E-5</v>
      </c>
      <c r="J184" t="s">
        <v>704</v>
      </c>
      <c r="K184" t="s">
        <v>703</v>
      </c>
      <c r="L184" s="243">
        <f t="shared" ref="L184:L192" si="15">I184*B$171</f>
        <v>1.4516653321465171E-3</v>
      </c>
      <c r="M184" s="127" t="s">
        <v>3368</v>
      </c>
    </row>
    <row r="185" spans="1:13" x14ac:dyDescent="0.2">
      <c r="A185" s="1217"/>
      <c r="E185" s="83"/>
      <c r="H185" t="s">
        <v>705</v>
      </c>
      <c r="I185">
        <v>1967.76115</v>
      </c>
      <c r="J185" t="s">
        <v>706</v>
      </c>
      <c r="K185" t="s">
        <v>705</v>
      </c>
      <c r="L185" s="243">
        <f t="shared" si="15"/>
        <v>205498.40965431189</v>
      </c>
      <c r="M185" s="127" t="s">
        <v>3370</v>
      </c>
    </row>
    <row r="186" spans="1:13" x14ac:dyDescent="0.2">
      <c r="A186" s="1217"/>
      <c r="E186" s="83"/>
      <c r="H186" t="s">
        <v>3372</v>
      </c>
      <c r="I186">
        <v>3.6429999999999997E-2</v>
      </c>
      <c r="J186" t="s">
        <v>3373</v>
      </c>
      <c r="K186" t="s">
        <v>3372</v>
      </c>
      <c r="L186" s="243">
        <f t="shared" si="15"/>
        <v>3.8044795546992995</v>
      </c>
      <c r="M186" s="127" t="s">
        <v>3374</v>
      </c>
    </row>
    <row r="187" spans="1:13" x14ac:dyDescent="0.2">
      <c r="A187" s="1217"/>
      <c r="E187" s="83"/>
      <c r="H187" t="s">
        <v>3375</v>
      </c>
      <c r="I187">
        <v>0.84194000000000002</v>
      </c>
      <c r="J187" t="s">
        <v>707</v>
      </c>
      <c r="K187" t="s">
        <v>3375</v>
      </c>
      <c r="L187" s="243">
        <f t="shared" si="15"/>
        <v>87.92598178104663</v>
      </c>
      <c r="M187" s="127" t="s">
        <v>3376</v>
      </c>
    </row>
    <row r="188" spans="1:13" x14ac:dyDescent="0.2">
      <c r="A188" s="1217"/>
      <c r="E188" s="83"/>
      <c r="H188" t="s">
        <v>708</v>
      </c>
      <c r="I188">
        <v>297.96800000000002</v>
      </c>
      <c r="J188" t="s">
        <v>709</v>
      </c>
      <c r="K188" t="s">
        <v>708</v>
      </c>
      <c r="L188" s="243">
        <f t="shared" si="15"/>
        <v>31117.572439051361</v>
      </c>
      <c r="M188" s="127" t="s">
        <v>3377</v>
      </c>
    </row>
    <row r="189" spans="1:13" x14ac:dyDescent="0.2">
      <c r="A189" s="1217"/>
      <c r="E189" s="83"/>
      <c r="H189" t="s">
        <v>3378</v>
      </c>
      <c r="I189" s="33">
        <v>4.3792199999999997E-5</v>
      </c>
      <c r="J189" t="s">
        <v>704</v>
      </c>
      <c r="K189" t="s">
        <v>3378</v>
      </c>
      <c r="L189" s="243">
        <f t="shared" si="15"/>
        <v>4.5733332296267548E-3</v>
      </c>
      <c r="M189" s="127" t="s">
        <v>3368</v>
      </c>
    </row>
    <row r="190" spans="1:13" x14ac:dyDescent="0.2">
      <c r="A190" s="1217"/>
      <c r="E190" s="83"/>
      <c r="H190" t="s">
        <v>710</v>
      </c>
      <c r="I190" s="33">
        <v>1.91505E-6</v>
      </c>
      <c r="J190" t="s">
        <v>3379</v>
      </c>
      <c r="K190" t="s">
        <v>710</v>
      </c>
      <c r="L190" s="243">
        <f t="shared" si="15"/>
        <v>1.9999364730241269E-4</v>
      </c>
      <c r="M190" s="127" t="s">
        <v>3380</v>
      </c>
    </row>
    <row r="191" spans="1:13" x14ac:dyDescent="0.2">
      <c r="A191" s="1217"/>
      <c r="E191" s="83"/>
      <c r="H191" t="s">
        <v>3381</v>
      </c>
      <c r="I191">
        <v>0.14111000000000001</v>
      </c>
      <c r="J191" t="s">
        <v>3382</v>
      </c>
      <c r="K191" t="s">
        <v>3381</v>
      </c>
      <c r="L191" s="243">
        <f t="shared" si="15"/>
        <v>14.736483940807529</v>
      </c>
      <c r="M191" s="127" t="s">
        <v>3383</v>
      </c>
    </row>
    <row r="192" spans="1:13" x14ac:dyDescent="0.2">
      <c r="A192" s="1217"/>
      <c r="E192" s="83"/>
      <c r="H192" t="s">
        <v>3384</v>
      </c>
      <c r="I192">
        <v>20.29383</v>
      </c>
      <c r="J192" t="s">
        <v>711</v>
      </c>
      <c r="K192" t="s">
        <v>3384</v>
      </c>
      <c r="L192" s="243">
        <f t="shared" si="15"/>
        <v>2119.3373955954789</v>
      </c>
      <c r="M192" s="127" t="s">
        <v>3385</v>
      </c>
    </row>
    <row r="193" spans="1:13" x14ac:dyDescent="0.2">
      <c r="A193" s="1219"/>
      <c r="B193" s="833"/>
      <c r="C193" s="1102"/>
      <c r="D193" s="118"/>
      <c r="E193" s="1220"/>
      <c r="F193" s="118"/>
      <c r="G193" s="118"/>
      <c r="H193" s="118"/>
      <c r="I193" s="118"/>
      <c r="J193" s="118"/>
      <c r="K193" s="118"/>
      <c r="L193" s="833"/>
      <c r="M193" s="120"/>
    </row>
    <row r="194" spans="1:13" ht="16" x14ac:dyDescent="0.2">
      <c r="A194" s="486" t="s">
        <v>837</v>
      </c>
      <c r="B194" s="845">
        <v>52.216299131200934</v>
      </c>
      <c r="C194" s="1159" t="s">
        <v>1</v>
      </c>
      <c r="D194" s="110">
        <v>2</v>
      </c>
      <c r="E194" s="159" t="s">
        <v>3400</v>
      </c>
      <c r="F194" s="110">
        <v>1</v>
      </c>
      <c r="G194" s="110" t="s">
        <v>1</v>
      </c>
      <c r="H194" s="110"/>
      <c r="I194" s="110"/>
      <c r="J194" s="110"/>
      <c r="K194" s="110"/>
      <c r="L194" s="845"/>
      <c r="M194" s="112"/>
    </row>
    <row r="195" spans="1:13" x14ac:dyDescent="0.2">
      <c r="A195" s="1217"/>
      <c r="E195" s="83"/>
      <c r="H195" t="s">
        <v>701</v>
      </c>
      <c r="I195">
        <v>1.0140499999999999</v>
      </c>
      <c r="J195" t="s">
        <v>702</v>
      </c>
      <c r="K195" t="s">
        <v>701</v>
      </c>
      <c r="L195" s="243">
        <f>I195*B$171</f>
        <v>105.8998762679886</v>
      </c>
      <c r="M195" s="127" t="s">
        <v>3367</v>
      </c>
    </row>
    <row r="196" spans="1:13" x14ac:dyDescent="0.2">
      <c r="A196" s="1217"/>
      <c r="E196" s="83"/>
      <c r="H196" t="s">
        <v>703</v>
      </c>
      <c r="I196" s="33">
        <v>1.39005E-5</v>
      </c>
      <c r="J196" t="s">
        <v>704</v>
      </c>
      <c r="K196" t="s">
        <v>703</v>
      </c>
      <c r="L196" s="243">
        <f t="shared" ref="L196:L204" si="16">I196*B$171</f>
        <v>1.4516653321465171E-3</v>
      </c>
      <c r="M196" s="127" t="s">
        <v>3368</v>
      </c>
    </row>
    <row r="197" spans="1:13" x14ac:dyDescent="0.2">
      <c r="A197" s="1217"/>
      <c r="E197" s="83"/>
      <c r="H197" t="s">
        <v>705</v>
      </c>
      <c r="I197">
        <v>1967.76115</v>
      </c>
      <c r="J197" t="s">
        <v>706</v>
      </c>
      <c r="K197" t="s">
        <v>705</v>
      </c>
      <c r="L197" s="243">
        <f t="shared" si="16"/>
        <v>205498.40965431189</v>
      </c>
      <c r="M197" s="127" t="s">
        <v>3370</v>
      </c>
    </row>
    <row r="198" spans="1:13" x14ac:dyDescent="0.2">
      <c r="A198" s="1217"/>
      <c r="E198" s="83"/>
      <c r="H198" t="s">
        <v>3372</v>
      </c>
      <c r="I198">
        <v>3.6429999999999997E-2</v>
      </c>
      <c r="J198" t="s">
        <v>3373</v>
      </c>
      <c r="K198" t="s">
        <v>3372</v>
      </c>
      <c r="L198" s="243">
        <f t="shared" si="16"/>
        <v>3.8044795546992995</v>
      </c>
      <c r="M198" s="127" t="s">
        <v>3374</v>
      </c>
    </row>
    <row r="199" spans="1:13" x14ac:dyDescent="0.2">
      <c r="A199" s="1217"/>
      <c r="E199" s="83"/>
      <c r="H199" t="s">
        <v>3375</v>
      </c>
      <c r="I199">
        <v>0.84194000000000002</v>
      </c>
      <c r="J199" t="s">
        <v>707</v>
      </c>
      <c r="K199" t="s">
        <v>3375</v>
      </c>
      <c r="L199" s="243">
        <f t="shared" si="16"/>
        <v>87.92598178104663</v>
      </c>
      <c r="M199" s="127" t="s">
        <v>3376</v>
      </c>
    </row>
    <row r="200" spans="1:13" x14ac:dyDescent="0.2">
      <c r="A200" s="1217"/>
      <c r="E200" s="83"/>
      <c r="H200" t="s">
        <v>708</v>
      </c>
      <c r="I200">
        <v>297.96800000000002</v>
      </c>
      <c r="J200" t="s">
        <v>709</v>
      </c>
      <c r="K200" t="s">
        <v>708</v>
      </c>
      <c r="L200" s="243">
        <f t="shared" si="16"/>
        <v>31117.572439051361</v>
      </c>
      <c r="M200" s="127" t="s">
        <v>3377</v>
      </c>
    </row>
    <row r="201" spans="1:13" x14ac:dyDescent="0.2">
      <c r="A201" s="1217"/>
      <c r="E201" s="83"/>
      <c r="H201" t="s">
        <v>3378</v>
      </c>
      <c r="I201" s="33">
        <v>4.3792199999999997E-5</v>
      </c>
      <c r="J201" t="s">
        <v>704</v>
      </c>
      <c r="K201" t="s">
        <v>3378</v>
      </c>
      <c r="L201" s="243">
        <f t="shared" si="16"/>
        <v>4.5733332296267548E-3</v>
      </c>
      <c r="M201" s="127" t="s">
        <v>3368</v>
      </c>
    </row>
    <row r="202" spans="1:13" x14ac:dyDescent="0.2">
      <c r="A202" s="1217"/>
      <c r="E202" s="83"/>
      <c r="H202" t="s">
        <v>710</v>
      </c>
      <c r="I202" s="33">
        <v>1.91505E-6</v>
      </c>
      <c r="J202" t="s">
        <v>3379</v>
      </c>
      <c r="K202" t="s">
        <v>710</v>
      </c>
      <c r="L202" s="243">
        <f t="shared" si="16"/>
        <v>1.9999364730241269E-4</v>
      </c>
      <c r="M202" s="127" t="s">
        <v>3380</v>
      </c>
    </row>
    <row r="203" spans="1:13" x14ac:dyDescent="0.2">
      <c r="A203" s="1217"/>
      <c r="E203" s="83"/>
      <c r="H203" t="s">
        <v>3381</v>
      </c>
      <c r="I203">
        <v>0.14111000000000001</v>
      </c>
      <c r="J203" t="s">
        <v>3382</v>
      </c>
      <c r="K203" t="s">
        <v>3381</v>
      </c>
      <c r="L203" s="243">
        <f t="shared" si="16"/>
        <v>14.736483940807529</v>
      </c>
      <c r="M203" s="127" t="s">
        <v>3383</v>
      </c>
    </row>
    <row r="204" spans="1:13" x14ac:dyDescent="0.2">
      <c r="A204" s="1217"/>
      <c r="E204" s="83"/>
      <c r="H204" t="s">
        <v>3384</v>
      </c>
      <c r="I204">
        <v>20.29383</v>
      </c>
      <c r="J204" t="s">
        <v>711</v>
      </c>
      <c r="K204" t="s">
        <v>3384</v>
      </c>
      <c r="L204" s="243">
        <f t="shared" si="16"/>
        <v>2119.3373955954789</v>
      </c>
      <c r="M204" s="127" t="s">
        <v>3385</v>
      </c>
    </row>
    <row r="205" spans="1:13" x14ac:dyDescent="0.2">
      <c r="A205" s="1219"/>
      <c r="B205" s="833"/>
      <c r="C205" s="1102"/>
      <c r="D205" s="118"/>
      <c r="E205" s="1220"/>
      <c r="F205" s="118"/>
      <c r="G205" s="118"/>
      <c r="H205" s="118"/>
      <c r="I205" s="118"/>
      <c r="J205" s="118"/>
      <c r="K205" s="118"/>
      <c r="L205" s="833"/>
      <c r="M205" s="120"/>
    </row>
    <row r="206" spans="1:13" ht="16" x14ac:dyDescent="0.2">
      <c r="A206" s="486" t="s">
        <v>745</v>
      </c>
      <c r="B206" s="845">
        <v>67911.896763888712</v>
      </c>
      <c r="C206" s="1159" t="s">
        <v>391</v>
      </c>
      <c r="D206" s="110">
        <v>8</v>
      </c>
      <c r="E206" s="83" t="s">
        <v>3388</v>
      </c>
      <c r="F206" s="110"/>
      <c r="G206" s="110"/>
      <c r="H206" s="110"/>
      <c r="I206" s="110"/>
      <c r="J206" s="110"/>
      <c r="K206" s="110"/>
      <c r="L206" s="845"/>
      <c r="M206" s="112"/>
    </row>
    <row r="207" spans="1:13" ht="16" x14ac:dyDescent="0.2">
      <c r="A207" s="1223" t="s">
        <v>3389</v>
      </c>
      <c r="B207" s="243">
        <f>B206/1000</f>
        <v>67.911896763888706</v>
      </c>
      <c r="C207" s="133" t="s">
        <v>444</v>
      </c>
      <c r="F207">
        <v>1</v>
      </c>
      <c r="G207" t="s">
        <v>713</v>
      </c>
      <c r="H207" t="s">
        <v>701</v>
      </c>
      <c r="I207">
        <v>0.14229</v>
      </c>
      <c r="J207" t="s">
        <v>702</v>
      </c>
      <c r="K207" t="s">
        <v>701</v>
      </c>
      <c r="L207" s="243">
        <f>I207*B$212</f>
        <v>55.350810000000003</v>
      </c>
      <c r="M207" s="127" t="s">
        <v>3367</v>
      </c>
    </row>
    <row r="208" spans="1:13" x14ac:dyDescent="0.2">
      <c r="A208" s="1217"/>
      <c r="B208" s="243">
        <v>20</v>
      </c>
      <c r="C208" s="133" t="s">
        <v>10</v>
      </c>
      <c r="D208" t="s">
        <v>3390</v>
      </c>
      <c r="E208" s="83"/>
      <c r="F208">
        <v>40</v>
      </c>
      <c r="G208" t="s">
        <v>12</v>
      </c>
      <c r="H208" t="s">
        <v>703</v>
      </c>
      <c r="I208" s="33">
        <v>2.2291000000000001E-5</v>
      </c>
      <c r="J208" t="s">
        <v>704</v>
      </c>
      <c r="K208" t="s">
        <v>703</v>
      </c>
      <c r="L208" s="243">
        <f>I208*B$212</f>
        <v>8.671199000000001E-3</v>
      </c>
      <c r="M208" s="127" t="s">
        <v>3368</v>
      </c>
    </row>
    <row r="209" spans="1:13" x14ac:dyDescent="0.2">
      <c r="A209" s="1217"/>
      <c r="B209" s="243">
        <v>0.7</v>
      </c>
      <c r="D209" t="s">
        <v>3391</v>
      </c>
      <c r="E209" s="83"/>
      <c r="H209" t="s">
        <v>705</v>
      </c>
      <c r="I209">
        <v>3203.5834399999999</v>
      </c>
      <c r="J209" t="s">
        <v>706</v>
      </c>
      <c r="K209" t="s">
        <v>705</v>
      </c>
      <c r="L209" s="243">
        <f>I209*B$212</f>
        <v>1246193.9581599999</v>
      </c>
      <c r="M209" s="127" t="s">
        <v>3370</v>
      </c>
    </row>
    <row r="210" spans="1:13" x14ac:dyDescent="0.2">
      <c r="A210" s="1217"/>
      <c r="B210" s="243">
        <f>B207*B208/B209</f>
        <v>1940.3399075396774</v>
      </c>
      <c r="C210" s="133" t="s">
        <v>12</v>
      </c>
      <c r="D210" s="6"/>
      <c r="E210" s="83"/>
      <c r="H210" t="s">
        <v>3372</v>
      </c>
      <c r="I210">
        <v>1.278E-2</v>
      </c>
      <c r="J210" t="s">
        <v>3373</v>
      </c>
      <c r="K210" t="s">
        <v>3372</v>
      </c>
      <c r="L210" s="243">
        <f t="shared" ref="L210:L216" si="17">I210*B$212</f>
        <v>4.9714200000000002</v>
      </c>
      <c r="M210" s="127" t="s">
        <v>3374</v>
      </c>
    </row>
    <row r="211" spans="1:13" x14ac:dyDescent="0.2">
      <c r="A211" s="1217"/>
      <c r="B211" s="243">
        <f>B210*D206</f>
        <v>15522.719260317419</v>
      </c>
      <c r="C211" s="133" t="s">
        <v>12</v>
      </c>
      <c r="E211" s="83"/>
      <c r="H211" t="s">
        <v>3375</v>
      </c>
      <c r="I211">
        <v>3.7339999999999998E-2</v>
      </c>
      <c r="J211" t="s">
        <v>707</v>
      </c>
      <c r="K211" t="s">
        <v>3375</v>
      </c>
      <c r="L211" s="243">
        <f t="shared" si="17"/>
        <v>14.525259999999999</v>
      </c>
      <c r="M211" s="127" t="s">
        <v>3376</v>
      </c>
    </row>
    <row r="212" spans="1:13" x14ac:dyDescent="0.2">
      <c r="A212" s="1217"/>
      <c r="B212" s="1224">
        <f>ROUNDUP(B211/F208,0)</f>
        <v>389</v>
      </c>
      <c r="C212" s="1114" t="s">
        <v>3392</v>
      </c>
      <c r="D212" s="6" t="s">
        <v>577</v>
      </c>
      <c r="E212" s="83"/>
      <c r="H212" t="s">
        <v>708</v>
      </c>
      <c r="I212">
        <v>9.0477000000000007</v>
      </c>
      <c r="J212" t="s">
        <v>709</v>
      </c>
      <c r="K212" t="s">
        <v>708</v>
      </c>
      <c r="L212" s="243">
        <f t="shared" si="17"/>
        <v>3519.5553000000004</v>
      </c>
      <c r="M212" s="127" t="s">
        <v>3377</v>
      </c>
    </row>
    <row r="213" spans="1:13" x14ac:dyDescent="0.2">
      <c r="A213" s="1217"/>
      <c r="E213" s="83"/>
      <c r="H213" t="s">
        <v>3378</v>
      </c>
      <c r="I213" s="33">
        <v>3.5905399999999997E-5</v>
      </c>
      <c r="J213" t="s">
        <v>704</v>
      </c>
      <c r="K213" t="s">
        <v>3378</v>
      </c>
      <c r="L213" s="243">
        <f t="shared" si="17"/>
        <v>1.3967200599999998E-2</v>
      </c>
      <c r="M213" s="127" t="s">
        <v>3368</v>
      </c>
    </row>
    <row r="214" spans="1:13" x14ac:dyDescent="0.2">
      <c r="A214" s="1217"/>
      <c r="E214" s="83"/>
      <c r="H214" t="s">
        <v>710</v>
      </c>
      <c r="I214" s="33">
        <v>1.7364199999999999E-7</v>
      </c>
      <c r="J214" t="s">
        <v>3379</v>
      </c>
      <c r="K214" t="s">
        <v>710</v>
      </c>
      <c r="L214" s="243">
        <f t="shared" si="17"/>
        <v>6.7546737999999999E-5</v>
      </c>
      <c r="M214" s="127" t="s">
        <v>3380</v>
      </c>
    </row>
    <row r="215" spans="1:13" x14ac:dyDescent="0.2">
      <c r="A215" s="1217"/>
      <c r="E215" s="83"/>
      <c r="H215" t="s">
        <v>3381</v>
      </c>
      <c r="I215">
        <v>2.9360000000000001E-2</v>
      </c>
      <c r="J215" t="s">
        <v>3382</v>
      </c>
      <c r="K215" t="s">
        <v>3381</v>
      </c>
      <c r="L215" s="243">
        <f t="shared" si="17"/>
        <v>11.42104</v>
      </c>
      <c r="M215" s="127" t="s">
        <v>3383</v>
      </c>
    </row>
    <row r="216" spans="1:13" x14ac:dyDescent="0.2">
      <c r="A216" s="1217"/>
      <c r="E216" s="83"/>
      <c r="H216" t="s">
        <v>3384</v>
      </c>
      <c r="I216">
        <v>0.84404000000000001</v>
      </c>
      <c r="J216" t="s">
        <v>711</v>
      </c>
      <c r="K216" t="s">
        <v>3384</v>
      </c>
      <c r="L216" s="243">
        <f t="shared" si="17"/>
        <v>328.33156000000002</v>
      </c>
      <c r="M216" s="127" t="s">
        <v>3385</v>
      </c>
    </row>
    <row r="217" spans="1:13" x14ac:dyDescent="0.2">
      <c r="A217" s="1219"/>
      <c r="B217" s="833"/>
      <c r="C217" s="1102"/>
      <c r="D217" s="118"/>
      <c r="E217" s="1220"/>
      <c r="F217" s="118"/>
      <c r="G217" s="118"/>
      <c r="H217" s="118"/>
      <c r="I217" s="118"/>
      <c r="J217" s="118"/>
      <c r="K217" s="118"/>
      <c r="L217" s="833"/>
      <c r="M217" s="120"/>
    </row>
    <row r="218" spans="1:13" ht="16" x14ac:dyDescent="0.2">
      <c r="A218" s="486" t="s">
        <v>2380</v>
      </c>
      <c r="B218" s="845">
        <v>52.216299131200934</v>
      </c>
      <c r="C218" s="1159" t="s">
        <v>1</v>
      </c>
      <c r="D218" s="110">
        <v>2</v>
      </c>
      <c r="E218" s="159" t="s">
        <v>3400</v>
      </c>
      <c r="F218" s="110">
        <v>1</v>
      </c>
      <c r="G218" s="110" t="s">
        <v>1</v>
      </c>
      <c r="H218" s="110"/>
      <c r="I218" s="110"/>
      <c r="J218" s="110"/>
      <c r="K218" s="110"/>
      <c r="L218" s="845"/>
      <c r="M218" s="112"/>
    </row>
    <row r="219" spans="1:13" ht="16" x14ac:dyDescent="0.2">
      <c r="A219" s="1225" t="s">
        <v>3401</v>
      </c>
      <c r="E219" s="83"/>
      <c r="H219" t="s">
        <v>701</v>
      </c>
      <c r="I219">
        <v>7.5000000000000002E-4</v>
      </c>
      <c r="J219" t="s">
        <v>702</v>
      </c>
      <c r="K219" t="s">
        <v>701</v>
      </c>
      <c r="L219" s="243">
        <f>I219*B$218*D$218</f>
        <v>7.8324448696801399E-2</v>
      </c>
      <c r="M219" s="127" t="s">
        <v>3367</v>
      </c>
    </row>
    <row r="220" spans="1:13" x14ac:dyDescent="0.2">
      <c r="A220" s="1217"/>
      <c r="E220" s="83"/>
      <c r="H220" t="s">
        <v>703</v>
      </c>
      <c r="I220" s="33">
        <v>3.3111200000000002E-8</v>
      </c>
      <c r="J220" t="s">
        <v>704</v>
      </c>
      <c r="K220" t="s">
        <v>703</v>
      </c>
      <c r="L220" s="243">
        <f t="shared" ref="L220:L228" si="18">I220*B$218*D$218</f>
        <v>3.4578886475860409E-6</v>
      </c>
      <c r="M220" s="127" t="s">
        <v>3368</v>
      </c>
    </row>
    <row r="221" spans="1:13" x14ac:dyDescent="0.2">
      <c r="A221" s="1217"/>
      <c r="E221" s="83"/>
      <c r="H221" t="s">
        <v>705</v>
      </c>
      <c r="I221">
        <v>4.1968100000000002</v>
      </c>
      <c r="J221" t="s">
        <v>706</v>
      </c>
      <c r="K221" t="s">
        <v>705</v>
      </c>
      <c r="L221" s="243">
        <f t="shared" si="18"/>
        <v>438.28377271363081</v>
      </c>
      <c r="M221" s="127" t="s">
        <v>3370</v>
      </c>
    </row>
    <row r="222" spans="1:13" x14ac:dyDescent="0.2">
      <c r="A222" s="1217"/>
      <c r="E222" s="83"/>
      <c r="H222" t="s">
        <v>3372</v>
      </c>
      <c r="I222">
        <v>3.2000000000000003E-4</v>
      </c>
      <c r="J222" t="s">
        <v>3373</v>
      </c>
      <c r="K222" t="s">
        <v>3372</v>
      </c>
      <c r="L222" s="243">
        <f t="shared" si="18"/>
        <v>3.3418431443968603E-2</v>
      </c>
      <c r="M222" s="127" t="s">
        <v>3374</v>
      </c>
    </row>
    <row r="223" spans="1:13" x14ac:dyDescent="0.2">
      <c r="A223" s="1217"/>
      <c r="E223" s="83"/>
      <c r="H223" t="s">
        <v>3375</v>
      </c>
      <c r="I223">
        <v>5.2999999999999998E-4</v>
      </c>
      <c r="J223" t="s">
        <v>707</v>
      </c>
      <c r="K223" t="s">
        <v>3375</v>
      </c>
      <c r="L223" s="243">
        <f t="shared" si="18"/>
        <v>5.5349277079072987E-2</v>
      </c>
      <c r="M223" s="127" t="s">
        <v>3376</v>
      </c>
    </row>
    <row r="224" spans="1:13" x14ac:dyDescent="0.2">
      <c r="A224" s="1217"/>
      <c r="E224" s="83"/>
      <c r="H224" t="s">
        <v>708</v>
      </c>
      <c r="I224">
        <v>0.39150000000000001</v>
      </c>
      <c r="J224" t="s">
        <v>709</v>
      </c>
      <c r="K224" t="s">
        <v>708</v>
      </c>
      <c r="L224" s="243">
        <f t="shared" si="18"/>
        <v>40.885362219730332</v>
      </c>
      <c r="M224" s="127" t="s">
        <v>3377</v>
      </c>
    </row>
    <row r="225" spans="1:13" x14ac:dyDescent="0.2">
      <c r="A225" s="1217"/>
      <c r="E225" s="83"/>
      <c r="H225" t="s">
        <v>3378</v>
      </c>
      <c r="I225" s="33">
        <v>9.8849699999999999E-8</v>
      </c>
      <c r="J225" t="s">
        <v>704</v>
      </c>
      <c r="K225" t="s">
        <v>3378</v>
      </c>
      <c r="L225" s="243">
        <f t="shared" si="18"/>
        <v>1.0323131008458946E-5</v>
      </c>
      <c r="M225" s="127" t="s">
        <v>3368</v>
      </c>
    </row>
    <row r="226" spans="1:13" x14ac:dyDescent="0.2">
      <c r="A226" s="1217"/>
      <c r="E226" s="83"/>
      <c r="H226" t="s">
        <v>710</v>
      </c>
      <c r="I226" s="33">
        <v>1.51061E-9</v>
      </c>
      <c r="J226" t="s">
        <v>3379</v>
      </c>
      <c r="K226" t="s">
        <v>710</v>
      </c>
      <c r="L226" s="243">
        <f t="shared" si="18"/>
        <v>1.5775692726116689E-7</v>
      </c>
      <c r="M226" s="127" t="s">
        <v>3380</v>
      </c>
    </row>
    <row r="227" spans="1:13" x14ac:dyDescent="0.2">
      <c r="A227" s="1217"/>
      <c r="E227" s="83"/>
      <c r="H227" t="s">
        <v>3381</v>
      </c>
      <c r="I227">
        <v>1.01E-3</v>
      </c>
      <c r="J227" t="s">
        <v>3382</v>
      </c>
      <c r="K227" t="s">
        <v>3381</v>
      </c>
      <c r="L227" s="243">
        <f t="shared" si="18"/>
        <v>0.10547692424502589</v>
      </c>
      <c r="M227" s="127" t="s">
        <v>3383</v>
      </c>
    </row>
    <row r="228" spans="1:13" x14ac:dyDescent="0.2">
      <c r="A228" s="1217"/>
      <c r="E228" s="83"/>
      <c r="H228" t="s">
        <v>3384</v>
      </c>
      <c r="I228">
        <v>1.2200000000000001E-2</v>
      </c>
      <c r="J228" t="s">
        <v>711</v>
      </c>
      <c r="K228" t="s">
        <v>3384</v>
      </c>
      <c r="L228" s="243">
        <f t="shared" si="18"/>
        <v>1.2740776988013029</v>
      </c>
      <c r="M228" s="127" t="s">
        <v>3385</v>
      </c>
    </row>
    <row r="229" spans="1:13" x14ac:dyDescent="0.2">
      <c r="A229" s="1219"/>
      <c r="B229" s="833"/>
      <c r="C229" s="1102"/>
      <c r="D229" s="118"/>
      <c r="E229" s="1220"/>
      <c r="F229" s="118"/>
      <c r="G229" s="118"/>
      <c r="H229" s="118"/>
      <c r="I229" s="118"/>
      <c r="J229" s="118"/>
      <c r="K229" s="118"/>
      <c r="L229" s="833"/>
      <c r="M229" s="120"/>
    </row>
    <row r="230" spans="1:13" ht="16" x14ac:dyDescent="0.2">
      <c r="A230" s="486" t="s">
        <v>2381</v>
      </c>
      <c r="B230" s="845">
        <v>52.216299131200934</v>
      </c>
      <c r="C230" s="1159" t="s">
        <v>1</v>
      </c>
      <c r="D230" s="110">
        <v>2</v>
      </c>
      <c r="E230" s="159" t="s">
        <v>3400</v>
      </c>
      <c r="F230" s="110">
        <v>1</v>
      </c>
      <c r="G230" s="110" t="s">
        <v>1</v>
      </c>
      <c r="H230" s="110"/>
      <c r="I230" s="110"/>
      <c r="J230" s="110"/>
      <c r="K230" s="110"/>
      <c r="L230" s="845"/>
      <c r="M230" s="112"/>
    </row>
    <row r="231" spans="1:13" ht="16" x14ac:dyDescent="0.2">
      <c r="A231" s="1225" t="s">
        <v>3401</v>
      </c>
      <c r="E231" s="83"/>
      <c r="H231" t="s">
        <v>701</v>
      </c>
      <c r="I231">
        <v>7.5000000000000002E-4</v>
      </c>
      <c r="J231" t="s">
        <v>702</v>
      </c>
      <c r="K231" t="s">
        <v>701</v>
      </c>
      <c r="L231" s="243">
        <f>I231*B$218*D$218</f>
        <v>7.8324448696801399E-2</v>
      </c>
      <c r="M231" s="127" t="s">
        <v>3367</v>
      </c>
    </row>
    <row r="232" spans="1:13" x14ac:dyDescent="0.2">
      <c r="A232" s="1217"/>
      <c r="E232" s="83"/>
      <c r="H232" t="s">
        <v>703</v>
      </c>
      <c r="I232" s="33">
        <v>3.3111200000000002E-8</v>
      </c>
      <c r="J232" t="s">
        <v>704</v>
      </c>
      <c r="K232" t="s">
        <v>703</v>
      </c>
      <c r="L232" s="243">
        <f t="shared" ref="L232:L240" si="19">I232*B$218*D$218</f>
        <v>3.4578886475860409E-6</v>
      </c>
      <c r="M232" s="127" t="s">
        <v>3368</v>
      </c>
    </row>
    <row r="233" spans="1:13" x14ac:dyDescent="0.2">
      <c r="A233" s="1217"/>
      <c r="E233" s="83"/>
      <c r="H233" t="s">
        <v>705</v>
      </c>
      <c r="I233">
        <v>4.1968100000000002</v>
      </c>
      <c r="J233" t="s">
        <v>706</v>
      </c>
      <c r="K233" t="s">
        <v>705</v>
      </c>
      <c r="L233" s="243">
        <f t="shared" si="19"/>
        <v>438.28377271363081</v>
      </c>
      <c r="M233" s="127" t="s">
        <v>3370</v>
      </c>
    </row>
    <row r="234" spans="1:13" x14ac:dyDescent="0.2">
      <c r="A234" s="1217"/>
      <c r="E234" s="83"/>
      <c r="H234" t="s">
        <v>3372</v>
      </c>
      <c r="I234">
        <v>3.2000000000000003E-4</v>
      </c>
      <c r="J234" t="s">
        <v>3373</v>
      </c>
      <c r="K234" t="s">
        <v>3372</v>
      </c>
      <c r="L234" s="243">
        <f t="shared" si="19"/>
        <v>3.3418431443968603E-2</v>
      </c>
      <c r="M234" s="127" t="s">
        <v>3374</v>
      </c>
    </row>
    <row r="235" spans="1:13" x14ac:dyDescent="0.2">
      <c r="A235" s="1217"/>
      <c r="E235" s="83"/>
      <c r="H235" t="s">
        <v>3375</v>
      </c>
      <c r="I235">
        <v>5.2999999999999998E-4</v>
      </c>
      <c r="J235" t="s">
        <v>707</v>
      </c>
      <c r="K235" t="s">
        <v>3375</v>
      </c>
      <c r="L235" s="243">
        <f t="shared" si="19"/>
        <v>5.5349277079072987E-2</v>
      </c>
      <c r="M235" s="127" t="s">
        <v>3376</v>
      </c>
    </row>
    <row r="236" spans="1:13" x14ac:dyDescent="0.2">
      <c r="A236" s="1217"/>
      <c r="E236" s="83"/>
      <c r="H236" t="s">
        <v>708</v>
      </c>
      <c r="I236">
        <v>0.39150000000000001</v>
      </c>
      <c r="J236" t="s">
        <v>709</v>
      </c>
      <c r="K236" t="s">
        <v>708</v>
      </c>
      <c r="L236" s="243">
        <f t="shared" si="19"/>
        <v>40.885362219730332</v>
      </c>
      <c r="M236" s="127" t="s">
        <v>3377</v>
      </c>
    </row>
    <row r="237" spans="1:13" x14ac:dyDescent="0.2">
      <c r="A237" s="1217"/>
      <c r="E237" s="83"/>
      <c r="H237" t="s">
        <v>3378</v>
      </c>
      <c r="I237" s="33">
        <v>9.8849699999999999E-8</v>
      </c>
      <c r="J237" t="s">
        <v>704</v>
      </c>
      <c r="K237" t="s">
        <v>3378</v>
      </c>
      <c r="L237" s="243">
        <f t="shared" si="19"/>
        <v>1.0323131008458946E-5</v>
      </c>
      <c r="M237" s="127" t="s">
        <v>3368</v>
      </c>
    </row>
    <row r="238" spans="1:13" x14ac:dyDescent="0.2">
      <c r="A238" s="1217"/>
      <c r="E238" s="83"/>
      <c r="H238" t="s">
        <v>710</v>
      </c>
      <c r="I238" s="33">
        <v>1.51061E-9</v>
      </c>
      <c r="J238" t="s">
        <v>3379</v>
      </c>
      <c r="K238" t="s">
        <v>710</v>
      </c>
      <c r="L238" s="243">
        <f t="shared" si="19"/>
        <v>1.5775692726116689E-7</v>
      </c>
      <c r="M238" s="127" t="s">
        <v>3380</v>
      </c>
    </row>
    <row r="239" spans="1:13" x14ac:dyDescent="0.2">
      <c r="A239" s="1217"/>
      <c r="E239" s="83"/>
      <c r="H239" t="s">
        <v>3381</v>
      </c>
      <c r="I239">
        <v>1.01E-3</v>
      </c>
      <c r="J239" t="s">
        <v>3382</v>
      </c>
      <c r="K239" t="s">
        <v>3381</v>
      </c>
      <c r="L239" s="243">
        <f t="shared" si="19"/>
        <v>0.10547692424502589</v>
      </c>
      <c r="M239" s="127" t="s">
        <v>3383</v>
      </c>
    </row>
    <row r="240" spans="1:13" x14ac:dyDescent="0.2">
      <c r="A240" s="1217"/>
      <c r="E240" s="83"/>
      <c r="H240" t="s">
        <v>3384</v>
      </c>
      <c r="I240">
        <v>1.2200000000000001E-2</v>
      </c>
      <c r="J240" t="s">
        <v>711</v>
      </c>
      <c r="K240" t="s">
        <v>3384</v>
      </c>
      <c r="L240" s="243">
        <f t="shared" si="19"/>
        <v>1.2740776988013029</v>
      </c>
      <c r="M240" s="127" t="s">
        <v>3385</v>
      </c>
    </row>
    <row r="241" spans="1:13" x14ac:dyDescent="0.2">
      <c r="A241" s="1219"/>
      <c r="B241" s="833"/>
      <c r="C241" s="1102"/>
      <c r="D241" s="118"/>
      <c r="E241" s="1220"/>
      <c r="F241" s="118"/>
      <c r="G241" s="118"/>
      <c r="H241" s="118"/>
      <c r="I241" s="118"/>
      <c r="J241" s="118"/>
      <c r="K241" s="118"/>
      <c r="L241" s="833"/>
      <c r="M241" s="120"/>
    </row>
    <row r="242" spans="1:13" ht="16" x14ac:dyDescent="0.2">
      <c r="A242" s="486" t="s">
        <v>2382</v>
      </c>
      <c r="B242" s="845">
        <v>6160.8626900989684</v>
      </c>
      <c r="C242" s="1159" t="s">
        <v>2494</v>
      </c>
      <c r="D242" s="110">
        <v>2</v>
      </c>
      <c r="E242" s="159" t="s">
        <v>3400</v>
      </c>
      <c r="F242" s="110">
        <v>1</v>
      </c>
      <c r="G242" s="110" t="s">
        <v>1</v>
      </c>
      <c r="H242" s="110"/>
      <c r="I242" s="110"/>
      <c r="J242" s="110"/>
      <c r="K242" s="110"/>
      <c r="L242" s="845"/>
      <c r="M242" s="112"/>
    </row>
    <row r="243" spans="1:13" ht="16" x14ac:dyDescent="0.2">
      <c r="A243" s="1225" t="s">
        <v>3402</v>
      </c>
      <c r="B243" s="243">
        <v>52.216299131200934</v>
      </c>
      <c r="C243" s="133" t="s">
        <v>1</v>
      </c>
      <c r="E243" s="83"/>
      <c r="H243" t="s">
        <v>701</v>
      </c>
      <c r="I243">
        <v>7.5000000000000002E-4</v>
      </c>
      <c r="J243" t="s">
        <v>702</v>
      </c>
      <c r="K243" t="s">
        <v>701</v>
      </c>
      <c r="L243" s="243">
        <f>B$243*D$242*I243</f>
        <v>7.8324448696801399E-2</v>
      </c>
      <c r="M243" s="127" t="s">
        <v>3367</v>
      </c>
    </row>
    <row r="244" spans="1:13" x14ac:dyDescent="0.2">
      <c r="A244" s="1217"/>
      <c r="E244" s="83"/>
      <c r="H244" t="s">
        <v>703</v>
      </c>
      <c r="I244" s="33">
        <v>3.3111200000000002E-8</v>
      </c>
      <c r="J244" t="s">
        <v>704</v>
      </c>
      <c r="K244" t="s">
        <v>703</v>
      </c>
      <c r="L244" s="243">
        <f t="shared" ref="L244:L252" si="20">B$243*D$242*I244</f>
        <v>3.4578886475860409E-6</v>
      </c>
      <c r="M244" s="127" t="s">
        <v>3368</v>
      </c>
    </row>
    <row r="245" spans="1:13" x14ac:dyDescent="0.2">
      <c r="A245" s="1217"/>
      <c r="E245" s="83"/>
      <c r="H245" t="s">
        <v>705</v>
      </c>
      <c r="I245">
        <v>4.1968100000000002</v>
      </c>
      <c r="J245" t="s">
        <v>706</v>
      </c>
      <c r="K245" t="s">
        <v>705</v>
      </c>
      <c r="L245" s="243">
        <f t="shared" si="20"/>
        <v>438.28377271363081</v>
      </c>
      <c r="M245" s="127" t="s">
        <v>3370</v>
      </c>
    </row>
    <row r="246" spans="1:13" x14ac:dyDescent="0.2">
      <c r="A246" s="1217"/>
      <c r="E246" s="83"/>
      <c r="H246" t="s">
        <v>3372</v>
      </c>
      <c r="I246">
        <v>3.2000000000000003E-4</v>
      </c>
      <c r="J246" t="s">
        <v>3373</v>
      </c>
      <c r="K246" t="s">
        <v>3372</v>
      </c>
      <c r="L246" s="243">
        <f t="shared" si="20"/>
        <v>3.3418431443968603E-2</v>
      </c>
      <c r="M246" s="127" t="s">
        <v>3374</v>
      </c>
    </row>
    <row r="247" spans="1:13" x14ac:dyDescent="0.2">
      <c r="A247" s="1217"/>
      <c r="E247" s="83"/>
      <c r="H247" t="s">
        <v>3375</v>
      </c>
      <c r="I247">
        <v>5.2999999999999998E-4</v>
      </c>
      <c r="J247" t="s">
        <v>707</v>
      </c>
      <c r="K247" t="s">
        <v>3375</v>
      </c>
      <c r="L247" s="243">
        <f t="shared" si="20"/>
        <v>5.5349277079072987E-2</v>
      </c>
      <c r="M247" s="127" t="s">
        <v>3376</v>
      </c>
    </row>
    <row r="248" spans="1:13" x14ac:dyDescent="0.2">
      <c r="A248" s="1217"/>
      <c r="E248" s="83"/>
      <c r="H248" t="s">
        <v>708</v>
      </c>
      <c r="I248">
        <v>0.39150000000000001</v>
      </c>
      <c r="J248" t="s">
        <v>709</v>
      </c>
      <c r="K248" t="s">
        <v>708</v>
      </c>
      <c r="L248" s="243">
        <f t="shared" si="20"/>
        <v>40.885362219730332</v>
      </c>
      <c r="M248" s="127" t="s">
        <v>3377</v>
      </c>
    </row>
    <row r="249" spans="1:13" x14ac:dyDescent="0.2">
      <c r="A249" s="1217"/>
      <c r="E249" s="83"/>
      <c r="H249" t="s">
        <v>3378</v>
      </c>
      <c r="I249" s="33">
        <v>9.8849699999999999E-8</v>
      </c>
      <c r="J249" t="s">
        <v>704</v>
      </c>
      <c r="K249" t="s">
        <v>3378</v>
      </c>
      <c r="L249" s="243">
        <f t="shared" si="20"/>
        <v>1.0323131008458946E-5</v>
      </c>
      <c r="M249" s="127" t="s">
        <v>3368</v>
      </c>
    </row>
    <row r="250" spans="1:13" x14ac:dyDescent="0.2">
      <c r="A250" s="1217"/>
      <c r="E250" s="83"/>
      <c r="H250" t="s">
        <v>710</v>
      </c>
      <c r="I250" s="33">
        <v>1.51061E-9</v>
      </c>
      <c r="J250" t="s">
        <v>3379</v>
      </c>
      <c r="K250" t="s">
        <v>710</v>
      </c>
      <c r="L250" s="243">
        <f t="shared" si="20"/>
        <v>1.5775692726116689E-7</v>
      </c>
      <c r="M250" s="127" t="s">
        <v>3380</v>
      </c>
    </row>
    <row r="251" spans="1:13" x14ac:dyDescent="0.2">
      <c r="A251" s="1217"/>
      <c r="E251" s="83"/>
      <c r="H251" t="s">
        <v>3381</v>
      </c>
      <c r="I251">
        <v>1.01E-3</v>
      </c>
      <c r="J251" t="s">
        <v>3382</v>
      </c>
      <c r="K251" t="s">
        <v>3381</v>
      </c>
      <c r="L251" s="243">
        <f t="shared" si="20"/>
        <v>0.10547692424502589</v>
      </c>
      <c r="M251" s="127" t="s">
        <v>3383</v>
      </c>
    </row>
    <row r="252" spans="1:13" x14ac:dyDescent="0.2">
      <c r="A252" s="1217"/>
      <c r="E252" s="83"/>
      <c r="H252" t="s">
        <v>3384</v>
      </c>
      <c r="I252">
        <v>1.2200000000000001E-2</v>
      </c>
      <c r="J252" t="s">
        <v>711</v>
      </c>
      <c r="K252" t="s">
        <v>3384</v>
      </c>
      <c r="L252" s="243">
        <f t="shared" si="20"/>
        <v>1.2740776988013029</v>
      </c>
      <c r="M252" s="127" t="s">
        <v>3385</v>
      </c>
    </row>
    <row r="253" spans="1:13" x14ac:dyDescent="0.2">
      <c r="A253" s="1219"/>
      <c r="B253" s="833"/>
      <c r="C253" s="1102"/>
      <c r="D253" s="118"/>
      <c r="E253" s="1220"/>
      <c r="F253" s="118"/>
      <c r="G253" s="118"/>
      <c r="H253" s="118"/>
      <c r="I253" s="118"/>
      <c r="J253" s="118"/>
      <c r="K253" s="118"/>
      <c r="L253" s="833"/>
      <c r="M253" s="120"/>
    </row>
    <row r="254" spans="1:13" ht="16" x14ac:dyDescent="0.2">
      <c r="A254" s="486" t="s">
        <v>2383</v>
      </c>
      <c r="B254" s="845">
        <v>299.03961586917092</v>
      </c>
      <c r="C254" s="1159" t="s">
        <v>1091</v>
      </c>
      <c r="D254" s="110">
        <v>2</v>
      </c>
      <c r="E254" s="159" t="s">
        <v>3400</v>
      </c>
      <c r="F254" s="110">
        <v>1</v>
      </c>
      <c r="G254" s="110" t="s">
        <v>1</v>
      </c>
      <c r="H254" s="110"/>
      <c r="I254" s="110"/>
      <c r="J254" s="110"/>
      <c r="K254" s="110"/>
      <c r="L254" s="845"/>
      <c r="M254" s="112"/>
    </row>
    <row r="255" spans="1:13" x14ac:dyDescent="0.2">
      <c r="A255" s="1217"/>
      <c r="B255" s="243">
        <v>67.911896763888706</v>
      </c>
      <c r="C255" s="133" t="s">
        <v>444</v>
      </c>
      <c r="E255" s="83"/>
      <c r="H255" t="s">
        <v>701</v>
      </c>
      <c r="I255">
        <v>7.5000000000000002E-4</v>
      </c>
      <c r="J255" t="s">
        <v>702</v>
      </c>
      <c r="K255" t="s">
        <v>701</v>
      </c>
      <c r="L255" s="243">
        <f>I255*B$256*D$254</f>
        <v>1.2224141417499967</v>
      </c>
      <c r="M255" s="127" t="s">
        <v>3367</v>
      </c>
    </row>
    <row r="256" spans="1:13" x14ac:dyDescent="0.2">
      <c r="A256" s="1217"/>
      <c r="B256" s="243">
        <f>B255*12</f>
        <v>814.94276116666447</v>
      </c>
      <c r="C256" s="133" t="s">
        <v>1</v>
      </c>
      <c r="E256" s="83"/>
      <c r="H256" t="s">
        <v>703</v>
      </c>
      <c r="I256" s="33">
        <v>3.3111200000000002E-8</v>
      </c>
      <c r="J256" t="s">
        <v>704</v>
      </c>
      <c r="K256" t="s">
        <v>703</v>
      </c>
      <c r="L256" s="243">
        <f t="shared" ref="L256:L264" si="21">I256*B$256*D$254</f>
        <v>5.3967465507083327E-5</v>
      </c>
      <c r="M256" s="127" t="s">
        <v>3368</v>
      </c>
    </row>
    <row r="257" spans="1:13" x14ac:dyDescent="0.2">
      <c r="A257" s="1217"/>
      <c r="E257" s="83"/>
      <c r="H257" t="s">
        <v>705</v>
      </c>
      <c r="I257">
        <v>4.1968100000000002</v>
      </c>
      <c r="J257" t="s">
        <v>706</v>
      </c>
      <c r="K257" t="s">
        <v>705</v>
      </c>
      <c r="L257" s="243">
        <f t="shared" si="21"/>
        <v>6840.3198589837384</v>
      </c>
      <c r="M257" s="127" t="s">
        <v>3370</v>
      </c>
    </row>
    <row r="258" spans="1:13" x14ac:dyDescent="0.2">
      <c r="A258" s="1217"/>
      <c r="E258" s="83"/>
      <c r="H258" t="s">
        <v>3372</v>
      </c>
      <c r="I258">
        <v>3.2000000000000003E-4</v>
      </c>
      <c r="J258" t="s">
        <v>3373</v>
      </c>
      <c r="K258" t="s">
        <v>3372</v>
      </c>
      <c r="L258" s="243">
        <f t="shared" si="21"/>
        <v>0.52156336714666529</v>
      </c>
      <c r="M258" s="127" t="s">
        <v>3374</v>
      </c>
    </row>
    <row r="259" spans="1:13" x14ac:dyDescent="0.2">
      <c r="A259" s="1217"/>
      <c r="E259" s="83"/>
      <c r="H259" t="s">
        <v>3375</v>
      </c>
      <c r="I259">
        <v>5.2999999999999998E-4</v>
      </c>
      <c r="J259" t="s">
        <v>707</v>
      </c>
      <c r="K259" t="s">
        <v>3375</v>
      </c>
      <c r="L259" s="243">
        <f t="shared" si="21"/>
        <v>0.86383932683666431</v>
      </c>
      <c r="M259" s="127" t="s">
        <v>3376</v>
      </c>
    </row>
    <row r="260" spans="1:13" x14ac:dyDescent="0.2">
      <c r="A260" s="1217"/>
      <c r="E260" s="83"/>
      <c r="H260" t="s">
        <v>708</v>
      </c>
      <c r="I260">
        <v>0.39150000000000001</v>
      </c>
      <c r="J260" t="s">
        <v>709</v>
      </c>
      <c r="K260" t="s">
        <v>708</v>
      </c>
      <c r="L260" s="243">
        <f t="shared" si="21"/>
        <v>638.10018199349827</v>
      </c>
      <c r="M260" s="127" t="s">
        <v>3377</v>
      </c>
    </row>
    <row r="261" spans="1:13" x14ac:dyDescent="0.2">
      <c r="A261" s="1217"/>
      <c r="E261" s="83"/>
      <c r="H261" t="s">
        <v>3378</v>
      </c>
      <c r="I261" s="33">
        <v>9.8849699999999999E-8</v>
      </c>
      <c r="J261" t="s">
        <v>704</v>
      </c>
      <c r="K261" t="s">
        <v>3378</v>
      </c>
      <c r="L261" s="243">
        <f t="shared" si="21"/>
        <v>1.6111369491699287E-4</v>
      </c>
      <c r="M261" s="127" t="s">
        <v>3368</v>
      </c>
    </row>
    <row r="262" spans="1:13" x14ac:dyDescent="0.2">
      <c r="A262" s="1217"/>
      <c r="E262" s="83"/>
      <c r="H262" t="s">
        <v>710</v>
      </c>
      <c r="I262" s="33">
        <v>1.51061E-9</v>
      </c>
      <c r="J262" t="s">
        <v>3379</v>
      </c>
      <c r="K262" t="s">
        <v>710</v>
      </c>
      <c r="L262" s="243">
        <f t="shared" si="21"/>
        <v>2.46212136889195E-6</v>
      </c>
      <c r="M262" s="127" t="s">
        <v>3380</v>
      </c>
    </row>
    <row r="263" spans="1:13" x14ac:dyDescent="0.2">
      <c r="A263" s="1217"/>
      <c r="E263" s="83"/>
      <c r="H263" t="s">
        <v>3381</v>
      </c>
      <c r="I263">
        <v>1.01E-3</v>
      </c>
      <c r="J263" t="s">
        <v>3382</v>
      </c>
      <c r="K263" t="s">
        <v>3381</v>
      </c>
      <c r="L263" s="243">
        <f t="shared" si="21"/>
        <v>1.6461843775566622</v>
      </c>
      <c r="M263" s="127" t="s">
        <v>3383</v>
      </c>
    </row>
    <row r="264" spans="1:13" x14ac:dyDescent="0.2">
      <c r="A264" s="1217"/>
      <c r="E264" s="83"/>
      <c r="H264" t="s">
        <v>3384</v>
      </c>
      <c r="I264">
        <v>1.2200000000000001E-2</v>
      </c>
      <c r="J264" t="s">
        <v>711</v>
      </c>
      <c r="K264" t="s">
        <v>3384</v>
      </c>
      <c r="L264" s="243">
        <f t="shared" si="21"/>
        <v>19.884603372466614</v>
      </c>
      <c r="M264" s="127" t="s">
        <v>3385</v>
      </c>
    </row>
    <row r="265" spans="1:13" x14ac:dyDescent="0.2">
      <c r="A265" s="1219"/>
      <c r="B265" s="833"/>
      <c r="C265" s="1102"/>
      <c r="D265" s="118"/>
      <c r="E265" s="1220"/>
      <c r="F265" s="118"/>
      <c r="G265" s="118"/>
      <c r="H265" s="118"/>
      <c r="I265" s="118"/>
      <c r="J265" s="118"/>
      <c r="K265" s="118"/>
      <c r="L265" s="833"/>
      <c r="M265" s="120"/>
    </row>
    <row r="266" spans="1:13" ht="32" x14ac:dyDescent="0.2">
      <c r="A266" s="1215" t="s">
        <v>3403</v>
      </c>
      <c r="B266" s="845">
        <v>921225.15741181036</v>
      </c>
      <c r="C266" s="1103" t="s">
        <v>40</v>
      </c>
      <c r="D266" s="110"/>
      <c r="E266" s="1216" t="s">
        <v>3404</v>
      </c>
      <c r="F266" s="110">
        <v>1</v>
      </c>
      <c r="G266" s="110" t="s">
        <v>378</v>
      </c>
      <c r="H266" s="110"/>
      <c r="I266" s="110"/>
      <c r="J266" s="110"/>
      <c r="K266" s="110"/>
      <c r="L266" s="845"/>
      <c r="M266" s="112"/>
    </row>
    <row r="267" spans="1:13" x14ac:dyDescent="0.2">
      <c r="A267" s="637"/>
      <c r="B267" s="243">
        <v>30</v>
      </c>
      <c r="C267" s="133" t="s">
        <v>1128</v>
      </c>
      <c r="E267" s="83"/>
      <c r="H267" t="s">
        <v>701</v>
      </c>
      <c r="I267">
        <v>7.5000000000000002E-4</v>
      </c>
      <c r="J267" t="s">
        <v>702</v>
      </c>
      <c r="K267" t="s">
        <v>701</v>
      </c>
      <c r="L267" s="243">
        <f>(I267/F$266)*(B$266*B$267)</f>
        <v>20727.566041765735</v>
      </c>
      <c r="M267" s="127" t="s">
        <v>3367</v>
      </c>
    </row>
    <row r="268" spans="1:13" x14ac:dyDescent="0.2">
      <c r="A268" s="1217"/>
      <c r="E268" s="83"/>
      <c r="H268" t="s">
        <v>703</v>
      </c>
      <c r="I268" s="33">
        <v>3.3111200000000002E-8</v>
      </c>
      <c r="J268" t="s">
        <v>704</v>
      </c>
      <c r="K268" t="s">
        <v>703</v>
      </c>
      <c r="L268" s="243">
        <f t="shared" ref="L268:L276" si="22">(I268/F$266)*(B$266*B$267)</f>
        <v>0.91508611296281817</v>
      </c>
      <c r="M268" s="127" t="s">
        <v>3368</v>
      </c>
    </row>
    <row r="269" spans="1:13" x14ac:dyDescent="0.2">
      <c r="A269" s="1217"/>
      <c r="B269" s="243" t="s">
        <v>378</v>
      </c>
      <c r="C269" t="s">
        <v>3405</v>
      </c>
      <c r="D269">
        <v>30</v>
      </c>
      <c r="E269" s="83"/>
      <c r="H269" t="s">
        <v>705</v>
      </c>
      <c r="I269">
        <v>4.1968100000000002</v>
      </c>
      <c r="J269" t="s">
        <v>706</v>
      </c>
      <c r="K269" t="s">
        <v>705</v>
      </c>
      <c r="L269" s="243">
        <f t="shared" si="22"/>
        <v>115986208.5863238</v>
      </c>
      <c r="M269" s="127" t="s">
        <v>3370</v>
      </c>
    </row>
    <row r="270" spans="1:13" x14ac:dyDescent="0.2">
      <c r="A270" s="1217"/>
      <c r="B270" s="243" t="s">
        <v>1128</v>
      </c>
      <c r="C270" t="s">
        <v>378</v>
      </c>
      <c r="E270" s="83"/>
      <c r="H270" t="s">
        <v>3372</v>
      </c>
      <c r="I270">
        <v>3.2000000000000003E-4</v>
      </c>
      <c r="J270" t="s">
        <v>3373</v>
      </c>
      <c r="K270" t="s">
        <v>3372</v>
      </c>
      <c r="L270" s="243">
        <f t="shared" si="22"/>
        <v>8843.7615111533796</v>
      </c>
      <c r="M270" s="127" t="s">
        <v>3374</v>
      </c>
    </row>
    <row r="271" spans="1:13" x14ac:dyDescent="0.2">
      <c r="A271" s="1217"/>
      <c r="E271" s="83"/>
      <c r="H271" t="s">
        <v>3375</v>
      </c>
      <c r="I271">
        <v>5.2999999999999998E-4</v>
      </c>
      <c r="J271" t="s">
        <v>707</v>
      </c>
      <c r="K271" t="s">
        <v>3375</v>
      </c>
      <c r="L271" s="243">
        <f t="shared" si="22"/>
        <v>14647.480002847784</v>
      </c>
      <c r="M271" s="127" t="s">
        <v>3376</v>
      </c>
    </row>
    <row r="272" spans="1:13" x14ac:dyDescent="0.2">
      <c r="A272" s="1217"/>
      <c r="E272" s="83"/>
      <c r="H272" t="s">
        <v>708</v>
      </c>
      <c r="I272">
        <v>0.39150000000000001</v>
      </c>
      <c r="J272" t="s">
        <v>709</v>
      </c>
      <c r="K272" t="s">
        <v>708</v>
      </c>
      <c r="L272" s="243">
        <f t="shared" si="22"/>
        <v>10819789.473801713</v>
      </c>
      <c r="M272" s="127" t="s">
        <v>3377</v>
      </c>
    </row>
    <row r="273" spans="1:15" x14ac:dyDescent="0.2">
      <c r="A273" s="1217"/>
      <c r="E273" s="83"/>
      <c r="H273" t="s">
        <v>3378</v>
      </c>
      <c r="I273" s="33">
        <v>9.8849699999999999E-8</v>
      </c>
      <c r="J273" t="s">
        <v>704</v>
      </c>
      <c r="K273" t="s">
        <v>3378</v>
      </c>
      <c r="L273" s="243">
        <f t="shared" si="22"/>
        <v>2.7318849132783067</v>
      </c>
      <c r="M273" s="127" t="s">
        <v>3368</v>
      </c>
    </row>
    <row r="274" spans="1:15" x14ac:dyDescent="0.2">
      <c r="A274" s="1217"/>
      <c r="E274" s="83"/>
      <c r="H274" t="s">
        <v>710</v>
      </c>
      <c r="I274" s="33">
        <v>1.51061E-9</v>
      </c>
      <c r="J274" t="s">
        <v>3379</v>
      </c>
      <c r="K274" t="s">
        <v>710</v>
      </c>
      <c r="L274" s="243">
        <f t="shared" si="22"/>
        <v>4.1748358051135644E-2</v>
      </c>
      <c r="M274" s="127" t="s">
        <v>3380</v>
      </c>
    </row>
    <row r="275" spans="1:15" x14ac:dyDescent="0.2">
      <c r="A275" s="1217"/>
      <c r="E275" s="83"/>
      <c r="H275" t="s">
        <v>3381</v>
      </c>
      <c r="I275">
        <v>1.01E-3</v>
      </c>
      <c r="J275" t="s">
        <v>3382</v>
      </c>
      <c r="K275" t="s">
        <v>3381</v>
      </c>
      <c r="L275" s="243">
        <f t="shared" si="22"/>
        <v>27913.122269577856</v>
      </c>
      <c r="M275" s="127" t="s">
        <v>3383</v>
      </c>
    </row>
    <row r="276" spans="1:15" x14ac:dyDescent="0.2">
      <c r="A276" s="1217"/>
      <c r="E276" s="83"/>
      <c r="H276" t="s">
        <v>3384</v>
      </c>
      <c r="I276">
        <v>1.2200000000000001E-2</v>
      </c>
      <c r="J276" t="s">
        <v>711</v>
      </c>
      <c r="K276" t="s">
        <v>3384</v>
      </c>
      <c r="L276" s="243">
        <f t="shared" si="22"/>
        <v>337168.4076127226</v>
      </c>
      <c r="M276" s="127" t="s">
        <v>3385</v>
      </c>
    </row>
    <row r="277" spans="1:15" x14ac:dyDescent="0.2">
      <c r="A277" s="1219"/>
      <c r="B277" s="833"/>
      <c r="C277" s="1102"/>
      <c r="D277" s="118"/>
      <c r="E277" s="1220"/>
      <c r="F277" s="118"/>
      <c r="G277" s="118"/>
      <c r="H277" s="118"/>
      <c r="I277" s="118"/>
      <c r="J277" s="118"/>
      <c r="K277" s="118"/>
      <c r="L277" s="833"/>
      <c r="M277" s="120"/>
    </row>
    <row r="278" spans="1:15" x14ac:dyDescent="0.2">
      <c r="A278" s="1222"/>
      <c r="E278" s="83"/>
      <c r="H278" t="s">
        <v>701</v>
      </c>
      <c r="I278">
        <v>7.5000000000000002E-4</v>
      </c>
    </row>
    <row r="279" spans="1:15" ht="16" thickBot="1" x14ac:dyDescent="0.25"/>
    <row r="280" spans="1:15" x14ac:dyDescent="0.2">
      <c r="A280" s="1843" t="s">
        <v>2318</v>
      </c>
      <c r="B280" s="1844"/>
      <c r="C280" s="1844"/>
      <c r="D280" s="1844"/>
      <c r="E280" s="1844"/>
      <c r="F280" s="1844"/>
      <c r="G280" s="1844"/>
      <c r="H280" s="1844"/>
      <c r="I280" s="1844"/>
      <c r="J280" s="1844"/>
      <c r="K280" s="1844"/>
      <c r="L280" s="1844"/>
      <c r="M280" s="1844"/>
      <c r="N280" s="1844"/>
      <c r="O280" s="1845"/>
    </row>
    <row r="281" spans="1:15" ht="16" thickBot="1" x14ac:dyDescent="0.25">
      <c r="A281" s="1846"/>
      <c r="B281" s="1847"/>
      <c r="C281" s="1847"/>
      <c r="D281" s="1847"/>
      <c r="E281" s="1847"/>
      <c r="F281" s="1847"/>
      <c r="G281" s="1847"/>
      <c r="H281" s="1847"/>
      <c r="I281" s="1847"/>
      <c r="J281" s="1847"/>
      <c r="K281" s="1847"/>
      <c r="L281" s="1847"/>
      <c r="M281" s="1847"/>
      <c r="N281" s="1847"/>
      <c r="O281" s="1848"/>
    </row>
    <row r="282" spans="1:15" s="6" customFormat="1" x14ac:dyDescent="0.2">
      <c r="A282" s="1920" t="s">
        <v>697</v>
      </c>
      <c r="B282" s="1515" t="s">
        <v>698</v>
      </c>
      <c r="C282" s="1515"/>
      <c r="D282" s="1515"/>
      <c r="E282" s="1921" t="s">
        <v>3362</v>
      </c>
      <c r="F282" s="1515" t="s">
        <v>699</v>
      </c>
      <c r="G282" s="1515"/>
      <c r="H282" s="1515" t="s">
        <v>3363</v>
      </c>
      <c r="I282" s="1515"/>
      <c r="J282" s="1515"/>
      <c r="K282" s="1515" t="s">
        <v>700</v>
      </c>
      <c r="L282" s="1515"/>
      <c r="M282" s="1515"/>
    </row>
    <row r="283" spans="1:15" s="6" customFormat="1" ht="15.75" customHeight="1" x14ac:dyDescent="0.2">
      <c r="A283" s="1520"/>
      <c r="B283" s="1214" t="s">
        <v>515</v>
      </c>
      <c r="C283" s="1112" t="s">
        <v>372</v>
      </c>
      <c r="D283" s="969" t="s">
        <v>583</v>
      </c>
      <c r="E283" s="1922"/>
      <c r="F283" s="969" t="s">
        <v>42</v>
      </c>
      <c r="G283" s="969" t="s">
        <v>372</v>
      </c>
      <c r="H283" s="29" t="s">
        <v>697</v>
      </c>
      <c r="I283" s="969" t="s">
        <v>42</v>
      </c>
      <c r="J283" s="969" t="s">
        <v>372</v>
      </c>
      <c r="K283" s="969" t="s">
        <v>697</v>
      </c>
      <c r="L283" s="1214" t="s">
        <v>42</v>
      </c>
      <c r="M283" s="969" t="s">
        <v>372</v>
      </c>
    </row>
    <row r="284" spans="1:15" ht="16" x14ac:dyDescent="0.2">
      <c r="A284" s="486" t="s">
        <v>2840</v>
      </c>
      <c r="B284" s="845">
        <v>23756.498797424174</v>
      </c>
      <c r="C284" s="1159" t="s">
        <v>267</v>
      </c>
      <c r="D284" s="110">
        <v>2</v>
      </c>
      <c r="E284" s="83" t="s">
        <v>3388</v>
      </c>
      <c r="F284" s="110"/>
      <c r="G284" s="110"/>
      <c r="H284" s="110"/>
      <c r="I284" s="110"/>
      <c r="J284" s="110"/>
      <c r="K284" s="110"/>
      <c r="L284" s="845"/>
      <c r="M284" s="112"/>
    </row>
    <row r="285" spans="1:15" ht="16" x14ac:dyDescent="0.2">
      <c r="A285" s="1223" t="s">
        <v>3389</v>
      </c>
      <c r="B285" s="166">
        <f>B284/1000</f>
        <v>23.756498797424175</v>
      </c>
      <c r="C285" s="133" t="s">
        <v>444</v>
      </c>
      <c r="F285">
        <v>1</v>
      </c>
      <c r="G285" t="s">
        <v>713</v>
      </c>
      <c r="H285" t="s">
        <v>701</v>
      </c>
      <c r="I285">
        <v>0.14229</v>
      </c>
      <c r="J285" t="s">
        <v>702</v>
      </c>
      <c r="K285" t="s">
        <v>701</v>
      </c>
      <c r="L285" s="166">
        <f>I285*B$290</f>
        <v>4.83786</v>
      </c>
      <c r="M285" s="127" t="s">
        <v>3367</v>
      </c>
    </row>
    <row r="286" spans="1:15" x14ac:dyDescent="0.2">
      <c r="A286" s="1217"/>
      <c r="B286" s="166">
        <v>20</v>
      </c>
      <c r="C286" s="133" t="s">
        <v>10</v>
      </c>
      <c r="D286" t="s">
        <v>3390</v>
      </c>
      <c r="E286" s="83"/>
      <c r="F286">
        <v>40</v>
      </c>
      <c r="G286" t="s">
        <v>12</v>
      </c>
      <c r="H286" t="s">
        <v>703</v>
      </c>
      <c r="I286" s="33">
        <v>2.2291000000000001E-5</v>
      </c>
      <c r="J286" t="s">
        <v>704</v>
      </c>
      <c r="K286" t="s">
        <v>703</v>
      </c>
      <c r="L286" s="166">
        <f t="shared" ref="L286:L294" si="23">I286*B$290</f>
        <v>7.5789400000000006E-4</v>
      </c>
      <c r="M286" s="127" t="s">
        <v>3368</v>
      </c>
    </row>
    <row r="287" spans="1:15" x14ac:dyDescent="0.2">
      <c r="A287" s="1217"/>
      <c r="B287" s="166">
        <v>0.7</v>
      </c>
      <c r="D287" t="s">
        <v>3391</v>
      </c>
      <c r="E287" s="83"/>
      <c r="H287" t="s">
        <v>705</v>
      </c>
      <c r="I287">
        <v>3203.5834399999999</v>
      </c>
      <c r="J287" t="s">
        <v>706</v>
      </c>
      <c r="K287" t="s">
        <v>705</v>
      </c>
      <c r="L287" s="166">
        <f t="shared" si="23"/>
        <v>108921.83696</v>
      </c>
      <c r="M287" s="127" t="s">
        <v>3370</v>
      </c>
    </row>
    <row r="288" spans="1:15" x14ac:dyDescent="0.2">
      <c r="A288" s="1217"/>
      <c r="B288" s="166">
        <f>B285*B286/B287</f>
        <v>678.75710849783366</v>
      </c>
      <c r="C288" s="133" t="s">
        <v>12</v>
      </c>
      <c r="E288" s="83"/>
      <c r="H288" t="s">
        <v>3372</v>
      </c>
      <c r="I288">
        <v>1.278E-2</v>
      </c>
      <c r="J288" t="s">
        <v>3373</v>
      </c>
      <c r="K288" t="s">
        <v>3372</v>
      </c>
      <c r="L288" s="166">
        <f t="shared" si="23"/>
        <v>0.43452000000000002</v>
      </c>
      <c r="M288" s="127" t="s">
        <v>3374</v>
      </c>
    </row>
    <row r="289" spans="1:13" x14ac:dyDescent="0.2">
      <c r="A289" s="1217"/>
      <c r="B289" s="166">
        <f>B288*D284</f>
        <v>1357.5142169956673</v>
      </c>
      <c r="C289" s="133" t="s">
        <v>12</v>
      </c>
      <c r="E289" s="83"/>
      <c r="H289" t="s">
        <v>3375</v>
      </c>
      <c r="I289">
        <v>3.7339999999999998E-2</v>
      </c>
      <c r="J289" t="s">
        <v>707</v>
      </c>
      <c r="K289" t="s">
        <v>3375</v>
      </c>
      <c r="L289" s="166">
        <f t="shared" si="23"/>
        <v>1.26956</v>
      </c>
      <c r="M289" s="127" t="s">
        <v>3376</v>
      </c>
    </row>
    <row r="290" spans="1:13" x14ac:dyDescent="0.2">
      <c r="A290" s="1217"/>
      <c r="B290" s="1218">
        <f>ROUNDUP(B289/F286,0)</f>
        <v>34</v>
      </c>
      <c r="C290" s="1114" t="s">
        <v>3392</v>
      </c>
      <c r="D290" s="6" t="s">
        <v>577</v>
      </c>
      <c r="E290" s="83"/>
      <c r="H290" t="s">
        <v>708</v>
      </c>
      <c r="I290">
        <v>9.0477000000000007</v>
      </c>
      <c r="J290" t="s">
        <v>709</v>
      </c>
      <c r="K290" t="s">
        <v>708</v>
      </c>
      <c r="L290" s="166">
        <f t="shared" si="23"/>
        <v>307.62180000000001</v>
      </c>
      <c r="M290" s="127" t="s">
        <v>3377</v>
      </c>
    </row>
    <row r="291" spans="1:13" x14ac:dyDescent="0.2">
      <c r="A291" s="1217"/>
      <c r="B291" s="166"/>
      <c r="E291" s="83"/>
      <c r="H291" t="s">
        <v>3378</v>
      </c>
      <c r="I291" s="33">
        <v>3.5905399999999997E-5</v>
      </c>
      <c r="J291" t="s">
        <v>704</v>
      </c>
      <c r="K291" t="s">
        <v>3378</v>
      </c>
      <c r="L291" s="166">
        <f t="shared" si="23"/>
        <v>1.2207835999999998E-3</v>
      </c>
      <c r="M291" s="127" t="s">
        <v>3368</v>
      </c>
    </row>
    <row r="292" spans="1:13" x14ac:dyDescent="0.2">
      <c r="A292" s="1217"/>
      <c r="B292" s="166"/>
      <c r="E292" s="83"/>
      <c r="H292" t="s">
        <v>710</v>
      </c>
      <c r="I292" s="33">
        <v>1.7364199999999999E-7</v>
      </c>
      <c r="J292" t="s">
        <v>3379</v>
      </c>
      <c r="K292" t="s">
        <v>710</v>
      </c>
      <c r="L292" s="166">
        <f t="shared" si="23"/>
        <v>5.9038279999999992E-6</v>
      </c>
      <c r="M292" s="127" t="s">
        <v>3380</v>
      </c>
    </row>
    <row r="293" spans="1:13" x14ac:dyDescent="0.2">
      <c r="A293" s="1217"/>
      <c r="B293" s="166"/>
      <c r="E293" s="83"/>
      <c r="H293" t="s">
        <v>3381</v>
      </c>
      <c r="I293">
        <v>2.9360000000000001E-2</v>
      </c>
      <c r="J293" t="s">
        <v>3382</v>
      </c>
      <c r="K293" t="s">
        <v>3381</v>
      </c>
      <c r="L293" s="166">
        <f t="shared" si="23"/>
        <v>0.99824000000000002</v>
      </c>
      <c r="M293" s="127" t="s">
        <v>3383</v>
      </c>
    </row>
    <row r="294" spans="1:13" x14ac:dyDescent="0.2">
      <c r="A294" s="1217"/>
      <c r="B294" s="166"/>
      <c r="E294" s="83"/>
      <c r="H294" t="s">
        <v>3384</v>
      </c>
      <c r="I294">
        <v>0.84404000000000001</v>
      </c>
      <c r="J294" t="s">
        <v>711</v>
      </c>
      <c r="K294" t="s">
        <v>3384</v>
      </c>
      <c r="L294" s="166">
        <f t="shared" si="23"/>
        <v>28.69736</v>
      </c>
      <c r="M294" s="127" t="s">
        <v>3385</v>
      </c>
    </row>
    <row r="295" spans="1:13" x14ac:dyDescent="0.2">
      <c r="A295" s="1219"/>
      <c r="B295" s="833"/>
      <c r="C295" s="1102"/>
      <c r="D295" s="118"/>
      <c r="E295" s="1220"/>
      <c r="F295" s="118"/>
      <c r="G295" s="118"/>
      <c r="H295" s="118"/>
      <c r="I295" s="118"/>
      <c r="J295" s="118"/>
      <c r="K295" s="118"/>
      <c r="L295" s="833"/>
      <c r="M295" s="120"/>
    </row>
    <row r="296" spans="1:13" ht="16" x14ac:dyDescent="0.2">
      <c r="A296" s="486" t="s">
        <v>2852</v>
      </c>
      <c r="B296" s="845">
        <v>589.12195548732609</v>
      </c>
      <c r="C296" s="1159" t="s">
        <v>1</v>
      </c>
      <c r="D296" s="110">
        <v>2</v>
      </c>
      <c r="E296" s="159" t="s">
        <v>3400</v>
      </c>
      <c r="F296" s="110">
        <v>1</v>
      </c>
      <c r="G296" s="110" t="s">
        <v>1</v>
      </c>
      <c r="H296" s="110"/>
      <c r="I296" s="110"/>
      <c r="J296" s="110"/>
      <c r="K296" s="110"/>
      <c r="L296" s="845"/>
      <c r="M296" s="112"/>
    </row>
    <row r="297" spans="1:13" x14ac:dyDescent="0.2">
      <c r="A297" s="1217"/>
      <c r="B297" s="1218">
        <f>B296*D296</f>
        <v>1178.2439109746522</v>
      </c>
      <c r="C297" s="1114" t="s">
        <v>1</v>
      </c>
      <c r="D297" s="6" t="s">
        <v>577</v>
      </c>
      <c r="E297" s="83"/>
      <c r="H297" t="s">
        <v>701</v>
      </c>
      <c r="I297">
        <v>7.5000000000000002E-4</v>
      </c>
      <c r="J297" t="s">
        <v>702</v>
      </c>
      <c r="K297" t="s">
        <v>701</v>
      </c>
      <c r="L297" s="166">
        <f>I297*B$297</f>
        <v>0.88368293323098912</v>
      </c>
      <c r="M297" s="127" t="s">
        <v>3367</v>
      </c>
    </row>
    <row r="298" spans="1:13" x14ac:dyDescent="0.2">
      <c r="A298" s="1217"/>
      <c r="E298" s="83"/>
      <c r="H298" t="s">
        <v>703</v>
      </c>
      <c r="I298" s="33">
        <v>3.3111200000000002E-8</v>
      </c>
      <c r="J298" t="s">
        <v>704</v>
      </c>
      <c r="K298" t="s">
        <v>703</v>
      </c>
      <c r="L298" s="166">
        <f t="shared" ref="L298:L306" si="24">I298*B$297</f>
        <v>3.9013069785063904E-5</v>
      </c>
      <c r="M298" s="127" t="s">
        <v>3368</v>
      </c>
    </row>
    <row r="299" spans="1:13" x14ac:dyDescent="0.2">
      <c r="A299" s="1217"/>
      <c r="B299" s="166"/>
      <c r="E299" s="83"/>
      <c r="H299" t="s">
        <v>705</v>
      </c>
      <c r="I299">
        <v>4.1968100000000002</v>
      </c>
      <c r="J299" t="s">
        <v>706</v>
      </c>
      <c r="K299" t="s">
        <v>705</v>
      </c>
      <c r="L299" s="166">
        <f t="shared" si="24"/>
        <v>4944.8658280175305</v>
      </c>
      <c r="M299" s="127" t="s">
        <v>3370</v>
      </c>
    </row>
    <row r="300" spans="1:13" x14ac:dyDescent="0.2">
      <c r="A300" s="1217"/>
      <c r="B300" s="166"/>
      <c r="E300" s="83"/>
      <c r="H300" t="s">
        <v>3372</v>
      </c>
      <c r="I300">
        <v>3.2000000000000003E-4</v>
      </c>
      <c r="J300" t="s">
        <v>3373</v>
      </c>
      <c r="K300" t="s">
        <v>3372</v>
      </c>
      <c r="L300" s="166">
        <f t="shared" si="24"/>
        <v>0.37703805151188874</v>
      </c>
      <c r="M300" s="127" t="s">
        <v>3374</v>
      </c>
    </row>
    <row r="301" spans="1:13" x14ac:dyDescent="0.2">
      <c r="A301" s="1217"/>
      <c r="B301" s="166"/>
      <c r="E301" s="83"/>
      <c r="H301" t="s">
        <v>3375</v>
      </c>
      <c r="I301">
        <v>5.2999999999999998E-4</v>
      </c>
      <c r="J301" t="s">
        <v>707</v>
      </c>
      <c r="K301" t="s">
        <v>3375</v>
      </c>
      <c r="L301" s="166">
        <f t="shared" si="24"/>
        <v>0.62446927281656561</v>
      </c>
      <c r="M301" s="127" t="s">
        <v>3376</v>
      </c>
    </row>
    <row r="302" spans="1:13" x14ac:dyDescent="0.2">
      <c r="A302" s="1217"/>
      <c r="B302" s="166"/>
      <c r="E302" s="83"/>
      <c r="H302" t="s">
        <v>708</v>
      </c>
      <c r="I302">
        <v>0.39150000000000001</v>
      </c>
      <c r="J302" t="s">
        <v>709</v>
      </c>
      <c r="K302" t="s">
        <v>708</v>
      </c>
      <c r="L302" s="166">
        <f t="shared" si="24"/>
        <v>461.28249114657632</v>
      </c>
      <c r="M302" s="127" t="s">
        <v>3377</v>
      </c>
    </row>
    <row r="303" spans="1:13" x14ac:dyDescent="0.2">
      <c r="A303" s="1217"/>
      <c r="B303" s="166"/>
      <c r="E303" s="83"/>
      <c r="H303" t="s">
        <v>3378</v>
      </c>
      <c r="I303" s="33">
        <v>9.8849699999999999E-8</v>
      </c>
      <c r="J303" t="s">
        <v>704</v>
      </c>
      <c r="K303" t="s">
        <v>3378</v>
      </c>
      <c r="L303" s="166">
        <f t="shared" si="24"/>
        <v>1.1646905712667107E-4</v>
      </c>
      <c r="M303" s="127" t="s">
        <v>3368</v>
      </c>
    </row>
    <row r="304" spans="1:13" x14ac:dyDescent="0.2">
      <c r="A304" s="1217"/>
      <c r="B304" s="166"/>
      <c r="E304" s="83"/>
      <c r="H304" t="s">
        <v>710</v>
      </c>
      <c r="I304" s="33">
        <v>1.51061E-9</v>
      </c>
      <c r="J304" t="s">
        <v>3379</v>
      </c>
      <c r="K304" t="s">
        <v>710</v>
      </c>
      <c r="L304" s="166">
        <f t="shared" si="24"/>
        <v>1.7798670343574193E-6</v>
      </c>
      <c r="M304" s="127" t="s">
        <v>3380</v>
      </c>
    </row>
    <row r="305" spans="1:13" x14ac:dyDescent="0.2">
      <c r="A305" s="1217"/>
      <c r="B305" s="166"/>
      <c r="E305" s="83"/>
      <c r="H305" t="s">
        <v>3381</v>
      </c>
      <c r="I305">
        <v>1.01E-3</v>
      </c>
      <c r="J305" t="s">
        <v>3382</v>
      </c>
      <c r="K305" t="s">
        <v>3381</v>
      </c>
      <c r="L305" s="166">
        <f t="shared" si="24"/>
        <v>1.1900263500843988</v>
      </c>
      <c r="M305" s="127" t="s">
        <v>3383</v>
      </c>
    </row>
    <row r="306" spans="1:13" x14ac:dyDescent="0.2">
      <c r="A306" s="1217"/>
      <c r="B306" s="166"/>
      <c r="E306" s="83"/>
      <c r="H306" t="s">
        <v>3384</v>
      </c>
      <c r="I306">
        <v>1.2200000000000001E-2</v>
      </c>
      <c r="J306" t="s">
        <v>711</v>
      </c>
      <c r="K306" t="s">
        <v>3384</v>
      </c>
      <c r="L306" s="166">
        <f t="shared" si="24"/>
        <v>14.374575713890758</v>
      </c>
      <c r="M306" s="127" t="s">
        <v>3385</v>
      </c>
    </row>
    <row r="307" spans="1:13" x14ac:dyDescent="0.2">
      <c r="A307" s="1219"/>
      <c r="B307" s="833"/>
      <c r="C307" s="1102"/>
      <c r="D307" s="118"/>
      <c r="E307" s="1220"/>
      <c r="F307" s="118"/>
      <c r="G307" s="118"/>
      <c r="H307" s="118"/>
      <c r="I307" s="118"/>
      <c r="J307" s="118"/>
      <c r="K307" s="118"/>
      <c r="L307" s="833"/>
      <c r="M307" s="120"/>
    </row>
    <row r="308" spans="1:13" ht="16" x14ac:dyDescent="0.2">
      <c r="A308" s="486" t="s">
        <v>2853</v>
      </c>
      <c r="B308" s="845">
        <v>1178.2439109746522</v>
      </c>
      <c r="C308" s="1159" t="s">
        <v>7</v>
      </c>
      <c r="D308" s="110">
        <v>2</v>
      </c>
      <c r="E308" s="159" t="s">
        <v>3406</v>
      </c>
      <c r="F308" s="110">
        <v>1</v>
      </c>
      <c r="G308" s="110" t="s">
        <v>15</v>
      </c>
      <c r="H308" s="110"/>
      <c r="I308" s="110"/>
      <c r="J308" s="110"/>
      <c r="K308" s="110"/>
      <c r="L308" s="845"/>
      <c r="M308" s="112"/>
    </row>
    <row r="309" spans="1:13" x14ac:dyDescent="0.2">
      <c r="A309" s="1217"/>
      <c r="B309" s="243">
        <v>0.05</v>
      </c>
      <c r="C309" s="133" t="s">
        <v>3407</v>
      </c>
      <c r="E309" s="83"/>
      <c r="H309" t="s">
        <v>701</v>
      </c>
      <c r="I309">
        <v>9.2399999999999999E-3</v>
      </c>
      <c r="J309" t="s">
        <v>702</v>
      </c>
      <c r="K309" t="s">
        <v>701</v>
      </c>
      <c r="L309" s="166">
        <f>I309*B$310</f>
        <v>1088.6973737405788</v>
      </c>
      <c r="M309" s="127" t="s">
        <v>3367</v>
      </c>
    </row>
    <row r="310" spans="1:13" x14ac:dyDescent="0.2">
      <c r="A310" s="1217"/>
      <c r="B310" s="1218">
        <f>B308*1000*D308*B309</f>
        <v>117824.39109746524</v>
      </c>
      <c r="C310" s="1114" t="s">
        <v>15</v>
      </c>
      <c r="D310" s="6" t="s">
        <v>577</v>
      </c>
      <c r="E310" s="83"/>
      <c r="H310" t="s">
        <v>703</v>
      </c>
      <c r="I310" s="33">
        <v>8.64158E-8</v>
      </c>
      <c r="J310" t="s">
        <v>704</v>
      </c>
      <c r="K310" t="s">
        <v>703</v>
      </c>
      <c r="L310" s="166">
        <f t="shared" ref="L310:L318" si="25">I310*B$310</f>
        <v>1.0181889016200337E-2</v>
      </c>
      <c r="M310" s="127" t="s">
        <v>3368</v>
      </c>
    </row>
    <row r="311" spans="1:13" x14ac:dyDescent="0.2">
      <c r="A311" s="1217"/>
      <c r="B311" s="166"/>
      <c r="E311" s="83"/>
      <c r="H311" t="s">
        <v>705</v>
      </c>
      <c r="I311">
        <v>16.26793</v>
      </c>
      <c r="J311" t="s">
        <v>706</v>
      </c>
      <c r="K311" t="s">
        <v>705</v>
      </c>
      <c r="L311" s="166">
        <f t="shared" si="25"/>
        <v>1916758.9466661876</v>
      </c>
      <c r="M311" s="127" t="s">
        <v>3370</v>
      </c>
    </row>
    <row r="312" spans="1:13" x14ac:dyDescent="0.2">
      <c r="A312" s="1217"/>
      <c r="B312" s="166"/>
      <c r="E312" s="83"/>
      <c r="H312" t="s">
        <v>3372</v>
      </c>
      <c r="I312">
        <v>3.8999999999999999E-4</v>
      </c>
      <c r="J312" t="s">
        <v>3373</v>
      </c>
      <c r="K312" t="s">
        <v>3372</v>
      </c>
      <c r="L312" s="166">
        <f t="shared" si="25"/>
        <v>45.951512528011442</v>
      </c>
      <c r="M312" s="127" t="s">
        <v>3374</v>
      </c>
    </row>
    <row r="313" spans="1:13" x14ac:dyDescent="0.2">
      <c r="A313" s="1217"/>
      <c r="B313" s="166"/>
      <c r="E313" s="83"/>
      <c r="H313" t="s">
        <v>3375</v>
      </c>
      <c r="I313">
        <v>3.5999999999999999E-3</v>
      </c>
      <c r="J313" t="s">
        <v>707</v>
      </c>
      <c r="K313" t="s">
        <v>3375</v>
      </c>
      <c r="L313" s="166">
        <f t="shared" si="25"/>
        <v>424.16780795087487</v>
      </c>
      <c r="M313" s="127" t="s">
        <v>3376</v>
      </c>
    </row>
    <row r="314" spans="1:13" x14ac:dyDescent="0.2">
      <c r="A314" s="1217"/>
      <c r="B314" s="166"/>
      <c r="E314" s="83"/>
      <c r="H314" t="s">
        <v>708</v>
      </c>
      <c r="I314">
        <v>1.3029599999999999</v>
      </c>
      <c r="J314" t="s">
        <v>709</v>
      </c>
      <c r="K314" t="s">
        <v>708</v>
      </c>
      <c r="L314" s="166">
        <f t="shared" si="25"/>
        <v>153520.46862435329</v>
      </c>
      <c r="M314" s="127" t="s">
        <v>3377</v>
      </c>
    </row>
    <row r="315" spans="1:13" x14ac:dyDescent="0.2">
      <c r="A315" s="1217"/>
      <c r="B315" s="166"/>
      <c r="E315" s="83"/>
      <c r="H315" t="s">
        <v>3378</v>
      </c>
      <c r="I315" s="33">
        <v>2.6179000000000002E-7</v>
      </c>
      <c r="J315" t="s">
        <v>704</v>
      </c>
      <c r="K315" t="s">
        <v>3378</v>
      </c>
      <c r="L315" s="166">
        <f t="shared" si="25"/>
        <v>3.0845247345405426E-2</v>
      </c>
      <c r="M315" s="127" t="s">
        <v>3368</v>
      </c>
    </row>
    <row r="316" spans="1:13" x14ac:dyDescent="0.2">
      <c r="A316" s="1217"/>
      <c r="B316" s="166"/>
      <c r="E316" s="83"/>
      <c r="H316" t="s">
        <v>710</v>
      </c>
      <c r="I316" s="33">
        <v>3.54278E-8</v>
      </c>
      <c r="J316" t="s">
        <v>3379</v>
      </c>
      <c r="K316" t="s">
        <v>710</v>
      </c>
      <c r="L316" s="166">
        <f t="shared" si="25"/>
        <v>4.174258962922779E-3</v>
      </c>
      <c r="M316" s="127" t="s">
        <v>3380</v>
      </c>
    </row>
    <row r="317" spans="1:13" x14ac:dyDescent="0.2">
      <c r="A317" s="1217"/>
      <c r="B317" s="166"/>
      <c r="E317" s="83"/>
      <c r="H317" t="s">
        <v>3381</v>
      </c>
      <c r="I317">
        <v>1.5499999999999999E-3</v>
      </c>
      <c r="J317" t="s">
        <v>3382</v>
      </c>
      <c r="K317" t="s">
        <v>3381</v>
      </c>
      <c r="L317" s="166">
        <f t="shared" si="25"/>
        <v>182.62780620107111</v>
      </c>
      <c r="M317" s="127" t="s">
        <v>3383</v>
      </c>
    </row>
    <row r="318" spans="1:13" x14ac:dyDescent="0.2">
      <c r="A318" s="1217"/>
      <c r="B318" s="166"/>
      <c r="E318" s="83"/>
      <c r="H318" t="s">
        <v>3384</v>
      </c>
      <c r="I318">
        <v>7.3340000000000002E-2</v>
      </c>
      <c r="J318" t="s">
        <v>711</v>
      </c>
      <c r="K318" t="s">
        <v>3384</v>
      </c>
      <c r="L318" s="166">
        <f t="shared" si="25"/>
        <v>8641.2408430881005</v>
      </c>
      <c r="M318" s="127" t="s">
        <v>3385</v>
      </c>
    </row>
    <row r="319" spans="1:13" x14ac:dyDescent="0.2">
      <c r="A319" s="1219"/>
      <c r="B319" s="833"/>
      <c r="C319" s="1102"/>
      <c r="D319" s="118"/>
      <c r="E319" s="1220"/>
      <c r="F319" s="118"/>
      <c r="G319" s="118"/>
      <c r="H319" s="118"/>
      <c r="I319" s="118"/>
      <c r="J319" s="118"/>
      <c r="K319" s="118"/>
      <c r="L319" s="833"/>
      <c r="M319" s="120"/>
    </row>
    <row r="320" spans="1:13" x14ac:dyDescent="0.2">
      <c r="A320" s="486" t="s">
        <v>2854</v>
      </c>
      <c r="B320" s="845">
        <v>307.94223599430569</v>
      </c>
      <c r="C320" s="1159" t="s">
        <v>11</v>
      </c>
      <c r="D320" s="110">
        <v>2</v>
      </c>
      <c r="E320" s="159"/>
      <c r="F320" s="110"/>
      <c r="G320" s="110"/>
      <c r="H320" s="110"/>
      <c r="I320" s="110"/>
      <c r="J320" s="110"/>
      <c r="K320" s="110"/>
      <c r="L320" s="845"/>
      <c r="M320" s="112"/>
    </row>
    <row r="321" spans="1:13" ht="16" x14ac:dyDescent="0.2">
      <c r="A321" s="1217"/>
      <c r="B321" s="166">
        <v>229.63252538095378</v>
      </c>
      <c r="C321" s="133" t="s">
        <v>545</v>
      </c>
      <c r="E321" s="83" t="s">
        <v>3393</v>
      </c>
      <c r="F321">
        <v>1</v>
      </c>
      <c r="G321" t="s">
        <v>15</v>
      </c>
      <c r="H321" t="s">
        <v>701</v>
      </c>
      <c r="I321">
        <v>6.0200000000000002E-3</v>
      </c>
      <c r="J321" t="s">
        <v>702</v>
      </c>
      <c r="K321" t="s">
        <v>701</v>
      </c>
      <c r="L321" s="166">
        <f>I321*B$323</f>
        <v>24.882980450280151</v>
      </c>
      <c r="M321" s="127" t="s">
        <v>3367</v>
      </c>
    </row>
    <row r="322" spans="1:13" x14ac:dyDescent="0.2">
      <c r="A322" s="1217"/>
      <c r="B322" s="166">
        <f>1800/200</f>
        <v>9</v>
      </c>
      <c r="C322" s="133" t="s">
        <v>3408</v>
      </c>
      <c r="E322" s="83"/>
      <c r="H322" t="s">
        <v>703</v>
      </c>
      <c r="I322" s="33">
        <v>1.2843299999999999E-6</v>
      </c>
      <c r="J322" t="s">
        <v>704</v>
      </c>
      <c r="K322" t="s">
        <v>703</v>
      </c>
      <c r="L322" s="166">
        <f t="shared" ref="L322:L330" si="26">I322*B$323</f>
        <v>5.3086309438053663E-3</v>
      </c>
      <c r="M322" s="127" t="s">
        <v>3368</v>
      </c>
    </row>
    <row r="323" spans="1:13" x14ac:dyDescent="0.2">
      <c r="A323" s="1217"/>
      <c r="B323" s="1218">
        <f>B322*B321*D320</f>
        <v>4133.3854568571678</v>
      </c>
      <c r="C323" s="1114" t="s">
        <v>15</v>
      </c>
      <c r="D323" s="6" t="s">
        <v>577</v>
      </c>
      <c r="E323" s="83"/>
      <c r="H323" t="s">
        <v>705</v>
      </c>
      <c r="I323">
        <v>67.217029999999994</v>
      </c>
      <c r="J323" t="s">
        <v>706</v>
      </c>
      <c r="K323" t="s">
        <v>705</v>
      </c>
      <c r="L323" s="166">
        <f t="shared" si="26"/>
        <v>277833.89425513195</v>
      </c>
      <c r="M323" s="127" t="s">
        <v>3370</v>
      </c>
    </row>
    <row r="324" spans="1:13" x14ac:dyDescent="0.2">
      <c r="A324" s="1217"/>
      <c r="B324" s="166"/>
      <c r="E324" s="83"/>
      <c r="H324" t="s">
        <v>3372</v>
      </c>
      <c r="I324">
        <v>7.6999999999999996E-4</v>
      </c>
      <c r="J324" t="s">
        <v>3373</v>
      </c>
      <c r="K324" t="s">
        <v>3372</v>
      </c>
      <c r="L324" s="166">
        <f t="shared" si="26"/>
        <v>3.1827068017800189</v>
      </c>
      <c r="M324" s="127" t="s">
        <v>3374</v>
      </c>
    </row>
    <row r="325" spans="1:13" x14ac:dyDescent="0.2">
      <c r="A325" s="1217"/>
      <c r="B325" s="166"/>
      <c r="E325" s="83"/>
      <c r="H325" t="s">
        <v>3375</v>
      </c>
      <c r="I325">
        <v>4.1700000000000001E-3</v>
      </c>
      <c r="J325" t="s">
        <v>707</v>
      </c>
      <c r="K325" t="s">
        <v>3375</v>
      </c>
      <c r="L325" s="166">
        <f t="shared" si="26"/>
        <v>17.236217355094389</v>
      </c>
      <c r="M325" s="127" t="s">
        <v>3376</v>
      </c>
    </row>
    <row r="326" spans="1:13" x14ac:dyDescent="0.2">
      <c r="A326" s="1217"/>
      <c r="B326" s="166"/>
      <c r="E326" s="83"/>
      <c r="H326" t="s">
        <v>708</v>
      </c>
      <c r="I326">
        <v>1.7658199999999999</v>
      </c>
      <c r="J326" t="s">
        <v>709</v>
      </c>
      <c r="K326" t="s">
        <v>708</v>
      </c>
      <c r="L326" s="166">
        <f t="shared" si="26"/>
        <v>7298.8147074275239</v>
      </c>
      <c r="M326" s="127" t="s">
        <v>3377</v>
      </c>
    </row>
    <row r="327" spans="1:13" x14ac:dyDescent="0.2">
      <c r="A327" s="1217"/>
      <c r="B327" s="166"/>
      <c r="E327" s="83"/>
      <c r="H327" t="s">
        <v>3378</v>
      </c>
      <c r="I327" s="33">
        <v>3.4665800000000001E-7</v>
      </c>
      <c r="J327" t="s">
        <v>704</v>
      </c>
      <c r="K327" t="s">
        <v>3378</v>
      </c>
      <c r="L327" s="166">
        <f t="shared" si="26"/>
        <v>1.432871135703192E-3</v>
      </c>
      <c r="M327" s="127" t="s">
        <v>3368</v>
      </c>
    </row>
    <row r="328" spans="1:13" x14ac:dyDescent="0.2">
      <c r="A328" s="1217"/>
      <c r="B328" s="166"/>
      <c r="E328" s="83"/>
      <c r="H328" t="s">
        <v>710</v>
      </c>
      <c r="I328" s="33">
        <v>5.15501E-8</v>
      </c>
      <c r="J328" t="s">
        <v>3379</v>
      </c>
      <c r="K328" t="s">
        <v>710</v>
      </c>
      <c r="L328" s="166">
        <f t="shared" si="26"/>
        <v>2.1307643363953268E-4</v>
      </c>
      <c r="M328" s="127" t="s">
        <v>3380</v>
      </c>
    </row>
    <row r="329" spans="1:13" x14ac:dyDescent="0.2">
      <c r="A329" s="1217"/>
      <c r="B329" s="166"/>
      <c r="E329" s="83"/>
      <c r="H329" t="s">
        <v>3381</v>
      </c>
      <c r="I329">
        <v>2.7299999999999998E-3</v>
      </c>
      <c r="J329" t="s">
        <v>3382</v>
      </c>
      <c r="K329" t="s">
        <v>3381</v>
      </c>
      <c r="L329" s="166">
        <f t="shared" si="26"/>
        <v>11.284142297220066</v>
      </c>
      <c r="M329" s="127" t="s">
        <v>3383</v>
      </c>
    </row>
    <row r="330" spans="1:13" x14ac:dyDescent="0.2">
      <c r="A330" s="1217"/>
      <c r="B330" s="166"/>
      <c r="E330" s="83"/>
      <c r="H330" t="s">
        <v>3384</v>
      </c>
      <c r="I330">
        <v>0.10051</v>
      </c>
      <c r="J330" t="s">
        <v>711</v>
      </c>
      <c r="K330" t="s">
        <v>3384</v>
      </c>
      <c r="L330" s="166">
        <f t="shared" si="26"/>
        <v>415.44657226871396</v>
      </c>
      <c r="M330" s="127" t="s">
        <v>3385</v>
      </c>
    </row>
    <row r="331" spans="1:13" x14ac:dyDescent="0.2">
      <c r="A331" s="1217"/>
      <c r="B331" s="166"/>
      <c r="E331" s="83"/>
      <c r="L331" s="166"/>
      <c r="M331" s="127"/>
    </row>
    <row r="332" spans="1:13" ht="16" x14ac:dyDescent="0.2">
      <c r="A332" s="486" t="s">
        <v>2841</v>
      </c>
      <c r="B332" s="845">
        <v>30883.448436651426</v>
      </c>
      <c r="C332" s="1159" t="s">
        <v>267</v>
      </c>
      <c r="D332" s="110">
        <v>2</v>
      </c>
      <c r="E332" s="1216" t="s">
        <v>3388</v>
      </c>
      <c r="F332" s="110"/>
      <c r="G332" s="110"/>
      <c r="H332" s="110"/>
      <c r="I332" s="110"/>
      <c r="J332" s="110"/>
      <c r="K332" s="110"/>
      <c r="L332" s="845"/>
      <c r="M332" s="112"/>
    </row>
    <row r="333" spans="1:13" ht="16" x14ac:dyDescent="0.2">
      <c r="A333" s="1223" t="s">
        <v>3389</v>
      </c>
      <c r="B333" s="166">
        <f>B332/1000</f>
        <v>30.883448436651427</v>
      </c>
      <c r="C333" s="133" t="s">
        <v>444</v>
      </c>
      <c r="F333">
        <v>1</v>
      </c>
      <c r="G333" t="s">
        <v>713</v>
      </c>
      <c r="H333" t="s">
        <v>701</v>
      </c>
      <c r="I333">
        <v>0.14229</v>
      </c>
      <c r="J333" t="s">
        <v>702</v>
      </c>
      <c r="K333" t="s">
        <v>701</v>
      </c>
      <c r="L333" s="166">
        <f>I333*B$338</f>
        <v>6.4030500000000004</v>
      </c>
      <c r="M333" s="127" t="s">
        <v>3367</v>
      </c>
    </row>
    <row r="334" spans="1:13" x14ac:dyDescent="0.2">
      <c r="A334" s="1217"/>
      <c r="B334" s="166">
        <v>20</v>
      </c>
      <c r="C334" s="133" t="s">
        <v>10</v>
      </c>
      <c r="D334" t="s">
        <v>3390</v>
      </c>
      <c r="E334" s="83"/>
      <c r="F334">
        <v>40</v>
      </c>
      <c r="G334" t="s">
        <v>12</v>
      </c>
      <c r="H334" t="s">
        <v>703</v>
      </c>
      <c r="I334" s="33">
        <v>2.2291000000000001E-5</v>
      </c>
      <c r="J334" t="s">
        <v>704</v>
      </c>
      <c r="K334" t="s">
        <v>703</v>
      </c>
      <c r="L334" s="166">
        <f t="shared" ref="L334:L342" si="27">I334*B$338</f>
        <v>1.0030950000000001E-3</v>
      </c>
      <c r="M334" s="127" t="s">
        <v>3368</v>
      </c>
    </row>
    <row r="335" spans="1:13" x14ac:dyDescent="0.2">
      <c r="A335" s="1217"/>
      <c r="B335" s="166">
        <v>0.7</v>
      </c>
      <c r="D335" t="s">
        <v>3391</v>
      </c>
      <c r="E335" s="83"/>
      <c r="H335" t="s">
        <v>705</v>
      </c>
      <c r="I335">
        <v>3203.5834399999999</v>
      </c>
      <c r="J335" t="s">
        <v>706</v>
      </c>
      <c r="K335" t="s">
        <v>705</v>
      </c>
      <c r="L335" s="166">
        <f t="shared" si="27"/>
        <v>144161.2548</v>
      </c>
      <c r="M335" s="127" t="s">
        <v>3370</v>
      </c>
    </row>
    <row r="336" spans="1:13" x14ac:dyDescent="0.2">
      <c r="A336" s="1217"/>
      <c r="B336" s="166">
        <f>B333*B334/B335</f>
        <v>882.38424104718376</v>
      </c>
      <c r="C336" s="133" t="s">
        <v>12</v>
      </c>
      <c r="E336" s="83"/>
      <c r="H336" t="s">
        <v>3372</v>
      </c>
      <c r="I336">
        <v>1.278E-2</v>
      </c>
      <c r="J336" t="s">
        <v>3373</v>
      </c>
      <c r="K336" t="s">
        <v>3372</v>
      </c>
      <c r="L336" s="166">
        <f t="shared" si="27"/>
        <v>0.57509999999999994</v>
      </c>
      <c r="M336" s="127" t="s">
        <v>3374</v>
      </c>
    </row>
    <row r="337" spans="1:13" x14ac:dyDescent="0.2">
      <c r="A337" s="1217"/>
      <c r="B337" s="166">
        <f>B336*D332</f>
        <v>1764.7684820943675</v>
      </c>
      <c r="C337" s="133" t="s">
        <v>12</v>
      </c>
      <c r="E337" s="83"/>
      <c r="H337" t="s">
        <v>3375</v>
      </c>
      <c r="I337">
        <v>3.7339999999999998E-2</v>
      </c>
      <c r="J337" t="s">
        <v>707</v>
      </c>
      <c r="K337" t="s">
        <v>3375</v>
      </c>
      <c r="L337" s="166">
        <f t="shared" si="27"/>
        <v>1.6802999999999999</v>
      </c>
      <c r="M337" s="127" t="s">
        <v>3376</v>
      </c>
    </row>
    <row r="338" spans="1:13" x14ac:dyDescent="0.2">
      <c r="A338" s="1217"/>
      <c r="B338" s="1218">
        <f>ROUNDUP(B337/F334,0)</f>
        <v>45</v>
      </c>
      <c r="C338" s="1114" t="s">
        <v>3392</v>
      </c>
      <c r="D338" s="6" t="s">
        <v>577</v>
      </c>
      <c r="E338" s="83"/>
      <c r="H338" t="s">
        <v>708</v>
      </c>
      <c r="I338">
        <v>9.0477000000000007</v>
      </c>
      <c r="J338" t="s">
        <v>709</v>
      </c>
      <c r="K338" t="s">
        <v>708</v>
      </c>
      <c r="L338" s="166">
        <f t="shared" si="27"/>
        <v>407.14650000000006</v>
      </c>
      <c r="M338" s="127" t="s">
        <v>3377</v>
      </c>
    </row>
    <row r="339" spans="1:13" x14ac:dyDescent="0.2">
      <c r="A339" s="1217"/>
      <c r="B339" s="166"/>
      <c r="E339" s="83"/>
      <c r="H339" t="s">
        <v>3378</v>
      </c>
      <c r="I339" s="33">
        <v>3.5905399999999997E-5</v>
      </c>
      <c r="J339" t="s">
        <v>704</v>
      </c>
      <c r="K339" t="s">
        <v>3378</v>
      </c>
      <c r="L339" s="166">
        <f t="shared" si="27"/>
        <v>1.6157429999999998E-3</v>
      </c>
      <c r="M339" s="127" t="s">
        <v>3368</v>
      </c>
    </row>
    <row r="340" spans="1:13" x14ac:dyDescent="0.2">
      <c r="A340" s="1217"/>
      <c r="B340" s="166"/>
      <c r="E340" s="83"/>
      <c r="H340" t="s">
        <v>710</v>
      </c>
      <c r="I340" s="33">
        <v>1.7364199999999999E-7</v>
      </c>
      <c r="J340" t="s">
        <v>3379</v>
      </c>
      <c r="K340" t="s">
        <v>710</v>
      </c>
      <c r="L340" s="166">
        <f t="shared" si="27"/>
        <v>7.8138899999999991E-6</v>
      </c>
      <c r="M340" s="127" t="s">
        <v>3380</v>
      </c>
    </row>
    <row r="341" spans="1:13" x14ac:dyDescent="0.2">
      <c r="A341" s="1217"/>
      <c r="B341" s="166"/>
      <c r="E341" s="83"/>
      <c r="H341" t="s">
        <v>3381</v>
      </c>
      <c r="I341">
        <v>2.9360000000000001E-2</v>
      </c>
      <c r="J341" t="s">
        <v>3382</v>
      </c>
      <c r="K341" t="s">
        <v>3381</v>
      </c>
      <c r="L341" s="166">
        <f t="shared" si="27"/>
        <v>1.3211999999999999</v>
      </c>
      <c r="M341" s="127" t="s">
        <v>3383</v>
      </c>
    </row>
    <row r="342" spans="1:13" x14ac:dyDescent="0.2">
      <c r="A342" s="1217"/>
      <c r="B342" s="166"/>
      <c r="E342" s="83"/>
      <c r="H342" t="s">
        <v>3384</v>
      </c>
      <c r="I342">
        <v>0.84404000000000001</v>
      </c>
      <c r="J342" t="s">
        <v>711</v>
      </c>
      <c r="K342" t="s">
        <v>3384</v>
      </c>
      <c r="L342" s="166">
        <f t="shared" si="27"/>
        <v>37.9818</v>
      </c>
      <c r="M342" s="127" t="s">
        <v>3385</v>
      </c>
    </row>
    <row r="343" spans="1:13" x14ac:dyDescent="0.2">
      <c r="A343" s="1219"/>
      <c r="B343" s="833"/>
      <c r="C343" s="1102"/>
      <c r="D343" s="118"/>
      <c r="E343" s="1220"/>
      <c r="F343" s="118"/>
      <c r="G343" s="118"/>
      <c r="H343" s="118"/>
      <c r="I343" s="118"/>
      <c r="J343" s="118"/>
      <c r="K343" s="118"/>
      <c r="L343" s="833"/>
      <c r="M343" s="120"/>
    </row>
    <row r="344" spans="1:13" ht="16" x14ac:dyDescent="0.2">
      <c r="A344" s="486" t="s">
        <v>2855</v>
      </c>
      <c r="B344" s="845">
        <v>589.12195548732609</v>
      </c>
      <c r="C344" s="1159" t="s">
        <v>1</v>
      </c>
      <c r="D344" s="110">
        <v>2</v>
      </c>
      <c r="E344" s="159" t="s">
        <v>3400</v>
      </c>
      <c r="F344" s="110">
        <v>1</v>
      </c>
      <c r="G344" s="110" t="s">
        <v>1</v>
      </c>
      <c r="H344" s="110"/>
      <c r="I344" s="110"/>
      <c r="J344" s="110"/>
      <c r="K344" s="110"/>
      <c r="L344" s="845"/>
      <c r="M344" s="112"/>
    </row>
    <row r="345" spans="1:13" x14ac:dyDescent="0.2">
      <c r="A345" s="1217"/>
      <c r="B345" s="1218">
        <f>B344*D344</f>
        <v>1178.2439109746522</v>
      </c>
      <c r="C345" s="1114" t="s">
        <v>1</v>
      </c>
      <c r="D345" s="6" t="s">
        <v>577</v>
      </c>
      <c r="E345" s="83"/>
      <c r="H345" t="s">
        <v>701</v>
      </c>
      <c r="I345">
        <v>7.5000000000000002E-4</v>
      </c>
      <c r="J345" t="s">
        <v>702</v>
      </c>
      <c r="K345" t="s">
        <v>701</v>
      </c>
      <c r="L345" s="166">
        <f>I345*B$345</f>
        <v>0.88368293323098912</v>
      </c>
      <c r="M345" s="127" t="s">
        <v>3367</v>
      </c>
    </row>
    <row r="346" spans="1:13" x14ac:dyDescent="0.2">
      <c r="A346" s="1217"/>
      <c r="B346" s="166"/>
      <c r="E346" s="83"/>
      <c r="H346" t="s">
        <v>703</v>
      </c>
      <c r="I346" s="33">
        <v>3.3111200000000002E-8</v>
      </c>
      <c r="J346" t="s">
        <v>704</v>
      </c>
      <c r="K346" t="s">
        <v>703</v>
      </c>
      <c r="L346" s="166">
        <f t="shared" ref="L346:L354" si="28">I346*B$345</f>
        <v>3.9013069785063904E-5</v>
      </c>
      <c r="M346" s="127" t="s">
        <v>3368</v>
      </c>
    </row>
    <row r="347" spans="1:13" x14ac:dyDescent="0.2">
      <c r="A347" s="1217"/>
      <c r="B347" s="166"/>
      <c r="E347" s="83"/>
      <c r="H347" t="s">
        <v>705</v>
      </c>
      <c r="I347">
        <v>4.1968100000000002</v>
      </c>
      <c r="J347" t="s">
        <v>706</v>
      </c>
      <c r="K347" t="s">
        <v>705</v>
      </c>
      <c r="L347" s="166">
        <f t="shared" si="28"/>
        <v>4944.8658280175305</v>
      </c>
      <c r="M347" s="127" t="s">
        <v>3370</v>
      </c>
    </row>
    <row r="348" spans="1:13" x14ac:dyDescent="0.2">
      <c r="A348" s="1217"/>
      <c r="B348" s="166"/>
      <c r="E348" s="83"/>
      <c r="H348" t="s">
        <v>3372</v>
      </c>
      <c r="I348">
        <v>3.2000000000000003E-4</v>
      </c>
      <c r="J348" t="s">
        <v>3373</v>
      </c>
      <c r="K348" t="s">
        <v>3372</v>
      </c>
      <c r="L348" s="166">
        <f t="shared" si="28"/>
        <v>0.37703805151188874</v>
      </c>
      <c r="M348" s="127" t="s">
        <v>3374</v>
      </c>
    </row>
    <row r="349" spans="1:13" x14ac:dyDescent="0.2">
      <c r="A349" s="1217"/>
      <c r="B349" s="166"/>
      <c r="E349" s="83"/>
      <c r="H349" t="s">
        <v>3375</v>
      </c>
      <c r="I349">
        <v>5.2999999999999998E-4</v>
      </c>
      <c r="J349" t="s">
        <v>707</v>
      </c>
      <c r="K349" t="s">
        <v>3375</v>
      </c>
      <c r="L349" s="166">
        <f t="shared" si="28"/>
        <v>0.62446927281656561</v>
      </c>
      <c r="M349" s="127" t="s">
        <v>3376</v>
      </c>
    </row>
    <row r="350" spans="1:13" x14ac:dyDescent="0.2">
      <c r="A350" s="1217"/>
      <c r="B350" s="166"/>
      <c r="E350" s="83"/>
      <c r="H350" t="s">
        <v>708</v>
      </c>
      <c r="I350">
        <v>0.39150000000000001</v>
      </c>
      <c r="J350" t="s">
        <v>709</v>
      </c>
      <c r="K350" t="s">
        <v>708</v>
      </c>
      <c r="L350" s="166">
        <f t="shared" si="28"/>
        <v>461.28249114657632</v>
      </c>
      <c r="M350" s="127" t="s">
        <v>3377</v>
      </c>
    </row>
    <row r="351" spans="1:13" x14ac:dyDescent="0.2">
      <c r="A351" s="1217"/>
      <c r="B351" s="166"/>
      <c r="E351" s="83"/>
      <c r="H351" t="s">
        <v>3378</v>
      </c>
      <c r="I351" s="33">
        <v>9.8849699999999999E-8</v>
      </c>
      <c r="J351" t="s">
        <v>704</v>
      </c>
      <c r="K351" t="s">
        <v>3378</v>
      </c>
      <c r="L351" s="166">
        <f t="shared" si="28"/>
        <v>1.1646905712667107E-4</v>
      </c>
      <c r="M351" s="127" t="s">
        <v>3368</v>
      </c>
    </row>
    <row r="352" spans="1:13" x14ac:dyDescent="0.2">
      <c r="A352" s="1217"/>
      <c r="B352" s="166"/>
      <c r="E352" s="83"/>
      <c r="H352" t="s">
        <v>710</v>
      </c>
      <c r="I352" s="33">
        <v>1.51061E-9</v>
      </c>
      <c r="J352" t="s">
        <v>3379</v>
      </c>
      <c r="K352" t="s">
        <v>710</v>
      </c>
      <c r="L352" s="166">
        <f t="shared" si="28"/>
        <v>1.7798670343574193E-6</v>
      </c>
      <c r="M352" s="127" t="s">
        <v>3380</v>
      </c>
    </row>
    <row r="353" spans="1:13" x14ac:dyDescent="0.2">
      <c r="A353" s="1217"/>
      <c r="B353" s="166"/>
      <c r="E353" s="83"/>
      <c r="H353" t="s">
        <v>3381</v>
      </c>
      <c r="I353">
        <v>1.01E-3</v>
      </c>
      <c r="J353" t="s">
        <v>3382</v>
      </c>
      <c r="K353" t="s">
        <v>3381</v>
      </c>
      <c r="L353" s="166">
        <f t="shared" si="28"/>
        <v>1.1900263500843988</v>
      </c>
      <c r="M353" s="127" t="s">
        <v>3383</v>
      </c>
    </row>
    <row r="354" spans="1:13" x14ac:dyDescent="0.2">
      <c r="A354" s="1217"/>
      <c r="B354" s="166"/>
      <c r="E354" s="83"/>
      <c r="H354" t="s">
        <v>3384</v>
      </c>
      <c r="I354">
        <v>1.2200000000000001E-2</v>
      </c>
      <c r="J354" t="s">
        <v>711</v>
      </c>
      <c r="K354" t="s">
        <v>3384</v>
      </c>
      <c r="L354" s="166">
        <f t="shared" si="28"/>
        <v>14.374575713890758</v>
      </c>
      <c r="M354" s="127" t="s">
        <v>3385</v>
      </c>
    </row>
    <row r="355" spans="1:13" x14ac:dyDescent="0.2">
      <c r="A355" s="1219"/>
      <c r="B355" s="833"/>
      <c r="C355" s="1102"/>
      <c r="D355" s="118"/>
      <c r="E355" s="1220"/>
      <c r="F355" s="118"/>
      <c r="G355" s="118"/>
      <c r="H355" s="118"/>
      <c r="I355" s="118"/>
      <c r="J355" s="118"/>
      <c r="K355" s="118"/>
      <c r="L355" s="833"/>
      <c r="M355" s="120"/>
    </row>
    <row r="356" spans="1:13" ht="16" x14ac:dyDescent="0.2">
      <c r="A356" s="486" t="s">
        <v>2856</v>
      </c>
      <c r="B356" s="845">
        <v>1178.2439109746522</v>
      </c>
      <c r="C356" s="1159" t="s">
        <v>7</v>
      </c>
      <c r="D356" s="110">
        <v>2</v>
      </c>
      <c r="E356" s="159" t="s">
        <v>3406</v>
      </c>
      <c r="F356" s="110">
        <v>1</v>
      </c>
      <c r="G356" s="110" t="s">
        <v>15</v>
      </c>
      <c r="H356" s="110"/>
      <c r="I356" s="110"/>
      <c r="J356" s="110"/>
      <c r="K356" s="110"/>
      <c r="L356" s="845"/>
      <c r="M356" s="112"/>
    </row>
    <row r="357" spans="1:13" x14ac:dyDescent="0.2">
      <c r="A357" s="1217"/>
      <c r="B357" s="166">
        <v>0.05</v>
      </c>
      <c r="C357" s="133" t="s">
        <v>3407</v>
      </c>
      <c r="E357" s="83"/>
      <c r="H357" t="s">
        <v>701</v>
      </c>
      <c r="I357">
        <v>9.2399999999999999E-3</v>
      </c>
      <c r="J357" t="s">
        <v>702</v>
      </c>
      <c r="K357" t="s">
        <v>701</v>
      </c>
      <c r="L357" s="166">
        <f>I357*B$358</f>
        <v>1088.6973737405788</v>
      </c>
      <c r="M357" s="127" t="s">
        <v>3367</v>
      </c>
    </row>
    <row r="358" spans="1:13" x14ac:dyDescent="0.2">
      <c r="A358" s="1217"/>
      <c r="B358" s="1218">
        <f>B356*1000*D356*B357</f>
        <v>117824.39109746524</v>
      </c>
      <c r="C358" s="1114" t="s">
        <v>15</v>
      </c>
      <c r="D358" s="6" t="s">
        <v>577</v>
      </c>
      <c r="E358" s="83"/>
      <c r="H358" t="s">
        <v>703</v>
      </c>
      <c r="I358" s="33">
        <v>8.64158E-8</v>
      </c>
      <c r="J358" t="s">
        <v>704</v>
      </c>
      <c r="K358" t="s">
        <v>703</v>
      </c>
      <c r="L358" s="166">
        <f t="shared" ref="L358:L366" si="29">I358*B$358</f>
        <v>1.0181889016200337E-2</v>
      </c>
      <c r="M358" s="127" t="s">
        <v>3368</v>
      </c>
    </row>
    <row r="359" spans="1:13" x14ac:dyDescent="0.2">
      <c r="A359" s="1217"/>
      <c r="B359" s="166"/>
      <c r="E359" s="83"/>
      <c r="H359" t="s">
        <v>705</v>
      </c>
      <c r="I359">
        <v>16.26793</v>
      </c>
      <c r="J359" t="s">
        <v>706</v>
      </c>
      <c r="K359" t="s">
        <v>705</v>
      </c>
      <c r="L359" s="166">
        <f t="shared" si="29"/>
        <v>1916758.9466661876</v>
      </c>
      <c r="M359" s="127" t="s">
        <v>3370</v>
      </c>
    </row>
    <row r="360" spans="1:13" x14ac:dyDescent="0.2">
      <c r="A360" s="1217"/>
      <c r="B360" s="166"/>
      <c r="E360" s="83"/>
      <c r="H360" t="s">
        <v>3372</v>
      </c>
      <c r="I360">
        <v>3.8999999999999999E-4</v>
      </c>
      <c r="J360" t="s">
        <v>3373</v>
      </c>
      <c r="K360" t="s">
        <v>3372</v>
      </c>
      <c r="L360" s="166">
        <f t="shared" si="29"/>
        <v>45.951512528011442</v>
      </c>
      <c r="M360" s="127" t="s">
        <v>3374</v>
      </c>
    </row>
    <row r="361" spans="1:13" x14ac:dyDescent="0.2">
      <c r="A361" s="1217"/>
      <c r="B361" s="166"/>
      <c r="E361" s="83"/>
      <c r="H361" t="s">
        <v>3375</v>
      </c>
      <c r="I361">
        <v>3.5999999999999999E-3</v>
      </c>
      <c r="J361" t="s">
        <v>707</v>
      </c>
      <c r="K361" t="s">
        <v>3375</v>
      </c>
      <c r="L361" s="166">
        <f t="shared" si="29"/>
        <v>424.16780795087487</v>
      </c>
      <c r="M361" s="127" t="s">
        <v>3376</v>
      </c>
    </row>
    <row r="362" spans="1:13" x14ac:dyDescent="0.2">
      <c r="A362" s="1217"/>
      <c r="B362" s="166"/>
      <c r="E362" s="83"/>
      <c r="H362" t="s">
        <v>708</v>
      </c>
      <c r="I362">
        <v>1.3029599999999999</v>
      </c>
      <c r="J362" t="s">
        <v>709</v>
      </c>
      <c r="K362" t="s">
        <v>708</v>
      </c>
      <c r="L362" s="166">
        <f t="shared" si="29"/>
        <v>153520.46862435329</v>
      </c>
      <c r="M362" s="127" t="s">
        <v>3377</v>
      </c>
    </row>
    <row r="363" spans="1:13" x14ac:dyDescent="0.2">
      <c r="A363" s="1217"/>
      <c r="B363" s="166"/>
      <c r="E363" s="83"/>
      <c r="H363" t="s">
        <v>3378</v>
      </c>
      <c r="I363" s="33">
        <v>2.6179000000000002E-7</v>
      </c>
      <c r="J363" t="s">
        <v>704</v>
      </c>
      <c r="K363" t="s">
        <v>3378</v>
      </c>
      <c r="L363" s="166">
        <f t="shared" si="29"/>
        <v>3.0845247345405426E-2</v>
      </c>
      <c r="M363" s="127" t="s">
        <v>3368</v>
      </c>
    </row>
    <row r="364" spans="1:13" x14ac:dyDescent="0.2">
      <c r="A364" s="1217"/>
      <c r="B364" s="166"/>
      <c r="E364" s="83"/>
      <c r="H364" t="s">
        <v>710</v>
      </c>
      <c r="I364" s="33">
        <v>3.54278E-8</v>
      </c>
      <c r="J364" t="s">
        <v>3379</v>
      </c>
      <c r="K364" t="s">
        <v>710</v>
      </c>
      <c r="L364" s="166">
        <f t="shared" si="29"/>
        <v>4.174258962922779E-3</v>
      </c>
      <c r="M364" s="127" t="s">
        <v>3380</v>
      </c>
    </row>
    <row r="365" spans="1:13" x14ac:dyDescent="0.2">
      <c r="A365" s="1217"/>
      <c r="B365" s="166"/>
      <c r="E365" s="83"/>
      <c r="H365" t="s">
        <v>3381</v>
      </c>
      <c r="I365">
        <v>1.5499999999999999E-3</v>
      </c>
      <c r="J365" t="s">
        <v>3382</v>
      </c>
      <c r="K365" t="s">
        <v>3381</v>
      </c>
      <c r="L365" s="166">
        <f t="shared" si="29"/>
        <v>182.62780620107111</v>
      </c>
      <c r="M365" s="127" t="s">
        <v>3383</v>
      </c>
    </row>
    <row r="366" spans="1:13" x14ac:dyDescent="0.2">
      <c r="A366" s="1217"/>
      <c r="B366" s="166"/>
      <c r="E366" s="83"/>
      <c r="H366" t="s">
        <v>3384</v>
      </c>
      <c r="I366">
        <v>7.3340000000000002E-2</v>
      </c>
      <c r="J366" t="s">
        <v>711</v>
      </c>
      <c r="K366" t="s">
        <v>3384</v>
      </c>
      <c r="L366" s="166">
        <f t="shared" si="29"/>
        <v>8641.2408430881005</v>
      </c>
      <c r="M366" s="127" t="s">
        <v>3385</v>
      </c>
    </row>
    <row r="367" spans="1:13" x14ac:dyDescent="0.2">
      <c r="A367" s="1219"/>
      <c r="B367" s="833"/>
      <c r="C367" s="1102"/>
      <c r="D367" s="118"/>
      <c r="E367" s="1220"/>
      <c r="F367" s="118"/>
      <c r="G367" s="118"/>
      <c r="H367" s="118"/>
      <c r="I367" s="118"/>
      <c r="J367" s="118"/>
      <c r="K367" s="118"/>
      <c r="L367" s="833"/>
      <c r="M367" s="120"/>
    </row>
    <row r="368" spans="1:13" x14ac:dyDescent="0.2">
      <c r="A368" s="486" t="s">
        <v>2857</v>
      </c>
      <c r="B368" s="845">
        <v>307.94223599430569</v>
      </c>
      <c r="C368" s="1159" t="s">
        <v>11</v>
      </c>
      <c r="D368" s="110">
        <v>2</v>
      </c>
      <c r="E368" s="159"/>
      <c r="F368" s="110"/>
      <c r="G368" s="110"/>
      <c r="H368" s="110"/>
      <c r="I368" s="110"/>
      <c r="J368" s="110"/>
      <c r="K368" s="110"/>
      <c r="L368" s="845"/>
      <c r="M368" s="112"/>
    </row>
    <row r="369" spans="1:13" ht="16" x14ac:dyDescent="0.2">
      <c r="A369" s="1217"/>
      <c r="B369" s="166">
        <v>18.504248960897829</v>
      </c>
      <c r="C369" s="133" t="s">
        <v>545</v>
      </c>
      <c r="E369" s="83" t="s">
        <v>3393</v>
      </c>
      <c r="F369">
        <v>1</v>
      </c>
      <c r="G369" t="s">
        <v>15</v>
      </c>
      <c r="H369" t="s">
        <v>701</v>
      </c>
      <c r="I369">
        <v>6.0200000000000002E-3</v>
      </c>
      <c r="J369" t="s">
        <v>702</v>
      </c>
      <c r="K369" t="s">
        <v>701</v>
      </c>
      <c r="L369" s="166">
        <f>I369*B$371</f>
        <v>2.0051204174028889</v>
      </c>
      <c r="M369" s="127" t="s">
        <v>3367</v>
      </c>
    </row>
    <row r="370" spans="1:13" x14ac:dyDescent="0.2">
      <c r="A370" s="1217"/>
      <c r="B370" s="166">
        <f>1800/200</f>
        <v>9</v>
      </c>
      <c r="C370" s="133" t="s">
        <v>3408</v>
      </c>
      <c r="E370" s="83"/>
      <c r="H370" t="s">
        <v>703</v>
      </c>
      <c r="I370" s="33">
        <v>1.2843299999999999E-6</v>
      </c>
      <c r="J370" t="s">
        <v>704</v>
      </c>
      <c r="K370" t="s">
        <v>703</v>
      </c>
      <c r="L370" s="166">
        <f t="shared" ref="L370:L378" si="30">I370*B$371</f>
        <v>4.2778011722309831E-4</v>
      </c>
      <c r="M370" s="127" t="s">
        <v>3368</v>
      </c>
    </row>
    <row r="371" spans="1:13" x14ac:dyDescent="0.2">
      <c r="A371" s="1217"/>
      <c r="B371" s="1218">
        <f>B370*B369*D368</f>
        <v>333.07648129616092</v>
      </c>
      <c r="C371" s="1114" t="s">
        <v>15</v>
      </c>
      <c r="D371" s="6" t="s">
        <v>577</v>
      </c>
      <c r="E371" s="83"/>
      <c r="H371" t="s">
        <v>705</v>
      </c>
      <c r="I371">
        <v>67.217029999999994</v>
      </c>
      <c r="J371" t="s">
        <v>706</v>
      </c>
      <c r="K371" t="s">
        <v>705</v>
      </c>
      <c r="L371" s="166">
        <f t="shared" si="30"/>
        <v>22388.411835578485</v>
      </c>
      <c r="M371" s="127" t="s">
        <v>3370</v>
      </c>
    </row>
    <row r="372" spans="1:13" x14ac:dyDescent="0.2">
      <c r="A372" s="1217"/>
      <c r="B372" s="166"/>
      <c r="E372" s="83"/>
      <c r="H372" t="s">
        <v>3372</v>
      </c>
      <c r="I372">
        <v>7.6999999999999996E-4</v>
      </c>
      <c r="J372" t="s">
        <v>3373</v>
      </c>
      <c r="K372" t="s">
        <v>3372</v>
      </c>
      <c r="L372" s="166">
        <f t="shared" si="30"/>
        <v>0.2564688905980439</v>
      </c>
      <c r="M372" s="127" t="s">
        <v>3374</v>
      </c>
    </row>
    <row r="373" spans="1:13" x14ac:dyDescent="0.2">
      <c r="A373" s="1217"/>
      <c r="B373" s="166"/>
      <c r="E373" s="83"/>
      <c r="H373" t="s">
        <v>3375</v>
      </c>
      <c r="I373">
        <v>4.1700000000000001E-3</v>
      </c>
      <c r="J373" t="s">
        <v>707</v>
      </c>
      <c r="K373" t="s">
        <v>3375</v>
      </c>
      <c r="L373" s="166">
        <f t="shared" si="30"/>
        <v>1.3889289270049912</v>
      </c>
      <c r="M373" s="127" t="s">
        <v>3376</v>
      </c>
    </row>
    <row r="374" spans="1:13" x14ac:dyDescent="0.2">
      <c r="A374" s="1217"/>
      <c r="B374" s="166"/>
      <c r="E374" s="83"/>
      <c r="H374" t="s">
        <v>708</v>
      </c>
      <c r="I374">
        <v>1.7658199999999999</v>
      </c>
      <c r="J374" t="s">
        <v>709</v>
      </c>
      <c r="K374" t="s">
        <v>708</v>
      </c>
      <c r="L374" s="166">
        <f t="shared" si="30"/>
        <v>588.15311220238686</v>
      </c>
      <c r="M374" s="127" t="s">
        <v>3377</v>
      </c>
    </row>
    <row r="375" spans="1:13" x14ac:dyDescent="0.2">
      <c r="A375" s="1217"/>
      <c r="B375" s="166"/>
      <c r="E375" s="83"/>
      <c r="H375" t="s">
        <v>3378</v>
      </c>
      <c r="I375" s="33">
        <v>3.4665800000000001E-7</v>
      </c>
      <c r="J375" t="s">
        <v>704</v>
      </c>
      <c r="K375" t="s">
        <v>3378</v>
      </c>
      <c r="L375" s="166">
        <f t="shared" si="30"/>
        <v>1.1546362685316455E-4</v>
      </c>
      <c r="M375" s="127" t="s">
        <v>3368</v>
      </c>
    </row>
    <row r="376" spans="1:13" x14ac:dyDescent="0.2">
      <c r="A376" s="1217"/>
      <c r="B376" s="166"/>
      <c r="E376" s="83"/>
      <c r="H376" t="s">
        <v>710</v>
      </c>
      <c r="I376" s="33">
        <v>5.15501E-8</v>
      </c>
      <c r="J376" t="s">
        <v>3379</v>
      </c>
      <c r="K376" t="s">
        <v>710</v>
      </c>
      <c r="L376" s="166">
        <f t="shared" si="30"/>
        <v>1.7170125918465226E-5</v>
      </c>
      <c r="M376" s="127" t="s">
        <v>3380</v>
      </c>
    </row>
    <row r="377" spans="1:13" x14ac:dyDescent="0.2">
      <c r="A377" s="1217"/>
      <c r="B377" s="166"/>
      <c r="E377" s="83"/>
      <c r="H377" t="s">
        <v>3381</v>
      </c>
      <c r="I377">
        <v>2.7299999999999998E-3</v>
      </c>
      <c r="J377" t="s">
        <v>3382</v>
      </c>
      <c r="K377" t="s">
        <v>3381</v>
      </c>
      <c r="L377" s="166">
        <f t="shared" si="30"/>
        <v>0.9092987939385192</v>
      </c>
      <c r="M377" s="127" t="s">
        <v>3383</v>
      </c>
    </row>
    <row r="378" spans="1:13" x14ac:dyDescent="0.2">
      <c r="A378" s="1217"/>
      <c r="B378" s="166"/>
      <c r="E378" s="83"/>
      <c r="H378" t="s">
        <v>3384</v>
      </c>
      <c r="I378">
        <v>0.10051</v>
      </c>
      <c r="J378" t="s">
        <v>711</v>
      </c>
      <c r="K378" t="s">
        <v>3384</v>
      </c>
      <c r="L378" s="166">
        <f t="shared" si="30"/>
        <v>33.477517135077136</v>
      </c>
      <c r="M378" s="127" t="s">
        <v>3385</v>
      </c>
    </row>
    <row r="379" spans="1:13" x14ac:dyDescent="0.2">
      <c r="A379" s="1219"/>
      <c r="B379" s="833"/>
      <c r="C379" s="1102"/>
      <c r="D379" s="118"/>
      <c r="E379" s="1220"/>
      <c r="F379" s="118"/>
      <c r="G379" s="118"/>
      <c r="H379" s="118"/>
      <c r="I379" s="118"/>
      <c r="J379" s="118"/>
      <c r="K379" s="118"/>
      <c r="L379" s="833"/>
      <c r="M379" s="120"/>
    </row>
    <row r="380" spans="1:13" ht="16" x14ac:dyDescent="0.2">
      <c r="A380" s="486" t="s">
        <v>1027</v>
      </c>
      <c r="B380" s="845">
        <v>30883.448436651426</v>
      </c>
      <c r="C380" s="1159" t="s">
        <v>267</v>
      </c>
      <c r="D380" s="110">
        <v>2</v>
      </c>
      <c r="E380" s="1216" t="s">
        <v>3388</v>
      </c>
      <c r="F380" s="110"/>
      <c r="G380" s="110"/>
      <c r="H380" s="110"/>
      <c r="I380" s="110"/>
      <c r="J380" s="110"/>
      <c r="K380" s="110"/>
      <c r="L380" s="845"/>
      <c r="M380" s="112"/>
    </row>
    <row r="381" spans="1:13" ht="16" x14ac:dyDescent="0.2">
      <c r="A381" s="1223" t="s">
        <v>3389</v>
      </c>
      <c r="B381" s="166">
        <f>B380/1000</f>
        <v>30.883448436651427</v>
      </c>
      <c r="C381" s="133" t="s">
        <v>444</v>
      </c>
      <c r="F381">
        <v>1</v>
      </c>
      <c r="G381" t="s">
        <v>713</v>
      </c>
      <c r="H381" t="s">
        <v>701</v>
      </c>
      <c r="I381">
        <v>0.14229</v>
      </c>
      <c r="J381" t="s">
        <v>702</v>
      </c>
      <c r="K381" t="s">
        <v>701</v>
      </c>
      <c r="L381" s="166">
        <f>I381*B$386</f>
        <v>6.4030500000000004</v>
      </c>
      <c r="M381" s="127" t="s">
        <v>3367</v>
      </c>
    </row>
    <row r="382" spans="1:13" x14ac:dyDescent="0.2">
      <c r="A382" s="1217"/>
      <c r="B382" s="166">
        <v>20</v>
      </c>
      <c r="C382" s="133" t="s">
        <v>10</v>
      </c>
      <c r="D382" t="s">
        <v>3390</v>
      </c>
      <c r="E382" s="83"/>
      <c r="F382">
        <v>40</v>
      </c>
      <c r="G382" t="s">
        <v>12</v>
      </c>
      <c r="H382" t="s">
        <v>703</v>
      </c>
      <c r="I382" s="33">
        <v>2.2291000000000001E-5</v>
      </c>
      <c r="J382" t="s">
        <v>704</v>
      </c>
      <c r="K382" t="s">
        <v>703</v>
      </c>
      <c r="L382" s="166">
        <f t="shared" ref="L382:L390" si="31">I382*B$386</f>
        <v>1.0030950000000001E-3</v>
      </c>
      <c r="M382" s="127" t="s">
        <v>3368</v>
      </c>
    </row>
    <row r="383" spans="1:13" x14ac:dyDescent="0.2">
      <c r="A383" s="1217"/>
      <c r="B383" s="166">
        <v>0.7</v>
      </c>
      <c r="D383" t="s">
        <v>3391</v>
      </c>
      <c r="E383" s="83"/>
      <c r="H383" t="s">
        <v>705</v>
      </c>
      <c r="I383">
        <v>3203.5834399999999</v>
      </c>
      <c r="J383" t="s">
        <v>706</v>
      </c>
      <c r="K383" t="s">
        <v>705</v>
      </c>
      <c r="L383" s="166">
        <f t="shared" si="31"/>
        <v>144161.2548</v>
      </c>
      <c r="M383" s="127" t="s">
        <v>3370</v>
      </c>
    </row>
    <row r="384" spans="1:13" x14ac:dyDescent="0.2">
      <c r="A384" s="1217"/>
      <c r="B384" s="166">
        <f>B381*B382/B383</f>
        <v>882.38424104718376</v>
      </c>
      <c r="C384" s="133" t="s">
        <v>12</v>
      </c>
      <c r="E384" s="83"/>
      <c r="H384" t="s">
        <v>3372</v>
      </c>
      <c r="I384">
        <v>1.278E-2</v>
      </c>
      <c r="J384" t="s">
        <v>3373</v>
      </c>
      <c r="K384" t="s">
        <v>3372</v>
      </c>
      <c r="L384" s="166">
        <f t="shared" si="31"/>
        <v>0.57509999999999994</v>
      </c>
      <c r="M384" s="127" t="s">
        <v>3374</v>
      </c>
    </row>
    <row r="385" spans="1:13" x14ac:dyDescent="0.2">
      <c r="A385" s="1217"/>
      <c r="B385" s="166">
        <f>B384*D380</f>
        <v>1764.7684820943675</v>
      </c>
      <c r="C385" s="133" t="s">
        <v>12</v>
      </c>
      <c r="E385" s="83"/>
      <c r="H385" t="s">
        <v>3375</v>
      </c>
      <c r="I385">
        <v>3.7339999999999998E-2</v>
      </c>
      <c r="J385" t="s">
        <v>707</v>
      </c>
      <c r="K385" t="s">
        <v>3375</v>
      </c>
      <c r="L385" s="166">
        <f t="shared" si="31"/>
        <v>1.6802999999999999</v>
      </c>
      <c r="M385" s="127" t="s">
        <v>3376</v>
      </c>
    </row>
    <row r="386" spans="1:13" x14ac:dyDescent="0.2">
      <c r="A386" s="1217"/>
      <c r="B386" s="1218">
        <f>ROUNDUP(B385/F382,0)</f>
        <v>45</v>
      </c>
      <c r="C386" s="1114" t="s">
        <v>3392</v>
      </c>
      <c r="D386" s="6" t="s">
        <v>577</v>
      </c>
      <c r="E386" s="83"/>
      <c r="H386" t="s">
        <v>708</v>
      </c>
      <c r="I386">
        <v>9.0477000000000007</v>
      </c>
      <c r="J386" t="s">
        <v>709</v>
      </c>
      <c r="K386" t="s">
        <v>708</v>
      </c>
      <c r="L386" s="166">
        <f t="shared" si="31"/>
        <v>407.14650000000006</v>
      </c>
      <c r="M386" s="127" t="s">
        <v>3377</v>
      </c>
    </row>
    <row r="387" spans="1:13" x14ac:dyDescent="0.2">
      <c r="A387" s="1217"/>
      <c r="B387" s="166"/>
      <c r="E387" s="83"/>
      <c r="H387" t="s">
        <v>3378</v>
      </c>
      <c r="I387" s="33">
        <v>3.5905399999999997E-5</v>
      </c>
      <c r="J387" t="s">
        <v>704</v>
      </c>
      <c r="K387" t="s">
        <v>3378</v>
      </c>
      <c r="L387" s="166">
        <f t="shared" si="31"/>
        <v>1.6157429999999998E-3</v>
      </c>
      <c r="M387" s="127" t="s">
        <v>3368</v>
      </c>
    </row>
    <row r="388" spans="1:13" x14ac:dyDescent="0.2">
      <c r="A388" s="1217"/>
      <c r="B388" s="166"/>
      <c r="E388" s="83"/>
      <c r="H388" t="s">
        <v>710</v>
      </c>
      <c r="I388" s="33">
        <v>1.7364199999999999E-7</v>
      </c>
      <c r="J388" t="s">
        <v>3379</v>
      </c>
      <c r="K388" t="s">
        <v>710</v>
      </c>
      <c r="L388" s="166">
        <f t="shared" si="31"/>
        <v>7.8138899999999991E-6</v>
      </c>
      <c r="M388" s="127" t="s">
        <v>3380</v>
      </c>
    </row>
    <row r="389" spans="1:13" x14ac:dyDescent="0.2">
      <c r="A389" s="1217"/>
      <c r="B389" s="166"/>
      <c r="E389" s="83"/>
      <c r="H389" t="s">
        <v>3381</v>
      </c>
      <c r="I389">
        <v>2.9360000000000001E-2</v>
      </c>
      <c r="J389" t="s">
        <v>3382</v>
      </c>
      <c r="K389" t="s">
        <v>3381</v>
      </c>
      <c r="L389" s="166">
        <f t="shared" si="31"/>
        <v>1.3211999999999999</v>
      </c>
      <c r="M389" s="127" t="s">
        <v>3383</v>
      </c>
    </row>
    <row r="390" spans="1:13" x14ac:dyDescent="0.2">
      <c r="A390" s="1217"/>
      <c r="B390" s="166"/>
      <c r="E390" s="83"/>
      <c r="H390" t="s">
        <v>3384</v>
      </c>
      <c r="I390">
        <v>0.84404000000000001</v>
      </c>
      <c r="J390" t="s">
        <v>711</v>
      </c>
      <c r="K390" t="s">
        <v>3384</v>
      </c>
      <c r="L390" s="166">
        <f t="shared" si="31"/>
        <v>37.9818</v>
      </c>
      <c r="M390" s="127" t="s">
        <v>3385</v>
      </c>
    </row>
    <row r="391" spans="1:13" x14ac:dyDescent="0.2">
      <c r="A391" s="1219"/>
      <c r="B391" s="833"/>
      <c r="C391" s="1102"/>
      <c r="D391" s="118"/>
      <c r="E391" s="1220"/>
      <c r="F391" s="118"/>
      <c r="G391" s="118"/>
      <c r="H391" s="118"/>
      <c r="I391" s="118"/>
      <c r="J391" s="118"/>
      <c r="K391" s="118"/>
      <c r="L391" s="833"/>
      <c r="M391" s="120"/>
    </row>
    <row r="392" spans="1:13" ht="16" x14ac:dyDescent="0.2">
      <c r="A392" s="486" t="s">
        <v>2514</v>
      </c>
      <c r="B392" s="845">
        <v>30883.448436651426</v>
      </c>
      <c r="C392" s="1159" t="s">
        <v>267</v>
      </c>
      <c r="D392" s="110">
        <v>2</v>
      </c>
      <c r="E392" s="1216" t="s">
        <v>3393</v>
      </c>
      <c r="F392" s="110"/>
      <c r="G392" s="110"/>
      <c r="H392" s="110"/>
      <c r="I392" s="110"/>
      <c r="J392" s="110"/>
      <c r="K392" s="110"/>
      <c r="L392" s="845"/>
      <c r="M392" s="112"/>
    </row>
    <row r="393" spans="1:13" x14ac:dyDescent="0.2">
      <c r="A393" s="1217"/>
      <c r="B393" s="166">
        <f>B392/1000</f>
        <v>30.883448436651427</v>
      </c>
      <c r="C393" s="133" t="s">
        <v>444</v>
      </c>
      <c r="F393">
        <v>1</v>
      </c>
      <c r="G393" t="s">
        <v>15</v>
      </c>
      <c r="H393" t="s">
        <v>701</v>
      </c>
      <c r="I393">
        <v>6.0200000000000002E-3</v>
      </c>
      <c r="J393" t="s">
        <v>702</v>
      </c>
      <c r="K393" t="s">
        <v>701</v>
      </c>
      <c r="L393" s="166">
        <f>I393*B$397</f>
        <v>120.4</v>
      </c>
      <c r="M393" s="127" t="s">
        <v>3367</v>
      </c>
    </row>
    <row r="394" spans="1:13" x14ac:dyDescent="0.2">
      <c r="A394" s="1217"/>
      <c r="B394" s="166">
        <v>30</v>
      </c>
      <c r="C394" s="133" t="s">
        <v>444</v>
      </c>
      <c r="E394" s="83"/>
      <c r="H394" t="s">
        <v>703</v>
      </c>
      <c r="I394" s="33">
        <v>1.2843299999999999E-6</v>
      </c>
      <c r="J394" t="s">
        <v>704</v>
      </c>
      <c r="K394" t="s">
        <v>703</v>
      </c>
      <c r="L394" s="166">
        <f t="shared" ref="L394:L402" si="32">I394*B$397</f>
        <v>2.5686599999999997E-2</v>
      </c>
      <c r="M394" s="127" t="s">
        <v>3368</v>
      </c>
    </row>
    <row r="395" spans="1:13" x14ac:dyDescent="0.2">
      <c r="A395" s="1217"/>
      <c r="B395" s="166">
        <f>ROUNDUP(B393/B394,0)*D392</f>
        <v>4</v>
      </c>
      <c r="C395" s="133" t="s">
        <v>3409</v>
      </c>
      <c r="E395" s="83"/>
      <c r="H395" t="s">
        <v>705</v>
      </c>
      <c r="I395">
        <v>67.217029999999994</v>
      </c>
      <c r="J395" t="s">
        <v>706</v>
      </c>
      <c r="K395" t="s">
        <v>705</v>
      </c>
      <c r="L395" s="166">
        <f t="shared" si="32"/>
        <v>1344340.5999999999</v>
      </c>
      <c r="M395" s="127" t="s">
        <v>3370</v>
      </c>
    </row>
    <row r="396" spans="1:13" x14ac:dyDescent="0.2">
      <c r="A396" s="1217"/>
      <c r="B396" s="166">
        <v>5000</v>
      </c>
      <c r="C396" s="133" t="s">
        <v>3410</v>
      </c>
      <c r="E396" s="83"/>
      <c r="H396" t="s">
        <v>3372</v>
      </c>
      <c r="I396">
        <v>7.6999999999999996E-4</v>
      </c>
      <c r="J396" t="s">
        <v>3373</v>
      </c>
      <c r="K396" t="s">
        <v>3372</v>
      </c>
      <c r="L396" s="166">
        <f t="shared" si="32"/>
        <v>15.399999999999999</v>
      </c>
      <c r="M396" s="127" t="s">
        <v>3374</v>
      </c>
    </row>
    <row r="397" spans="1:13" x14ac:dyDescent="0.2">
      <c r="A397" s="1217"/>
      <c r="B397" s="1218">
        <f>B395*B396</f>
        <v>20000</v>
      </c>
      <c r="C397" s="1114" t="s">
        <v>3411</v>
      </c>
      <c r="D397" s="6" t="s">
        <v>577</v>
      </c>
      <c r="E397" s="83"/>
      <c r="H397" t="s">
        <v>3375</v>
      </c>
      <c r="I397">
        <v>4.1700000000000001E-3</v>
      </c>
      <c r="J397" t="s">
        <v>707</v>
      </c>
      <c r="K397" t="s">
        <v>3375</v>
      </c>
      <c r="L397" s="166">
        <f t="shared" si="32"/>
        <v>83.4</v>
      </c>
      <c r="M397" s="127" t="s">
        <v>3376</v>
      </c>
    </row>
    <row r="398" spans="1:13" x14ac:dyDescent="0.2">
      <c r="A398" s="1217"/>
      <c r="B398" s="166"/>
      <c r="E398" s="83"/>
      <c r="H398" t="s">
        <v>708</v>
      </c>
      <c r="I398">
        <v>1.7658199999999999</v>
      </c>
      <c r="J398" t="s">
        <v>709</v>
      </c>
      <c r="K398" t="s">
        <v>708</v>
      </c>
      <c r="L398" s="166">
        <f t="shared" si="32"/>
        <v>35316.400000000001</v>
      </c>
      <c r="M398" s="127" t="s">
        <v>3377</v>
      </c>
    </row>
    <row r="399" spans="1:13" x14ac:dyDescent="0.2">
      <c r="A399" s="1217"/>
      <c r="B399" s="166"/>
      <c r="E399" s="83"/>
      <c r="H399" t="s">
        <v>3378</v>
      </c>
      <c r="I399" s="33">
        <v>3.4665800000000001E-7</v>
      </c>
      <c r="J399" t="s">
        <v>704</v>
      </c>
      <c r="K399" t="s">
        <v>3378</v>
      </c>
      <c r="L399" s="166">
        <f t="shared" si="32"/>
        <v>6.9331599999999998E-3</v>
      </c>
      <c r="M399" s="127" t="s">
        <v>3368</v>
      </c>
    </row>
    <row r="400" spans="1:13" x14ac:dyDescent="0.2">
      <c r="A400" s="1217"/>
      <c r="B400" s="166"/>
      <c r="E400" s="83"/>
      <c r="H400" t="s">
        <v>710</v>
      </c>
      <c r="I400" s="33">
        <v>5.15501E-8</v>
      </c>
      <c r="J400" t="s">
        <v>3379</v>
      </c>
      <c r="K400" t="s">
        <v>710</v>
      </c>
      <c r="L400" s="166">
        <f t="shared" si="32"/>
        <v>1.031002E-3</v>
      </c>
      <c r="M400" s="127" t="s">
        <v>3380</v>
      </c>
    </row>
    <row r="401" spans="1:13" x14ac:dyDescent="0.2">
      <c r="A401" s="1217"/>
      <c r="B401" s="166"/>
      <c r="E401" s="83"/>
      <c r="H401" t="s">
        <v>3381</v>
      </c>
      <c r="I401">
        <v>2.7299999999999998E-3</v>
      </c>
      <c r="J401" t="s">
        <v>3382</v>
      </c>
      <c r="K401" t="s">
        <v>3381</v>
      </c>
      <c r="L401" s="166">
        <f t="shared" si="32"/>
        <v>54.599999999999994</v>
      </c>
      <c r="M401" s="127" t="s">
        <v>3383</v>
      </c>
    </row>
    <row r="402" spans="1:13" x14ac:dyDescent="0.2">
      <c r="A402" s="1217"/>
      <c r="B402" s="166"/>
      <c r="E402" s="83"/>
      <c r="H402" t="s">
        <v>3384</v>
      </c>
      <c r="I402">
        <v>0.10051</v>
      </c>
      <c r="J402" t="s">
        <v>711</v>
      </c>
      <c r="K402" t="s">
        <v>3384</v>
      </c>
      <c r="L402" s="166">
        <f t="shared" si="32"/>
        <v>2010.2</v>
      </c>
      <c r="M402" s="127" t="s">
        <v>3385</v>
      </c>
    </row>
    <row r="403" spans="1:13" x14ac:dyDescent="0.2">
      <c r="A403" s="1219"/>
      <c r="B403" s="833"/>
      <c r="C403" s="1102"/>
      <c r="D403" s="118"/>
      <c r="E403" s="1220"/>
      <c r="F403" s="118"/>
      <c r="G403" s="118"/>
      <c r="H403" s="118"/>
      <c r="I403" s="118"/>
      <c r="J403" s="118"/>
      <c r="K403" s="118"/>
      <c r="L403" s="833"/>
      <c r="M403" s="120"/>
    </row>
    <row r="404" spans="1:13" ht="32" x14ac:dyDescent="0.2">
      <c r="A404" s="486" t="s">
        <v>533</v>
      </c>
      <c r="B404" s="845">
        <v>30883.448436651426</v>
      </c>
      <c r="C404" s="1159" t="s">
        <v>444</v>
      </c>
      <c r="D404" s="110">
        <v>2</v>
      </c>
      <c r="E404" s="159" t="s">
        <v>718</v>
      </c>
      <c r="F404" s="110">
        <v>1</v>
      </c>
      <c r="G404" s="110" t="s">
        <v>3396</v>
      </c>
      <c r="H404" s="110"/>
      <c r="I404" s="110"/>
      <c r="J404" s="110"/>
      <c r="K404" s="110"/>
      <c r="L404" s="845"/>
      <c r="M404" s="112"/>
    </row>
    <row r="405" spans="1:13" x14ac:dyDescent="0.2">
      <c r="A405" s="1217"/>
      <c r="B405" s="166">
        <v>17</v>
      </c>
      <c r="C405" s="133" t="s">
        <v>7</v>
      </c>
      <c r="E405" s="83"/>
      <c r="F405">
        <v>50</v>
      </c>
      <c r="G405" t="s">
        <v>3397</v>
      </c>
      <c r="H405" t="s">
        <v>701</v>
      </c>
      <c r="I405">
        <v>0.82547999999999999</v>
      </c>
      <c r="J405" t="s">
        <v>702</v>
      </c>
      <c r="K405" t="s">
        <v>701</v>
      </c>
      <c r="L405" s="166">
        <f>I405*B$408</f>
        <v>866784.74652655865</v>
      </c>
      <c r="M405" s="127" t="s">
        <v>3367</v>
      </c>
    </row>
    <row r="406" spans="1:13" x14ac:dyDescent="0.2">
      <c r="A406" s="1217"/>
      <c r="B406" s="166"/>
      <c r="C406" s="133" t="s">
        <v>3398</v>
      </c>
      <c r="E406" s="83"/>
      <c r="H406" t="s">
        <v>703</v>
      </c>
      <c r="I406" s="33">
        <v>1.3020000000000001E-5</v>
      </c>
      <c r="J406" t="s">
        <v>704</v>
      </c>
      <c r="K406" t="s">
        <v>703</v>
      </c>
      <c r="L406" s="166">
        <f t="shared" ref="L406:L414" si="33">I406*B$408</f>
        <v>13.671484953936854</v>
      </c>
      <c r="M406" s="127" t="s">
        <v>3368</v>
      </c>
    </row>
    <row r="407" spans="1:13" x14ac:dyDescent="0.2">
      <c r="A407" s="1217"/>
      <c r="B407" s="166"/>
      <c r="E407" s="83"/>
      <c r="H407" t="s">
        <v>705</v>
      </c>
      <c r="I407">
        <v>3440.7478099999998</v>
      </c>
      <c r="J407" t="s">
        <v>706</v>
      </c>
      <c r="K407" t="s">
        <v>705</v>
      </c>
      <c r="L407" s="166">
        <f t="shared" si="33"/>
        <v>3612913357.5043149</v>
      </c>
      <c r="M407" s="127" t="s">
        <v>3370</v>
      </c>
    </row>
    <row r="408" spans="1:13" x14ac:dyDescent="0.2">
      <c r="A408" s="1217"/>
      <c r="B408" s="1218">
        <f>B404*B405*D404</f>
        <v>1050037.2468461485</v>
      </c>
      <c r="C408" s="1114" t="s">
        <v>3397</v>
      </c>
      <c r="D408" s="6" t="s">
        <v>586</v>
      </c>
      <c r="E408" s="83"/>
      <c r="H408" t="s">
        <v>3372</v>
      </c>
      <c r="I408">
        <v>4.9140000000000003E-2</v>
      </c>
      <c r="J408" t="s">
        <v>3373</v>
      </c>
      <c r="K408" t="s">
        <v>3372</v>
      </c>
      <c r="L408" s="166">
        <f t="shared" si="33"/>
        <v>51598.830310019745</v>
      </c>
      <c r="M408" s="127" t="s">
        <v>3374</v>
      </c>
    </row>
    <row r="409" spans="1:13" x14ac:dyDescent="0.2">
      <c r="A409" s="1217"/>
      <c r="B409" s="166"/>
      <c r="E409" s="83"/>
      <c r="H409" t="s">
        <v>3375</v>
      </c>
      <c r="I409">
        <v>0.37484000000000001</v>
      </c>
      <c r="J409" t="s">
        <v>707</v>
      </c>
      <c r="K409" t="s">
        <v>3375</v>
      </c>
      <c r="L409" s="166">
        <f t="shared" si="33"/>
        <v>393595.96160781034</v>
      </c>
      <c r="M409" s="127" t="s">
        <v>3376</v>
      </c>
    </row>
    <row r="410" spans="1:13" x14ac:dyDescent="0.2">
      <c r="A410" s="1217"/>
      <c r="B410" s="166"/>
      <c r="E410" s="83"/>
      <c r="H410" t="s">
        <v>708</v>
      </c>
      <c r="I410">
        <v>234.66023000000001</v>
      </c>
      <c r="J410" t="s">
        <v>709</v>
      </c>
      <c r="K410" t="s">
        <v>708</v>
      </c>
      <c r="L410" s="166">
        <f t="shared" si="33"/>
        <v>246401981.853484</v>
      </c>
      <c r="M410" s="127" t="s">
        <v>3377</v>
      </c>
    </row>
    <row r="411" spans="1:13" x14ac:dyDescent="0.2">
      <c r="A411" s="1217"/>
      <c r="B411" s="166"/>
      <c r="E411" s="83"/>
      <c r="H411" t="s">
        <v>3378</v>
      </c>
      <c r="I411" s="33">
        <v>5.7967699999999997E-5</v>
      </c>
      <c r="J411" t="s">
        <v>704</v>
      </c>
      <c r="K411" t="s">
        <v>3378</v>
      </c>
      <c r="L411" s="166">
        <f t="shared" si="33"/>
        <v>60.868244114003481</v>
      </c>
      <c r="M411" s="127" t="s">
        <v>3368</v>
      </c>
    </row>
    <row r="412" spans="1:13" x14ac:dyDescent="0.2">
      <c r="A412" s="1217"/>
      <c r="B412" s="166"/>
      <c r="E412" s="83"/>
      <c r="H412" t="s">
        <v>710</v>
      </c>
      <c r="I412" s="33">
        <v>2.5430099999999999E-6</v>
      </c>
      <c r="J412" t="s">
        <v>3379</v>
      </c>
      <c r="K412" t="s">
        <v>710</v>
      </c>
      <c r="L412" s="166">
        <f t="shared" si="33"/>
        <v>2.670255219102224</v>
      </c>
      <c r="M412" s="127" t="s">
        <v>3380</v>
      </c>
    </row>
    <row r="413" spans="1:13" x14ac:dyDescent="0.2">
      <c r="A413" s="1217"/>
      <c r="B413" s="166"/>
      <c r="E413" s="83"/>
      <c r="H413" t="s">
        <v>3381</v>
      </c>
      <c r="I413">
        <v>0.17479</v>
      </c>
      <c r="J413" t="s">
        <v>3382</v>
      </c>
      <c r="K413" t="s">
        <v>3381</v>
      </c>
      <c r="L413" s="166">
        <f t="shared" si="33"/>
        <v>183536.01037623829</v>
      </c>
      <c r="M413" s="127" t="s">
        <v>3383</v>
      </c>
    </row>
    <row r="414" spans="1:13" x14ac:dyDescent="0.2">
      <c r="A414" s="1217"/>
      <c r="B414" s="166"/>
      <c r="E414" s="83"/>
      <c r="H414" t="s">
        <v>3384</v>
      </c>
      <c r="I414">
        <v>8.8856599999999997</v>
      </c>
      <c r="J414" t="s">
        <v>711</v>
      </c>
      <c r="K414" t="s">
        <v>3384</v>
      </c>
      <c r="L414" s="166">
        <f t="shared" si="33"/>
        <v>9330273.9628109485</v>
      </c>
      <c r="M414" s="127" t="s">
        <v>3385</v>
      </c>
    </row>
    <row r="415" spans="1:13" x14ac:dyDescent="0.2">
      <c r="A415" s="1219"/>
      <c r="B415" s="833"/>
      <c r="C415" s="1102"/>
      <c r="D415" s="118"/>
      <c r="E415" s="1220"/>
      <c r="F415" s="118"/>
      <c r="G415" s="118"/>
      <c r="H415" s="118"/>
      <c r="I415" s="118"/>
      <c r="J415" s="118"/>
      <c r="K415" s="118"/>
      <c r="L415" s="833"/>
      <c r="M415" s="120"/>
    </row>
    <row r="416" spans="1:13" ht="16" x14ac:dyDescent="0.2">
      <c r="A416" s="486" t="s">
        <v>1027</v>
      </c>
      <c r="B416" s="845">
        <v>30883.646548929639</v>
      </c>
      <c r="C416" s="1159" t="s">
        <v>267</v>
      </c>
      <c r="D416" s="110">
        <v>2</v>
      </c>
      <c r="E416" s="83" t="s">
        <v>3388</v>
      </c>
      <c r="F416" s="110"/>
      <c r="G416" s="110"/>
      <c r="H416" s="110"/>
      <c r="I416" s="110"/>
      <c r="J416" s="110"/>
      <c r="K416" s="110"/>
      <c r="L416" s="845"/>
      <c r="M416" s="112"/>
    </row>
    <row r="417" spans="1:13" ht="16" x14ac:dyDescent="0.2">
      <c r="A417" s="1223" t="s">
        <v>3389</v>
      </c>
      <c r="B417" s="166">
        <f>B416/1000</f>
        <v>30.88364654892964</v>
      </c>
      <c r="C417" s="133" t="s">
        <v>444</v>
      </c>
      <c r="F417">
        <v>1</v>
      </c>
      <c r="G417" t="s">
        <v>713</v>
      </c>
      <c r="H417" t="s">
        <v>701</v>
      </c>
      <c r="I417">
        <v>0.14229</v>
      </c>
      <c r="J417" t="s">
        <v>702</v>
      </c>
      <c r="K417" t="s">
        <v>701</v>
      </c>
      <c r="L417" s="166">
        <f>I417*B$422</f>
        <v>6.4030500000000004</v>
      </c>
      <c r="M417" s="127" t="s">
        <v>3367</v>
      </c>
    </row>
    <row r="418" spans="1:13" x14ac:dyDescent="0.2">
      <c r="A418" s="1217"/>
      <c r="B418" s="166">
        <v>20</v>
      </c>
      <c r="C418" s="133" t="s">
        <v>10</v>
      </c>
      <c r="D418" t="s">
        <v>3390</v>
      </c>
      <c r="E418" s="83"/>
      <c r="F418">
        <v>40</v>
      </c>
      <c r="G418" t="s">
        <v>12</v>
      </c>
      <c r="H418" t="s">
        <v>703</v>
      </c>
      <c r="I418" s="33">
        <v>2.2291000000000001E-5</v>
      </c>
      <c r="J418" t="s">
        <v>704</v>
      </c>
      <c r="K418" t="s">
        <v>703</v>
      </c>
      <c r="L418" s="166">
        <f t="shared" ref="L418:L426" si="34">I418*B$422</f>
        <v>1.0030950000000001E-3</v>
      </c>
      <c r="M418" s="127" t="s">
        <v>3368</v>
      </c>
    </row>
    <row r="419" spans="1:13" x14ac:dyDescent="0.2">
      <c r="A419" s="1217"/>
      <c r="B419" s="166">
        <v>0.7</v>
      </c>
      <c r="D419" t="s">
        <v>3391</v>
      </c>
      <c r="E419" s="83"/>
      <c r="H419" t="s">
        <v>705</v>
      </c>
      <c r="I419">
        <v>3203.5834399999999</v>
      </c>
      <c r="J419" t="s">
        <v>706</v>
      </c>
      <c r="K419" t="s">
        <v>705</v>
      </c>
      <c r="L419" s="166">
        <f t="shared" si="34"/>
        <v>144161.2548</v>
      </c>
      <c r="M419" s="127" t="s">
        <v>3370</v>
      </c>
    </row>
    <row r="420" spans="1:13" x14ac:dyDescent="0.2">
      <c r="A420" s="1217"/>
      <c r="B420" s="166">
        <f>B417*B418/B419</f>
        <v>882.38990139798977</v>
      </c>
      <c r="C420" s="133" t="s">
        <v>12</v>
      </c>
      <c r="E420" s="83"/>
      <c r="H420" t="s">
        <v>3372</v>
      </c>
      <c r="I420">
        <v>1.278E-2</v>
      </c>
      <c r="J420" t="s">
        <v>3373</v>
      </c>
      <c r="K420" t="s">
        <v>3372</v>
      </c>
      <c r="L420" s="166">
        <f t="shared" si="34"/>
        <v>0.57509999999999994</v>
      </c>
      <c r="M420" s="127" t="s">
        <v>3374</v>
      </c>
    </row>
    <row r="421" spans="1:13" x14ac:dyDescent="0.2">
      <c r="A421" s="1217"/>
      <c r="B421" s="166">
        <f>B420*D416</f>
        <v>1764.7798027959795</v>
      </c>
      <c r="C421" s="133" t="s">
        <v>12</v>
      </c>
      <c r="E421" s="83"/>
      <c r="H421" t="s">
        <v>3375</v>
      </c>
      <c r="I421">
        <v>3.7339999999999998E-2</v>
      </c>
      <c r="J421" t="s">
        <v>707</v>
      </c>
      <c r="K421" t="s">
        <v>3375</v>
      </c>
      <c r="L421" s="166">
        <f t="shared" si="34"/>
        <v>1.6802999999999999</v>
      </c>
      <c r="M421" s="127" t="s">
        <v>3376</v>
      </c>
    </row>
    <row r="422" spans="1:13" x14ac:dyDescent="0.2">
      <c r="A422" s="1217"/>
      <c r="B422" s="1218">
        <f>ROUNDUP(B421/F418,0)</f>
        <v>45</v>
      </c>
      <c r="C422" s="1114" t="s">
        <v>3392</v>
      </c>
      <c r="D422" s="6" t="s">
        <v>577</v>
      </c>
      <c r="E422" s="83"/>
      <c r="H422" t="s">
        <v>708</v>
      </c>
      <c r="I422">
        <v>9.0477000000000007</v>
      </c>
      <c r="J422" t="s">
        <v>709</v>
      </c>
      <c r="K422" t="s">
        <v>708</v>
      </c>
      <c r="L422" s="166">
        <f t="shared" si="34"/>
        <v>407.14650000000006</v>
      </c>
      <c r="M422" s="127" t="s">
        <v>3377</v>
      </c>
    </row>
    <row r="423" spans="1:13" x14ac:dyDescent="0.2">
      <c r="A423" s="1217"/>
      <c r="B423" s="166"/>
      <c r="E423" s="83"/>
      <c r="H423" t="s">
        <v>3378</v>
      </c>
      <c r="I423" s="33">
        <v>3.5905399999999997E-5</v>
      </c>
      <c r="J423" t="s">
        <v>704</v>
      </c>
      <c r="K423" t="s">
        <v>3378</v>
      </c>
      <c r="L423" s="166">
        <f t="shared" si="34"/>
        <v>1.6157429999999998E-3</v>
      </c>
      <c r="M423" s="127" t="s">
        <v>3368</v>
      </c>
    </row>
    <row r="424" spans="1:13" x14ac:dyDescent="0.2">
      <c r="A424" s="1217"/>
      <c r="B424" s="166"/>
      <c r="E424" s="83"/>
      <c r="H424" t="s">
        <v>710</v>
      </c>
      <c r="I424" s="33">
        <v>1.7364199999999999E-7</v>
      </c>
      <c r="J424" t="s">
        <v>3379</v>
      </c>
      <c r="K424" t="s">
        <v>710</v>
      </c>
      <c r="L424" s="166">
        <f t="shared" si="34"/>
        <v>7.8138899999999991E-6</v>
      </c>
      <c r="M424" s="127" t="s">
        <v>3380</v>
      </c>
    </row>
    <row r="425" spans="1:13" x14ac:dyDescent="0.2">
      <c r="A425" s="1217"/>
      <c r="B425" s="166"/>
      <c r="E425" s="83"/>
      <c r="H425" t="s">
        <v>3381</v>
      </c>
      <c r="I425">
        <v>2.9360000000000001E-2</v>
      </c>
      <c r="J425" t="s">
        <v>3382</v>
      </c>
      <c r="K425" t="s">
        <v>3381</v>
      </c>
      <c r="L425" s="166">
        <f t="shared" si="34"/>
        <v>1.3211999999999999</v>
      </c>
      <c r="M425" s="127" t="s">
        <v>3383</v>
      </c>
    </row>
    <row r="426" spans="1:13" x14ac:dyDescent="0.2">
      <c r="A426" s="1217"/>
      <c r="B426" s="166"/>
      <c r="E426" s="83"/>
      <c r="H426" t="s">
        <v>3384</v>
      </c>
      <c r="I426">
        <v>0.84404000000000001</v>
      </c>
      <c r="J426" t="s">
        <v>711</v>
      </c>
      <c r="K426" t="s">
        <v>3384</v>
      </c>
      <c r="L426" s="166">
        <f t="shared" si="34"/>
        <v>37.9818</v>
      </c>
      <c r="M426" s="127" t="s">
        <v>3385</v>
      </c>
    </row>
    <row r="427" spans="1:13" x14ac:dyDescent="0.2">
      <c r="A427" s="1219"/>
      <c r="B427" s="833"/>
      <c r="C427" s="1102"/>
      <c r="D427" s="118"/>
      <c r="E427" s="1220"/>
      <c r="F427" s="118"/>
      <c r="G427" s="118"/>
      <c r="H427" s="118"/>
      <c r="I427" s="118"/>
      <c r="J427" s="118"/>
      <c r="K427" s="118"/>
      <c r="L427" s="833"/>
      <c r="M427" s="120"/>
    </row>
    <row r="428" spans="1:13" ht="16" x14ac:dyDescent="0.2">
      <c r="A428" s="486" t="s">
        <v>2327</v>
      </c>
      <c r="B428" s="845">
        <v>19.349401865427623</v>
      </c>
      <c r="C428" s="1159" t="s">
        <v>1</v>
      </c>
      <c r="D428" s="110">
        <v>2</v>
      </c>
      <c r="E428" s="159" t="s">
        <v>3400</v>
      </c>
      <c r="F428" s="110">
        <v>1</v>
      </c>
      <c r="G428" s="110" t="s">
        <v>1</v>
      </c>
      <c r="H428" s="110"/>
      <c r="I428" s="110"/>
      <c r="J428" s="110"/>
      <c r="K428" s="110"/>
      <c r="L428" s="845"/>
      <c r="M428" s="112"/>
    </row>
    <row r="429" spans="1:13" x14ac:dyDescent="0.2">
      <c r="A429" s="1217"/>
      <c r="B429" s="1218">
        <f>B428*D428</f>
        <v>38.698803730855246</v>
      </c>
      <c r="C429" s="1114" t="s">
        <v>1</v>
      </c>
      <c r="D429" s="6" t="s">
        <v>577</v>
      </c>
      <c r="E429" s="83"/>
      <c r="H429" t="s">
        <v>701</v>
      </c>
      <c r="I429">
        <v>7.5000000000000002E-4</v>
      </c>
      <c r="J429" t="s">
        <v>702</v>
      </c>
      <c r="K429" t="s">
        <v>701</v>
      </c>
      <c r="L429" s="166">
        <f>I429*B$429</f>
        <v>2.9024102798141434E-2</v>
      </c>
      <c r="M429" s="127" t="s">
        <v>3367</v>
      </c>
    </row>
    <row r="430" spans="1:13" x14ac:dyDescent="0.2">
      <c r="A430" s="1217"/>
      <c r="B430" s="166"/>
      <c r="E430" s="83"/>
      <c r="H430" t="s">
        <v>703</v>
      </c>
      <c r="I430" s="33">
        <v>3.3111200000000002E-8</v>
      </c>
      <c r="J430" t="s">
        <v>704</v>
      </c>
      <c r="K430" t="s">
        <v>703</v>
      </c>
      <c r="L430" s="166">
        <f t="shared" ref="L430:L438" si="35">I430*B$429</f>
        <v>1.2813638300930942E-6</v>
      </c>
      <c r="M430" s="127" t="s">
        <v>3368</v>
      </c>
    </row>
    <row r="431" spans="1:13" x14ac:dyDescent="0.2">
      <c r="A431" s="1217"/>
      <c r="B431" s="166"/>
      <c r="E431" s="83"/>
      <c r="H431" t="s">
        <v>705</v>
      </c>
      <c r="I431">
        <v>4.1968100000000002</v>
      </c>
      <c r="J431" t="s">
        <v>706</v>
      </c>
      <c r="K431" t="s">
        <v>705</v>
      </c>
      <c r="L431" s="166">
        <f t="shared" si="35"/>
        <v>162.41152648569062</v>
      </c>
      <c r="M431" s="127" t="s">
        <v>3370</v>
      </c>
    </row>
    <row r="432" spans="1:13" x14ac:dyDescent="0.2">
      <c r="A432" s="1217"/>
      <c r="B432" s="166"/>
      <c r="E432" s="83"/>
      <c r="H432" t="s">
        <v>3372</v>
      </c>
      <c r="I432">
        <v>3.2000000000000003E-4</v>
      </c>
      <c r="J432" t="s">
        <v>3373</v>
      </c>
      <c r="K432" t="s">
        <v>3372</v>
      </c>
      <c r="L432" s="166">
        <f t="shared" si="35"/>
        <v>1.2383617193873681E-2</v>
      </c>
      <c r="M432" s="127" t="s">
        <v>3374</v>
      </c>
    </row>
    <row r="433" spans="1:13" x14ac:dyDescent="0.2">
      <c r="A433" s="1217"/>
      <c r="B433" s="166"/>
      <c r="E433" s="83"/>
      <c r="H433" t="s">
        <v>3375</v>
      </c>
      <c r="I433">
        <v>5.2999999999999998E-4</v>
      </c>
      <c r="J433" t="s">
        <v>707</v>
      </c>
      <c r="K433" t="s">
        <v>3375</v>
      </c>
      <c r="L433" s="166">
        <f t="shared" si="35"/>
        <v>2.0510365977353281E-2</v>
      </c>
      <c r="M433" s="127" t="s">
        <v>3376</v>
      </c>
    </row>
    <row r="434" spans="1:13" x14ac:dyDescent="0.2">
      <c r="A434" s="1217"/>
      <c r="B434" s="166"/>
      <c r="E434" s="83"/>
      <c r="H434" t="s">
        <v>708</v>
      </c>
      <c r="I434">
        <v>0.39150000000000001</v>
      </c>
      <c r="J434" t="s">
        <v>709</v>
      </c>
      <c r="K434" t="s">
        <v>708</v>
      </c>
      <c r="L434" s="166">
        <f t="shared" si="35"/>
        <v>15.150581660629829</v>
      </c>
      <c r="M434" s="127" t="s">
        <v>3377</v>
      </c>
    </row>
    <row r="435" spans="1:13" x14ac:dyDescent="0.2">
      <c r="A435" s="1217"/>
      <c r="B435" s="166"/>
      <c r="E435" s="83"/>
      <c r="H435" t="s">
        <v>3378</v>
      </c>
      <c r="I435" s="33">
        <v>9.8849699999999999E-8</v>
      </c>
      <c r="J435" t="s">
        <v>704</v>
      </c>
      <c r="K435" t="s">
        <v>3378</v>
      </c>
      <c r="L435" s="166">
        <f t="shared" si="35"/>
        <v>3.8253651391539217E-6</v>
      </c>
      <c r="M435" s="127" t="s">
        <v>3368</v>
      </c>
    </row>
    <row r="436" spans="1:13" x14ac:dyDescent="0.2">
      <c r="A436" s="1217"/>
      <c r="B436" s="166"/>
      <c r="E436" s="83"/>
      <c r="H436" t="s">
        <v>710</v>
      </c>
      <c r="I436" s="33">
        <v>1.51061E-9</v>
      </c>
      <c r="J436" t="s">
        <v>3379</v>
      </c>
      <c r="K436" t="s">
        <v>710</v>
      </c>
      <c r="L436" s="166">
        <f t="shared" si="35"/>
        <v>5.8458799903867243E-8</v>
      </c>
      <c r="M436" s="127" t="s">
        <v>3380</v>
      </c>
    </row>
    <row r="437" spans="1:13" x14ac:dyDescent="0.2">
      <c r="A437" s="1217"/>
      <c r="B437" s="166"/>
      <c r="E437" s="83"/>
      <c r="H437" t="s">
        <v>3381</v>
      </c>
      <c r="I437">
        <v>1.01E-3</v>
      </c>
      <c r="J437" t="s">
        <v>3382</v>
      </c>
      <c r="K437" t="s">
        <v>3381</v>
      </c>
      <c r="L437" s="166">
        <f t="shared" si="35"/>
        <v>3.9085791768163798E-2</v>
      </c>
      <c r="M437" s="127" t="s">
        <v>3383</v>
      </c>
    </row>
    <row r="438" spans="1:13" x14ac:dyDescent="0.2">
      <c r="A438" s="1217"/>
      <c r="B438" s="166"/>
      <c r="E438" s="83"/>
      <c r="H438" t="s">
        <v>3384</v>
      </c>
      <c r="I438">
        <v>1.2200000000000001E-2</v>
      </c>
      <c r="J438" t="s">
        <v>711</v>
      </c>
      <c r="K438" t="s">
        <v>3384</v>
      </c>
      <c r="L438" s="166">
        <f t="shared" si="35"/>
        <v>0.47212540551643406</v>
      </c>
      <c r="M438" s="127" t="s">
        <v>3385</v>
      </c>
    </row>
    <row r="439" spans="1:13" x14ac:dyDescent="0.2">
      <c r="A439" s="1219"/>
      <c r="B439" s="833"/>
      <c r="C439" s="1102"/>
      <c r="D439" s="118"/>
      <c r="E439" s="1220"/>
      <c r="F439" s="118"/>
      <c r="G439" s="118"/>
      <c r="H439" s="118"/>
      <c r="I439" s="118"/>
      <c r="J439" s="118"/>
      <c r="K439" s="118"/>
      <c r="L439" s="833"/>
      <c r="M439" s="120"/>
    </row>
    <row r="440" spans="1:13" ht="16" x14ac:dyDescent="0.2">
      <c r="A440" s="486" t="s">
        <v>2328</v>
      </c>
      <c r="B440" s="845">
        <v>38.698803730855246</v>
      </c>
      <c r="C440" s="1159" t="s">
        <v>7</v>
      </c>
      <c r="D440" s="110">
        <v>2</v>
      </c>
      <c r="E440" s="159" t="s">
        <v>3406</v>
      </c>
      <c r="F440" s="110">
        <v>1</v>
      </c>
      <c r="G440" s="110" t="s">
        <v>15</v>
      </c>
      <c r="H440" s="110"/>
      <c r="I440" s="110"/>
      <c r="J440" s="110"/>
      <c r="K440" s="110"/>
      <c r="L440" s="845"/>
      <c r="M440" s="112"/>
    </row>
    <row r="441" spans="1:13" x14ac:dyDescent="0.2">
      <c r="A441" s="1217"/>
      <c r="B441" s="243">
        <v>0.05</v>
      </c>
      <c r="C441" s="133" t="s">
        <v>3407</v>
      </c>
      <c r="E441" s="83"/>
      <c r="H441" t="s">
        <v>701</v>
      </c>
      <c r="I441">
        <v>9.2399999999999999E-3</v>
      </c>
      <c r="J441" t="s">
        <v>702</v>
      </c>
      <c r="K441" t="s">
        <v>701</v>
      </c>
      <c r="L441" s="166">
        <f>I441*B$442</f>
        <v>35.757694647310245</v>
      </c>
      <c r="M441" s="127" t="s">
        <v>3367</v>
      </c>
    </row>
    <row r="442" spans="1:13" x14ac:dyDescent="0.2">
      <c r="A442" s="1217"/>
      <c r="B442" s="1218">
        <f>B440*1000*D440*B441</f>
        <v>3869.8803730855248</v>
      </c>
      <c r="C442" s="1114" t="s">
        <v>15</v>
      </c>
      <c r="D442" s="6" t="s">
        <v>577</v>
      </c>
      <c r="E442" s="83"/>
      <c r="H442" t="s">
        <v>703</v>
      </c>
      <c r="I442" s="33">
        <v>8.64158E-8</v>
      </c>
      <c r="J442" t="s">
        <v>704</v>
      </c>
      <c r="K442" t="s">
        <v>703</v>
      </c>
      <c r="L442" s="166">
        <f t="shared" ref="L442:L450" si="36">I442*B$442</f>
        <v>3.3441880834448408E-4</v>
      </c>
      <c r="M442" s="127" t="s">
        <v>3368</v>
      </c>
    </row>
    <row r="443" spans="1:13" x14ac:dyDescent="0.2">
      <c r="A443" s="1217"/>
      <c r="B443" s="166"/>
      <c r="E443" s="83"/>
      <c r="H443" t="s">
        <v>705</v>
      </c>
      <c r="I443">
        <v>16.26793</v>
      </c>
      <c r="J443" t="s">
        <v>706</v>
      </c>
      <c r="K443" t="s">
        <v>705</v>
      </c>
      <c r="L443" s="166">
        <f t="shared" si="36"/>
        <v>62954.943017729202</v>
      </c>
      <c r="M443" s="127" t="s">
        <v>3370</v>
      </c>
    </row>
    <row r="444" spans="1:13" x14ac:dyDescent="0.2">
      <c r="A444" s="1217"/>
      <c r="B444" s="166"/>
      <c r="E444" s="83"/>
      <c r="H444" t="s">
        <v>3372</v>
      </c>
      <c r="I444">
        <v>3.8999999999999999E-4</v>
      </c>
      <c r="J444" t="s">
        <v>3373</v>
      </c>
      <c r="K444" t="s">
        <v>3372</v>
      </c>
      <c r="L444" s="166">
        <f t="shared" si="36"/>
        <v>1.5092533455033545</v>
      </c>
      <c r="M444" s="127" t="s">
        <v>3374</v>
      </c>
    </row>
    <row r="445" spans="1:13" x14ac:dyDescent="0.2">
      <c r="A445" s="1217"/>
      <c r="B445" s="166"/>
      <c r="E445" s="83"/>
      <c r="H445" t="s">
        <v>3375</v>
      </c>
      <c r="I445">
        <v>3.5999999999999999E-3</v>
      </c>
      <c r="J445" t="s">
        <v>707</v>
      </c>
      <c r="K445" t="s">
        <v>3375</v>
      </c>
      <c r="L445" s="166">
        <f t="shared" si="36"/>
        <v>13.931569343107888</v>
      </c>
      <c r="M445" s="127" t="s">
        <v>3376</v>
      </c>
    </row>
    <row r="446" spans="1:13" x14ac:dyDescent="0.2">
      <c r="A446" s="1217"/>
      <c r="B446" s="166"/>
      <c r="E446" s="83"/>
      <c r="H446" t="s">
        <v>708</v>
      </c>
      <c r="I446">
        <v>1.3029599999999999</v>
      </c>
      <c r="J446" t="s">
        <v>709</v>
      </c>
      <c r="K446" t="s">
        <v>708</v>
      </c>
      <c r="L446" s="166">
        <f t="shared" si="36"/>
        <v>5042.2993309155154</v>
      </c>
      <c r="M446" s="127" t="s">
        <v>3377</v>
      </c>
    </row>
    <row r="447" spans="1:13" x14ac:dyDescent="0.2">
      <c r="A447" s="1217"/>
      <c r="B447" s="166"/>
      <c r="E447" s="83"/>
      <c r="H447" t="s">
        <v>3378</v>
      </c>
      <c r="I447" s="33">
        <v>2.6179000000000002E-7</v>
      </c>
      <c r="J447" t="s">
        <v>704</v>
      </c>
      <c r="K447" t="s">
        <v>3378</v>
      </c>
      <c r="L447" s="166">
        <f t="shared" si="36"/>
        <v>1.0130959828700595E-3</v>
      </c>
      <c r="M447" s="127" t="s">
        <v>3368</v>
      </c>
    </row>
    <row r="448" spans="1:13" x14ac:dyDescent="0.2">
      <c r="A448" s="1217"/>
      <c r="B448" s="166"/>
      <c r="E448" s="83"/>
      <c r="H448" t="s">
        <v>710</v>
      </c>
      <c r="I448" s="33">
        <v>3.54278E-8</v>
      </c>
      <c r="J448" t="s">
        <v>3379</v>
      </c>
      <c r="K448" t="s">
        <v>710</v>
      </c>
      <c r="L448" s="166">
        <f t="shared" si="36"/>
        <v>1.3710134788159936E-4</v>
      </c>
      <c r="M448" s="127" t="s">
        <v>3380</v>
      </c>
    </row>
    <row r="449" spans="1:13" x14ac:dyDescent="0.2">
      <c r="A449" s="1217"/>
      <c r="B449" s="166"/>
      <c r="E449" s="83"/>
      <c r="H449" t="s">
        <v>3381</v>
      </c>
      <c r="I449">
        <v>1.5499999999999999E-3</v>
      </c>
      <c r="J449" t="s">
        <v>3382</v>
      </c>
      <c r="K449" t="s">
        <v>3381</v>
      </c>
      <c r="L449" s="166">
        <f t="shared" si="36"/>
        <v>5.9983145782825629</v>
      </c>
      <c r="M449" s="127" t="s">
        <v>3383</v>
      </c>
    </row>
    <row r="450" spans="1:13" x14ac:dyDescent="0.2">
      <c r="A450" s="1217"/>
      <c r="B450" s="166"/>
      <c r="E450" s="83"/>
      <c r="H450" t="s">
        <v>3384</v>
      </c>
      <c r="I450">
        <v>7.3340000000000002E-2</v>
      </c>
      <c r="J450" t="s">
        <v>711</v>
      </c>
      <c r="K450" t="s">
        <v>3384</v>
      </c>
      <c r="L450" s="166">
        <f t="shared" si="36"/>
        <v>283.81702656209239</v>
      </c>
      <c r="M450" s="127" t="s">
        <v>3385</v>
      </c>
    </row>
    <row r="451" spans="1:13" x14ac:dyDescent="0.2">
      <c r="A451" s="1219"/>
      <c r="B451" s="833"/>
      <c r="C451" s="1102"/>
      <c r="D451" s="118"/>
      <c r="E451" s="1220"/>
      <c r="F451" s="118"/>
      <c r="G451" s="118"/>
      <c r="H451" s="118"/>
      <c r="I451" s="118"/>
      <c r="J451" s="118"/>
      <c r="K451" s="118"/>
      <c r="L451" s="833"/>
      <c r="M451" s="120"/>
    </row>
    <row r="452" spans="1:13" x14ac:dyDescent="0.2">
      <c r="A452" s="486" t="s">
        <v>2329</v>
      </c>
      <c r="B452" s="845">
        <v>307.94421139346025</v>
      </c>
      <c r="C452" s="1159" t="s">
        <v>11</v>
      </c>
      <c r="D452" s="110">
        <v>2</v>
      </c>
      <c r="E452" s="159"/>
      <c r="F452" s="110"/>
      <c r="G452" s="110"/>
      <c r="H452" s="110"/>
      <c r="I452" s="110"/>
      <c r="J452" s="110"/>
      <c r="K452" s="110"/>
      <c r="L452" s="845"/>
      <c r="M452" s="112"/>
    </row>
    <row r="453" spans="1:13" ht="16" x14ac:dyDescent="0.2">
      <c r="A453" s="1217"/>
      <c r="B453" s="166">
        <v>53.027993201953855</v>
      </c>
      <c r="C453" s="133" t="s">
        <v>545</v>
      </c>
      <c r="E453" s="83" t="s">
        <v>3393</v>
      </c>
      <c r="F453">
        <v>1</v>
      </c>
      <c r="G453" t="s">
        <v>15</v>
      </c>
      <c r="H453" t="s">
        <v>701</v>
      </c>
      <c r="I453">
        <v>6.0200000000000002E-3</v>
      </c>
      <c r="J453" t="s">
        <v>702</v>
      </c>
      <c r="K453" t="s">
        <v>701</v>
      </c>
      <c r="L453" s="166">
        <f>I453*B$455</f>
        <v>5.7461133433637199</v>
      </c>
      <c r="M453" s="127" t="s">
        <v>3367</v>
      </c>
    </row>
    <row r="454" spans="1:13" x14ac:dyDescent="0.2">
      <c r="A454" s="1217"/>
      <c r="B454" s="166">
        <f>1800/200</f>
        <v>9</v>
      </c>
      <c r="C454" s="133" t="s">
        <v>3408</v>
      </c>
      <c r="E454" s="83"/>
      <c r="H454" t="s">
        <v>703</v>
      </c>
      <c r="I454" s="33">
        <v>1.2843299999999999E-6</v>
      </c>
      <c r="J454" t="s">
        <v>704</v>
      </c>
      <c r="K454" t="s">
        <v>703</v>
      </c>
      <c r="L454" s="166">
        <f t="shared" ref="L454:L462" si="37">I454*B$455</f>
        <v>1.2258979651631769E-3</v>
      </c>
      <c r="M454" s="127" t="s">
        <v>3368</v>
      </c>
    </row>
    <row r="455" spans="1:13" x14ac:dyDescent="0.2">
      <c r="A455" s="1217"/>
      <c r="B455" s="1218">
        <f>B454*B453*D452</f>
        <v>954.50387763516937</v>
      </c>
      <c r="C455" s="1114" t="s">
        <v>15</v>
      </c>
      <c r="D455" s="6" t="s">
        <v>577</v>
      </c>
      <c r="E455" s="83"/>
      <c r="H455" t="s">
        <v>705</v>
      </c>
      <c r="I455">
        <v>67.217029999999994</v>
      </c>
      <c r="J455" t="s">
        <v>706</v>
      </c>
      <c r="K455" t="s">
        <v>705</v>
      </c>
      <c r="L455" s="166">
        <f t="shared" si="37"/>
        <v>64158.915778119503</v>
      </c>
      <c r="M455" s="127" t="s">
        <v>3370</v>
      </c>
    </row>
    <row r="456" spans="1:13" x14ac:dyDescent="0.2">
      <c r="A456" s="1217"/>
      <c r="B456" s="166"/>
      <c r="E456" s="83"/>
      <c r="H456" t="s">
        <v>3372</v>
      </c>
      <c r="I456">
        <v>7.6999999999999996E-4</v>
      </c>
      <c r="J456" t="s">
        <v>3373</v>
      </c>
      <c r="K456" t="s">
        <v>3372</v>
      </c>
      <c r="L456" s="166">
        <f t="shared" si="37"/>
        <v>0.7349679857790804</v>
      </c>
      <c r="M456" s="127" t="s">
        <v>3374</v>
      </c>
    </row>
    <row r="457" spans="1:13" x14ac:dyDescent="0.2">
      <c r="A457" s="1217"/>
      <c r="B457" s="166"/>
      <c r="E457" s="83"/>
      <c r="H457" t="s">
        <v>3375</v>
      </c>
      <c r="I457">
        <v>4.1700000000000001E-3</v>
      </c>
      <c r="J457" t="s">
        <v>707</v>
      </c>
      <c r="K457" t="s">
        <v>3375</v>
      </c>
      <c r="L457" s="166">
        <f t="shared" si="37"/>
        <v>3.9802811697386562</v>
      </c>
      <c r="M457" s="127" t="s">
        <v>3376</v>
      </c>
    </row>
    <row r="458" spans="1:13" x14ac:dyDescent="0.2">
      <c r="A458" s="1217"/>
      <c r="B458" s="166"/>
      <c r="E458" s="83"/>
      <c r="H458" t="s">
        <v>708</v>
      </c>
      <c r="I458">
        <v>1.7658199999999999</v>
      </c>
      <c r="J458" t="s">
        <v>709</v>
      </c>
      <c r="K458" t="s">
        <v>708</v>
      </c>
      <c r="L458" s="166">
        <f t="shared" si="37"/>
        <v>1685.4820372057347</v>
      </c>
      <c r="M458" s="127" t="s">
        <v>3377</v>
      </c>
    </row>
    <row r="459" spans="1:13" x14ac:dyDescent="0.2">
      <c r="A459" s="1217"/>
      <c r="B459" s="166"/>
      <c r="E459" s="83"/>
      <c r="H459" t="s">
        <v>3378</v>
      </c>
      <c r="I459" s="33">
        <v>3.4665800000000001E-7</v>
      </c>
      <c r="J459" t="s">
        <v>704</v>
      </c>
      <c r="K459" t="s">
        <v>3378</v>
      </c>
      <c r="L459" s="166">
        <f t="shared" si="37"/>
        <v>3.3088640521325256E-4</v>
      </c>
      <c r="M459" s="127" t="s">
        <v>3368</v>
      </c>
    </row>
    <row r="460" spans="1:13" x14ac:dyDescent="0.2">
      <c r="A460" s="1217"/>
      <c r="B460" s="166"/>
      <c r="E460" s="83"/>
      <c r="H460" t="s">
        <v>710</v>
      </c>
      <c r="I460" s="33">
        <v>5.15501E-8</v>
      </c>
      <c r="J460" t="s">
        <v>3379</v>
      </c>
      <c r="K460" t="s">
        <v>710</v>
      </c>
      <c r="L460" s="166">
        <f t="shared" si="37"/>
        <v>4.9204770342480748E-5</v>
      </c>
      <c r="M460" s="127" t="s">
        <v>3380</v>
      </c>
    </row>
    <row r="461" spans="1:13" x14ac:dyDescent="0.2">
      <c r="A461" s="1217"/>
      <c r="B461" s="166"/>
      <c r="E461" s="83"/>
      <c r="H461" t="s">
        <v>3381</v>
      </c>
      <c r="I461">
        <v>2.7299999999999998E-3</v>
      </c>
      <c r="J461" t="s">
        <v>3382</v>
      </c>
      <c r="K461" t="s">
        <v>3381</v>
      </c>
      <c r="L461" s="166">
        <f t="shared" si="37"/>
        <v>2.6057955859440121</v>
      </c>
      <c r="M461" s="127" t="s">
        <v>3383</v>
      </c>
    </row>
    <row r="462" spans="1:13" x14ac:dyDescent="0.2">
      <c r="A462" s="1217"/>
      <c r="B462" s="166"/>
      <c r="E462" s="83"/>
      <c r="H462" t="s">
        <v>3384</v>
      </c>
      <c r="I462">
        <v>0.10051</v>
      </c>
      <c r="J462" t="s">
        <v>711</v>
      </c>
      <c r="K462" t="s">
        <v>3384</v>
      </c>
      <c r="L462" s="166">
        <f t="shared" si="37"/>
        <v>95.937184741110869</v>
      </c>
      <c r="M462" s="127" t="s">
        <v>3385</v>
      </c>
    </row>
    <row r="463" spans="1:13" x14ac:dyDescent="0.2">
      <c r="A463" s="1217"/>
      <c r="B463" s="166"/>
      <c r="E463" s="83"/>
      <c r="L463" s="166"/>
      <c r="M463" s="127"/>
    </row>
    <row r="464" spans="1:13" ht="48" x14ac:dyDescent="0.2">
      <c r="A464" s="486" t="s">
        <v>2493</v>
      </c>
      <c r="B464" s="845">
        <v>68086.796334350554</v>
      </c>
      <c r="C464" s="1159" t="s">
        <v>2494</v>
      </c>
      <c r="D464" s="110">
        <v>3</v>
      </c>
      <c r="E464" s="1226" t="s">
        <v>3412</v>
      </c>
      <c r="F464" s="110">
        <v>1</v>
      </c>
      <c r="G464" s="110" t="s">
        <v>719</v>
      </c>
      <c r="H464" s="110"/>
      <c r="I464" s="110"/>
      <c r="J464" s="110"/>
      <c r="K464" s="110"/>
      <c r="L464" s="845"/>
      <c r="M464" s="112"/>
    </row>
    <row r="465" spans="1:13" x14ac:dyDescent="0.2">
      <c r="A465" s="1217"/>
      <c r="B465" s="166">
        <v>30.88364654892964</v>
      </c>
      <c r="C465" s="133" t="s">
        <v>444</v>
      </c>
      <c r="D465">
        <v>3</v>
      </c>
      <c r="E465" s="83"/>
      <c r="F465">
        <v>40.9</v>
      </c>
      <c r="G465" t="s">
        <v>3397</v>
      </c>
      <c r="H465" t="s">
        <v>701</v>
      </c>
      <c r="I465">
        <v>9.8399999999999998E-3</v>
      </c>
      <c r="J465" t="s">
        <v>702</v>
      </c>
      <c r="K465" t="s">
        <v>701</v>
      </c>
      <c r="L465" s="166">
        <f>I465*B$469</f>
        <v>15.49864918411485</v>
      </c>
      <c r="M465" s="127" t="s">
        <v>3367</v>
      </c>
    </row>
    <row r="466" spans="1:13" x14ac:dyDescent="0.2">
      <c r="A466" s="1217"/>
      <c r="B466" s="166">
        <v>17</v>
      </c>
      <c r="C466" s="133" t="s">
        <v>7</v>
      </c>
      <c r="E466" s="83"/>
      <c r="H466" t="s">
        <v>703</v>
      </c>
      <c r="I466" s="33">
        <v>1.6850799999999999E-7</v>
      </c>
      <c r="J466" t="s">
        <v>704</v>
      </c>
      <c r="K466" t="s">
        <v>703</v>
      </c>
      <c r="L466" s="166">
        <f t="shared" ref="L466:L474" si="38">I466*B$469</f>
        <v>2.6541121714601884E-4</v>
      </c>
      <c r="M466" s="127" t="s">
        <v>3368</v>
      </c>
    </row>
    <row r="467" spans="1:13" x14ac:dyDescent="0.2">
      <c r="A467" s="1217"/>
      <c r="B467" s="166"/>
      <c r="C467" s="133" t="s">
        <v>3398</v>
      </c>
      <c r="E467" s="83"/>
      <c r="H467" t="s">
        <v>705</v>
      </c>
      <c r="I467">
        <v>30.160769999999999</v>
      </c>
      <c r="J467" t="s">
        <v>706</v>
      </c>
      <c r="K467" t="s">
        <v>705</v>
      </c>
      <c r="L467" s="166">
        <f t="shared" si="38"/>
        <v>47505.202576501593</v>
      </c>
      <c r="M467" s="127" t="s">
        <v>3370</v>
      </c>
    </row>
    <row r="468" spans="1:13" x14ac:dyDescent="0.2">
      <c r="A468" s="1217"/>
      <c r="B468" s="166"/>
      <c r="E468" s="83"/>
      <c r="H468" t="s">
        <v>3372</v>
      </c>
      <c r="I468">
        <v>5.4000000000000001E-4</v>
      </c>
      <c r="J468" t="s">
        <v>3373</v>
      </c>
      <c r="K468" t="s">
        <v>3372</v>
      </c>
      <c r="L468" s="166">
        <f t="shared" si="38"/>
        <v>0.8505356259575223</v>
      </c>
      <c r="M468" s="127" t="s">
        <v>3374</v>
      </c>
    </row>
    <row r="469" spans="1:13" x14ac:dyDescent="0.2">
      <c r="A469" s="1217"/>
      <c r="B469" s="1218">
        <f>B465*B466*D465</f>
        <v>1575.0659739954117</v>
      </c>
      <c r="C469" s="1114" t="s">
        <v>3397</v>
      </c>
      <c r="D469" s="6" t="s">
        <v>586</v>
      </c>
      <c r="E469" s="83"/>
      <c r="H469" t="s">
        <v>3375</v>
      </c>
      <c r="I469">
        <v>5.6899999999999997E-3</v>
      </c>
      <c r="J469" t="s">
        <v>707</v>
      </c>
      <c r="K469" t="s">
        <v>3375</v>
      </c>
      <c r="L469" s="166">
        <f t="shared" si="38"/>
        <v>8.9621253920338919</v>
      </c>
      <c r="M469" s="127" t="s">
        <v>3376</v>
      </c>
    </row>
    <row r="470" spans="1:13" x14ac:dyDescent="0.2">
      <c r="A470" s="1217"/>
      <c r="B470" s="166"/>
      <c r="E470" s="83"/>
      <c r="H470" t="s">
        <v>708</v>
      </c>
      <c r="I470">
        <v>87.523340000000005</v>
      </c>
      <c r="J470" t="s">
        <v>709</v>
      </c>
      <c r="K470" t="s">
        <v>708</v>
      </c>
      <c r="L470" s="166">
        <f t="shared" si="38"/>
        <v>137855.03476443159</v>
      </c>
      <c r="M470" s="127" t="s">
        <v>3377</v>
      </c>
    </row>
    <row r="471" spans="1:13" x14ac:dyDescent="0.2">
      <c r="A471" s="1217"/>
      <c r="B471" s="166"/>
      <c r="E471" s="83"/>
      <c r="H471" t="s">
        <v>3378</v>
      </c>
      <c r="I471" s="33">
        <v>5.6130499999999996E-7</v>
      </c>
      <c r="J471" t="s">
        <v>704</v>
      </c>
      <c r="K471" t="s">
        <v>3378</v>
      </c>
      <c r="L471" s="166">
        <f t="shared" si="38"/>
        <v>8.8409240653349454E-4</v>
      </c>
      <c r="M471" s="127" t="s">
        <v>3368</v>
      </c>
    </row>
    <row r="472" spans="1:13" x14ac:dyDescent="0.2">
      <c r="A472" s="1217"/>
      <c r="B472" s="166"/>
      <c r="E472" s="83"/>
      <c r="H472" t="s">
        <v>710</v>
      </c>
      <c r="I472">
        <v>1.3899999999999999E-2</v>
      </c>
      <c r="J472" t="s">
        <v>3379</v>
      </c>
      <c r="K472" t="s">
        <v>710</v>
      </c>
      <c r="L472" s="166">
        <f t="shared" si="38"/>
        <v>21.893417038536221</v>
      </c>
      <c r="M472" s="127" t="s">
        <v>3380</v>
      </c>
    </row>
    <row r="473" spans="1:13" x14ac:dyDescent="0.2">
      <c r="A473" s="1217"/>
      <c r="B473" s="166"/>
      <c r="E473" s="83"/>
      <c r="H473" t="s">
        <v>3381</v>
      </c>
      <c r="I473">
        <v>1.6900000000000001E-3</v>
      </c>
      <c r="J473" t="s">
        <v>3382</v>
      </c>
      <c r="K473" t="s">
        <v>3381</v>
      </c>
      <c r="L473" s="166">
        <f t="shared" si="38"/>
        <v>2.661861496052246</v>
      </c>
      <c r="M473" s="127" t="s">
        <v>3383</v>
      </c>
    </row>
    <row r="474" spans="1:13" x14ac:dyDescent="0.2">
      <c r="A474" s="1217"/>
      <c r="B474" s="166"/>
      <c r="E474" s="83"/>
      <c r="H474" t="s">
        <v>3384</v>
      </c>
      <c r="I474">
        <v>0.14283000000000001</v>
      </c>
      <c r="J474" t="s">
        <v>711</v>
      </c>
      <c r="K474" t="s">
        <v>3384</v>
      </c>
      <c r="L474" s="166">
        <f t="shared" si="38"/>
        <v>224.96667306576467</v>
      </c>
      <c r="M474" s="127" t="s">
        <v>3385</v>
      </c>
    </row>
    <row r="475" spans="1:13" x14ac:dyDescent="0.2">
      <c r="A475" s="1219"/>
      <c r="B475" s="833"/>
      <c r="C475" s="1102"/>
      <c r="D475" s="118"/>
      <c r="E475" s="1220"/>
      <c r="F475" s="118"/>
      <c r="G475" s="118"/>
      <c r="H475" s="118"/>
      <c r="I475" s="118"/>
      <c r="J475" s="118"/>
      <c r="K475" s="118"/>
      <c r="L475" s="833"/>
      <c r="M475" s="120"/>
    </row>
    <row r="476" spans="1:13" ht="16" x14ac:dyDescent="0.2">
      <c r="A476" s="486" t="s">
        <v>2384</v>
      </c>
      <c r="B476" s="845">
        <v>11.76519868530653</v>
      </c>
      <c r="C476" s="1159" t="s">
        <v>1</v>
      </c>
      <c r="D476" s="110">
        <v>2</v>
      </c>
      <c r="E476" s="159" t="s">
        <v>3400</v>
      </c>
      <c r="F476" s="110">
        <v>1</v>
      </c>
      <c r="G476" s="110" t="s">
        <v>1</v>
      </c>
      <c r="H476" s="110"/>
      <c r="I476" s="110"/>
      <c r="J476" s="110"/>
      <c r="K476" s="110"/>
      <c r="L476" s="845"/>
      <c r="M476" s="112"/>
    </row>
    <row r="477" spans="1:13" x14ac:dyDescent="0.2">
      <c r="A477" s="1217"/>
      <c r="B477" s="1218">
        <f>B476*D476</f>
        <v>23.530397370613059</v>
      </c>
      <c r="C477" s="1114" t="s">
        <v>1</v>
      </c>
      <c r="D477" s="6" t="s">
        <v>577</v>
      </c>
      <c r="E477" s="83"/>
      <c r="H477" t="s">
        <v>701</v>
      </c>
      <c r="I477">
        <v>7.5000000000000002E-4</v>
      </c>
      <c r="J477" t="s">
        <v>702</v>
      </c>
      <c r="K477" t="s">
        <v>701</v>
      </c>
      <c r="L477" s="166">
        <f>I477*B$477</f>
        <v>1.7647798027959793E-2</v>
      </c>
      <c r="M477" s="127" t="s">
        <v>3367</v>
      </c>
    </row>
    <row r="478" spans="1:13" x14ac:dyDescent="0.2">
      <c r="A478" s="1217"/>
      <c r="B478" s="166"/>
      <c r="E478" s="83"/>
      <c r="H478" t="s">
        <v>703</v>
      </c>
      <c r="I478" s="33">
        <v>3.3111200000000002E-8</v>
      </c>
      <c r="J478" t="s">
        <v>704</v>
      </c>
      <c r="K478" t="s">
        <v>703</v>
      </c>
      <c r="L478" s="166">
        <f t="shared" ref="L478:L486" si="39">I478*B$477</f>
        <v>7.7911969341784321E-7</v>
      </c>
      <c r="M478" s="127" t="s">
        <v>3368</v>
      </c>
    </row>
    <row r="479" spans="1:13" x14ac:dyDescent="0.2">
      <c r="A479" s="1217"/>
      <c r="B479" s="166"/>
      <c r="E479" s="83"/>
      <c r="H479" t="s">
        <v>705</v>
      </c>
      <c r="I479">
        <v>4.1968100000000002</v>
      </c>
      <c r="J479" t="s">
        <v>706</v>
      </c>
      <c r="K479" t="s">
        <v>705</v>
      </c>
      <c r="L479" s="166">
        <f t="shared" si="39"/>
        <v>98.752606988962597</v>
      </c>
      <c r="M479" s="127" t="s">
        <v>3370</v>
      </c>
    </row>
    <row r="480" spans="1:13" x14ac:dyDescent="0.2">
      <c r="A480" s="1217"/>
      <c r="B480" s="166"/>
      <c r="E480" s="83"/>
      <c r="H480" t="s">
        <v>3372</v>
      </c>
      <c r="I480">
        <v>3.2000000000000003E-4</v>
      </c>
      <c r="J480" t="s">
        <v>3373</v>
      </c>
      <c r="K480" t="s">
        <v>3372</v>
      </c>
      <c r="L480" s="166">
        <f t="shared" si="39"/>
        <v>7.5297271585961795E-3</v>
      </c>
      <c r="M480" s="127" t="s">
        <v>3374</v>
      </c>
    </row>
    <row r="481" spans="1:13" x14ac:dyDescent="0.2">
      <c r="A481" s="1217"/>
      <c r="B481" s="166"/>
      <c r="E481" s="83"/>
      <c r="H481" t="s">
        <v>3375</v>
      </c>
      <c r="I481">
        <v>5.2999999999999998E-4</v>
      </c>
      <c r="J481" t="s">
        <v>707</v>
      </c>
      <c r="K481" t="s">
        <v>3375</v>
      </c>
      <c r="L481" s="166">
        <f t="shared" si="39"/>
        <v>1.2471110606424921E-2</v>
      </c>
      <c r="M481" s="127" t="s">
        <v>3376</v>
      </c>
    </row>
    <row r="482" spans="1:13" x14ac:dyDescent="0.2">
      <c r="A482" s="1217"/>
      <c r="B482" s="166"/>
      <c r="E482" s="83"/>
      <c r="H482" t="s">
        <v>708</v>
      </c>
      <c r="I482">
        <v>0.39150000000000001</v>
      </c>
      <c r="J482" t="s">
        <v>709</v>
      </c>
      <c r="K482" t="s">
        <v>708</v>
      </c>
      <c r="L482" s="166">
        <f t="shared" si="39"/>
        <v>9.2121505705950124</v>
      </c>
      <c r="M482" s="127" t="s">
        <v>3377</v>
      </c>
    </row>
    <row r="483" spans="1:13" x14ac:dyDescent="0.2">
      <c r="A483" s="1217"/>
      <c r="B483" s="166"/>
      <c r="E483" s="83"/>
      <c r="H483" t="s">
        <v>3378</v>
      </c>
      <c r="I483" s="33">
        <v>9.8849699999999999E-8</v>
      </c>
      <c r="J483" t="s">
        <v>704</v>
      </c>
      <c r="K483" t="s">
        <v>3378</v>
      </c>
      <c r="L483" s="166">
        <f t="shared" si="39"/>
        <v>2.3259727209658899E-6</v>
      </c>
      <c r="M483" s="127" t="s">
        <v>3368</v>
      </c>
    </row>
    <row r="484" spans="1:13" x14ac:dyDescent="0.2">
      <c r="A484" s="1217"/>
      <c r="B484" s="166"/>
      <c r="E484" s="83"/>
      <c r="H484" t="s">
        <v>710</v>
      </c>
      <c r="I484" s="33">
        <v>1.51061E-9</v>
      </c>
      <c r="J484" t="s">
        <v>3379</v>
      </c>
      <c r="K484" t="s">
        <v>710</v>
      </c>
      <c r="L484" s="166">
        <f t="shared" si="39"/>
        <v>3.5545253572021793E-8</v>
      </c>
      <c r="M484" s="127" t="s">
        <v>3380</v>
      </c>
    </row>
    <row r="485" spans="1:13" x14ac:dyDescent="0.2">
      <c r="A485" s="1217"/>
      <c r="B485" s="166"/>
      <c r="E485" s="83"/>
      <c r="H485" t="s">
        <v>3381</v>
      </c>
      <c r="I485">
        <v>1.01E-3</v>
      </c>
      <c r="J485" t="s">
        <v>3382</v>
      </c>
      <c r="K485" t="s">
        <v>3381</v>
      </c>
      <c r="L485" s="166">
        <f t="shared" si="39"/>
        <v>2.3765701344319191E-2</v>
      </c>
      <c r="M485" s="127" t="s">
        <v>3383</v>
      </c>
    </row>
    <row r="486" spans="1:13" x14ac:dyDescent="0.2">
      <c r="A486" s="1217"/>
      <c r="B486" s="166"/>
      <c r="E486" s="83"/>
      <c r="H486" t="s">
        <v>3384</v>
      </c>
      <c r="I486">
        <v>1.2200000000000001E-2</v>
      </c>
      <c r="J486" t="s">
        <v>711</v>
      </c>
      <c r="K486" t="s">
        <v>3384</v>
      </c>
      <c r="L486" s="166">
        <f t="shared" si="39"/>
        <v>0.28707084792147936</v>
      </c>
      <c r="M486" s="127" t="s">
        <v>3385</v>
      </c>
    </row>
    <row r="487" spans="1:13" x14ac:dyDescent="0.2">
      <c r="A487" s="1219"/>
      <c r="B487" s="833"/>
      <c r="C487" s="1102"/>
      <c r="D487" s="118"/>
      <c r="E487" s="1220"/>
      <c r="F487" s="118"/>
      <c r="G487" s="118"/>
      <c r="H487" s="118"/>
      <c r="I487" s="118"/>
      <c r="J487" s="118"/>
      <c r="K487" s="118"/>
      <c r="L487" s="833"/>
      <c r="M487" s="120"/>
    </row>
    <row r="488" spans="1:13" ht="16" x14ac:dyDescent="0.2">
      <c r="A488" s="486" t="s">
        <v>2385</v>
      </c>
      <c r="B488" s="845">
        <v>1168.9460218769868</v>
      </c>
      <c r="C488" s="1159" t="s">
        <v>1091</v>
      </c>
      <c r="D488" s="110">
        <v>2</v>
      </c>
      <c r="E488" s="159" t="s">
        <v>3400</v>
      </c>
      <c r="F488" s="110">
        <v>1</v>
      </c>
      <c r="G488" s="110" t="s">
        <v>1</v>
      </c>
      <c r="H488" s="110"/>
      <c r="I488" s="110"/>
      <c r="J488" s="110"/>
      <c r="K488" s="110"/>
      <c r="L488" s="845"/>
      <c r="M488" s="112"/>
    </row>
    <row r="489" spans="1:13" x14ac:dyDescent="0.2">
      <c r="A489" s="1217"/>
      <c r="B489" s="166">
        <v>31.813494878341967</v>
      </c>
      <c r="C489" s="133" t="s">
        <v>444</v>
      </c>
      <c r="E489" s="83"/>
      <c r="H489" t="s">
        <v>701</v>
      </c>
      <c r="I489">
        <v>7.5000000000000002E-4</v>
      </c>
      <c r="J489" t="s">
        <v>702</v>
      </c>
      <c r="K489" t="s">
        <v>701</v>
      </c>
      <c r="L489" s="166">
        <f>I489*B$491</f>
        <v>0.47720242317512945</v>
      </c>
      <c r="M489" s="127" t="s">
        <v>3367</v>
      </c>
    </row>
    <row r="490" spans="1:13" x14ac:dyDescent="0.2">
      <c r="A490" s="1217"/>
      <c r="B490" s="166">
        <v>10</v>
      </c>
      <c r="C490" s="133" t="s">
        <v>23</v>
      </c>
      <c r="E490" s="83"/>
      <c r="H490" t="s">
        <v>703</v>
      </c>
      <c r="I490" s="33">
        <v>3.3111200000000002E-8</v>
      </c>
      <c r="J490" t="s">
        <v>704</v>
      </c>
      <c r="K490" t="s">
        <v>703</v>
      </c>
      <c r="L490" s="166">
        <f t="shared" ref="L490:L498" si="40">I490*B$491</f>
        <v>2.1067659832315129E-5</v>
      </c>
      <c r="M490" s="127" t="s">
        <v>3368</v>
      </c>
    </row>
    <row r="491" spans="1:13" x14ac:dyDescent="0.2">
      <c r="A491" s="1217"/>
      <c r="B491" s="1218">
        <f>B489*B490*D488</f>
        <v>636.26989756683929</v>
      </c>
      <c r="C491" s="1114" t="s">
        <v>1</v>
      </c>
      <c r="D491" s="6" t="s">
        <v>577</v>
      </c>
      <c r="E491" s="83"/>
      <c r="H491" t="s">
        <v>705</v>
      </c>
      <c r="I491">
        <v>4.1968100000000002</v>
      </c>
      <c r="J491" t="s">
        <v>706</v>
      </c>
      <c r="K491" t="s">
        <v>705</v>
      </c>
      <c r="L491" s="166">
        <f t="shared" si="40"/>
        <v>2670.3038688074871</v>
      </c>
      <c r="M491" s="127" t="s">
        <v>3370</v>
      </c>
    </row>
    <row r="492" spans="1:13" x14ac:dyDescent="0.2">
      <c r="A492" s="1217"/>
      <c r="B492" s="166"/>
      <c r="E492" s="83"/>
      <c r="H492" t="s">
        <v>3372</v>
      </c>
      <c r="I492">
        <v>3.2000000000000003E-4</v>
      </c>
      <c r="J492" t="s">
        <v>3373</v>
      </c>
      <c r="K492" t="s">
        <v>3372</v>
      </c>
      <c r="L492" s="166">
        <f t="shared" si="40"/>
        <v>0.20360636722138858</v>
      </c>
      <c r="M492" s="127" t="s">
        <v>3374</v>
      </c>
    </row>
    <row r="493" spans="1:13" x14ac:dyDescent="0.2">
      <c r="A493" s="1217"/>
      <c r="B493" s="166"/>
      <c r="E493" s="83"/>
      <c r="H493" t="s">
        <v>3375</v>
      </c>
      <c r="I493">
        <v>5.2999999999999998E-4</v>
      </c>
      <c r="J493" t="s">
        <v>707</v>
      </c>
      <c r="K493" t="s">
        <v>3375</v>
      </c>
      <c r="L493" s="166">
        <f t="shared" si="40"/>
        <v>0.33722304571042483</v>
      </c>
      <c r="M493" s="127" t="s">
        <v>3376</v>
      </c>
    </row>
    <row r="494" spans="1:13" x14ac:dyDescent="0.2">
      <c r="A494" s="1217"/>
      <c r="B494" s="166"/>
      <c r="E494" s="83"/>
      <c r="H494" t="s">
        <v>708</v>
      </c>
      <c r="I494">
        <v>0.39150000000000001</v>
      </c>
      <c r="J494" t="s">
        <v>709</v>
      </c>
      <c r="K494" t="s">
        <v>708</v>
      </c>
      <c r="L494" s="166">
        <f t="shared" si="40"/>
        <v>249.0996648974176</v>
      </c>
      <c r="M494" s="127" t="s">
        <v>3377</v>
      </c>
    </row>
    <row r="495" spans="1:13" x14ac:dyDescent="0.2">
      <c r="A495" s="1217"/>
      <c r="B495" s="166"/>
      <c r="E495" s="83"/>
      <c r="H495" t="s">
        <v>3378</v>
      </c>
      <c r="I495" s="33">
        <v>9.8849699999999999E-8</v>
      </c>
      <c r="J495" t="s">
        <v>704</v>
      </c>
      <c r="K495" t="s">
        <v>3378</v>
      </c>
      <c r="L495" s="166">
        <f t="shared" si="40"/>
        <v>6.2895088493512797E-5</v>
      </c>
      <c r="M495" s="127" t="s">
        <v>3368</v>
      </c>
    </row>
    <row r="496" spans="1:13" x14ac:dyDescent="0.2">
      <c r="A496" s="1217"/>
      <c r="B496" s="166"/>
      <c r="E496" s="83"/>
      <c r="H496" t="s">
        <v>710</v>
      </c>
      <c r="I496" s="33">
        <v>1.51061E-9</v>
      </c>
      <c r="J496" t="s">
        <v>3379</v>
      </c>
      <c r="K496" t="s">
        <v>710</v>
      </c>
      <c r="L496" s="166">
        <f t="shared" si="40"/>
        <v>9.6115566996344304E-7</v>
      </c>
      <c r="M496" s="127" t="s">
        <v>3380</v>
      </c>
    </row>
    <row r="497" spans="1:13" x14ac:dyDescent="0.2">
      <c r="A497" s="1217"/>
      <c r="B497" s="166"/>
      <c r="E497" s="83"/>
      <c r="H497" t="s">
        <v>3381</v>
      </c>
      <c r="I497">
        <v>1.01E-3</v>
      </c>
      <c r="J497" t="s">
        <v>3382</v>
      </c>
      <c r="K497" t="s">
        <v>3381</v>
      </c>
      <c r="L497" s="166">
        <f t="shared" si="40"/>
        <v>0.64263259654250771</v>
      </c>
      <c r="M497" s="127" t="s">
        <v>3383</v>
      </c>
    </row>
    <row r="498" spans="1:13" x14ac:dyDescent="0.2">
      <c r="A498" s="1217"/>
      <c r="B498" s="166"/>
      <c r="E498" s="83"/>
      <c r="H498" t="s">
        <v>3384</v>
      </c>
      <c r="I498">
        <v>1.2200000000000001E-2</v>
      </c>
      <c r="J498" t="s">
        <v>711</v>
      </c>
      <c r="K498" t="s">
        <v>3384</v>
      </c>
      <c r="L498" s="166">
        <f t="shared" si="40"/>
        <v>7.7624927503154399</v>
      </c>
      <c r="M498" s="127" t="s">
        <v>3385</v>
      </c>
    </row>
    <row r="499" spans="1:13" x14ac:dyDescent="0.2">
      <c r="A499" s="1219"/>
      <c r="B499" s="833"/>
      <c r="C499" s="1102"/>
      <c r="D499" s="118"/>
      <c r="E499" s="1220"/>
      <c r="F499" s="118"/>
      <c r="G499" s="118"/>
      <c r="H499" s="118"/>
      <c r="I499" s="118"/>
      <c r="J499" s="118"/>
      <c r="K499" s="118"/>
      <c r="L499" s="833"/>
      <c r="M499" s="120"/>
    </row>
    <row r="500" spans="1:13" ht="32" x14ac:dyDescent="0.2">
      <c r="A500" s="1215" t="s">
        <v>714</v>
      </c>
      <c r="B500" s="845">
        <v>5573514.9364348901</v>
      </c>
      <c r="C500" s="1103" t="s">
        <v>40</v>
      </c>
      <c r="D500" s="110"/>
      <c r="E500" s="1216" t="s">
        <v>3404</v>
      </c>
      <c r="F500" s="110">
        <v>1</v>
      </c>
      <c r="G500" s="110" t="s">
        <v>378</v>
      </c>
      <c r="H500" s="110"/>
      <c r="I500" s="110"/>
      <c r="J500" s="110"/>
      <c r="K500" s="110"/>
      <c r="L500" s="845"/>
      <c r="M500" s="112"/>
    </row>
    <row r="501" spans="1:13" x14ac:dyDescent="0.2">
      <c r="A501" s="637"/>
      <c r="B501" s="1218">
        <f>B500*30</f>
        <v>167205448.09304669</v>
      </c>
      <c r="C501" s="1114" t="s">
        <v>720</v>
      </c>
      <c r="D501" s="6" t="s">
        <v>577</v>
      </c>
      <c r="E501" s="83"/>
      <c r="H501" t="s">
        <v>701</v>
      </c>
      <c r="I501">
        <v>7.5000000000000002E-4</v>
      </c>
      <c r="J501" t="s">
        <v>702</v>
      </c>
      <c r="K501" t="s">
        <v>701</v>
      </c>
      <c r="L501" s="166">
        <f>I501*B$501</f>
        <v>125404.08606978503</v>
      </c>
      <c r="M501" s="127" t="s">
        <v>3367</v>
      </c>
    </row>
    <row r="502" spans="1:13" x14ac:dyDescent="0.2">
      <c r="A502" s="1217"/>
      <c r="B502" s="166"/>
      <c r="E502" s="83"/>
      <c r="H502" t="s">
        <v>703</v>
      </c>
      <c r="I502" s="33">
        <v>3.3111200000000002E-8</v>
      </c>
      <c r="J502" t="s">
        <v>704</v>
      </c>
      <c r="K502" t="s">
        <v>703</v>
      </c>
      <c r="L502" s="166">
        <f t="shared" ref="L502:L510" si="41">I502*B$501</f>
        <v>5.5363730328984877</v>
      </c>
      <c r="M502" s="127" t="s">
        <v>3368</v>
      </c>
    </row>
    <row r="503" spans="1:13" x14ac:dyDescent="0.2">
      <c r="A503" s="1217"/>
      <c r="B503" s="166"/>
      <c r="E503" s="83"/>
      <c r="H503" t="s">
        <v>705</v>
      </c>
      <c r="I503">
        <v>4.1968100000000002</v>
      </c>
      <c r="J503" t="s">
        <v>706</v>
      </c>
      <c r="K503" t="s">
        <v>705</v>
      </c>
      <c r="L503" s="166">
        <f t="shared" si="41"/>
        <v>701729496.61137927</v>
      </c>
      <c r="M503" s="127" t="s">
        <v>3370</v>
      </c>
    </row>
    <row r="504" spans="1:13" x14ac:dyDescent="0.2">
      <c r="A504" s="1217"/>
      <c r="B504" s="166"/>
      <c r="E504" s="83"/>
      <c r="H504" t="s">
        <v>3372</v>
      </c>
      <c r="I504">
        <v>3.2000000000000003E-4</v>
      </c>
      <c r="J504" t="s">
        <v>3373</v>
      </c>
      <c r="K504" t="s">
        <v>3372</v>
      </c>
      <c r="L504" s="166">
        <f t="shared" si="41"/>
        <v>53505.743389774943</v>
      </c>
      <c r="M504" s="127" t="s">
        <v>3374</v>
      </c>
    </row>
    <row r="505" spans="1:13" x14ac:dyDescent="0.2">
      <c r="A505" s="1217"/>
      <c r="B505" s="166"/>
      <c r="E505" s="83"/>
      <c r="H505" t="s">
        <v>3375</v>
      </c>
      <c r="I505">
        <v>5.2999999999999998E-4</v>
      </c>
      <c r="J505" t="s">
        <v>707</v>
      </c>
      <c r="K505" t="s">
        <v>3375</v>
      </c>
      <c r="L505" s="166">
        <f t="shared" si="41"/>
        <v>88618.887489314744</v>
      </c>
      <c r="M505" s="127" t="s">
        <v>3376</v>
      </c>
    </row>
    <row r="506" spans="1:13" x14ac:dyDescent="0.2">
      <c r="A506" s="1217"/>
      <c r="B506" s="166"/>
      <c r="E506" s="83"/>
      <c r="H506" t="s">
        <v>708</v>
      </c>
      <c r="I506">
        <v>0.39150000000000001</v>
      </c>
      <c r="J506" t="s">
        <v>709</v>
      </c>
      <c r="K506" t="s">
        <v>708</v>
      </c>
      <c r="L506" s="166">
        <f t="shared" si="41"/>
        <v>65460932.928427786</v>
      </c>
      <c r="M506" s="127" t="s">
        <v>3377</v>
      </c>
    </row>
    <row r="507" spans="1:13" x14ac:dyDescent="0.2">
      <c r="A507" s="1217"/>
      <c r="B507" s="166"/>
      <c r="E507" s="83"/>
      <c r="H507" t="s">
        <v>3378</v>
      </c>
      <c r="I507" s="33">
        <v>9.8849699999999999E-8</v>
      </c>
      <c r="J507" t="s">
        <v>704</v>
      </c>
      <c r="K507" t="s">
        <v>3378</v>
      </c>
      <c r="L507" s="166">
        <f t="shared" si="41"/>
        <v>16.528208382363239</v>
      </c>
      <c r="M507" s="127" t="s">
        <v>3368</v>
      </c>
    </row>
    <row r="508" spans="1:13" x14ac:dyDescent="0.2">
      <c r="A508" s="1217"/>
      <c r="B508" s="166"/>
      <c r="E508" s="83"/>
      <c r="H508" t="s">
        <v>710</v>
      </c>
      <c r="I508" s="33">
        <v>1.51061E-9</v>
      </c>
      <c r="J508" t="s">
        <v>3379</v>
      </c>
      <c r="K508" t="s">
        <v>710</v>
      </c>
      <c r="L508" s="166">
        <f t="shared" si="41"/>
        <v>0.25258222194383728</v>
      </c>
      <c r="M508" s="127" t="s">
        <v>3380</v>
      </c>
    </row>
    <row r="509" spans="1:13" x14ac:dyDescent="0.2">
      <c r="A509" s="1217"/>
      <c r="B509" s="166"/>
      <c r="E509" s="83"/>
      <c r="H509" t="s">
        <v>3381</v>
      </c>
      <c r="I509">
        <v>1.01E-3</v>
      </c>
      <c r="J509" t="s">
        <v>3382</v>
      </c>
      <c r="K509" t="s">
        <v>3381</v>
      </c>
      <c r="L509" s="166">
        <f t="shared" si="41"/>
        <v>168877.50257397717</v>
      </c>
      <c r="M509" s="127" t="s">
        <v>3383</v>
      </c>
    </row>
    <row r="510" spans="1:13" x14ac:dyDescent="0.2">
      <c r="A510" s="1217"/>
      <c r="B510" s="166"/>
      <c r="E510" s="83"/>
      <c r="H510" t="s">
        <v>3384</v>
      </c>
      <c r="I510">
        <v>1.2200000000000001E-2</v>
      </c>
      <c r="J510" t="s">
        <v>711</v>
      </c>
      <c r="K510" t="s">
        <v>3384</v>
      </c>
      <c r="L510" s="166">
        <f t="shared" si="41"/>
        <v>2039906.4667351698</v>
      </c>
      <c r="M510" s="127" t="s">
        <v>3385</v>
      </c>
    </row>
    <row r="511" spans="1:13" x14ac:dyDescent="0.2">
      <c r="A511" s="1219"/>
      <c r="B511" s="833"/>
      <c r="C511" s="1102"/>
      <c r="D511" s="118"/>
      <c r="E511" s="1220"/>
      <c r="F511" s="118"/>
      <c r="G511" s="118"/>
      <c r="H511" s="118"/>
      <c r="I511" s="118"/>
      <c r="J511" s="118"/>
      <c r="K511" s="118"/>
      <c r="L511" s="833"/>
      <c r="M511" s="120"/>
    </row>
    <row r="512" spans="1:13" ht="16" x14ac:dyDescent="0.2">
      <c r="A512" s="1215" t="s">
        <v>2652</v>
      </c>
      <c r="B512" s="845">
        <v>1781.737409806813</v>
      </c>
      <c r="C512" s="1103" t="s">
        <v>267</v>
      </c>
      <c r="D512" s="110"/>
      <c r="E512" s="1216" t="s">
        <v>3413</v>
      </c>
      <c r="F512" s="110">
        <v>1</v>
      </c>
      <c r="G512" s="110" t="s">
        <v>15</v>
      </c>
      <c r="H512" s="110"/>
      <c r="I512" s="110"/>
      <c r="J512" s="110"/>
      <c r="K512" s="110"/>
      <c r="L512" s="845"/>
      <c r="M512" s="112"/>
    </row>
    <row r="513" spans="1:13" x14ac:dyDescent="0.2">
      <c r="A513" s="1217"/>
      <c r="B513" s="166">
        <v>14253899.278454505</v>
      </c>
      <c r="C513" s="133" t="s">
        <v>566</v>
      </c>
      <c r="E513" s="83"/>
      <c r="H513" t="s">
        <v>701</v>
      </c>
      <c r="I513">
        <v>9.8999999999999999E-4</v>
      </c>
      <c r="J513" t="s">
        <v>702</v>
      </c>
      <c r="K513" t="s">
        <v>701</v>
      </c>
      <c r="L513" s="166">
        <f>I513*B$514</f>
        <v>423340.80857009877</v>
      </c>
      <c r="M513" s="127" t="s">
        <v>3367</v>
      </c>
    </row>
    <row r="514" spans="1:13" x14ac:dyDescent="0.2">
      <c r="A514" s="1217"/>
      <c r="B514" s="1218">
        <f>B513*30</f>
        <v>427616978.35363513</v>
      </c>
      <c r="C514" s="1114" t="s">
        <v>3414</v>
      </c>
      <c r="D514" s="6" t="s">
        <v>577</v>
      </c>
      <c r="H514" t="s">
        <v>703</v>
      </c>
      <c r="I514" s="33">
        <v>8.6056700000000001E-9</v>
      </c>
      <c r="J514" t="s">
        <v>704</v>
      </c>
      <c r="K514" t="s">
        <v>703</v>
      </c>
      <c r="L514" s="166">
        <f t="shared" ref="L514:L522" si="42">I514*B$514</f>
        <v>3.6799306021085272</v>
      </c>
      <c r="M514" s="127" t="s">
        <v>3368</v>
      </c>
    </row>
    <row r="515" spans="1:13" x14ac:dyDescent="0.2">
      <c r="A515" s="1217"/>
      <c r="B515" s="166"/>
      <c r="E515" s="83"/>
      <c r="H515" t="s">
        <v>705</v>
      </c>
      <c r="I515">
        <v>2.2319599999999999</v>
      </c>
      <c r="J515" t="s">
        <v>706</v>
      </c>
      <c r="K515" t="s">
        <v>705</v>
      </c>
      <c r="L515" s="166">
        <f t="shared" si="42"/>
        <v>954423991.00617945</v>
      </c>
      <c r="M515" s="127" t="s">
        <v>3370</v>
      </c>
    </row>
    <row r="516" spans="1:13" x14ac:dyDescent="0.2">
      <c r="A516" s="1217"/>
      <c r="B516" s="166"/>
      <c r="E516" s="83"/>
      <c r="H516" t="s">
        <v>3372</v>
      </c>
      <c r="I516" s="33">
        <v>2.41312E-5</v>
      </c>
      <c r="J516" t="s">
        <v>3373</v>
      </c>
      <c r="K516" t="s">
        <v>3372</v>
      </c>
      <c r="L516" s="166">
        <f t="shared" si="42"/>
        <v>10318.910828047241</v>
      </c>
      <c r="M516" s="127" t="s">
        <v>3374</v>
      </c>
    </row>
    <row r="517" spans="1:13" x14ac:dyDescent="0.2">
      <c r="A517" s="1217"/>
      <c r="B517" s="166"/>
      <c r="E517" s="83"/>
      <c r="H517" t="s">
        <v>3375</v>
      </c>
      <c r="I517">
        <v>7.6000000000000004E-4</v>
      </c>
      <c r="J517" t="s">
        <v>707</v>
      </c>
      <c r="K517" t="s">
        <v>3375</v>
      </c>
      <c r="L517" s="166">
        <f t="shared" si="42"/>
        <v>324988.90354876273</v>
      </c>
      <c r="M517" s="127" t="s">
        <v>3376</v>
      </c>
    </row>
    <row r="518" spans="1:13" x14ac:dyDescent="0.2">
      <c r="A518" s="1217"/>
      <c r="B518" s="166"/>
      <c r="E518" s="83"/>
      <c r="H518" t="s">
        <v>708</v>
      </c>
      <c r="I518">
        <v>0.12977</v>
      </c>
      <c r="J518" t="s">
        <v>709</v>
      </c>
      <c r="K518" t="s">
        <v>708</v>
      </c>
      <c r="L518" s="166">
        <f t="shared" si="42"/>
        <v>55491855.280951232</v>
      </c>
      <c r="M518" s="127" t="s">
        <v>3377</v>
      </c>
    </row>
    <row r="519" spans="1:13" x14ac:dyDescent="0.2">
      <c r="A519" s="1217"/>
      <c r="B519" s="166"/>
      <c r="E519" s="83"/>
      <c r="H519" t="s">
        <v>3378</v>
      </c>
      <c r="I519" s="33">
        <v>1.39704E-8</v>
      </c>
      <c r="J519" t="s">
        <v>704</v>
      </c>
      <c r="K519" t="s">
        <v>3378</v>
      </c>
      <c r="L519" s="166">
        <f t="shared" si="42"/>
        <v>5.9739802343916244</v>
      </c>
      <c r="M519" s="127" t="s">
        <v>3368</v>
      </c>
    </row>
    <row r="520" spans="1:13" x14ac:dyDescent="0.2">
      <c r="A520" s="1217"/>
      <c r="B520" s="166"/>
      <c r="E520" s="83"/>
      <c r="H520" t="s">
        <v>710</v>
      </c>
      <c r="I520" s="33">
        <v>1.5707400000000001E-9</v>
      </c>
      <c r="J520" t="s">
        <v>3379</v>
      </c>
      <c r="K520" t="s">
        <v>710</v>
      </c>
      <c r="L520" s="166">
        <f t="shared" si="42"/>
        <v>0.67167509257918889</v>
      </c>
      <c r="M520" s="127" t="s">
        <v>3380</v>
      </c>
    </row>
    <row r="521" spans="1:13" x14ac:dyDescent="0.2">
      <c r="A521" s="1217"/>
      <c r="B521" s="166"/>
      <c r="E521" s="83"/>
      <c r="H521" t="s">
        <v>3381</v>
      </c>
      <c r="I521" s="33">
        <v>9.8463100000000003E-5</v>
      </c>
      <c r="J521" t="s">
        <v>3382</v>
      </c>
      <c r="K521" t="s">
        <v>3381</v>
      </c>
      <c r="L521" s="166">
        <f t="shared" si="42"/>
        <v>42104.493301331815</v>
      </c>
      <c r="M521" s="127" t="s">
        <v>3383</v>
      </c>
    </row>
    <row r="522" spans="1:13" x14ac:dyDescent="0.2">
      <c r="A522" s="1217"/>
      <c r="B522" s="166"/>
      <c r="E522" s="83"/>
      <c r="H522" t="s">
        <v>3384</v>
      </c>
      <c r="I522">
        <v>6.3899999999999998E-3</v>
      </c>
      <c r="J522" t="s">
        <v>711</v>
      </c>
      <c r="K522" t="s">
        <v>3384</v>
      </c>
      <c r="L522" s="166">
        <f t="shared" si="42"/>
        <v>2732472.4916797285</v>
      </c>
      <c r="M522" s="127" t="s">
        <v>3385</v>
      </c>
    </row>
    <row r="523" spans="1:13" x14ac:dyDescent="0.2">
      <c r="A523" s="1219"/>
      <c r="B523" s="833"/>
      <c r="C523" s="1102"/>
      <c r="D523" s="118"/>
      <c r="E523" s="1220"/>
      <c r="F523" s="118"/>
      <c r="G523" s="118"/>
      <c r="H523" s="118"/>
      <c r="I523" s="118"/>
      <c r="J523" s="118"/>
      <c r="K523" s="118"/>
      <c r="L523" s="833"/>
      <c r="M523" s="120"/>
    </row>
    <row r="524" spans="1:13" ht="16" x14ac:dyDescent="0.2">
      <c r="A524" s="1215" t="s">
        <v>2874</v>
      </c>
      <c r="B524" s="1227">
        <v>926503453099.54272</v>
      </c>
      <c r="C524" s="1103" t="s">
        <v>2845</v>
      </c>
      <c r="D524" s="110"/>
      <c r="E524" s="1216" t="s">
        <v>3415</v>
      </c>
      <c r="F524" s="110">
        <v>1</v>
      </c>
      <c r="G524" s="110" t="s">
        <v>15</v>
      </c>
      <c r="H524" s="110"/>
      <c r="I524" s="110"/>
      <c r="J524" s="110"/>
      <c r="K524" s="110"/>
      <c r="L524" s="845"/>
      <c r="M524" s="112"/>
    </row>
    <row r="525" spans="1:13" ht="16" x14ac:dyDescent="0.2">
      <c r="A525" s="1217"/>
      <c r="B525" s="1228">
        <f>B524*30</f>
        <v>27795103592986.281</v>
      </c>
      <c r="C525" s="133" t="s">
        <v>3416</v>
      </c>
      <c r="E525" s="83" t="s">
        <v>3417</v>
      </c>
      <c r="H525" t="s">
        <v>701</v>
      </c>
      <c r="I525">
        <f>0.10973</f>
        <v>0.10972999999999999</v>
      </c>
      <c r="J525" t="s">
        <v>702</v>
      </c>
      <c r="K525" t="s">
        <v>701</v>
      </c>
      <c r="L525" s="166">
        <f>I525*B$527</f>
        <v>304995.67172583845</v>
      </c>
      <c r="M525" s="127" t="s">
        <v>3367</v>
      </c>
    </row>
    <row r="526" spans="1:13" x14ac:dyDescent="0.2">
      <c r="A526" s="1217"/>
      <c r="B526" s="166">
        <f>10000*1000</f>
        <v>10000000</v>
      </c>
      <c r="C526" s="133" t="s">
        <v>3418</v>
      </c>
      <c r="E526" s="83"/>
      <c r="H526" t="s">
        <v>703</v>
      </c>
      <c r="I526" s="33">
        <v>1.20864E-6</v>
      </c>
      <c r="J526" t="s">
        <v>704</v>
      </c>
      <c r="K526" t="s">
        <v>703</v>
      </c>
      <c r="L526" s="166">
        <f t="shared" ref="L526:L534" si="43">I526*B$527</f>
        <v>3.3594274006626943</v>
      </c>
      <c r="M526" s="127" t="s">
        <v>3368</v>
      </c>
    </row>
    <row r="527" spans="1:13" x14ac:dyDescent="0.2">
      <c r="A527" s="1217"/>
      <c r="B527" s="1218">
        <f>B525/B526</f>
        <v>2779510.3592986283</v>
      </c>
      <c r="C527" s="1114" t="s">
        <v>715</v>
      </c>
      <c r="D527" s="6" t="s">
        <v>577</v>
      </c>
      <c r="E527" s="83"/>
      <c r="H527" t="s">
        <v>705</v>
      </c>
      <c r="I527">
        <v>288.59053999999998</v>
      </c>
      <c r="J527" t="s">
        <v>706</v>
      </c>
      <c r="K527" t="s">
        <v>705</v>
      </c>
      <c r="L527" s="166">
        <f t="shared" si="43"/>
        <v>802140395.52558506</v>
      </c>
      <c r="M527" s="127" t="s">
        <v>3370</v>
      </c>
    </row>
    <row r="528" spans="1:13" x14ac:dyDescent="0.2">
      <c r="A528" s="1217"/>
      <c r="B528" s="166"/>
      <c r="E528" s="83"/>
      <c r="H528" t="s">
        <v>3372</v>
      </c>
      <c r="I528" s="33">
        <v>5.6299999999999996E-3</v>
      </c>
      <c r="J528" t="s">
        <v>3373</v>
      </c>
      <c r="K528" t="s">
        <v>3372</v>
      </c>
      <c r="L528" s="166">
        <f t="shared" si="43"/>
        <v>15648.643322851276</v>
      </c>
      <c r="M528" s="127" t="s">
        <v>3374</v>
      </c>
    </row>
    <row r="529" spans="1:15" x14ac:dyDescent="0.2">
      <c r="A529" s="1217"/>
      <c r="B529" s="166"/>
      <c r="E529" s="83"/>
      <c r="H529" t="s">
        <v>3375</v>
      </c>
      <c r="I529">
        <v>8.6550000000000002E-2</v>
      </c>
      <c r="J529" t="s">
        <v>707</v>
      </c>
      <c r="K529" t="s">
        <v>3375</v>
      </c>
      <c r="L529" s="166">
        <f t="shared" si="43"/>
        <v>240566.6215972963</v>
      </c>
      <c r="M529" s="127" t="s">
        <v>3376</v>
      </c>
    </row>
    <row r="530" spans="1:15" x14ac:dyDescent="0.2">
      <c r="A530" s="1217"/>
      <c r="B530" s="166"/>
      <c r="E530" s="83"/>
      <c r="H530" t="s">
        <v>708</v>
      </c>
      <c r="I530">
        <v>12.622999999999999</v>
      </c>
      <c r="J530" t="s">
        <v>709</v>
      </c>
      <c r="K530" t="s">
        <v>708</v>
      </c>
      <c r="L530" s="166">
        <f t="shared" si="43"/>
        <v>35085759.265426584</v>
      </c>
      <c r="M530" s="127" t="s">
        <v>3377</v>
      </c>
    </row>
    <row r="531" spans="1:15" x14ac:dyDescent="0.2">
      <c r="A531" s="1217"/>
      <c r="B531" s="166"/>
      <c r="E531" s="83"/>
      <c r="H531" t="s">
        <v>3378</v>
      </c>
      <c r="I531" s="33">
        <v>1.6016500000000002E-5</v>
      </c>
      <c r="J531" t="s">
        <v>704</v>
      </c>
      <c r="K531" t="s">
        <v>3378</v>
      </c>
      <c r="L531" s="166">
        <f t="shared" si="43"/>
        <v>44.518027669706484</v>
      </c>
      <c r="M531" s="127" t="s">
        <v>3368</v>
      </c>
    </row>
    <row r="532" spans="1:15" x14ac:dyDescent="0.2">
      <c r="A532" s="1217"/>
      <c r="B532" s="166"/>
      <c r="E532" s="83"/>
      <c r="H532" t="s">
        <v>710</v>
      </c>
      <c r="I532" s="33">
        <v>3.6863199999999999E-7</v>
      </c>
      <c r="J532" t="s">
        <v>3379</v>
      </c>
      <c r="K532" t="s">
        <v>710</v>
      </c>
      <c r="L532" s="166">
        <f t="shared" si="43"/>
        <v>1.024616462768972</v>
      </c>
      <c r="M532" s="127" t="s">
        <v>3380</v>
      </c>
    </row>
    <row r="533" spans="1:15" x14ac:dyDescent="0.2">
      <c r="A533" s="1217"/>
      <c r="B533" s="166"/>
      <c r="E533" s="83"/>
      <c r="H533" t="s">
        <v>3381</v>
      </c>
      <c r="I533" s="33">
        <v>1.392E-2</v>
      </c>
      <c r="J533" t="s">
        <v>3382</v>
      </c>
      <c r="K533" t="s">
        <v>3381</v>
      </c>
      <c r="L533" s="166">
        <f t="shared" si="43"/>
        <v>38690.784201436909</v>
      </c>
      <c r="M533" s="127" t="s">
        <v>3383</v>
      </c>
    </row>
    <row r="534" spans="1:15" x14ac:dyDescent="0.2">
      <c r="A534" s="1217"/>
      <c r="B534" s="166"/>
      <c r="E534" s="83"/>
      <c r="H534" t="s">
        <v>3384</v>
      </c>
      <c r="I534">
        <v>1.0029699999999999</v>
      </c>
      <c r="J534" t="s">
        <v>711</v>
      </c>
      <c r="K534" t="s">
        <v>3384</v>
      </c>
      <c r="L534" s="166">
        <f t="shared" si="43"/>
        <v>2787765.5050657452</v>
      </c>
      <c r="M534" s="127" t="s">
        <v>3385</v>
      </c>
    </row>
    <row r="535" spans="1:15" x14ac:dyDescent="0.2">
      <c r="A535" s="1219"/>
      <c r="B535" s="833"/>
      <c r="C535" s="1102"/>
      <c r="D535" s="118"/>
      <c r="E535" s="1220"/>
      <c r="F535" s="118"/>
      <c r="G535" s="118"/>
      <c r="H535" s="118"/>
      <c r="I535" s="118"/>
      <c r="J535" s="118"/>
      <c r="K535" s="118"/>
      <c r="L535" s="833"/>
      <c r="M535" s="120"/>
    </row>
    <row r="536" spans="1:15" x14ac:dyDescent="0.2">
      <c r="A536" s="1222"/>
      <c r="B536" s="166"/>
      <c r="E536" s="83"/>
      <c r="L536" s="166"/>
    </row>
    <row r="537" spans="1:15" x14ac:dyDescent="0.2">
      <c r="A537" s="1222"/>
      <c r="B537" s="166"/>
      <c r="E537" s="83"/>
      <c r="L537" s="166"/>
    </row>
    <row r="538" spans="1:15" x14ac:dyDescent="0.2">
      <c r="A538" s="1222"/>
      <c r="B538" s="166"/>
      <c r="E538" s="83"/>
      <c r="L538" s="166"/>
    </row>
    <row r="539" spans="1:15" x14ac:dyDescent="0.2">
      <c r="A539" s="1222"/>
      <c r="B539" s="166"/>
      <c r="E539" s="83"/>
      <c r="L539" s="166"/>
    </row>
    <row r="540" spans="1:15" ht="16" thickBot="1" x14ac:dyDescent="0.25"/>
    <row r="541" spans="1:15" x14ac:dyDescent="0.2">
      <c r="A541" s="1955" t="s">
        <v>1415</v>
      </c>
      <c r="B541" s="1956"/>
      <c r="C541" s="1956"/>
      <c r="D541" s="1956"/>
      <c r="E541" s="1956"/>
      <c r="F541" s="1956"/>
      <c r="G541" s="1956"/>
      <c r="H541" s="1956"/>
      <c r="I541" s="1956"/>
      <c r="J541" s="1956"/>
      <c r="K541" s="1956"/>
      <c r="L541" s="1956"/>
      <c r="M541" s="1956"/>
      <c r="N541" s="1956"/>
      <c r="O541" s="1957"/>
    </row>
    <row r="542" spans="1:15" ht="16" thickBot="1" x14ac:dyDescent="0.25">
      <c r="A542" s="1958"/>
      <c r="B542" s="1959"/>
      <c r="C542" s="1959"/>
      <c r="D542" s="1959"/>
      <c r="E542" s="1959"/>
      <c r="F542" s="1959"/>
      <c r="G542" s="1959"/>
      <c r="H542" s="1959"/>
      <c r="I542" s="1959"/>
      <c r="J542" s="1959"/>
      <c r="K542" s="1959"/>
      <c r="L542" s="1959"/>
      <c r="M542" s="1959"/>
      <c r="N542" s="1959"/>
      <c r="O542" s="1960"/>
    </row>
    <row r="543" spans="1:15" s="6" customFormat="1" x14ac:dyDescent="0.2">
      <c r="A543" s="1920" t="s">
        <v>697</v>
      </c>
      <c r="B543" s="1515" t="s">
        <v>698</v>
      </c>
      <c r="C543" s="1515"/>
      <c r="D543" s="1515"/>
      <c r="E543" s="1921" t="s">
        <v>3362</v>
      </c>
      <c r="F543" s="1515" t="s">
        <v>699</v>
      </c>
      <c r="G543" s="1515"/>
      <c r="H543" s="1515" t="s">
        <v>3363</v>
      </c>
      <c r="I543" s="1515"/>
      <c r="J543" s="1515"/>
      <c r="K543" s="1515" t="s">
        <v>700</v>
      </c>
      <c r="L543" s="1515"/>
      <c r="M543" s="1515"/>
    </row>
    <row r="544" spans="1:15" s="6" customFormat="1" ht="15.75" customHeight="1" x14ac:dyDescent="0.2">
      <c r="A544" s="1520"/>
      <c r="B544" s="1214" t="s">
        <v>515</v>
      </c>
      <c r="C544" s="1112" t="s">
        <v>372</v>
      </c>
      <c r="D544" s="969" t="s">
        <v>583</v>
      </c>
      <c r="E544" s="1922"/>
      <c r="F544" s="969" t="s">
        <v>42</v>
      </c>
      <c r="G544" s="969" t="s">
        <v>372</v>
      </c>
      <c r="H544" s="29" t="s">
        <v>697</v>
      </c>
      <c r="I544" s="969" t="s">
        <v>42</v>
      </c>
      <c r="J544" s="969" t="s">
        <v>372</v>
      </c>
      <c r="K544" s="969" t="s">
        <v>697</v>
      </c>
      <c r="L544" s="1214" t="s">
        <v>42</v>
      </c>
      <c r="M544" s="969" t="s">
        <v>372</v>
      </c>
    </row>
    <row r="545" spans="1:13" ht="32" x14ac:dyDescent="0.2">
      <c r="A545" s="486" t="s">
        <v>2511</v>
      </c>
      <c r="B545" s="845">
        <v>22305</v>
      </c>
      <c r="C545" s="1159" t="s">
        <v>1543</v>
      </c>
      <c r="D545" s="1229">
        <v>2</v>
      </c>
      <c r="E545" s="1230" t="s">
        <v>3419</v>
      </c>
      <c r="F545" s="110">
        <v>1</v>
      </c>
      <c r="G545" s="110" t="s">
        <v>15</v>
      </c>
      <c r="H545" s="110"/>
      <c r="I545" s="110"/>
      <c r="J545" s="110"/>
      <c r="K545" s="110"/>
      <c r="L545" s="845"/>
      <c r="M545" s="112"/>
    </row>
    <row r="546" spans="1:13" x14ac:dyDescent="0.2">
      <c r="A546" s="1217"/>
      <c r="B546" s="166">
        <v>100</v>
      </c>
      <c r="C546" s="133" t="s">
        <v>3420</v>
      </c>
      <c r="E546" s="83"/>
      <c r="F546">
        <v>1000</v>
      </c>
      <c r="G546" t="s">
        <v>3421</v>
      </c>
      <c r="H546" t="s">
        <v>701</v>
      </c>
      <c r="I546">
        <v>2.266E-2</v>
      </c>
      <c r="J546" t="s">
        <v>702</v>
      </c>
      <c r="K546" t="s">
        <v>701</v>
      </c>
      <c r="L546" s="166">
        <f>I546*B$547</f>
        <v>10.108626000000001</v>
      </c>
      <c r="M546" s="127" t="s">
        <v>3367</v>
      </c>
    </row>
    <row r="547" spans="1:13" x14ac:dyDescent="0.2">
      <c r="A547" s="1217"/>
      <c r="B547" s="1218">
        <f>B545/B546*D545</f>
        <v>446.1</v>
      </c>
      <c r="C547" s="1114" t="s">
        <v>3409</v>
      </c>
      <c r="D547" s="6" t="s">
        <v>577</v>
      </c>
      <c r="E547" s="83"/>
      <c r="H547" t="s">
        <v>703</v>
      </c>
      <c r="I547" s="33">
        <v>2.9038999999999998E-6</v>
      </c>
      <c r="J547" t="s">
        <v>704</v>
      </c>
      <c r="K547" t="s">
        <v>703</v>
      </c>
      <c r="L547" s="166">
        <f t="shared" ref="L547:L555" si="44">I547*B$547</f>
        <v>1.2954297899999999E-3</v>
      </c>
      <c r="M547" s="127" t="s">
        <v>3368</v>
      </c>
    </row>
    <row r="548" spans="1:13" x14ac:dyDescent="0.2">
      <c r="A548" s="1217"/>
      <c r="B548" s="166"/>
      <c r="E548" s="83"/>
      <c r="H548" t="s">
        <v>705</v>
      </c>
      <c r="I548">
        <v>176.29186999999999</v>
      </c>
      <c r="J548" t="s">
        <v>706</v>
      </c>
      <c r="K548" t="s">
        <v>705</v>
      </c>
      <c r="L548" s="166">
        <f t="shared" si="44"/>
        <v>78643.803207000004</v>
      </c>
      <c r="M548" s="127" t="s">
        <v>3370</v>
      </c>
    </row>
    <row r="549" spans="1:13" x14ac:dyDescent="0.2">
      <c r="A549" s="1217"/>
      <c r="B549" s="166"/>
      <c r="E549" s="83"/>
      <c r="H549" t="s">
        <v>3372</v>
      </c>
      <c r="I549">
        <v>2.2300000000000002E-3</v>
      </c>
      <c r="J549" t="s">
        <v>3373</v>
      </c>
      <c r="K549" t="s">
        <v>3372</v>
      </c>
      <c r="L549" s="166">
        <f t="shared" si="44"/>
        <v>0.9948030000000001</v>
      </c>
      <c r="M549" s="127" t="s">
        <v>3374</v>
      </c>
    </row>
    <row r="550" spans="1:13" x14ac:dyDescent="0.2">
      <c r="A550" s="1217"/>
      <c r="B550" s="166"/>
      <c r="E550" s="83"/>
      <c r="H550" t="s">
        <v>3375</v>
      </c>
      <c r="I550">
        <v>1.1299999999999999E-2</v>
      </c>
      <c r="J550" t="s">
        <v>707</v>
      </c>
      <c r="K550" t="s">
        <v>3375</v>
      </c>
      <c r="L550" s="166">
        <f t="shared" si="44"/>
        <v>5.0409300000000004</v>
      </c>
      <c r="M550" s="127" t="s">
        <v>3376</v>
      </c>
    </row>
    <row r="551" spans="1:13" x14ac:dyDescent="0.2">
      <c r="A551" s="1217"/>
      <c r="B551" s="166"/>
      <c r="E551" s="83"/>
      <c r="H551" t="s">
        <v>708</v>
      </c>
      <c r="I551">
        <v>5.2576900000000002</v>
      </c>
      <c r="J551" t="s">
        <v>709</v>
      </c>
      <c r="K551" t="s">
        <v>708</v>
      </c>
      <c r="L551" s="166">
        <f t="shared" si="44"/>
        <v>2345.4555090000003</v>
      </c>
      <c r="M551" s="127" t="s">
        <v>3377</v>
      </c>
    </row>
    <row r="552" spans="1:13" x14ac:dyDescent="0.2">
      <c r="A552" s="1217"/>
      <c r="B552" s="166"/>
      <c r="E552" s="83"/>
      <c r="H552" t="s">
        <v>3378</v>
      </c>
      <c r="I552" s="33">
        <v>1.81325E-6</v>
      </c>
      <c r="J552" t="s">
        <v>704</v>
      </c>
      <c r="K552" t="s">
        <v>3378</v>
      </c>
      <c r="L552" s="166">
        <f t="shared" si="44"/>
        <v>8.08890825E-4</v>
      </c>
      <c r="M552" s="127" t="s">
        <v>3368</v>
      </c>
    </row>
    <row r="553" spans="1:13" x14ac:dyDescent="0.2">
      <c r="A553" s="1217"/>
      <c r="B553" s="166"/>
      <c r="E553" s="83"/>
      <c r="H553" t="s">
        <v>710</v>
      </c>
      <c r="I553" s="33">
        <v>8.8601899999999996E-8</v>
      </c>
      <c r="J553" t="s">
        <v>3379</v>
      </c>
      <c r="K553" t="s">
        <v>710</v>
      </c>
      <c r="L553" s="166">
        <f t="shared" si="44"/>
        <v>3.9525307589999998E-5</v>
      </c>
      <c r="M553" s="127" t="s">
        <v>3380</v>
      </c>
    </row>
    <row r="554" spans="1:13" x14ac:dyDescent="0.2">
      <c r="A554" s="1217"/>
      <c r="B554" s="166"/>
      <c r="E554" s="83"/>
      <c r="H554" t="s">
        <v>3381</v>
      </c>
      <c r="I554">
        <v>7.2199999999999999E-3</v>
      </c>
      <c r="J554" t="s">
        <v>3382</v>
      </c>
      <c r="K554" t="s">
        <v>3381</v>
      </c>
      <c r="L554" s="166">
        <f t="shared" si="44"/>
        <v>3.2208420000000002</v>
      </c>
      <c r="M554" s="127" t="s">
        <v>3383</v>
      </c>
    </row>
    <row r="555" spans="1:13" x14ac:dyDescent="0.2">
      <c r="A555" s="1217"/>
      <c r="B555" s="166"/>
      <c r="E555" s="83"/>
      <c r="H555" t="s">
        <v>3384</v>
      </c>
      <c r="I555">
        <v>0.27448</v>
      </c>
      <c r="J555" t="s">
        <v>711</v>
      </c>
      <c r="K555" t="s">
        <v>3384</v>
      </c>
      <c r="L555" s="166">
        <f t="shared" si="44"/>
        <v>122.44552800000001</v>
      </c>
      <c r="M555" s="127" t="s">
        <v>3385</v>
      </c>
    </row>
    <row r="556" spans="1:13" x14ac:dyDescent="0.2">
      <c r="A556" s="1219"/>
      <c r="B556" s="833"/>
      <c r="C556" s="1102"/>
      <c r="D556" s="118"/>
      <c r="E556" s="1220"/>
      <c r="F556" s="118"/>
      <c r="G556" s="118"/>
      <c r="H556" s="118"/>
      <c r="I556" s="118"/>
      <c r="J556" s="118"/>
      <c r="K556" s="118"/>
      <c r="L556" s="833"/>
      <c r="M556" s="120"/>
    </row>
    <row r="557" spans="1:13" ht="48" x14ac:dyDescent="0.2">
      <c r="A557" s="486" t="s">
        <v>3422</v>
      </c>
      <c r="B557" s="845">
        <v>7.7532499722997539</v>
      </c>
      <c r="C557" s="1159" t="s">
        <v>1</v>
      </c>
      <c r="D557" s="1229">
        <v>2</v>
      </c>
      <c r="E557" s="159" t="s">
        <v>3423</v>
      </c>
      <c r="F557" s="110">
        <v>1</v>
      </c>
      <c r="G557" s="110" t="s">
        <v>3424</v>
      </c>
      <c r="H557" s="110"/>
      <c r="I557" s="110"/>
      <c r="J557" s="110"/>
      <c r="K557" s="110"/>
      <c r="L557" s="845"/>
      <c r="M557" s="112"/>
    </row>
    <row r="558" spans="1:13" x14ac:dyDescent="0.2">
      <c r="A558" s="1217"/>
      <c r="B558" s="1218">
        <f>B557/F558*D557</f>
        <v>3.1012999889199016E-2</v>
      </c>
      <c r="C558" s="1114" t="s">
        <v>3424</v>
      </c>
      <c r="D558" s="6" t="s">
        <v>577</v>
      </c>
      <c r="E558" s="83"/>
      <c r="F558">
        <v>500</v>
      </c>
      <c r="G558" t="s">
        <v>3425</v>
      </c>
      <c r="H558" t="s">
        <v>701</v>
      </c>
      <c r="I558">
        <v>500.29457000000002</v>
      </c>
      <c r="J558" t="s">
        <v>702</v>
      </c>
      <c r="K558" t="s">
        <v>701</v>
      </c>
      <c r="L558" s="166">
        <f>I558*B$558</f>
        <v>15.515635443976869</v>
      </c>
      <c r="M558" s="127" t="s">
        <v>3367</v>
      </c>
    </row>
    <row r="559" spans="1:13" x14ac:dyDescent="0.2">
      <c r="A559" s="1217"/>
      <c r="B559" s="166"/>
      <c r="E559" s="83"/>
      <c r="H559" t="s">
        <v>703</v>
      </c>
      <c r="I559" s="33">
        <v>5.0630000000000001E-2</v>
      </c>
      <c r="J559" t="s">
        <v>704</v>
      </c>
      <c r="K559" t="s">
        <v>703</v>
      </c>
      <c r="L559" s="166">
        <f t="shared" ref="L559:L567" si="45">I559*B$558</f>
        <v>1.5701881843901463E-3</v>
      </c>
      <c r="M559" s="127" t="s">
        <v>3368</v>
      </c>
    </row>
    <row r="560" spans="1:13" x14ac:dyDescent="0.2">
      <c r="A560" s="1217"/>
      <c r="B560" s="166"/>
      <c r="E560" s="83"/>
      <c r="H560" t="s">
        <v>705</v>
      </c>
      <c r="I560" s="33">
        <v>4.7383300000000004E-6</v>
      </c>
      <c r="J560" t="s">
        <v>706</v>
      </c>
      <c r="K560" t="s">
        <v>705</v>
      </c>
      <c r="L560" s="166">
        <f t="shared" si="45"/>
        <v>1.4694982776498839E-7</v>
      </c>
      <c r="M560" s="127" t="s">
        <v>3370</v>
      </c>
    </row>
    <row r="561" spans="1:13" x14ac:dyDescent="0.2">
      <c r="A561" s="1217"/>
      <c r="B561" s="166"/>
      <c r="E561" s="83"/>
      <c r="H561" t="s">
        <v>3372</v>
      </c>
      <c r="I561">
        <v>32.336289999999998</v>
      </c>
      <c r="J561" t="s">
        <v>3373</v>
      </c>
      <c r="K561" t="s">
        <v>3372</v>
      </c>
      <c r="L561" s="166">
        <f t="shared" si="45"/>
        <v>1.0028453581871073</v>
      </c>
      <c r="M561" s="127" t="s">
        <v>3374</v>
      </c>
    </row>
    <row r="562" spans="1:13" x14ac:dyDescent="0.2">
      <c r="A562" s="1217"/>
      <c r="B562" s="166"/>
      <c r="E562" s="83"/>
      <c r="H562" t="s">
        <v>3375</v>
      </c>
      <c r="I562">
        <v>330.76024999999998</v>
      </c>
      <c r="J562" t="s">
        <v>707</v>
      </c>
      <c r="K562" t="s">
        <v>3375</v>
      </c>
      <c r="L562" s="166">
        <f t="shared" si="45"/>
        <v>10.257867596601438</v>
      </c>
      <c r="M562" s="127" t="s">
        <v>3376</v>
      </c>
    </row>
    <row r="563" spans="1:13" x14ac:dyDescent="0.2">
      <c r="A563" s="1217"/>
      <c r="B563" s="166"/>
      <c r="E563" s="83"/>
      <c r="H563" t="s">
        <v>708</v>
      </c>
      <c r="I563" s="33">
        <v>96090.3</v>
      </c>
      <c r="J563" t="s">
        <v>709</v>
      </c>
      <c r="K563" t="s">
        <v>708</v>
      </c>
      <c r="L563" s="166">
        <f t="shared" si="45"/>
        <v>2980.0484632531002</v>
      </c>
      <c r="M563" s="127" t="s">
        <v>3377</v>
      </c>
    </row>
    <row r="564" spans="1:13" x14ac:dyDescent="0.2">
      <c r="A564" s="1217"/>
      <c r="B564" s="166"/>
      <c r="E564" s="83"/>
      <c r="H564" t="s">
        <v>3378</v>
      </c>
      <c r="I564" s="33">
        <v>5.6300000000000003E-2</v>
      </c>
      <c r="J564" t="s">
        <v>704</v>
      </c>
      <c r="K564" t="s">
        <v>3378</v>
      </c>
      <c r="L564" s="166">
        <f t="shared" si="45"/>
        <v>1.7460318937619046E-3</v>
      </c>
      <c r="M564" s="127" t="s">
        <v>3368</v>
      </c>
    </row>
    <row r="565" spans="1:13" x14ac:dyDescent="0.2">
      <c r="A565" s="1217"/>
      <c r="B565" s="166"/>
      <c r="E565" s="83"/>
      <c r="H565" t="s">
        <v>710</v>
      </c>
      <c r="I565" s="33">
        <v>1.3699999999999999E-3</v>
      </c>
      <c r="J565" t="s">
        <v>3379</v>
      </c>
      <c r="K565" t="s">
        <v>710</v>
      </c>
      <c r="L565" s="166">
        <f t="shared" si="45"/>
        <v>4.2487809848202647E-5</v>
      </c>
      <c r="M565" s="127" t="s">
        <v>3380</v>
      </c>
    </row>
    <row r="566" spans="1:13" x14ac:dyDescent="0.2">
      <c r="A566" s="1217"/>
      <c r="B566" s="166"/>
      <c r="E566" s="83"/>
      <c r="H566" t="s">
        <v>3381</v>
      </c>
      <c r="I566">
        <v>145.08896999999999</v>
      </c>
      <c r="J566" t="s">
        <v>3382</v>
      </c>
      <c r="K566" t="s">
        <v>3381</v>
      </c>
      <c r="L566" s="166">
        <f t="shared" si="45"/>
        <v>4.4996442105339991</v>
      </c>
      <c r="M566" s="127" t="s">
        <v>3383</v>
      </c>
    </row>
    <row r="567" spans="1:13" x14ac:dyDescent="0.2">
      <c r="A567" s="1217"/>
      <c r="B567" s="166"/>
      <c r="E567" s="83"/>
      <c r="H567" t="s">
        <v>3384</v>
      </c>
      <c r="I567">
        <v>7926.5570900000002</v>
      </c>
      <c r="J567" t="s">
        <v>711</v>
      </c>
      <c r="K567" t="s">
        <v>3384</v>
      </c>
      <c r="L567" s="166">
        <f t="shared" si="45"/>
        <v>245.82631415389969</v>
      </c>
      <c r="M567" s="127" t="s">
        <v>3385</v>
      </c>
    </row>
    <row r="568" spans="1:13" x14ac:dyDescent="0.2">
      <c r="A568" s="1219"/>
      <c r="B568" s="833"/>
      <c r="C568" s="1102"/>
      <c r="D568" s="118"/>
      <c r="E568" s="1220"/>
      <c r="F568" s="118"/>
      <c r="G568" s="118"/>
      <c r="H568" s="118"/>
      <c r="I568" s="118"/>
      <c r="J568" s="118"/>
      <c r="K568" s="118"/>
      <c r="L568" s="833"/>
      <c r="M568" s="120"/>
    </row>
    <row r="569" spans="1:13" ht="48" x14ac:dyDescent="0.2">
      <c r="A569" s="486" t="s">
        <v>3426</v>
      </c>
      <c r="B569" s="845">
        <v>3.0429075176336493</v>
      </c>
      <c r="C569" s="1159" t="s">
        <v>1</v>
      </c>
      <c r="D569" s="1229">
        <v>2</v>
      </c>
      <c r="E569" s="159" t="s">
        <v>3423</v>
      </c>
      <c r="F569" s="110">
        <v>1</v>
      </c>
      <c r="G569" s="110" t="s">
        <v>3424</v>
      </c>
      <c r="H569" s="110"/>
      <c r="I569" s="110"/>
      <c r="J569" s="110"/>
      <c r="K569" s="110"/>
      <c r="L569" s="845"/>
      <c r="M569" s="112"/>
    </row>
    <row r="570" spans="1:13" x14ac:dyDescent="0.2">
      <c r="A570" s="1217"/>
      <c r="B570" s="1218">
        <f>B569/F570*D569</f>
        <v>1.2171630070534597E-2</v>
      </c>
      <c r="C570" s="1114" t="s">
        <v>3424</v>
      </c>
      <c r="D570" s="6" t="s">
        <v>577</v>
      </c>
      <c r="E570" s="83"/>
      <c r="F570">
        <v>500</v>
      </c>
      <c r="G570" t="s">
        <v>3425</v>
      </c>
      <c r="H570" t="s">
        <v>701</v>
      </c>
      <c r="I570">
        <v>500.29457000000002</v>
      </c>
      <c r="J570" t="s">
        <v>702</v>
      </c>
      <c r="K570" t="s">
        <v>701</v>
      </c>
      <c r="L570" s="166">
        <f>I570*B$570</f>
        <v>6.0894004323371762</v>
      </c>
      <c r="M570" s="127" t="s">
        <v>3367</v>
      </c>
    </row>
    <row r="571" spans="1:13" x14ac:dyDescent="0.2">
      <c r="A571" s="1217"/>
      <c r="B571" s="166"/>
      <c r="E571" s="83"/>
      <c r="H571" t="s">
        <v>703</v>
      </c>
      <c r="I571" s="33">
        <v>5.0630000000000001E-2</v>
      </c>
      <c r="J571" t="s">
        <v>704</v>
      </c>
      <c r="K571" t="s">
        <v>703</v>
      </c>
      <c r="L571" s="166">
        <f t="shared" ref="L571:L579" si="46">I571*B$570</f>
        <v>6.1624963047116662E-4</v>
      </c>
      <c r="M571" s="127" t="s">
        <v>3368</v>
      </c>
    </row>
    <row r="572" spans="1:13" x14ac:dyDescent="0.2">
      <c r="A572" s="1217"/>
      <c r="B572" s="166"/>
      <c r="E572" s="83"/>
      <c r="H572" t="s">
        <v>705</v>
      </c>
      <c r="I572" s="33">
        <v>4.7383300000000004E-6</v>
      </c>
      <c r="J572" t="s">
        <v>706</v>
      </c>
      <c r="K572" t="s">
        <v>705</v>
      </c>
      <c r="L572" s="166">
        <f t="shared" si="46"/>
        <v>5.7673199912116203E-8</v>
      </c>
      <c r="M572" s="127" t="s">
        <v>3370</v>
      </c>
    </row>
    <row r="573" spans="1:13" x14ac:dyDescent="0.2">
      <c r="A573" s="1217"/>
      <c r="B573" s="166"/>
      <c r="E573" s="83"/>
      <c r="H573" t="s">
        <v>3372</v>
      </c>
      <c r="I573">
        <v>32.336289999999998</v>
      </c>
      <c r="J573" t="s">
        <v>3373</v>
      </c>
      <c r="K573" t="s">
        <v>3372</v>
      </c>
      <c r="L573" s="166">
        <f t="shared" si="46"/>
        <v>0.39358535973352715</v>
      </c>
      <c r="M573" s="127" t="s">
        <v>3374</v>
      </c>
    </row>
    <row r="574" spans="1:13" x14ac:dyDescent="0.2">
      <c r="A574" s="1217"/>
      <c r="B574" s="166"/>
      <c r="E574" s="83"/>
      <c r="H574" t="s">
        <v>3375</v>
      </c>
      <c r="I574">
        <v>330.76024999999998</v>
      </c>
      <c r="J574" t="s">
        <v>707</v>
      </c>
      <c r="K574" t="s">
        <v>3375</v>
      </c>
      <c r="L574" s="166">
        <f t="shared" si="46"/>
        <v>4.0258914050375409</v>
      </c>
      <c r="M574" s="127" t="s">
        <v>3376</v>
      </c>
    </row>
    <row r="575" spans="1:13" x14ac:dyDescent="0.2">
      <c r="A575" s="1217"/>
      <c r="B575" s="166"/>
      <c r="E575" s="83"/>
      <c r="H575" t="s">
        <v>708</v>
      </c>
      <c r="I575" s="33">
        <v>96090.3</v>
      </c>
      <c r="J575" t="s">
        <v>709</v>
      </c>
      <c r="K575" t="s">
        <v>708</v>
      </c>
      <c r="L575" s="166">
        <f t="shared" si="46"/>
        <v>1169.5755849666905</v>
      </c>
      <c r="M575" s="127" t="s">
        <v>3377</v>
      </c>
    </row>
    <row r="576" spans="1:13" x14ac:dyDescent="0.2">
      <c r="A576" s="1217"/>
      <c r="B576" s="166"/>
      <c r="E576" s="83"/>
      <c r="H576" t="s">
        <v>3378</v>
      </c>
      <c r="I576" s="33">
        <v>5.6300000000000003E-2</v>
      </c>
      <c r="J576" t="s">
        <v>704</v>
      </c>
      <c r="K576" t="s">
        <v>3378</v>
      </c>
      <c r="L576" s="166">
        <f t="shared" si="46"/>
        <v>6.8526277297109779E-4</v>
      </c>
      <c r="M576" s="127" t="s">
        <v>3368</v>
      </c>
    </row>
    <row r="577" spans="1:13" x14ac:dyDescent="0.2">
      <c r="A577" s="1217"/>
      <c r="B577" s="166"/>
      <c r="E577" s="83"/>
      <c r="H577" t="s">
        <v>710</v>
      </c>
      <c r="I577" s="33">
        <v>1.3699999999999999E-3</v>
      </c>
      <c r="J577" t="s">
        <v>3379</v>
      </c>
      <c r="K577" t="s">
        <v>710</v>
      </c>
      <c r="L577" s="166">
        <f t="shared" si="46"/>
        <v>1.6675133196632396E-5</v>
      </c>
      <c r="M577" s="127" t="s">
        <v>3380</v>
      </c>
    </row>
    <row r="578" spans="1:13" x14ac:dyDescent="0.2">
      <c r="A578" s="1217"/>
      <c r="B578" s="166"/>
      <c r="E578" s="83"/>
      <c r="H578" t="s">
        <v>3381</v>
      </c>
      <c r="I578">
        <v>145.08896999999999</v>
      </c>
      <c r="J578" t="s">
        <v>3382</v>
      </c>
      <c r="K578" t="s">
        <v>3381</v>
      </c>
      <c r="L578" s="166">
        <f t="shared" si="46"/>
        <v>1.7659692701548919</v>
      </c>
      <c r="M578" s="127" t="s">
        <v>3383</v>
      </c>
    </row>
    <row r="579" spans="1:13" x14ac:dyDescent="0.2">
      <c r="A579" s="1217"/>
      <c r="B579" s="166"/>
      <c r="E579" s="83"/>
      <c r="H579" t="s">
        <v>3384</v>
      </c>
      <c r="I579">
        <v>7926.5570900000002</v>
      </c>
      <c r="J579" t="s">
        <v>711</v>
      </c>
      <c r="K579" t="s">
        <v>3384</v>
      </c>
      <c r="L579" s="166">
        <f t="shared" si="46"/>
        <v>96.479120632453203</v>
      </c>
      <c r="M579" s="127" t="s">
        <v>3385</v>
      </c>
    </row>
    <row r="580" spans="1:13" x14ac:dyDescent="0.2">
      <c r="A580" s="1219"/>
      <c r="B580" s="833"/>
      <c r="C580" s="1102"/>
      <c r="D580" s="118"/>
      <c r="E580" s="1220"/>
      <c r="F580" s="118"/>
      <c r="G580" s="118"/>
      <c r="H580" s="118"/>
      <c r="I580" s="118"/>
      <c r="J580" s="118"/>
      <c r="K580" s="118"/>
      <c r="L580" s="833"/>
      <c r="M580" s="120"/>
    </row>
    <row r="581" spans="1:13" ht="16" x14ac:dyDescent="0.2">
      <c r="A581" s="486" t="s">
        <v>2486</v>
      </c>
      <c r="B581" s="845">
        <v>2838.75</v>
      </c>
      <c r="C581" s="1159" t="s">
        <v>1091</v>
      </c>
      <c r="D581" s="1229">
        <v>2</v>
      </c>
      <c r="E581" s="1216" t="s">
        <v>3388</v>
      </c>
      <c r="F581" s="110"/>
      <c r="G581" s="110"/>
      <c r="H581" s="110"/>
      <c r="I581" s="110"/>
      <c r="J581" s="110"/>
      <c r="K581" s="110"/>
      <c r="L581" s="845"/>
      <c r="M581" s="112"/>
    </row>
    <row r="582" spans="1:13" ht="16" x14ac:dyDescent="0.2">
      <c r="A582" s="1223" t="s">
        <v>3389</v>
      </c>
      <c r="B582" s="166">
        <v>644680.125</v>
      </c>
      <c r="C582" s="133" t="s">
        <v>267</v>
      </c>
      <c r="D582">
        <v>2</v>
      </c>
      <c r="F582">
        <v>1</v>
      </c>
      <c r="G582" t="s">
        <v>713</v>
      </c>
      <c r="H582" t="s">
        <v>701</v>
      </c>
      <c r="I582">
        <v>0.14229</v>
      </c>
      <c r="J582" t="s">
        <v>702</v>
      </c>
      <c r="K582" t="s">
        <v>701</v>
      </c>
      <c r="L582" s="166">
        <f>I582*B$588</f>
        <v>131.04909000000001</v>
      </c>
      <c r="M582" s="127" t="s">
        <v>3367</v>
      </c>
    </row>
    <row r="583" spans="1:13" x14ac:dyDescent="0.2">
      <c r="A583" s="1217"/>
      <c r="B583" s="166">
        <f>B582/1000</f>
        <v>644.68012499999998</v>
      </c>
      <c r="C583" s="133" t="s">
        <v>444</v>
      </c>
      <c r="E583" s="83"/>
      <c r="F583">
        <v>40</v>
      </c>
      <c r="G583" t="s">
        <v>12</v>
      </c>
      <c r="H583" t="s">
        <v>703</v>
      </c>
      <c r="I583" s="33">
        <v>2.2291000000000001E-5</v>
      </c>
      <c r="J583" t="s">
        <v>704</v>
      </c>
      <c r="K583" t="s">
        <v>703</v>
      </c>
      <c r="L583" s="166">
        <f t="shared" ref="L583:L591" si="47">I583*B$588</f>
        <v>2.0530011000000001E-2</v>
      </c>
      <c r="M583" s="127" t="s">
        <v>3368</v>
      </c>
    </row>
    <row r="584" spans="1:13" x14ac:dyDescent="0.2">
      <c r="A584" s="1217"/>
      <c r="B584" s="166">
        <v>20</v>
      </c>
      <c r="C584" s="133" t="s">
        <v>10</v>
      </c>
      <c r="D584" t="s">
        <v>3390</v>
      </c>
      <c r="E584" s="83"/>
      <c r="F584">
        <v>40</v>
      </c>
      <c r="H584" t="s">
        <v>705</v>
      </c>
      <c r="I584">
        <v>3203.5834399999999</v>
      </c>
      <c r="J584" t="s">
        <v>706</v>
      </c>
      <c r="K584" t="s">
        <v>705</v>
      </c>
      <c r="L584" s="166">
        <f t="shared" si="47"/>
        <v>2950500.3482399997</v>
      </c>
      <c r="M584" s="127" t="s">
        <v>3370</v>
      </c>
    </row>
    <row r="585" spans="1:13" x14ac:dyDescent="0.2">
      <c r="A585" s="1217"/>
      <c r="B585" s="166">
        <v>0.7</v>
      </c>
      <c r="D585" t="s">
        <v>3391</v>
      </c>
      <c r="E585" s="83"/>
      <c r="H585" t="s">
        <v>3372</v>
      </c>
      <c r="I585">
        <v>1.278E-2</v>
      </c>
      <c r="J585" t="s">
        <v>3373</v>
      </c>
      <c r="K585" t="s">
        <v>3372</v>
      </c>
      <c r="L585" s="166">
        <f t="shared" si="47"/>
        <v>11.770379999999999</v>
      </c>
      <c r="M585" s="127" t="s">
        <v>3374</v>
      </c>
    </row>
    <row r="586" spans="1:13" x14ac:dyDescent="0.2">
      <c r="A586" s="1217"/>
      <c r="B586" s="166">
        <f>B583*B584/B585</f>
        <v>18419.432142857142</v>
      </c>
      <c r="C586" s="133" t="s">
        <v>12</v>
      </c>
      <c r="E586" s="83"/>
      <c r="H586" t="s">
        <v>3375</v>
      </c>
      <c r="I586">
        <v>3.7339999999999998E-2</v>
      </c>
      <c r="J586" t="s">
        <v>707</v>
      </c>
      <c r="K586" t="s">
        <v>3375</v>
      </c>
      <c r="L586" s="166">
        <f t="shared" si="47"/>
        <v>34.390139999999995</v>
      </c>
      <c r="M586" s="127" t="s">
        <v>3376</v>
      </c>
    </row>
    <row r="587" spans="1:13" x14ac:dyDescent="0.2">
      <c r="A587" s="1217"/>
      <c r="B587" s="166">
        <f>B586*D582</f>
        <v>36838.864285714284</v>
      </c>
      <c r="C587" s="133" t="s">
        <v>12</v>
      </c>
      <c r="E587" s="83"/>
      <c r="H587" t="s">
        <v>708</v>
      </c>
      <c r="I587">
        <v>9.0477000000000007</v>
      </c>
      <c r="J587" t="s">
        <v>709</v>
      </c>
      <c r="K587" t="s">
        <v>708</v>
      </c>
      <c r="L587" s="166">
        <f t="shared" si="47"/>
        <v>8332.931700000001</v>
      </c>
      <c r="M587" s="127" t="s">
        <v>3377</v>
      </c>
    </row>
    <row r="588" spans="1:13" x14ac:dyDescent="0.2">
      <c r="A588" s="1217"/>
      <c r="B588" s="1218">
        <f>ROUNDUP(B587/F584,0)</f>
        <v>921</v>
      </c>
      <c r="C588" s="1114" t="s">
        <v>3392</v>
      </c>
      <c r="D588" s="6" t="s">
        <v>577</v>
      </c>
      <c r="E588" s="83"/>
      <c r="H588" t="s">
        <v>3378</v>
      </c>
      <c r="I588" s="33">
        <v>3.5905399999999997E-5</v>
      </c>
      <c r="J588" t="s">
        <v>704</v>
      </c>
      <c r="K588" t="s">
        <v>3378</v>
      </c>
      <c r="L588" s="166">
        <f t="shared" si="47"/>
        <v>3.3068873399999997E-2</v>
      </c>
      <c r="M588" s="127" t="s">
        <v>3368</v>
      </c>
    </row>
    <row r="589" spans="1:13" x14ac:dyDescent="0.2">
      <c r="A589" s="1217"/>
      <c r="B589" s="166"/>
      <c r="E589" s="83"/>
      <c r="H589" t="s">
        <v>710</v>
      </c>
      <c r="I589" s="33">
        <v>1.7364199999999999E-7</v>
      </c>
      <c r="J589" t="s">
        <v>3379</v>
      </c>
      <c r="K589" t="s">
        <v>710</v>
      </c>
      <c r="L589" s="166">
        <f t="shared" si="47"/>
        <v>1.5992428199999999E-4</v>
      </c>
      <c r="M589" s="127" t="s">
        <v>3380</v>
      </c>
    </row>
    <row r="590" spans="1:13" x14ac:dyDescent="0.2">
      <c r="A590" s="1217"/>
      <c r="B590" s="166"/>
      <c r="E590" s="83"/>
      <c r="H590" t="s">
        <v>3381</v>
      </c>
      <c r="I590">
        <v>2.9360000000000001E-2</v>
      </c>
      <c r="J590" t="s">
        <v>3382</v>
      </c>
      <c r="K590" t="s">
        <v>3381</v>
      </c>
      <c r="L590" s="166">
        <f t="shared" si="47"/>
        <v>27.040559999999999</v>
      </c>
      <c r="M590" s="127" t="s">
        <v>3383</v>
      </c>
    </row>
    <row r="591" spans="1:13" x14ac:dyDescent="0.2">
      <c r="A591" s="1217"/>
      <c r="B591" s="166"/>
      <c r="E591" s="83"/>
      <c r="H591" t="s">
        <v>3384</v>
      </c>
      <c r="I591">
        <v>0.84404000000000001</v>
      </c>
      <c r="J591" t="s">
        <v>711</v>
      </c>
      <c r="K591" t="s">
        <v>3384</v>
      </c>
      <c r="L591" s="166">
        <f t="shared" si="47"/>
        <v>777.36084000000005</v>
      </c>
      <c r="M591" s="127" t="s">
        <v>3385</v>
      </c>
    </row>
    <row r="592" spans="1:13" x14ac:dyDescent="0.2">
      <c r="A592" s="1219"/>
      <c r="B592" s="833"/>
      <c r="C592" s="1102"/>
      <c r="D592" s="118"/>
      <c r="E592" s="1220"/>
      <c r="F592" s="118"/>
      <c r="G592" s="118"/>
      <c r="H592" s="118"/>
      <c r="I592" s="118"/>
      <c r="J592" s="118"/>
      <c r="K592" s="118"/>
      <c r="L592" s="833"/>
      <c r="M592" s="120"/>
    </row>
    <row r="593" spans="1:13" ht="16" x14ac:dyDescent="0.2">
      <c r="A593" s="486" t="s">
        <v>2487</v>
      </c>
      <c r="B593" s="845">
        <v>315.41666666666669</v>
      </c>
      <c r="C593" s="1159" t="s">
        <v>1091</v>
      </c>
      <c r="D593" s="1229">
        <v>2</v>
      </c>
      <c r="E593" s="1216" t="s">
        <v>3388</v>
      </c>
      <c r="F593" s="110"/>
      <c r="G593" s="110"/>
      <c r="H593" s="110"/>
      <c r="I593" s="110"/>
      <c r="J593" s="110"/>
      <c r="K593" s="110"/>
      <c r="L593" s="845"/>
      <c r="M593" s="112"/>
    </row>
    <row r="594" spans="1:13" ht="16" x14ac:dyDescent="0.2">
      <c r="A594" s="1223" t="s">
        <v>3389</v>
      </c>
      <c r="B594" s="166">
        <v>71631.125</v>
      </c>
      <c r="C594" s="133" t="s">
        <v>267</v>
      </c>
      <c r="D594">
        <v>2</v>
      </c>
      <c r="F594">
        <v>1</v>
      </c>
      <c r="G594" t="s">
        <v>713</v>
      </c>
      <c r="H594" t="s">
        <v>701</v>
      </c>
      <c r="I594">
        <v>0.14229</v>
      </c>
      <c r="J594" t="s">
        <v>702</v>
      </c>
      <c r="K594" t="s">
        <v>701</v>
      </c>
      <c r="L594" s="166">
        <f>I594*B$600</f>
        <v>14.65587</v>
      </c>
      <c r="M594" s="127" t="s">
        <v>3367</v>
      </c>
    </row>
    <row r="595" spans="1:13" x14ac:dyDescent="0.2">
      <c r="A595" s="1217"/>
      <c r="B595" s="166">
        <f>B594/1000</f>
        <v>71.631124999999997</v>
      </c>
      <c r="C595" s="133" t="s">
        <v>444</v>
      </c>
      <c r="E595" s="83"/>
      <c r="F595">
        <v>40</v>
      </c>
      <c r="G595" t="s">
        <v>12</v>
      </c>
      <c r="H595" t="s">
        <v>703</v>
      </c>
      <c r="I595" s="33">
        <v>2.2291000000000001E-5</v>
      </c>
      <c r="J595" t="s">
        <v>704</v>
      </c>
      <c r="K595" t="s">
        <v>703</v>
      </c>
      <c r="L595" s="166">
        <f t="shared" ref="L595:L603" si="48">I595*B$600</f>
        <v>2.2959730000000002E-3</v>
      </c>
      <c r="M595" s="127" t="s">
        <v>3368</v>
      </c>
    </row>
    <row r="596" spans="1:13" x14ac:dyDescent="0.2">
      <c r="A596" s="1217"/>
      <c r="B596" s="166">
        <v>20</v>
      </c>
      <c r="C596" s="133" t="s">
        <v>10</v>
      </c>
      <c r="D596" t="s">
        <v>3390</v>
      </c>
      <c r="E596" s="83"/>
      <c r="F596">
        <v>40</v>
      </c>
      <c r="H596" t="s">
        <v>705</v>
      </c>
      <c r="I596">
        <v>3203.5834399999999</v>
      </c>
      <c r="J596" t="s">
        <v>706</v>
      </c>
      <c r="K596" t="s">
        <v>705</v>
      </c>
      <c r="L596" s="166">
        <f t="shared" si="48"/>
        <v>329969.09431999997</v>
      </c>
      <c r="M596" s="127" t="s">
        <v>3370</v>
      </c>
    </row>
    <row r="597" spans="1:13" x14ac:dyDescent="0.2">
      <c r="A597" s="1217"/>
      <c r="B597" s="166">
        <v>0.7</v>
      </c>
      <c r="D597" t="s">
        <v>3391</v>
      </c>
      <c r="E597" s="83"/>
      <c r="H597" t="s">
        <v>3372</v>
      </c>
      <c r="I597">
        <v>1.278E-2</v>
      </c>
      <c r="J597" t="s">
        <v>3373</v>
      </c>
      <c r="K597" t="s">
        <v>3372</v>
      </c>
      <c r="L597" s="166">
        <f t="shared" si="48"/>
        <v>1.3163400000000001</v>
      </c>
      <c r="M597" s="127" t="s">
        <v>3374</v>
      </c>
    </row>
    <row r="598" spans="1:13" x14ac:dyDescent="0.2">
      <c r="A598" s="1217"/>
      <c r="B598" s="166">
        <f>B595*B596/B597</f>
        <v>2046.6035714285715</v>
      </c>
      <c r="C598" s="133" t="s">
        <v>12</v>
      </c>
      <c r="E598" s="83"/>
      <c r="H598" t="s">
        <v>3375</v>
      </c>
      <c r="I598">
        <v>3.7339999999999998E-2</v>
      </c>
      <c r="J598" t="s">
        <v>707</v>
      </c>
      <c r="K598" t="s">
        <v>3375</v>
      </c>
      <c r="L598" s="166">
        <f t="shared" si="48"/>
        <v>3.8460199999999998</v>
      </c>
      <c r="M598" s="127" t="s">
        <v>3376</v>
      </c>
    </row>
    <row r="599" spans="1:13" x14ac:dyDescent="0.2">
      <c r="A599" s="1217"/>
      <c r="B599" s="166">
        <f>B598*D594</f>
        <v>4093.207142857143</v>
      </c>
      <c r="C599" s="133" t="s">
        <v>12</v>
      </c>
      <c r="E599" s="83"/>
      <c r="H599" t="s">
        <v>708</v>
      </c>
      <c r="I599">
        <v>9.0477000000000007</v>
      </c>
      <c r="J599" t="s">
        <v>709</v>
      </c>
      <c r="K599" t="s">
        <v>708</v>
      </c>
      <c r="L599" s="166">
        <f t="shared" si="48"/>
        <v>931.9131000000001</v>
      </c>
      <c r="M599" s="127" t="s">
        <v>3377</v>
      </c>
    </row>
    <row r="600" spans="1:13" x14ac:dyDescent="0.2">
      <c r="A600" s="1217"/>
      <c r="B600" s="1218">
        <f>ROUNDUP(B599/F596,0)</f>
        <v>103</v>
      </c>
      <c r="C600" s="1114" t="s">
        <v>3392</v>
      </c>
      <c r="D600" s="6" t="s">
        <v>577</v>
      </c>
      <c r="E600" s="83"/>
      <c r="H600" t="s">
        <v>3378</v>
      </c>
      <c r="I600" s="33">
        <v>3.5905399999999997E-5</v>
      </c>
      <c r="J600" t="s">
        <v>704</v>
      </c>
      <c r="K600" t="s">
        <v>3378</v>
      </c>
      <c r="L600" s="166">
        <f t="shared" si="48"/>
        <v>3.6982561999999997E-3</v>
      </c>
      <c r="M600" s="127" t="s">
        <v>3368</v>
      </c>
    </row>
    <row r="601" spans="1:13" x14ac:dyDescent="0.2">
      <c r="A601" s="1217"/>
      <c r="B601" s="166"/>
      <c r="E601" s="83"/>
      <c r="H601" t="s">
        <v>710</v>
      </c>
      <c r="I601" s="33">
        <v>1.7364199999999999E-7</v>
      </c>
      <c r="J601" t="s">
        <v>3379</v>
      </c>
      <c r="K601" t="s">
        <v>710</v>
      </c>
      <c r="L601" s="166">
        <f t="shared" si="48"/>
        <v>1.7885126E-5</v>
      </c>
      <c r="M601" s="127" t="s">
        <v>3380</v>
      </c>
    </row>
    <row r="602" spans="1:13" x14ac:dyDescent="0.2">
      <c r="A602" s="1217"/>
      <c r="B602" s="166"/>
      <c r="E602" s="83"/>
      <c r="H602" t="s">
        <v>3381</v>
      </c>
      <c r="I602">
        <v>2.9360000000000001E-2</v>
      </c>
      <c r="J602" t="s">
        <v>3382</v>
      </c>
      <c r="K602" t="s">
        <v>3381</v>
      </c>
      <c r="L602" s="166">
        <f t="shared" si="48"/>
        <v>3.0240800000000001</v>
      </c>
      <c r="M602" s="127" t="s">
        <v>3383</v>
      </c>
    </row>
    <row r="603" spans="1:13" x14ac:dyDescent="0.2">
      <c r="A603" s="1217"/>
      <c r="B603" s="166"/>
      <c r="E603" s="83"/>
      <c r="H603" t="s">
        <v>3384</v>
      </c>
      <c r="I603">
        <v>0.84404000000000001</v>
      </c>
      <c r="J603" t="s">
        <v>711</v>
      </c>
      <c r="K603" t="s">
        <v>3384</v>
      </c>
      <c r="L603" s="166">
        <f t="shared" si="48"/>
        <v>86.936120000000003</v>
      </c>
      <c r="M603" s="127" t="s">
        <v>3385</v>
      </c>
    </row>
    <row r="604" spans="1:13" x14ac:dyDescent="0.2">
      <c r="A604" s="1219"/>
      <c r="B604" s="833"/>
      <c r="C604" s="1102"/>
      <c r="D604" s="118"/>
      <c r="E604" s="1220"/>
      <c r="F604" s="118"/>
      <c r="G604" s="118"/>
      <c r="H604" s="118"/>
      <c r="I604" s="118"/>
      <c r="J604" s="118"/>
      <c r="K604" s="118"/>
      <c r="L604" s="833"/>
      <c r="M604" s="120"/>
    </row>
    <row r="605" spans="1:13" ht="16" x14ac:dyDescent="0.2">
      <c r="A605" s="486" t="s">
        <v>2488</v>
      </c>
      <c r="B605" s="845">
        <v>788.54166666666663</v>
      </c>
      <c r="C605" s="1159" t="s">
        <v>1091</v>
      </c>
      <c r="D605" s="1229">
        <v>2</v>
      </c>
      <c r="E605" s="1216" t="s">
        <v>3388</v>
      </c>
      <c r="F605" s="110"/>
      <c r="G605" s="110"/>
      <c r="H605" s="110"/>
      <c r="I605" s="110"/>
      <c r="J605" s="110"/>
      <c r="K605" s="110"/>
      <c r="L605" s="845"/>
      <c r="M605" s="112"/>
    </row>
    <row r="606" spans="1:13" ht="16" x14ac:dyDescent="0.2">
      <c r="A606" s="1223" t="s">
        <v>3389</v>
      </c>
      <c r="B606" s="166">
        <v>179077.8125</v>
      </c>
      <c r="C606" s="133" t="s">
        <v>267</v>
      </c>
      <c r="D606">
        <v>2</v>
      </c>
      <c r="F606">
        <v>1</v>
      </c>
      <c r="G606" t="s">
        <v>713</v>
      </c>
      <c r="H606" t="s">
        <v>701</v>
      </c>
      <c r="I606">
        <v>0.14229</v>
      </c>
      <c r="J606" t="s">
        <v>702</v>
      </c>
      <c r="K606" t="s">
        <v>701</v>
      </c>
      <c r="L606" s="166">
        <f>I606*B$612</f>
        <v>36.42624</v>
      </c>
      <c r="M606" s="127" t="s">
        <v>3367</v>
      </c>
    </row>
    <row r="607" spans="1:13" x14ac:dyDescent="0.2">
      <c r="A607" s="1217"/>
      <c r="B607" s="166">
        <f>B606/1000</f>
        <v>179.07781249999999</v>
      </c>
      <c r="C607" s="133" t="s">
        <v>444</v>
      </c>
      <c r="E607" s="83"/>
      <c r="F607">
        <v>40</v>
      </c>
      <c r="G607" t="s">
        <v>12</v>
      </c>
      <c r="H607" t="s">
        <v>703</v>
      </c>
      <c r="I607" s="33">
        <v>2.2291000000000001E-5</v>
      </c>
      <c r="J607" t="s">
        <v>704</v>
      </c>
      <c r="K607" t="s">
        <v>703</v>
      </c>
      <c r="L607" s="166">
        <f t="shared" ref="L607:L615" si="49">I607*B$612</f>
        <v>5.7064960000000001E-3</v>
      </c>
      <c r="M607" s="127" t="s">
        <v>3368</v>
      </c>
    </row>
    <row r="608" spans="1:13" x14ac:dyDescent="0.2">
      <c r="A608" s="1217"/>
      <c r="B608" s="166">
        <v>20</v>
      </c>
      <c r="C608" s="133" t="s">
        <v>10</v>
      </c>
      <c r="D608" t="s">
        <v>3390</v>
      </c>
      <c r="E608" s="83"/>
      <c r="F608">
        <v>40</v>
      </c>
      <c r="H608" t="s">
        <v>705</v>
      </c>
      <c r="I608">
        <v>3203.5834399999999</v>
      </c>
      <c r="J608" t="s">
        <v>706</v>
      </c>
      <c r="K608" t="s">
        <v>705</v>
      </c>
      <c r="L608" s="166">
        <f t="shared" si="49"/>
        <v>820117.36063999997</v>
      </c>
      <c r="M608" s="127" t="s">
        <v>3370</v>
      </c>
    </row>
    <row r="609" spans="1:13" x14ac:dyDescent="0.2">
      <c r="A609" s="1217"/>
      <c r="B609" s="166">
        <v>0.7</v>
      </c>
      <c r="D609" t="s">
        <v>3391</v>
      </c>
      <c r="E609" s="83"/>
      <c r="H609" t="s">
        <v>3372</v>
      </c>
      <c r="I609">
        <v>1.278E-2</v>
      </c>
      <c r="J609" t="s">
        <v>3373</v>
      </c>
      <c r="K609" t="s">
        <v>3372</v>
      </c>
      <c r="L609" s="166">
        <f t="shared" si="49"/>
        <v>3.2716799999999999</v>
      </c>
      <c r="M609" s="127" t="s">
        <v>3374</v>
      </c>
    </row>
    <row r="610" spans="1:13" x14ac:dyDescent="0.2">
      <c r="A610" s="1217"/>
      <c r="B610" s="166">
        <f>B607*B608/B609</f>
        <v>5116.5089285714284</v>
      </c>
      <c r="C610" s="133" t="s">
        <v>12</v>
      </c>
      <c r="E610" s="83"/>
      <c r="H610" t="s">
        <v>3375</v>
      </c>
      <c r="I610">
        <v>3.7339999999999998E-2</v>
      </c>
      <c r="J610" t="s">
        <v>707</v>
      </c>
      <c r="K610" t="s">
        <v>3375</v>
      </c>
      <c r="L610" s="166">
        <f t="shared" si="49"/>
        <v>9.5590399999999995</v>
      </c>
      <c r="M610" s="127" t="s">
        <v>3376</v>
      </c>
    </row>
    <row r="611" spans="1:13" x14ac:dyDescent="0.2">
      <c r="A611" s="1217"/>
      <c r="B611" s="166">
        <f>B610*D606</f>
        <v>10233.017857142857</v>
      </c>
      <c r="C611" s="133" t="s">
        <v>12</v>
      </c>
      <c r="E611" s="83"/>
      <c r="H611" t="s">
        <v>708</v>
      </c>
      <c r="I611">
        <v>9.0477000000000007</v>
      </c>
      <c r="J611" t="s">
        <v>709</v>
      </c>
      <c r="K611" t="s">
        <v>708</v>
      </c>
      <c r="L611" s="166">
        <f t="shared" si="49"/>
        <v>2316.2112000000002</v>
      </c>
      <c r="M611" s="127" t="s">
        <v>3377</v>
      </c>
    </row>
    <row r="612" spans="1:13" x14ac:dyDescent="0.2">
      <c r="A612" s="1217"/>
      <c r="B612" s="1218">
        <f>ROUNDUP(B611/F608,0)</f>
        <v>256</v>
      </c>
      <c r="C612" s="1114" t="s">
        <v>3392</v>
      </c>
      <c r="D612" s="6" t="s">
        <v>577</v>
      </c>
      <c r="E612" s="83"/>
      <c r="H612" t="s">
        <v>3378</v>
      </c>
      <c r="I612" s="33">
        <v>3.5905399999999997E-5</v>
      </c>
      <c r="J612" t="s">
        <v>704</v>
      </c>
      <c r="K612" t="s">
        <v>3378</v>
      </c>
      <c r="L612" s="166">
        <f t="shared" si="49"/>
        <v>9.1917823999999992E-3</v>
      </c>
      <c r="M612" s="127" t="s">
        <v>3368</v>
      </c>
    </row>
    <row r="613" spans="1:13" x14ac:dyDescent="0.2">
      <c r="A613" s="1217"/>
      <c r="B613" s="166"/>
      <c r="E613" s="83"/>
      <c r="H613" t="s">
        <v>710</v>
      </c>
      <c r="I613" s="33">
        <v>1.7364199999999999E-7</v>
      </c>
      <c r="J613" t="s">
        <v>3379</v>
      </c>
      <c r="K613" t="s">
        <v>710</v>
      </c>
      <c r="L613" s="166">
        <f t="shared" si="49"/>
        <v>4.4452351999999997E-5</v>
      </c>
      <c r="M613" s="127" t="s">
        <v>3380</v>
      </c>
    </row>
    <row r="614" spans="1:13" x14ac:dyDescent="0.2">
      <c r="A614" s="1217"/>
      <c r="B614" s="166"/>
      <c r="E614" s="83"/>
      <c r="H614" t="s">
        <v>3381</v>
      </c>
      <c r="I614">
        <v>2.9360000000000001E-2</v>
      </c>
      <c r="J614" t="s">
        <v>3382</v>
      </c>
      <c r="K614" t="s">
        <v>3381</v>
      </c>
      <c r="L614" s="166">
        <f t="shared" si="49"/>
        <v>7.5161600000000002</v>
      </c>
      <c r="M614" s="127" t="s">
        <v>3383</v>
      </c>
    </row>
    <row r="615" spans="1:13" x14ac:dyDescent="0.2">
      <c r="A615" s="1217"/>
      <c r="B615" s="166"/>
      <c r="E615" s="83"/>
      <c r="H615" t="s">
        <v>3384</v>
      </c>
      <c r="I615">
        <v>0.84404000000000001</v>
      </c>
      <c r="J615" t="s">
        <v>711</v>
      </c>
      <c r="K615" t="s">
        <v>3384</v>
      </c>
      <c r="L615" s="166">
        <f t="shared" si="49"/>
        <v>216.07424</v>
      </c>
      <c r="M615" s="127" t="s">
        <v>3385</v>
      </c>
    </row>
    <row r="616" spans="1:13" x14ac:dyDescent="0.2">
      <c r="A616" s="1219"/>
      <c r="B616" s="833"/>
      <c r="C616" s="1102"/>
      <c r="D616" s="118"/>
      <c r="E616" s="1220"/>
      <c r="F616" s="118"/>
      <c r="G616" s="118"/>
      <c r="H616" s="118"/>
      <c r="I616" s="118"/>
      <c r="J616" s="118"/>
      <c r="K616" s="118"/>
      <c r="L616" s="833"/>
      <c r="M616" s="120"/>
    </row>
    <row r="617" spans="1:13" ht="32" x14ac:dyDescent="0.2">
      <c r="A617" s="486" t="s">
        <v>1564</v>
      </c>
      <c r="B617" s="845">
        <v>45000</v>
      </c>
      <c r="C617" s="1159" t="s">
        <v>267</v>
      </c>
      <c r="D617" s="1229">
        <v>2</v>
      </c>
      <c r="E617" s="1230" t="s">
        <v>3427</v>
      </c>
      <c r="F617" s="110">
        <v>1</v>
      </c>
      <c r="G617" s="110" t="s">
        <v>3428</v>
      </c>
      <c r="H617" s="110"/>
      <c r="I617" s="110"/>
      <c r="J617" s="110"/>
      <c r="K617" s="110"/>
      <c r="L617" s="845"/>
      <c r="M617" s="112"/>
    </row>
    <row r="618" spans="1:13" x14ac:dyDescent="0.2">
      <c r="A618" s="1217"/>
      <c r="B618" s="166">
        <f>F618*10</f>
        <v>25000</v>
      </c>
      <c r="C618" s="133" t="s">
        <v>267</v>
      </c>
      <c r="E618" s="83"/>
      <c r="F618">
        <v>2500</v>
      </c>
      <c r="G618" t="s">
        <v>3421</v>
      </c>
      <c r="H618" t="s">
        <v>701</v>
      </c>
      <c r="I618">
        <v>131.79313999999999</v>
      </c>
      <c r="J618" t="s">
        <v>702</v>
      </c>
      <c r="K618" t="s">
        <v>701</v>
      </c>
      <c r="L618" s="166">
        <f>I618*B$619</f>
        <v>474.45530400000001</v>
      </c>
      <c r="M618" s="127" t="s">
        <v>3367</v>
      </c>
    </row>
    <row r="619" spans="1:13" x14ac:dyDescent="0.2">
      <c r="A619" s="1217"/>
      <c r="B619" s="1218">
        <f>B617/B618*D617</f>
        <v>3.6</v>
      </c>
      <c r="C619" s="1114" t="s">
        <v>3429</v>
      </c>
      <c r="D619" s="6" t="s">
        <v>577</v>
      </c>
      <c r="E619" s="83"/>
      <c r="H619" t="s">
        <v>703</v>
      </c>
      <c r="I619">
        <v>1.6650000000000002E-2</v>
      </c>
      <c r="J619" t="s">
        <v>704</v>
      </c>
      <c r="K619" t="s">
        <v>703</v>
      </c>
      <c r="L619" s="166">
        <f t="shared" ref="L619:L627" si="50">I619*B$619</f>
        <v>5.9940000000000007E-2</v>
      </c>
      <c r="M619" s="127" t="s">
        <v>3368</v>
      </c>
    </row>
    <row r="620" spans="1:13" x14ac:dyDescent="0.2">
      <c r="A620" s="1217"/>
      <c r="B620" s="166"/>
      <c r="E620" s="83"/>
      <c r="H620" t="s">
        <v>705</v>
      </c>
      <c r="I620" s="33">
        <v>3506090</v>
      </c>
      <c r="J620" t="s">
        <v>706</v>
      </c>
      <c r="K620" t="s">
        <v>705</v>
      </c>
      <c r="L620" s="166">
        <f t="shared" si="50"/>
        <v>12621924</v>
      </c>
      <c r="M620" s="127" t="s">
        <v>3370</v>
      </c>
    </row>
    <row r="621" spans="1:13" x14ac:dyDescent="0.2">
      <c r="A621" s="1217"/>
      <c r="B621" s="166"/>
      <c r="E621" s="83"/>
      <c r="H621" t="s">
        <v>3372</v>
      </c>
      <c r="I621">
        <v>23.977810000000002</v>
      </c>
      <c r="J621" t="s">
        <v>3373</v>
      </c>
      <c r="K621" t="s">
        <v>3372</v>
      </c>
      <c r="L621" s="166">
        <f t="shared" si="50"/>
        <v>86.320116000000013</v>
      </c>
      <c r="M621" s="127" t="s">
        <v>3374</v>
      </c>
    </row>
    <row r="622" spans="1:13" x14ac:dyDescent="0.2">
      <c r="A622" s="1217"/>
      <c r="B622" s="166"/>
      <c r="E622" s="83"/>
      <c r="H622" t="s">
        <v>3375</v>
      </c>
      <c r="I622">
        <v>72.539479999999998</v>
      </c>
      <c r="J622" t="s">
        <v>707</v>
      </c>
      <c r="K622" t="s">
        <v>3375</v>
      </c>
      <c r="L622" s="166">
        <f t="shared" si="50"/>
        <v>261.14212800000001</v>
      </c>
      <c r="M622" s="127" t="s">
        <v>3376</v>
      </c>
    </row>
    <row r="623" spans="1:13" x14ac:dyDescent="0.2">
      <c r="A623" s="1217"/>
      <c r="B623" s="166"/>
      <c r="E623" s="83"/>
      <c r="H623" t="s">
        <v>708</v>
      </c>
      <c r="I623" s="33">
        <v>22858.9</v>
      </c>
      <c r="J623" t="s">
        <v>709</v>
      </c>
      <c r="K623" t="s">
        <v>708</v>
      </c>
      <c r="L623" s="166">
        <f t="shared" si="50"/>
        <v>82292.040000000008</v>
      </c>
      <c r="M623" s="127" t="s">
        <v>3377</v>
      </c>
    </row>
    <row r="624" spans="1:13" x14ac:dyDescent="0.2">
      <c r="A624" s="1217"/>
      <c r="B624" s="166"/>
      <c r="E624" s="83"/>
      <c r="H624" t="s">
        <v>3378</v>
      </c>
      <c r="I624">
        <v>3.8490000000000003E-2</v>
      </c>
      <c r="J624" t="s">
        <v>704</v>
      </c>
      <c r="K624" t="s">
        <v>3378</v>
      </c>
      <c r="L624" s="166">
        <f t="shared" si="50"/>
        <v>0.13856400000000002</v>
      </c>
      <c r="M624" s="127" t="s">
        <v>3368</v>
      </c>
    </row>
    <row r="625" spans="1:13" x14ac:dyDescent="0.2">
      <c r="A625" s="1217"/>
      <c r="B625" s="166"/>
      <c r="H625" t="s">
        <v>710</v>
      </c>
      <c r="I625">
        <v>1.14E-3</v>
      </c>
      <c r="J625" t="s">
        <v>3379</v>
      </c>
      <c r="K625" t="s">
        <v>710</v>
      </c>
      <c r="L625" s="166">
        <f t="shared" si="50"/>
        <v>4.104E-3</v>
      </c>
      <c r="M625" s="127" t="s">
        <v>3380</v>
      </c>
    </row>
    <row r="626" spans="1:13" x14ac:dyDescent="0.2">
      <c r="A626" s="1217"/>
      <c r="B626" s="166"/>
      <c r="E626" s="83"/>
      <c r="H626" t="s">
        <v>3381</v>
      </c>
      <c r="I626">
        <v>34.951729999999998</v>
      </c>
      <c r="J626" t="s">
        <v>3382</v>
      </c>
      <c r="K626" t="s">
        <v>3381</v>
      </c>
      <c r="L626" s="166">
        <f t="shared" si="50"/>
        <v>125.826228</v>
      </c>
      <c r="M626" s="127" t="s">
        <v>3383</v>
      </c>
    </row>
    <row r="627" spans="1:13" x14ac:dyDescent="0.2">
      <c r="A627" s="1217"/>
      <c r="B627" s="166"/>
      <c r="E627" s="83"/>
      <c r="H627" t="s">
        <v>3384</v>
      </c>
      <c r="I627">
        <v>1697.46082</v>
      </c>
      <c r="J627" t="s">
        <v>711</v>
      </c>
      <c r="K627" t="s">
        <v>3384</v>
      </c>
      <c r="L627" s="166">
        <f t="shared" si="50"/>
        <v>6110.8589520000005</v>
      </c>
      <c r="M627" s="127" t="s">
        <v>3385</v>
      </c>
    </row>
    <row r="628" spans="1:13" x14ac:dyDescent="0.2">
      <c r="A628" s="1219"/>
      <c r="B628" s="833"/>
      <c r="C628" s="1102"/>
      <c r="D628" s="118"/>
      <c r="E628" s="1220"/>
      <c r="F628" s="118"/>
      <c r="G628" s="118"/>
      <c r="H628" s="118"/>
      <c r="I628" s="118"/>
      <c r="J628" s="118"/>
      <c r="K628" s="118"/>
      <c r="L628" s="833"/>
      <c r="M628" s="120"/>
    </row>
    <row r="629" spans="1:13" ht="32" x14ac:dyDescent="0.2">
      <c r="A629" s="486" t="s">
        <v>1565</v>
      </c>
      <c r="B629" s="845">
        <v>6250</v>
      </c>
      <c r="C629" s="1159" t="s">
        <v>267</v>
      </c>
      <c r="D629" s="1229">
        <v>2</v>
      </c>
      <c r="E629" s="1230" t="s">
        <v>3427</v>
      </c>
      <c r="F629" s="110">
        <v>1</v>
      </c>
      <c r="G629" s="110" t="s">
        <v>3428</v>
      </c>
      <c r="H629" s="110"/>
      <c r="I629" s="110"/>
      <c r="J629" s="110"/>
      <c r="K629" s="110"/>
      <c r="L629" s="845"/>
      <c r="M629" s="112"/>
    </row>
    <row r="630" spans="1:13" x14ac:dyDescent="0.2">
      <c r="A630" s="1217"/>
      <c r="B630" s="166">
        <f>F630*10</f>
        <v>25000</v>
      </c>
      <c r="C630" s="133" t="s">
        <v>267</v>
      </c>
      <c r="E630" s="83"/>
      <c r="F630">
        <v>2500</v>
      </c>
      <c r="G630" t="s">
        <v>3421</v>
      </c>
      <c r="H630" t="s">
        <v>701</v>
      </c>
      <c r="I630">
        <v>131.79313999999999</v>
      </c>
      <c r="J630" t="s">
        <v>702</v>
      </c>
      <c r="K630" t="s">
        <v>701</v>
      </c>
      <c r="L630" s="166">
        <f>I630*B$631</f>
        <v>263.58627999999999</v>
      </c>
      <c r="M630" s="127" t="s">
        <v>3367</v>
      </c>
    </row>
    <row r="631" spans="1:13" x14ac:dyDescent="0.2">
      <c r="A631" s="1217"/>
      <c r="B631" s="1218">
        <f>ROUNDUP(B629/B630,0)*D629</f>
        <v>2</v>
      </c>
      <c r="C631" s="1114" t="s">
        <v>3429</v>
      </c>
      <c r="D631" s="6" t="s">
        <v>577</v>
      </c>
      <c r="E631" s="83"/>
      <c r="H631" t="s">
        <v>703</v>
      </c>
      <c r="I631">
        <v>1.6650000000000002E-2</v>
      </c>
      <c r="J631" t="s">
        <v>704</v>
      </c>
      <c r="K631" t="s">
        <v>703</v>
      </c>
      <c r="L631" s="166">
        <f t="shared" ref="L631:L639" si="51">I631*B$631</f>
        <v>3.3300000000000003E-2</v>
      </c>
      <c r="M631" s="127" t="s">
        <v>3368</v>
      </c>
    </row>
    <row r="632" spans="1:13" x14ac:dyDescent="0.2">
      <c r="A632" s="1217"/>
      <c r="B632" s="166"/>
      <c r="E632" s="83"/>
      <c r="H632" t="s">
        <v>705</v>
      </c>
      <c r="I632" s="33">
        <v>3506090</v>
      </c>
      <c r="J632" t="s">
        <v>706</v>
      </c>
      <c r="K632" t="s">
        <v>705</v>
      </c>
      <c r="L632" s="166">
        <f t="shared" si="51"/>
        <v>7012180</v>
      </c>
      <c r="M632" s="127" t="s">
        <v>3370</v>
      </c>
    </row>
    <row r="633" spans="1:13" x14ac:dyDescent="0.2">
      <c r="A633" s="1217"/>
      <c r="B633" s="166"/>
      <c r="E633" s="83"/>
      <c r="H633" t="s">
        <v>3372</v>
      </c>
      <c r="I633">
        <v>23.977810000000002</v>
      </c>
      <c r="J633" t="s">
        <v>3373</v>
      </c>
      <c r="K633" t="s">
        <v>3372</v>
      </c>
      <c r="L633" s="166">
        <f t="shared" si="51"/>
        <v>47.955620000000003</v>
      </c>
      <c r="M633" s="127" t="s">
        <v>3374</v>
      </c>
    </row>
    <row r="634" spans="1:13" x14ac:dyDescent="0.2">
      <c r="A634" s="1217"/>
      <c r="B634" s="166"/>
      <c r="E634" s="83"/>
      <c r="H634" t="s">
        <v>3375</v>
      </c>
      <c r="I634">
        <v>72.539479999999998</v>
      </c>
      <c r="J634" t="s">
        <v>707</v>
      </c>
      <c r="K634" t="s">
        <v>3375</v>
      </c>
      <c r="L634" s="166">
        <f t="shared" si="51"/>
        <v>145.07896</v>
      </c>
      <c r="M634" s="127" t="s">
        <v>3376</v>
      </c>
    </row>
    <row r="635" spans="1:13" x14ac:dyDescent="0.2">
      <c r="A635" s="1217"/>
      <c r="B635" s="166"/>
      <c r="E635" s="83"/>
      <c r="H635" t="s">
        <v>708</v>
      </c>
      <c r="I635" s="33">
        <v>22858.9</v>
      </c>
      <c r="J635" t="s">
        <v>709</v>
      </c>
      <c r="K635" t="s">
        <v>708</v>
      </c>
      <c r="L635" s="166">
        <f t="shared" si="51"/>
        <v>45717.8</v>
      </c>
      <c r="M635" s="127" t="s">
        <v>3377</v>
      </c>
    </row>
    <row r="636" spans="1:13" x14ac:dyDescent="0.2">
      <c r="A636" s="1217"/>
      <c r="B636" s="166"/>
      <c r="E636" s="83"/>
      <c r="H636" t="s">
        <v>3378</v>
      </c>
      <c r="I636">
        <v>3.8490000000000003E-2</v>
      </c>
      <c r="J636" t="s">
        <v>704</v>
      </c>
      <c r="K636" t="s">
        <v>3378</v>
      </c>
      <c r="L636" s="166">
        <f t="shared" si="51"/>
        <v>7.6980000000000007E-2</v>
      </c>
      <c r="M636" s="127" t="s">
        <v>3368</v>
      </c>
    </row>
    <row r="637" spans="1:13" x14ac:dyDescent="0.2">
      <c r="A637" s="1217"/>
      <c r="B637" s="166"/>
      <c r="E637" s="83"/>
      <c r="H637" t="s">
        <v>710</v>
      </c>
      <c r="I637">
        <v>1.14E-3</v>
      </c>
      <c r="J637" t="s">
        <v>3379</v>
      </c>
      <c r="K637" t="s">
        <v>710</v>
      </c>
      <c r="L637" s="166">
        <f t="shared" si="51"/>
        <v>2.2799999999999999E-3</v>
      </c>
      <c r="M637" s="127" t="s">
        <v>3380</v>
      </c>
    </row>
    <row r="638" spans="1:13" x14ac:dyDescent="0.2">
      <c r="A638" s="1217"/>
      <c r="B638" s="166"/>
      <c r="E638" s="83"/>
      <c r="H638" t="s">
        <v>3381</v>
      </c>
      <c r="I638">
        <v>34.951729999999998</v>
      </c>
      <c r="J638" t="s">
        <v>3382</v>
      </c>
      <c r="K638" t="s">
        <v>3381</v>
      </c>
      <c r="L638" s="166">
        <f t="shared" si="51"/>
        <v>69.903459999999995</v>
      </c>
      <c r="M638" s="127" t="s">
        <v>3383</v>
      </c>
    </row>
    <row r="639" spans="1:13" x14ac:dyDescent="0.2">
      <c r="A639" s="1217"/>
      <c r="B639" s="166"/>
      <c r="E639" s="83"/>
      <c r="H639" t="s">
        <v>3384</v>
      </c>
      <c r="I639">
        <v>1697.46082</v>
      </c>
      <c r="J639" t="s">
        <v>711</v>
      </c>
      <c r="K639" t="s">
        <v>3384</v>
      </c>
      <c r="L639" s="166">
        <f t="shared" si="51"/>
        <v>3394.92164</v>
      </c>
      <c r="M639" s="127" t="s">
        <v>3385</v>
      </c>
    </row>
    <row r="640" spans="1:13" x14ac:dyDescent="0.2">
      <c r="A640" s="1219"/>
      <c r="B640" s="833"/>
      <c r="C640" s="1102"/>
      <c r="D640" s="118"/>
      <c r="E640" s="1220"/>
      <c r="F640" s="118"/>
      <c r="G640" s="118"/>
      <c r="H640" s="118"/>
      <c r="I640" s="118"/>
      <c r="J640" s="118"/>
      <c r="K640" s="118"/>
      <c r="L640" s="833"/>
      <c r="M640" s="120"/>
    </row>
    <row r="641" spans="1:13" ht="32" x14ac:dyDescent="0.2">
      <c r="A641" s="1215" t="s">
        <v>714</v>
      </c>
      <c r="B641" s="1231">
        <v>13066406.464375818</v>
      </c>
      <c r="C641" s="1232" t="s">
        <v>3430</v>
      </c>
      <c r="D641" s="110"/>
      <c r="E641" s="1216" t="s">
        <v>3404</v>
      </c>
      <c r="F641" s="110">
        <v>1</v>
      </c>
      <c r="G641" s="110" t="s">
        <v>378</v>
      </c>
      <c r="H641" s="110"/>
      <c r="I641" s="110"/>
      <c r="J641" s="110"/>
      <c r="K641" s="110"/>
      <c r="L641" s="845"/>
      <c r="M641" s="112"/>
    </row>
    <row r="642" spans="1:13" x14ac:dyDescent="0.2">
      <c r="A642" s="637"/>
      <c r="B642" s="166"/>
      <c r="E642" s="83"/>
      <c r="H642" t="s">
        <v>701</v>
      </c>
      <c r="I642">
        <v>7.5000000000000002E-4</v>
      </c>
      <c r="J642" t="s">
        <v>702</v>
      </c>
      <c r="K642" t="s">
        <v>701</v>
      </c>
      <c r="L642" s="166">
        <f>I642*B$641</f>
        <v>9799.8048482818631</v>
      </c>
      <c r="M642" s="127" t="s">
        <v>3367</v>
      </c>
    </row>
    <row r="643" spans="1:13" x14ac:dyDescent="0.2">
      <c r="A643" s="1217"/>
      <c r="B643" s="166"/>
      <c r="E643" s="83"/>
      <c r="H643" t="s">
        <v>703</v>
      </c>
      <c r="I643" s="33">
        <v>3.3111200000000002E-8</v>
      </c>
      <c r="J643" t="s">
        <v>704</v>
      </c>
      <c r="K643" t="s">
        <v>703</v>
      </c>
      <c r="L643" s="166">
        <f t="shared" ref="L643:L651" si="52">I643*B$641</f>
        <v>0.43264439772324059</v>
      </c>
      <c r="M643" s="127" t="s">
        <v>3368</v>
      </c>
    </row>
    <row r="644" spans="1:13" x14ac:dyDescent="0.2">
      <c r="A644" s="1217"/>
      <c r="B644" s="166"/>
      <c r="E644" s="83"/>
      <c r="H644" t="s">
        <v>705</v>
      </c>
      <c r="I644">
        <v>4.1968100000000002</v>
      </c>
      <c r="J644" t="s">
        <v>706</v>
      </c>
      <c r="K644" t="s">
        <v>705</v>
      </c>
      <c r="L644" s="166">
        <f t="shared" si="52"/>
        <v>54837225.313757077</v>
      </c>
      <c r="M644" s="127" t="s">
        <v>3370</v>
      </c>
    </row>
    <row r="645" spans="1:13" x14ac:dyDescent="0.2">
      <c r="A645" s="1217"/>
      <c r="B645" s="166"/>
      <c r="E645" s="83"/>
      <c r="H645" t="s">
        <v>3372</v>
      </c>
      <c r="I645">
        <v>3.2000000000000003E-4</v>
      </c>
      <c r="J645" t="s">
        <v>3373</v>
      </c>
      <c r="K645" t="s">
        <v>3372</v>
      </c>
      <c r="L645" s="166">
        <f t="shared" si="52"/>
        <v>4181.2500686002622</v>
      </c>
      <c r="M645" s="127" t="s">
        <v>3374</v>
      </c>
    </row>
    <row r="646" spans="1:13" x14ac:dyDescent="0.2">
      <c r="A646" s="1217"/>
      <c r="B646" s="166"/>
      <c r="E646" s="83"/>
      <c r="H646" t="s">
        <v>3375</v>
      </c>
      <c r="I646">
        <v>5.2999999999999998E-4</v>
      </c>
      <c r="J646" t="s">
        <v>707</v>
      </c>
      <c r="K646" t="s">
        <v>3375</v>
      </c>
      <c r="L646" s="166">
        <f t="shared" si="52"/>
        <v>6925.1954261191831</v>
      </c>
      <c r="M646" s="127" t="s">
        <v>3376</v>
      </c>
    </row>
    <row r="647" spans="1:13" x14ac:dyDescent="0.2">
      <c r="A647" s="1217"/>
      <c r="B647" s="166"/>
      <c r="E647" s="83"/>
      <c r="H647" t="s">
        <v>708</v>
      </c>
      <c r="I647">
        <v>0.39150000000000001</v>
      </c>
      <c r="J647" t="s">
        <v>709</v>
      </c>
      <c r="K647" t="s">
        <v>708</v>
      </c>
      <c r="L647" s="166">
        <f t="shared" si="52"/>
        <v>5115498.1308031334</v>
      </c>
      <c r="M647" s="127" t="s">
        <v>3377</v>
      </c>
    </row>
    <row r="648" spans="1:13" x14ac:dyDescent="0.2">
      <c r="A648" s="1217"/>
      <c r="B648" s="166"/>
      <c r="E648" s="83"/>
      <c r="H648" t="s">
        <v>3378</v>
      </c>
      <c r="I648" s="33">
        <v>9.8849699999999999E-8</v>
      </c>
      <c r="J648" t="s">
        <v>704</v>
      </c>
      <c r="K648" t="s">
        <v>3378</v>
      </c>
      <c r="L648" s="166">
        <f t="shared" si="52"/>
        <v>1.2916103590816104</v>
      </c>
      <c r="M648" s="127" t="s">
        <v>3368</v>
      </c>
    </row>
    <row r="649" spans="1:13" x14ac:dyDescent="0.2">
      <c r="A649" s="1217"/>
      <c r="B649" s="166"/>
      <c r="E649" s="83"/>
      <c r="H649" t="s">
        <v>710</v>
      </c>
      <c r="I649" s="33">
        <v>1.51061E-9</v>
      </c>
      <c r="J649" t="s">
        <v>3379</v>
      </c>
      <c r="K649" t="s">
        <v>710</v>
      </c>
      <c r="L649" s="166">
        <f t="shared" si="52"/>
        <v>1.9738244269150756E-2</v>
      </c>
      <c r="M649" s="127" t="s">
        <v>3380</v>
      </c>
    </row>
    <row r="650" spans="1:13" x14ac:dyDescent="0.2">
      <c r="A650" s="1217"/>
      <c r="B650" s="166"/>
      <c r="E650" s="83"/>
      <c r="H650" t="s">
        <v>3381</v>
      </c>
      <c r="I650">
        <v>1.01E-3</v>
      </c>
      <c r="J650" t="s">
        <v>3382</v>
      </c>
      <c r="K650" t="s">
        <v>3381</v>
      </c>
      <c r="L650" s="166">
        <f t="shared" si="52"/>
        <v>13197.070529019576</v>
      </c>
      <c r="M650" s="127" t="s">
        <v>3383</v>
      </c>
    </row>
    <row r="651" spans="1:13" x14ac:dyDescent="0.2">
      <c r="A651" s="1217"/>
      <c r="B651" s="166"/>
      <c r="E651" s="83"/>
      <c r="H651" t="s">
        <v>3384</v>
      </c>
      <c r="I651">
        <v>1.2200000000000001E-2</v>
      </c>
      <c r="J651" t="s">
        <v>711</v>
      </c>
      <c r="K651" t="s">
        <v>3384</v>
      </c>
      <c r="L651" s="166">
        <f t="shared" si="52"/>
        <v>159410.15886538499</v>
      </c>
      <c r="M651" s="127" t="s">
        <v>3385</v>
      </c>
    </row>
    <row r="652" spans="1:13" x14ac:dyDescent="0.2">
      <c r="A652" s="1219"/>
      <c r="B652" s="833"/>
      <c r="C652" s="1102"/>
      <c r="D652" s="118"/>
      <c r="E652" s="1220"/>
      <c r="F652" s="118"/>
      <c r="G652" s="118"/>
      <c r="H652" s="118"/>
      <c r="I652" s="118"/>
      <c r="J652" s="118"/>
      <c r="K652" s="118"/>
      <c r="L652" s="833"/>
      <c r="M652" s="120"/>
    </row>
    <row r="653" spans="1:13" x14ac:dyDescent="0.2">
      <c r="A653" s="1222"/>
      <c r="E653" s="83"/>
    </row>
    <row r="657" spans="1:15" ht="16" thickBot="1" x14ac:dyDescent="0.25"/>
    <row r="658" spans="1:15" x14ac:dyDescent="0.2">
      <c r="A658" s="1868" t="s">
        <v>1872</v>
      </c>
      <c r="B658" s="1869"/>
      <c r="C658" s="1869"/>
      <c r="D658" s="1869"/>
      <c r="E658" s="1869"/>
      <c r="F658" s="1869"/>
      <c r="G658" s="1869"/>
      <c r="H658" s="1869"/>
      <c r="I658" s="1869"/>
      <c r="J658" s="1869"/>
      <c r="K658" s="1869"/>
      <c r="L658" s="1869"/>
      <c r="M658" s="1869"/>
      <c r="N658" s="1869"/>
      <c r="O658" s="1870"/>
    </row>
    <row r="659" spans="1:15" ht="16" thickBot="1" x14ac:dyDescent="0.25">
      <c r="A659" s="1898"/>
      <c r="B659" s="1899"/>
      <c r="C659" s="1899"/>
      <c r="D659" s="1899"/>
      <c r="E659" s="1899"/>
      <c r="F659" s="1899"/>
      <c r="G659" s="1899"/>
      <c r="H659" s="1899"/>
      <c r="I659" s="1899"/>
      <c r="J659" s="1899"/>
      <c r="K659" s="1899"/>
      <c r="L659" s="1899"/>
      <c r="M659" s="1899"/>
      <c r="N659" s="1899"/>
      <c r="O659" s="1900"/>
    </row>
    <row r="660" spans="1:15" s="6" customFormat="1" x14ac:dyDescent="0.2">
      <c r="A660" s="1920" t="s">
        <v>697</v>
      </c>
      <c r="B660" s="1515" t="s">
        <v>698</v>
      </c>
      <c r="C660" s="1515"/>
      <c r="D660" s="1515"/>
      <c r="E660" s="1921" t="s">
        <v>3362</v>
      </c>
      <c r="F660" s="1515" t="s">
        <v>699</v>
      </c>
      <c r="G660" s="1515"/>
      <c r="H660" s="1515" t="s">
        <v>3363</v>
      </c>
      <c r="I660" s="1515"/>
      <c r="J660" s="1515"/>
      <c r="K660" s="1515" t="s">
        <v>700</v>
      </c>
      <c r="L660" s="1515"/>
      <c r="M660" s="1515"/>
    </row>
    <row r="661" spans="1:15" s="6" customFormat="1" ht="15.75" customHeight="1" x14ac:dyDescent="0.2">
      <c r="A661" s="1520"/>
      <c r="B661" s="1214" t="s">
        <v>515</v>
      </c>
      <c r="C661" s="1112" t="s">
        <v>372</v>
      </c>
      <c r="D661" s="969" t="s">
        <v>583</v>
      </c>
      <c r="E661" s="1922"/>
      <c r="F661" s="969" t="s">
        <v>42</v>
      </c>
      <c r="G661" s="969" t="s">
        <v>372</v>
      </c>
      <c r="H661" s="29" t="s">
        <v>697</v>
      </c>
      <c r="I661" s="969" t="s">
        <v>42</v>
      </c>
      <c r="J661" s="969" t="s">
        <v>372</v>
      </c>
      <c r="K661" s="969" t="s">
        <v>697</v>
      </c>
      <c r="L661" s="1214" t="s">
        <v>42</v>
      </c>
      <c r="M661" s="969" t="s">
        <v>372</v>
      </c>
    </row>
    <row r="662" spans="1:15" ht="16" x14ac:dyDescent="0.2">
      <c r="A662" s="486" t="s">
        <v>1027</v>
      </c>
      <c r="B662" s="845">
        <v>6250</v>
      </c>
      <c r="C662" s="1159" t="s">
        <v>267</v>
      </c>
      <c r="D662" s="1229">
        <v>2</v>
      </c>
      <c r="E662" s="1216" t="s">
        <v>3388</v>
      </c>
      <c r="F662" s="110"/>
      <c r="G662" s="110"/>
      <c r="H662" s="110"/>
      <c r="I662" s="110"/>
      <c r="J662" s="110"/>
      <c r="K662" s="110"/>
      <c r="L662" s="845"/>
      <c r="M662" s="112"/>
    </row>
    <row r="663" spans="1:15" ht="16" x14ac:dyDescent="0.2">
      <c r="A663" s="1223" t="s">
        <v>3389</v>
      </c>
      <c r="B663" s="166">
        <f>B662/1000</f>
        <v>6.25</v>
      </c>
      <c r="C663" s="133" t="s">
        <v>444</v>
      </c>
      <c r="F663">
        <v>1</v>
      </c>
      <c r="G663" t="s">
        <v>713</v>
      </c>
      <c r="H663" t="s">
        <v>701</v>
      </c>
      <c r="I663">
        <v>0.14229</v>
      </c>
      <c r="J663" t="s">
        <v>702</v>
      </c>
      <c r="K663" t="s">
        <v>701</v>
      </c>
      <c r="L663" s="166">
        <f>I663*B$668</f>
        <v>1.28061</v>
      </c>
      <c r="M663" s="127" t="s">
        <v>3367</v>
      </c>
    </row>
    <row r="664" spans="1:15" x14ac:dyDescent="0.2">
      <c r="A664" s="1217"/>
      <c r="B664" s="166">
        <v>20</v>
      </c>
      <c r="C664" s="133" t="s">
        <v>10</v>
      </c>
      <c r="D664" t="s">
        <v>3390</v>
      </c>
      <c r="E664" s="83"/>
      <c r="F664">
        <v>40</v>
      </c>
      <c r="G664" t="s">
        <v>12</v>
      </c>
      <c r="H664" t="s">
        <v>703</v>
      </c>
      <c r="I664" s="33">
        <v>2.2291000000000001E-5</v>
      </c>
      <c r="J664" t="s">
        <v>704</v>
      </c>
      <c r="K664" t="s">
        <v>703</v>
      </c>
      <c r="L664" s="166">
        <f t="shared" ref="L664:L672" si="53">I664*B$668</f>
        <v>2.00619E-4</v>
      </c>
      <c r="M664" s="127" t="s">
        <v>3368</v>
      </c>
    </row>
    <row r="665" spans="1:15" x14ac:dyDescent="0.2">
      <c r="A665" s="1217"/>
      <c r="B665" s="166">
        <v>0.7</v>
      </c>
      <c r="D665" t="s">
        <v>3391</v>
      </c>
      <c r="E665" s="83"/>
      <c r="H665" t="s">
        <v>705</v>
      </c>
      <c r="I665">
        <v>3203.5834399999999</v>
      </c>
      <c r="J665" t="s">
        <v>706</v>
      </c>
      <c r="K665" t="s">
        <v>705</v>
      </c>
      <c r="L665" s="166">
        <f t="shared" si="53"/>
        <v>28832.250959999998</v>
      </c>
      <c r="M665" s="127" t="s">
        <v>3370</v>
      </c>
    </row>
    <row r="666" spans="1:15" x14ac:dyDescent="0.2">
      <c r="A666" s="1217"/>
      <c r="B666" s="166">
        <f>B663*B664/B665</f>
        <v>178.57142857142858</v>
      </c>
      <c r="C666" s="133" t="s">
        <v>12</v>
      </c>
      <c r="E666" s="83"/>
      <c r="H666" t="s">
        <v>3372</v>
      </c>
      <c r="I666">
        <v>1.278E-2</v>
      </c>
      <c r="J666" t="s">
        <v>3373</v>
      </c>
      <c r="K666" t="s">
        <v>3372</v>
      </c>
      <c r="L666" s="166">
        <f t="shared" si="53"/>
        <v>0.11502</v>
      </c>
      <c r="M666" s="127" t="s">
        <v>3374</v>
      </c>
    </row>
    <row r="667" spans="1:15" x14ac:dyDescent="0.2">
      <c r="A667" s="1217"/>
      <c r="B667" s="166">
        <f>B666*D662</f>
        <v>357.14285714285717</v>
      </c>
      <c r="C667" s="133" t="s">
        <v>12</v>
      </c>
      <c r="E667" s="83"/>
      <c r="H667" t="s">
        <v>3375</v>
      </c>
      <c r="I667">
        <v>3.7339999999999998E-2</v>
      </c>
      <c r="J667" t="s">
        <v>707</v>
      </c>
      <c r="K667" t="s">
        <v>3375</v>
      </c>
      <c r="L667" s="166">
        <f t="shared" si="53"/>
        <v>0.33605999999999997</v>
      </c>
      <c r="M667" s="127" t="s">
        <v>3376</v>
      </c>
    </row>
    <row r="668" spans="1:15" x14ac:dyDescent="0.2">
      <c r="A668" s="1217"/>
      <c r="B668" s="1218">
        <f>ROUNDUP(B667/F664,0)</f>
        <v>9</v>
      </c>
      <c r="C668" s="1114" t="s">
        <v>3392</v>
      </c>
      <c r="D668" s="6" t="s">
        <v>577</v>
      </c>
      <c r="E668" s="83"/>
      <c r="H668" t="s">
        <v>708</v>
      </c>
      <c r="I668">
        <v>9.0477000000000007</v>
      </c>
      <c r="J668" t="s">
        <v>709</v>
      </c>
      <c r="K668" t="s">
        <v>708</v>
      </c>
      <c r="L668" s="166">
        <f t="shared" si="53"/>
        <v>81.429300000000012</v>
      </c>
      <c r="M668" s="127" t="s">
        <v>3377</v>
      </c>
    </row>
    <row r="669" spans="1:15" x14ac:dyDescent="0.2">
      <c r="A669" s="1217"/>
      <c r="B669" s="166"/>
      <c r="E669" s="83"/>
      <c r="H669" t="s">
        <v>3378</v>
      </c>
      <c r="I669" s="33">
        <v>3.5905399999999997E-5</v>
      </c>
      <c r="J669" t="s">
        <v>704</v>
      </c>
      <c r="K669" t="s">
        <v>3378</v>
      </c>
      <c r="L669" s="166">
        <f t="shared" si="53"/>
        <v>3.2314859999999998E-4</v>
      </c>
      <c r="M669" s="127" t="s">
        <v>3368</v>
      </c>
    </row>
    <row r="670" spans="1:15" x14ac:dyDescent="0.2">
      <c r="A670" s="1217"/>
      <c r="B670" s="166"/>
      <c r="E670" s="83"/>
      <c r="H670" t="s">
        <v>710</v>
      </c>
      <c r="I670" s="33">
        <v>1.7364199999999999E-7</v>
      </c>
      <c r="J670" t="s">
        <v>3379</v>
      </c>
      <c r="K670" t="s">
        <v>710</v>
      </c>
      <c r="L670" s="166">
        <f t="shared" si="53"/>
        <v>1.5627779999999999E-6</v>
      </c>
      <c r="M670" s="127" t="s">
        <v>3380</v>
      </c>
    </row>
    <row r="671" spans="1:15" x14ac:dyDescent="0.2">
      <c r="A671" s="1217"/>
      <c r="B671" s="166"/>
      <c r="E671" s="83"/>
      <c r="H671" t="s">
        <v>3381</v>
      </c>
      <c r="I671">
        <v>2.9360000000000001E-2</v>
      </c>
      <c r="J671" t="s">
        <v>3382</v>
      </c>
      <c r="K671" t="s">
        <v>3381</v>
      </c>
      <c r="L671" s="166">
        <f t="shared" si="53"/>
        <v>0.26424000000000003</v>
      </c>
      <c r="M671" s="127" t="s">
        <v>3383</v>
      </c>
    </row>
    <row r="672" spans="1:15" x14ac:dyDescent="0.2">
      <c r="A672" s="1217"/>
      <c r="B672" s="166"/>
      <c r="E672" s="83"/>
      <c r="H672" t="s">
        <v>3384</v>
      </c>
      <c r="I672">
        <v>0.84404000000000001</v>
      </c>
      <c r="J672" t="s">
        <v>711</v>
      </c>
      <c r="K672" t="s">
        <v>3384</v>
      </c>
      <c r="L672" s="166">
        <f t="shared" si="53"/>
        <v>7.5963599999999998</v>
      </c>
      <c r="M672" s="127" t="s">
        <v>3385</v>
      </c>
    </row>
    <row r="673" spans="1:13" x14ac:dyDescent="0.2">
      <c r="A673" s="1219"/>
      <c r="B673" s="833"/>
      <c r="C673" s="1102"/>
      <c r="D673" s="118"/>
      <c r="E673" s="1220"/>
      <c r="F673" s="118"/>
      <c r="G673" s="118"/>
      <c r="H673" s="118"/>
      <c r="I673" s="118"/>
      <c r="J673" s="118"/>
      <c r="K673" s="118"/>
      <c r="L673" s="833"/>
      <c r="M673" s="120"/>
    </row>
    <row r="674" spans="1:13" ht="48" x14ac:dyDescent="0.2">
      <c r="A674" s="486" t="s">
        <v>3431</v>
      </c>
      <c r="B674" s="845">
        <v>549.49443197636572</v>
      </c>
      <c r="C674" s="1159" t="s">
        <v>1</v>
      </c>
      <c r="D674" s="1229">
        <v>2</v>
      </c>
      <c r="E674" s="159" t="s">
        <v>3423</v>
      </c>
      <c r="F674" s="110">
        <v>1</v>
      </c>
      <c r="G674" s="110" t="s">
        <v>3424</v>
      </c>
      <c r="H674" s="110"/>
      <c r="I674" s="110"/>
      <c r="J674" s="110"/>
      <c r="K674" s="110"/>
      <c r="L674" s="845"/>
      <c r="M674" s="112"/>
    </row>
    <row r="675" spans="1:13" x14ac:dyDescent="0.2">
      <c r="A675" s="1217"/>
      <c r="B675" s="1218">
        <f>B674/F675*D674</f>
        <v>2.1979777279054629</v>
      </c>
      <c r="C675" s="1114" t="s">
        <v>3424</v>
      </c>
      <c r="D675" s="6" t="s">
        <v>577</v>
      </c>
      <c r="E675" s="83"/>
      <c r="F675">
        <v>500</v>
      </c>
      <c r="G675" t="s">
        <v>3425</v>
      </c>
      <c r="H675" t="s">
        <v>701</v>
      </c>
      <c r="I675">
        <v>500.29457000000002</v>
      </c>
      <c r="J675" t="s">
        <v>702</v>
      </c>
      <c r="K675" t="s">
        <v>701</v>
      </c>
      <c r="L675" s="166">
        <f>I675*B$675</f>
        <v>1099.6363222520406</v>
      </c>
      <c r="M675" s="127" t="s">
        <v>3367</v>
      </c>
    </row>
    <row r="676" spans="1:13" x14ac:dyDescent="0.2">
      <c r="A676" s="1217"/>
      <c r="B676" s="166"/>
      <c r="E676" s="83"/>
      <c r="H676" t="s">
        <v>703</v>
      </c>
      <c r="I676" s="33">
        <v>5.0630000000000001E-2</v>
      </c>
      <c r="J676" t="s">
        <v>704</v>
      </c>
      <c r="K676" t="s">
        <v>703</v>
      </c>
      <c r="L676" s="166">
        <f t="shared" ref="L676:L684" si="54">I676*B$675</f>
        <v>0.11128361236385359</v>
      </c>
      <c r="M676" s="127" t="s">
        <v>3368</v>
      </c>
    </row>
    <row r="677" spans="1:13" x14ac:dyDescent="0.2">
      <c r="A677" s="1217"/>
      <c r="B677" s="166"/>
      <c r="E677" s="83"/>
      <c r="H677" t="s">
        <v>705</v>
      </c>
      <c r="I677" s="33">
        <v>4.7383300000000004E-6</v>
      </c>
      <c r="J677" t="s">
        <v>706</v>
      </c>
      <c r="K677" t="s">
        <v>705</v>
      </c>
      <c r="L677" s="166">
        <f t="shared" si="54"/>
        <v>1.0414743807466293E-5</v>
      </c>
      <c r="M677" s="127" t="s">
        <v>3370</v>
      </c>
    </row>
    <row r="678" spans="1:13" x14ac:dyDescent="0.2">
      <c r="A678" s="1217"/>
      <c r="B678" s="166"/>
      <c r="E678" s="83"/>
      <c r="H678" t="s">
        <v>3372</v>
      </c>
      <c r="I678">
        <v>32.336289999999998</v>
      </c>
      <c r="J678" t="s">
        <v>3373</v>
      </c>
      <c r="K678" t="s">
        <v>3372</v>
      </c>
      <c r="L678" s="166">
        <f t="shared" si="54"/>
        <v>71.074445223092141</v>
      </c>
      <c r="M678" s="127" t="s">
        <v>3374</v>
      </c>
    </row>
    <row r="679" spans="1:13" x14ac:dyDescent="0.2">
      <c r="A679" s="1217"/>
      <c r="B679" s="166"/>
      <c r="E679" s="83"/>
      <c r="H679" t="s">
        <v>3375</v>
      </c>
      <c r="I679">
        <v>330.76024999999998</v>
      </c>
      <c r="J679" t="s">
        <v>707</v>
      </c>
      <c r="K679" t="s">
        <v>3375</v>
      </c>
      <c r="L679" s="166">
        <f t="shared" si="54"/>
        <v>727.00366277644287</v>
      </c>
      <c r="M679" s="127" t="s">
        <v>3376</v>
      </c>
    </row>
    <row r="680" spans="1:13" x14ac:dyDescent="0.2">
      <c r="A680" s="1217"/>
      <c r="B680" s="166"/>
      <c r="E680" s="83"/>
      <c r="H680" t="s">
        <v>708</v>
      </c>
      <c r="I680" s="33">
        <v>96090.3</v>
      </c>
      <c r="J680" t="s">
        <v>709</v>
      </c>
      <c r="K680" t="s">
        <v>708</v>
      </c>
      <c r="L680" s="166">
        <f t="shared" si="54"/>
        <v>211204.33926775432</v>
      </c>
      <c r="M680" s="127" t="s">
        <v>3377</v>
      </c>
    </row>
    <row r="681" spans="1:13" x14ac:dyDescent="0.2">
      <c r="A681" s="1217"/>
      <c r="B681" s="166"/>
      <c r="E681" s="83"/>
      <c r="H681" t="s">
        <v>3378</v>
      </c>
      <c r="I681" s="33">
        <v>5.6300000000000003E-2</v>
      </c>
      <c r="J681" t="s">
        <v>704</v>
      </c>
      <c r="K681" t="s">
        <v>3378</v>
      </c>
      <c r="L681" s="166">
        <f t="shared" si="54"/>
        <v>0.12374614608107756</v>
      </c>
      <c r="M681" s="127" t="s">
        <v>3368</v>
      </c>
    </row>
    <row r="682" spans="1:13" x14ac:dyDescent="0.2">
      <c r="A682" s="1217"/>
      <c r="B682" s="166"/>
      <c r="E682" s="83"/>
      <c r="H682" t="s">
        <v>710</v>
      </c>
      <c r="I682" s="33">
        <v>1.3699999999999999E-3</v>
      </c>
      <c r="J682" t="s">
        <v>3379</v>
      </c>
      <c r="K682" t="s">
        <v>710</v>
      </c>
      <c r="L682" s="166">
        <f t="shared" si="54"/>
        <v>3.0112294872304841E-3</v>
      </c>
      <c r="M682" s="127" t="s">
        <v>3380</v>
      </c>
    </row>
    <row r="683" spans="1:13" x14ac:dyDescent="0.2">
      <c r="A683" s="1217"/>
      <c r="B683" s="166"/>
      <c r="E683" s="83"/>
      <c r="H683" t="s">
        <v>3381</v>
      </c>
      <c r="I683">
        <v>145.08896999999999</v>
      </c>
      <c r="J683" t="s">
        <v>3382</v>
      </c>
      <c r="K683" t="s">
        <v>3381</v>
      </c>
      <c r="L683" s="166">
        <f t="shared" si="54"/>
        <v>318.90232462474381</v>
      </c>
      <c r="M683" s="127" t="s">
        <v>3383</v>
      </c>
    </row>
    <row r="684" spans="1:13" x14ac:dyDescent="0.2">
      <c r="A684" s="1217"/>
      <c r="B684" s="166"/>
      <c r="E684" s="83"/>
      <c r="H684" t="s">
        <v>3384</v>
      </c>
      <c r="I684">
        <v>7926.5570900000002</v>
      </c>
      <c r="J684" t="s">
        <v>711</v>
      </c>
      <c r="K684" t="s">
        <v>3384</v>
      </c>
      <c r="L684" s="166">
        <f t="shared" si="54"/>
        <v>17422.39594279114</v>
      </c>
      <c r="M684" s="127" t="s">
        <v>3385</v>
      </c>
    </row>
    <row r="685" spans="1:13" x14ac:dyDescent="0.2">
      <c r="A685" s="1219"/>
      <c r="B685" s="833"/>
      <c r="C685" s="1102"/>
      <c r="D685" s="118"/>
      <c r="E685" s="1220"/>
      <c r="F685" s="118"/>
      <c r="G685" s="118"/>
      <c r="H685" s="118"/>
      <c r="I685" s="118"/>
      <c r="J685" s="118"/>
      <c r="K685" s="118"/>
      <c r="L685" s="833"/>
      <c r="M685" s="120"/>
    </row>
    <row r="686" spans="1:13" ht="32" x14ac:dyDescent="0.2">
      <c r="A686" s="1215" t="s">
        <v>714</v>
      </c>
      <c r="B686" s="1231">
        <v>105123.14862902733</v>
      </c>
      <c r="C686" s="1232" t="s">
        <v>3430</v>
      </c>
      <c r="D686" s="110"/>
      <c r="E686" s="1216" t="s">
        <v>3404</v>
      </c>
      <c r="F686" s="110">
        <v>1</v>
      </c>
      <c r="G686" s="110" t="s">
        <v>378</v>
      </c>
      <c r="H686" s="110"/>
      <c r="I686" s="110"/>
      <c r="J686" s="110"/>
      <c r="K686" s="110"/>
      <c r="L686" s="845"/>
      <c r="M686" s="112"/>
    </row>
    <row r="687" spans="1:13" x14ac:dyDescent="0.2">
      <c r="A687" s="637"/>
      <c r="B687" s="166"/>
      <c r="E687" s="83"/>
      <c r="H687" t="s">
        <v>701</v>
      </c>
      <c r="I687">
        <v>7.5000000000000002E-4</v>
      </c>
      <c r="J687" t="s">
        <v>702</v>
      </c>
      <c r="K687" t="s">
        <v>701</v>
      </c>
      <c r="L687" s="166">
        <f>I687*B$686</f>
        <v>78.842361471770502</v>
      </c>
      <c r="M687" s="127" t="s">
        <v>3367</v>
      </c>
    </row>
    <row r="688" spans="1:13" x14ac:dyDescent="0.2">
      <c r="A688" s="1217"/>
      <c r="B688" s="166"/>
      <c r="E688" s="83"/>
      <c r="H688" t="s">
        <v>703</v>
      </c>
      <c r="I688" s="33">
        <v>3.3111200000000002E-8</v>
      </c>
      <c r="J688" t="s">
        <v>704</v>
      </c>
      <c r="K688" t="s">
        <v>703</v>
      </c>
      <c r="L688" s="166">
        <f t="shared" ref="L688:L696" si="55">I688*B$686</f>
        <v>3.48075359888545E-3</v>
      </c>
      <c r="M688" s="127" t="s">
        <v>3368</v>
      </c>
    </row>
    <row r="689" spans="1:15" x14ac:dyDescent="0.2">
      <c r="A689" s="1217"/>
      <c r="B689" s="166"/>
      <c r="E689" s="83"/>
      <c r="H689" t="s">
        <v>705</v>
      </c>
      <c r="I689">
        <v>4.1968100000000002</v>
      </c>
      <c r="J689" t="s">
        <v>706</v>
      </c>
      <c r="K689" t="s">
        <v>705</v>
      </c>
      <c r="L689" s="166">
        <f t="shared" si="55"/>
        <v>441181.88139778824</v>
      </c>
      <c r="M689" s="127" t="s">
        <v>3370</v>
      </c>
    </row>
    <row r="690" spans="1:15" x14ac:dyDescent="0.2">
      <c r="A690" s="1217"/>
      <c r="B690" s="166"/>
      <c r="E690" s="83"/>
      <c r="H690" t="s">
        <v>3372</v>
      </c>
      <c r="I690">
        <v>3.2000000000000003E-4</v>
      </c>
      <c r="J690" t="s">
        <v>3373</v>
      </c>
      <c r="K690" t="s">
        <v>3372</v>
      </c>
      <c r="L690" s="166">
        <f t="shared" si="55"/>
        <v>33.639407561288749</v>
      </c>
      <c r="M690" s="127" t="s">
        <v>3374</v>
      </c>
    </row>
    <row r="691" spans="1:15" x14ac:dyDescent="0.2">
      <c r="A691" s="1217"/>
      <c r="B691" s="166"/>
      <c r="E691" s="83"/>
      <c r="H691" t="s">
        <v>3375</v>
      </c>
      <c r="I691">
        <v>5.2999999999999998E-4</v>
      </c>
      <c r="J691" t="s">
        <v>707</v>
      </c>
      <c r="K691" t="s">
        <v>3375</v>
      </c>
      <c r="L691" s="166">
        <f t="shared" si="55"/>
        <v>55.715268773384487</v>
      </c>
      <c r="M691" s="127" t="s">
        <v>3376</v>
      </c>
    </row>
    <row r="692" spans="1:15" x14ac:dyDescent="0.2">
      <c r="A692" s="1217"/>
      <c r="B692" s="166"/>
      <c r="E692" s="83"/>
      <c r="H692" t="s">
        <v>708</v>
      </c>
      <c r="I692">
        <v>0.39150000000000001</v>
      </c>
      <c r="J692" t="s">
        <v>709</v>
      </c>
      <c r="K692" t="s">
        <v>708</v>
      </c>
      <c r="L692" s="166">
        <f t="shared" si="55"/>
        <v>41155.712688264204</v>
      </c>
      <c r="M692" s="127" t="s">
        <v>3377</v>
      </c>
    </row>
    <row r="693" spans="1:15" x14ac:dyDescent="0.2">
      <c r="A693" s="1217"/>
      <c r="B693" s="166"/>
      <c r="E693" s="83"/>
      <c r="H693" t="s">
        <v>3378</v>
      </c>
      <c r="I693" s="33">
        <v>9.8849699999999999E-8</v>
      </c>
      <c r="J693" t="s">
        <v>704</v>
      </c>
      <c r="K693" t="s">
        <v>3378</v>
      </c>
      <c r="L693" s="166">
        <f t="shared" si="55"/>
        <v>1.0391391705034763E-2</v>
      </c>
      <c r="M693" s="127" t="s">
        <v>3368</v>
      </c>
    </row>
    <row r="694" spans="1:15" x14ac:dyDescent="0.2">
      <c r="A694" s="1217"/>
      <c r="B694" s="166"/>
      <c r="E694" s="83"/>
      <c r="H694" t="s">
        <v>710</v>
      </c>
      <c r="I694" s="33">
        <v>1.51061E-9</v>
      </c>
      <c r="J694" t="s">
        <v>3379</v>
      </c>
      <c r="K694" t="s">
        <v>710</v>
      </c>
      <c r="L694" s="166">
        <f t="shared" si="55"/>
        <v>1.5880007955049497E-4</v>
      </c>
      <c r="M694" s="127" t="s">
        <v>3380</v>
      </c>
    </row>
    <row r="695" spans="1:15" x14ac:dyDescent="0.2">
      <c r="A695" s="1217"/>
      <c r="B695" s="166"/>
      <c r="E695" s="83"/>
      <c r="H695" t="s">
        <v>3381</v>
      </c>
      <c r="I695">
        <v>1.01E-3</v>
      </c>
      <c r="J695" t="s">
        <v>3382</v>
      </c>
      <c r="K695" t="s">
        <v>3381</v>
      </c>
      <c r="L695" s="166">
        <f t="shared" si="55"/>
        <v>106.1743801153176</v>
      </c>
      <c r="M695" s="127" t="s">
        <v>3383</v>
      </c>
    </row>
    <row r="696" spans="1:15" x14ac:dyDescent="0.2">
      <c r="A696" s="1217"/>
      <c r="B696" s="166"/>
      <c r="E696" s="83"/>
      <c r="H696" t="s">
        <v>3384</v>
      </c>
      <c r="I696">
        <v>1.2200000000000001E-2</v>
      </c>
      <c r="J696" t="s">
        <v>711</v>
      </c>
      <c r="K696" t="s">
        <v>3384</v>
      </c>
      <c r="L696" s="166">
        <f t="shared" si="55"/>
        <v>1282.5024132741335</v>
      </c>
      <c r="M696" s="127" t="s">
        <v>3385</v>
      </c>
    </row>
    <row r="697" spans="1:15" x14ac:dyDescent="0.2">
      <c r="A697" s="1219"/>
      <c r="B697" s="833"/>
      <c r="C697" s="1102"/>
      <c r="D697" s="118"/>
      <c r="E697" s="1220"/>
      <c r="F697" s="118"/>
      <c r="G697" s="118"/>
      <c r="H697" s="118"/>
      <c r="I697" s="118"/>
      <c r="J697" s="118"/>
      <c r="K697" s="118"/>
      <c r="L697" s="833"/>
      <c r="M697" s="120"/>
    </row>
    <row r="698" spans="1:15" x14ac:dyDescent="0.2">
      <c r="A698" s="1222"/>
      <c r="E698" s="83"/>
    </row>
    <row r="699" spans="1:15" ht="16" thickBot="1" x14ac:dyDescent="0.25"/>
    <row r="700" spans="1:15" x14ac:dyDescent="0.2">
      <c r="A700" s="1825" t="s">
        <v>1413</v>
      </c>
      <c r="B700" s="1826"/>
      <c r="C700" s="1826"/>
      <c r="D700" s="1826"/>
      <c r="E700" s="1826"/>
      <c r="F700" s="1826"/>
      <c r="G700" s="1826"/>
      <c r="H700" s="1826"/>
      <c r="I700" s="1826"/>
      <c r="J700" s="1826"/>
      <c r="K700" s="1826"/>
      <c r="L700" s="1826"/>
      <c r="M700" s="1826"/>
      <c r="N700" s="1826"/>
      <c r="O700" s="1827"/>
    </row>
    <row r="701" spans="1:15" ht="16" thickBot="1" x14ac:dyDescent="0.25">
      <c r="A701" s="1828"/>
      <c r="B701" s="1829"/>
      <c r="C701" s="1829"/>
      <c r="D701" s="1829"/>
      <c r="E701" s="1829"/>
      <c r="F701" s="1829"/>
      <c r="G701" s="1829"/>
      <c r="H701" s="1829"/>
      <c r="I701" s="1829"/>
      <c r="J701" s="1829"/>
      <c r="K701" s="1829"/>
      <c r="L701" s="1829"/>
      <c r="M701" s="1829"/>
      <c r="N701" s="1829"/>
      <c r="O701" s="1830"/>
    </row>
    <row r="702" spans="1:15" s="6" customFormat="1" x14ac:dyDescent="0.2">
      <c r="A702" s="1920" t="s">
        <v>697</v>
      </c>
      <c r="B702" s="1515" t="s">
        <v>698</v>
      </c>
      <c r="C702" s="1515"/>
      <c r="D702" s="1515"/>
      <c r="E702" s="1921" t="s">
        <v>3362</v>
      </c>
      <c r="F702" s="1515" t="s">
        <v>699</v>
      </c>
      <c r="G702" s="1515"/>
      <c r="H702" s="1515" t="s">
        <v>3363</v>
      </c>
      <c r="I702" s="1515"/>
      <c r="J702" s="1515"/>
      <c r="K702" s="1515" t="s">
        <v>700</v>
      </c>
      <c r="L702" s="1515"/>
      <c r="M702" s="1515"/>
    </row>
    <row r="703" spans="1:15" s="6" customFormat="1" ht="15.75" customHeight="1" x14ac:dyDescent="0.2">
      <c r="A703" s="1520"/>
      <c r="B703" s="1214" t="s">
        <v>515</v>
      </c>
      <c r="C703" s="1112" t="s">
        <v>372</v>
      </c>
      <c r="D703" s="969" t="s">
        <v>583</v>
      </c>
      <c r="E703" s="1922"/>
      <c r="F703" s="969" t="s">
        <v>42</v>
      </c>
      <c r="G703" s="969" t="s">
        <v>372</v>
      </c>
      <c r="H703" s="29" t="s">
        <v>697</v>
      </c>
      <c r="I703" s="969" t="s">
        <v>42</v>
      </c>
      <c r="J703" s="969" t="s">
        <v>372</v>
      </c>
      <c r="K703" s="969" t="s">
        <v>697</v>
      </c>
      <c r="L703" s="1214" t="s">
        <v>42</v>
      </c>
      <c r="M703" s="969" t="s">
        <v>372</v>
      </c>
    </row>
    <row r="704" spans="1:15" ht="16" x14ac:dyDescent="0.2">
      <c r="A704" s="486" t="s">
        <v>1027</v>
      </c>
      <c r="B704" s="845">
        <v>6250</v>
      </c>
      <c r="C704" s="1159" t="s">
        <v>267</v>
      </c>
      <c r="D704" s="1229">
        <v>2</v>
      </c>
      <c r="E704" s="1216" t="s">
        <v>3388</v>
      </c>
      <c r="F704" s="110"/>
      <c r="G704" s="110"/>
      <c r="H704" s="110"/>
      <c r="I704" s="110"/>
      <c r="J704" s="110"/>
      <c r="K704" s="110"/>
      <c r="L704" s="845"/>
      <c r="M704" s="112"/>
    </row>
    <row r="705" spans="1:13" ht="16" x14ac:dyDescent="0.2">
      <c r="A705" s="1223" t="s">
        <v>3389</v>
      </c>
      <c r="B705" s="166">
        <f>B704/1000</f>
        <v>6.25</v>
      </c>
      <c r="C705" s="133" t="s">
        <v>444</v>
      </c>
      <c r="F705">
        <v>1</v>
      </c>
      <c r="G705" t="s">
        <v>713</v>
      </c>
      <c r="H705" t="s">
        <v>701</v>
      </c>
      <c r="I705">
        <v>0.14229</v>
      </c>
      <c r="J705" t="s">
        <v>702</v>
      </c>
      <c r="K705" t="s">
        <v>701</v>
      </c>
      <c r="L705" s="166">
        <f>I705*B$710</f>
        <v>1.28061</v>
      </c>
      <c r="M705" s="127" t="s">
        <v>3367</v>
      </c>
    </row>
    <row r="706" spans="1:13" x14ac:dyDescent="0.2">
      <c r="A706" s="1217"/>
      <c r="B706" s="166">
        <v>20</v>
      </c>
      <c r="C706" s="133" t="s">
        <v>10</v>
      </c>
      <c r="D706" t="s">
        <v>3390</v>
      </c>
      <c r="E706" s="83"/>
      <c r="F706">
        <v>40</v>
      </c>
      <c r="G706" t="s">
        <v>12</v>
      </c>
      <c r="H706" t="s">
        <v>703</v>
      </c>
      <c r="I706" s="33">
        <v>2.2291000000000001E-5</v>
      </c>
      <c r="J706" t="s">
        <v>704</v>
      </c>
      <c r="K706" t="s">
        <v>703</v>
      </c>
      <c r="L706" s="166">
        <f t="shared" ref="L706:L714" si="56">I706*B$710</f>
        <v>2.00619E-4</v>
      </c>
      <c r="M706" s="127" t="s">
        <v>3368</v>
      </c>
    </row>
    <row r="707" spans="1:13" x14ac:dyDescent="0.2">
      <c r="A707" s="1217"/>
      <c r="B707" s="166">
        <v>0.7</v>
      </c>
      <c r="D707" t="s">
        <v>3391</v>
      </c>
      <c r="E707" s="83"/>
      <c r="H707" t="s">
        <v>705</v>
      </c>
      <c r="I707">
        <v>3203.5834399999999</v>
      </c>
      <c r="J707" t="s">
        <v>706</v>
      </c>
      <c r="K707" t="s">
        <v>705</v>
      </c>
      <c r="L707" s="166">
        <f t="shared" si="56"/>
        <v>28832.250959999998</v>
      </c>
      <c r="M707" s="127" t="s">
        <v>3370</v>
      </c>
    </row>
    <row r="708" spans="1:13" x14ac:dyDescent="0.2">
      <c r="A708" s="1217"/>
      <c r="B708" s="166">
        <f>B705*B706/B707</f>
        <v>178.57142857142858</v>
      </c>
      <c r="C708" s="133" t="s">
        <v>12</v>
      </c>
      <c r="E708" s="83"/>
      <c r="H708" t="s">
        <v>3372</v>
      </c>
      <c r="I708">
        <v>1.278E-2</v>
      </c>
      <c r="J708" t="s">
        <v>3373</v>
      </c>
      <c r="K708" t="s">
        <v>3372</v>
      </c>
      <c r="L708" s="166">
        <f t="shared" si="56"/>
        <v>0.11502</v>
      </c>
      <c r="M708" s="127" t="s">
        <v>3374</v>
      </c>
    </row>
    <row r="709" spans="1:13" x14ac:dyDescent="0.2">
      <c r="A709" s="1217"/>
      <c r="B709" s="166">
        <f>B708*D704</f>
        <v>357.14285714285717</v>
      </c>
      <c r="C709" s="133" t="s">
        <v>12</v>
      </c>
      <c r="E709" s="83"/>
      <c r="H709" t="s">
        <v>3375</v>
      </c>
      <c r="I709">
        <v>3.7339999999999998E-2</v>
      </c>
      <c r="J709" t="s">
        <v>707</v>
      </c>
      <c r="K709" t="s">
        <v>3375</v>
      </c>
      <c r="L709" s="166">
        <f t="shared" si="56"/>
        <v>0.33605999999999997</v>
      </c>
      <c r="M709" s="127" t="s">
        <v>3376</v>
      </c>
    </row>
    <row r="710" spans="1:13" x14ac:dyDescent="0.2">
      <c r="A710" s="1217"/>
      <c r="B710" s="1218">
        <f>ROUNDUP(B709/F706,0)</f>
        <v>9</v>
      </c>
      <c r="C710" s="1114" t="s">
        <v>3392</v>
      </c>
      <c r="D710" s="6" t="s">
        <v>577</v>
      </c>
      <c r="E710" s="83"/>
      <c r="H710" t="s">
        <v>708</v>
      </c>
      <c r="I710">
        <v>9.0477000000000007</v>
      </c>
      <c r="J710" t="s">
        <v>709</v>
      </c>
      <c r="K710" t="s">
        <v>708</v>
      </c>
      <c r="L710" s="166">
        <f t="shared" si="56"/>
        <v>81.429300000000012</v>
      </c>
      <c r="M710" s="127" t="s">
        <v>3377</v>
      </c>
    </row>
    <row r="711" spans="1:13" x14ac:dyDescent="0.2">
      <c r="A711" s="1217"/>
      <c r="B711" s="166"/>
      <c r="E711" s="83"/>
      <c r="H711" t="s">
        <v>3378</v>
      </c>
      <c r="I711" s="33">
        <v>3.5905399999999997E-5</v>
      </c>
      <c r="J711" t="s">
        <v>704</v>
      </c>
      <c r="K711" t="s">
        <v>3378</v>
      </c>
      <c r="L711" s="166">
        <f t="shared" si="56"/>
        <v>3.2314859999999998E-4</v>
      </c>
      <c r="M711" s="127" t="s">
        <v>3368</v>
      </c>
    </row>
    <row r="712" spans="1:13" x14ac:dyDescent="0.2">
      <c r="A712" s="1217"/>
      <c r="B712" s="166"/>
      <c r="E712" s="83"/>
      <c r="H712" t="s">
        <v>710</v>
      </c>
      <c r="I712" s="33">
        <v>1.7364199999999999E-7</v>
      </c>
      <c r="J712" t="s">
        <v>3379</v>
      </c>
      <c r="K712" t="s">
        <v>710</v>
      </c>
      <c r="L712" s="166">
        <f t="shared" si="56"/>
        <v>1.5627779999999999E-6</v>
      </c>
      <c r="M712" s="127" t="s">
        <v>3380</v>
      </c>
    </row>
    <row r="713" spans="1:13" x14ac:dyDescent="0.2">
      <c r="A713" s="1217"/>
      <c r="B713" s="166"/>
      <c r="E713" s="83"/>
      <c r="H713" t="s">
        <v>3381</v>
      </c>
      <c r="I713">
        <v>2.9360000000000001E-2</v>
      </c>
      <c r="J713" t="s">
        <v>3382</v>
      </c>
      <c r="K713" t="s">
        <v>3381</v>
      </c>
      <c r="L713" s="166">
        <f t="shared" si="56"/>
        <v>0.26424000000000003</v>
      </c>
      <c r="M713" s="127" t="s">
        <v>3383</v>
      </c>
    </row>
    <row r="714" spans="1:13" x14ac:dyDescent="0.2">
      <c r="A714" s="1217"/>
      <c r="B714" s="166"/>
      <c r="E714" s="83"/>
      <c r="H714" t="s">
        <v>3384</v>
      </c>
      <c r="I714">
        <v>0.84404000000000001</v>
      </c>
      <c r="J714" t="s">
        <v>711</v>
      </c>
      <c r="K714" t="s">
        <v>3384</v>
      </c>
      <c r="L714" s="166">
        <f t="shared" si="56"/>
        <v>7.5963599999999998</v>
      </c>
      <c r="M714" s="127" t="s">
        <v>3385</v>
      </c>
    </row>
    <row r="715" spans="1:13" x14ac:dyDescent="0.2">
      <c r="A715" s="414"/>
      <c r="B715" s="833"/>
      <c r="C715" s="1162"/>
      <c r="D715" s="1233"/>
      <c r="E715" s="1234"/>
      <c r="F715" s="118"/>
      <c r="G715" s="118"/>
      <c r="H715" s="118"/>
      <c r="I715" s="118"/>
      <c r="J715" s="118"/>
      <c r="K715" s="118"/>
      <c r="L715" s="833"/>
      <c r="M715" s="120"/>
    </row>
    <row r="716" spans="1:13" ht="48" x14ac:dyDescent="0.2">
      <c r="A716" s="486" t="s">
        <v>3431</v>
      </c>
      <c r="B716" s="845">
        <v>549.49443197636572</v>
      </c>
      <c r="C716" s="1159" t="s">
        <v>1</v>
      </c>
      <c r="D716" s="1229">
        <v>2</v>
      </c>
      <c r="E716" s="159" t="s">
        <v>3423</v>
      </c>
      <c r="F716" s="110">
        <v>1</v>
      </c>
      <c r="G716" s="110" t="s">
        <v>3424</v>
      </c>
      <c r="H716" s="110"/>
      <c r="I716" s="110"/>
      <c r="J716" s="110"/>
      <c r="K716" s="110"/>
      <c r="L716" s="845"/>
      <c r="M716" s="112"/>
    </row>
    <row r="717" spans="1:13" x14ac:dyDescent="0.2">
      <c r="A717" s="1217"/>
      <c r="B717" s="1218">
        <f>B716/F717*D716</f>
        <v>2.1979777279054629</v>
      </c>
      <c r="C717" s="1114" t="s">
        <v>3424</v>
      </c>
      <c r="D717" s="6" t="s">
        <v>577</v>
      </c>
      <c r="E717" s="83"/>
      <c r="F717">
        <v>500</v>
      </c>
      <c r="G717" t="s">
        <v>3425</v>
      </c>
      <c r="H717" t="s">
        <v>701</v>
      </c>
      <c r="I717">
        <v>500.29457000000002</v>
      </c>
      <c r="J717" t="s">
        <v>702</v>
      </c>
      <c r="K717" t="s">
        <v>701</v>
      </c>
      <c r="L717" s="166">
        <f>I717*B$717</f>
        <v>1099.6363222520406</v>
      </c>
      <c r="M717" s="127" t="s">
        <v>3367</v>
      </c>
    </row>
    <row r="718" spans="1:13" x14ac:dyDescent="0.2">
      <c r="A718" s="1217"/>
      <c r="B718" s="166"/>
      <c r="E718" s="83"/>
      <c r="H718" t="s">
        <v>703</v>
      </c>
      <c r="I718" s="33">
        <v>5.0630000000000001E-2</v>
      </c>
      <c r="J718" t="s">
        <v>704</v>
      </c>
      <c r="K718" t="s">
        <v>703</v>
      </c>
      <c r="L718" s="166">
        <f t="shared" ref="L718:L726" si="57">I718*B$717</f>
        <v>0.11128361236385359</v>
      </c>
      <c r="M718" s="127" t="s">
        <v>3368</v>
      </c>
    </row>
    <row r="719" spans="1:13" x14ac:dyDescent="0.2">
      <c r="A719" s="1217"/>
      <c r="B719" s="166"/>
      <c r="E719" s="83"/>
      <c r="H719" t="s">
        <v>705</v>
      </c>
      <c r="I719" s="33">
        <v>4.7383300000000004E-6</v>
      </c>
      <c r="J719" t="s">
        <v>706</v>
      </c>
      <c r="K719" t="s">
        <v>705</v>
      </c>
      <c r="L719" s="166">
        <f t="shared" si="57"/>
        <v>1.0414743807466293E-5</v>
      </c>
      <c r="M719" s="127" t="s">
        <v>3370</v>
      </c>
    </row>
    <row r="720" spans="1:13" x14ac:dyDescent="0.2">
      <c r="A720" s="1217"/>
      <c r="B720" s="166"/>
      <c r="E720" s="83"/>
      <c r="H720" t="s">
        <v>3372</v>
      </c>
      <c r="I720">
        <v>32.336289999999998</v>
      </c>
      <c r="J720" t="s">
        <v>3373</v>
      </c>
      <c r="K720" t="s">
        <v>3372</v>
      </c>
      <c r="L720" s="166">
        <f t="shared" si="57"/>
        <v>71.074445223092141</v>
      </c>
      <c r="M720" s="127" t="s">
        <v>3374</v>
      </c>
    </row>
    <row r="721" spans="1:13" x14ac:dyDescent="0.2">
      <c r="A721" s="1217"/>
      <c r="B721" s="166"/>
      <c r="E721" s="83"/>
      <c r="H721" t="s">
        <v>3375</v>
      </c>
      <c r="I721">
        <v>330.76024999999998</v>
      </c>
      <c r="J721" t="s">
        <v>707</v>
      </c>
      <c r="K721" t="s">
        <v>3375</v>
      </c>
      <c r="L721" s="166">
        <f t="shared" si="57"/>
        <v>727.00366277644287</v>
      </c>
      <c r="M721" s="127" t="s">
        <v>3376</v>
      </c>
    </row>
    <row r="722" spans="1:13" x14ac:dyDescent="0.2">
      <c r="A722" s="1217"/>
      <c r="B722" s="166"/>
      <c r="E722" s="83"/>
      <c r="H722" t="s">
        <v>708</v>
      </c>
      <c r="I722" s="33">
        <v>96090.3</v>
      </c>
      <c r="J722" t="s">
        <v>709</v>
      </c>
      <c r="K722" t="s">
        <v>708</v>
      </c>
      <c r="L722" s="166">
        <f t="shared" si="57"/>
        <v>211204.33926775432</v>
      </c>
      <c r="M722" s="127" t="s">
        <v>3377</v>
      </c>
    </row>
    <row r="723" spans="1:13" x14ac:dyDescent="0.2">
      <c r="A723" s="1217"/>
      <c r="B723" s="166"/>
      <c r="E723" s="83"/>
      <c r="H723" t="s">
        <v>3378</v>
      </c>
      <c r="I723" s="33">
        <v>5.6300000000000003E-2</v>
      </c>
      <c r="J723" t="s">
        <v>704</v>
      </c>
      <c r="K723" t="s">
        <v>3378</v>
      </c>
      <c r="L723" s="166">
        <f t="shared" si="57"/>
        <v>0.12374614608107756</v>
      </c>
      <c r="M723" s="127" t="s">
        <v>3368</v>
      </c>
    </row>
    <row r="724" spans="1:13" x14ac:dyDescent="0.2">
      <c r="A724" s="1217"/>
      <c r="B724" s="166"/>
      <c r="E724" s="83"/>
      <c r="H724" t="s">
        <v>710</v>
      </c>
      <c r="I724" s="33">
        <v>1.3699999999999999E-3</v>
      </c>
      <c r="J724" t="s">
        <v>3379</v>
      </c>
      <c r="K724" t="s">
        <v>710</v>
      </c>
      <c r="L724" s="166">
        <f t="shared" si="57"/>
        <v>3.0112294872304841E-3</v>
      </c>
      <c r="M724" s="127" t="s">
        <v>3380</v>
      </c>
    </row>
    <row r="725" spans="1:13" x14ac:dyDescent="0.2">
      <c r="A725" s="1217"/>
      <c r="B725" s="166"/>
      <c r="E725" s="83"/>
      <c r="H725" t="s">
        <v>3381</v>
      </c>
      <c r="I725">
        <v>145.08896999999999</v>
      </c>
      <c r="J725" t="s">
        <v>3382</v>
      </c>
      <c r="K725" t="s">
        <v>3381</v>
      </c>
      <c r="L725" s="166">
        <f t="shared" si="57"/>
        <v>318.90232462474381</v>
      </c>
      <c r="M725" s="127" t="s">
        <v>3383</v>
      </c>
    </row>
    <row r="726" spans="1:13" x14ac:dyDescent="0.2">
      <c r="A726" s="1217"/>
      <c r="B726" s="166"/>
      <c r="E726" s="83"/>
      <c r="H726" t="s">
        <v>3384</v>
      </c>
      <c r="I726">
        <v>7926.5570900000002</v>
      </c>
      <c r="J726" t="s">
        <v>711</v>
      </c>
      <c r="K726" t="s">
        <v>3384</v>
      </c>
      <c r="L726" s="166">
        <f t="shared" si="57"/>
        <v>17422.39594279114</v>
      </c>
      <c r="M726" s="127" t="s">
        <v>3385</v>
      </c>
    </row>
    <row r="727" spans="1:13" x14ac:dyDescent="0.2">
      <c r="A727" s="1219"/>
      <c r="B727" s="833"/>
      <c r="C727" s="1102"/>
      <c r="D727" s="118"/>
      <c r="E727" s="1220"/>
      <c r="F727" s="118"/>
      <c r="G727" s="118"/>
      <c r="H727" s="118"/>
      <c r="I727" s="118"/>
      <c r="J727" s="118"/>
      <c r="K727" s="118"/>
      <c r="L727" s="833"/>
      <c r="M727" s="120"/>
    </row>
    <row r="728" spans="1:13" ht="16" x14ac:dyDescent="0.2">
      <c r="A728" s="486" t="s">
        <v>812</v>
      </c>
      <c r="B728" s="845">
        <v>164.72712340158947</v>
      </c>
      <c r="C728" s="1159" t="s">
        <v>14</v>
      </c>
      <c r="D728" s="1229">
        <v>2</v>
      </c>
      <c r="E728" s="159" t="s">
        <v>3399</v>
      </c>
      <c r="F728" s="110">
        <v>1</v>
      </c>
      <c r="G728" s="110" t="s">
        <v>15</v>
      </c>
      <c r="H728" s="110"/>
      <c r="I728" s="110"/>
      <c r="J728" s="110"/>
      <c r="K728" s="110"/>
      <c r="L728" s="845"/>
      <c r="M728" s="112"/>
    </row>
    <row r="729" spans="1:13" x14ac:dyDescent="0.2">
      <c r="A729" s="1217"/>
      <c r="B729" s="166">
        <f>B728*1000</f>
        <v>164727.12340158946</v>
      </c>
      <c r="C729" s="133" t="s">
        <v>15</v>
      </c>
      <c r="E729" s="83"/>
      <c r="H729" t="s">
        <v>701</v>
      </c>
      <c r="I729">
        <v>8.2000000000000007E-3</v>
      </c>
      <c r="J729" t="s">
        <v>702</v>
      </c>
      <c r="K729" t="s">
        <v>701</v>
      </c>
      <c r="L729" s="166">
        <f>I729*B$730</f>
        <v>2701.5248237860674</v>
      </c>
      <c r="M729" s="127" t="s">
        <v>3367</v>
      </c>
    </row>
    <row r="730" spans="1:13" x14ac:dyDescent="0.2">
      <c r="A730" s="1217"/>
      <c r="B730" s="1218">
        <f>B729*D728</f>
        <v>329454.24680317892</v>
      </c>
      <c r="C730" s="1114" t="s">
        <v>15</v>
      </c>
      <c r="D730" s="6" t="s">
        <v>577</v>
      </c>
      <c r="E730" s="83"/>
      <c r="H730" t="s">
        <v>703</v>
      </c>
      <c r="I730" s="33">
        <v>1.03715E-7</v>
      </c>
      <c r="J730" t="s">
        <v>704</v>
      </c>
      <c r="K730" t="s">
        <v>703</v>
      </c>
      <c r="L730" s="166">
        <f t="shared" ref="L730:L738" si="58">I730*B$730</f>
        <v>3.4169347207191704E-2</v>
      </c>
      <c r="M730" s="127" t="s">
        <v>3368</v>
      </c>
    </row>
    <row r="731" spans="1:13" x14ac:dyDescent="0.2">
      <c r="A731" s="1217"/>
      <c r="B731" s="166"/>
      <c r="E731" s="83"/>
      <c r="H731" t="s">
        <v>705</v>
      </c>
      <c r="I731">
        <v>14.472849999999999</v>
      </c>
      <c r="J731" t="s">
        <v>706</v>
      </c>
      <c r="K731" t="s">
        <v>705</v>
      </c>
      <c r="L731" s="166">
        <f t="shared" si="58"/>
        <v>4768141.8958453881</v>
      </c>
      <c r="M731" s="127" t="s">
        <v>3370</v>
      </c>
    </row>
    <row r="732" spans="1:13" x14ac:dyDescent="0.2">
      <c r="A732" s="1217"/>
      <c r="B732" s="166"/>
      <c r="E732" s="83"/>
      <c r="H732" t="s">
        <v>3372</v>
      </c>
      <c r="I732">
        <v>1.1E-4</v>
      </c>
      <c r="J732" t="s">
        <v>3373</v>
      </c>
      <c r="K732" t="s">
        <v>3372</v>
      </c>
      <c r="L732" s="166">
        <f t="shared" si="58"/>
        <v>36.239967148349685</v>
      </c>
      <c r="M732" s="127" t="s">
        <v>3374</v>
      </c>
    </row>
    <row r="733" spans="1:13" x14ac:dyDescent="0.2">
      <c r="A733" s="1217"/>
      <c r="B733" s="166"/>
      <c r="E733" s="83"/>
      <c r="H733" t="s">
        <v>3375</v>
      </c>
      <c r="I733">
        <v>4.0000000000000001E-3</v>
      </c>
      <c r="J733" t="s">
        <v>707</v>
      </c>
      <c r="K733" t="s">
        <v>3375</v>
      </c>
      <c r="L733" s="166">
        <f t="shared" si="58"/>
        <v>1317.8169872127157</v>
      </c>
      <c r="M733" s="127" t="s">
        <v>3376</v>
      </c>
    </row>
    <row r="734" spans="1:13" x14ac:dyDescent="0.2">
      <c r="A734" s="1217"/>
      <c r="B734" s="166"/>
      <c r="E734" s="83"/>
      <c r="H734" t="s">
        <v>708</v>
      </c>
      <c r="I734">
        <v>2.29596</v>
      </c>
      <c r="J734" t="s">
        <v>709</v>
      </c>
      <c r="K734" t="s">
        <v>708</v>
      </c>
      <c r="L734" s="166">
        <f t="shared" si="58"/>
        <v>756413.77249022666</v>
      </c>
      <c r="M734" s="127" t="s">
        <v>3377</v>
      </c>
    </row>
    <row r="735" spans="1:13" x14ac:dyDescent="0.2">
      <c r="A735" s="1217"/>
      <c r="B735" s="166"/>
      <c r="E735" s="83"/>
      <c r="H735" t="s">
        <v>3378</v>
      </c>
      <c r="I735" s="33">
        <v>2.0654900000000001E-7</v>
      </c>
      <c r="J735" t="s">
        <v>704</v>
      </c>
      <c r="K735" t="s">
        <v>3378</v>
      </c>
      <c r="L735" s="166">
        <f t="shared" si="58"/>
        <v>6.804844522294981E-2</v>
      </c>
      <c r="M735" s="127" t="s">
        <v>3368</v>
      </c>
    </row>
    <row r="736" spans="1:13" x14ac:dyDescent="0.2">
      <c r="A736" s="1217"/>
      <c r="B736" s="166"/>
      <c r="E736" s="83"/>
      <c r="H736" t="s">
        <v>710</v>
      </c>
      <c r="I736" s="33">
        <v>9.36496E-8</v>
      </c>
      <c r="J736" t="s">
        <v>3379</v>
      </c>
      <c r="K736" t="s">
        <v>710</v>
      </c>
      <c r="L736" s="166">
        <f t="shared" si="58"/>
        <v>3.0853258431418985E-2</v>
      </c>
      <c r="M736" s="127" t="s">
        <v>3380</v>
      </c>
    </row>
    <row r="737" spans="1:13" x14ac:dyDescent="0.2">
      <c r="A737" s="1217"/>
      <c r="B737" s="166"/>
      <c r="E737" s="83"/>
      <c r="H737" t="s">
        <v>3381</v>
      </c>
      <c r="I737">
        <v>1.6999999999999999E-3</v>
      </c>
      <c r="J737" t="s">
        <v>3382</v>
      </c>
      <c r="K737" t="s">
        <v>3381</v>
      </c>
      <c r="L737" s="166">
        <f t="shared" si="58"/>
        <v>560.07221956540411</v>
      </c>
      <c r="M737" s="127" t="s">
        <v>3383</v>
      </c>
    </row>
    <row r="738" spans="1:13" x14ac:dyDescent="0.2">
      <c r="A738" s="1217"/>
      <c r="B738" s="166"/>
      <c r="E738" s="83"/>
      <c r="H738" t="s">
        <v>3384</v>
      </c>
      <c r="I738">
        <v>9.5829999999999999E-2</v>
      </c>
      <c r="J738" t="s">
        <v>711</v>
      </c>
      <c r="K738" t="s">
        <v>3384</v>
      </c>
      <c r="L738" s="166">
        <f t="shared" si="58"/>
        <v>31571.600471148635</v>
      </c>
      <c r="M738" s="127" t="s">
        <v>3385</v>
      </c>
    </row>
    <row r="739" spans="1:13" x14ac:dyDescent="0.2">
      <c r="A739" s="1219"/>
      <c r="B739" s="833"/>
      <c r="C739" s="1102"/>
      <c r="D739" s="118"/>
      <c r="E739" s="1220"/>
      <c r="F739" s="118"/>
      <c r="G739" s="118"/>
      <c r="H739" s="118"/>
      <c r="I739" s="118"/>
      <c r="J739" s="118"/>
      <c r="K739" s="118"/>
      <c r="L739" s="833"/>
      <c r="M739" s="120"/>
    </row>
    <row r="740" spans="1:13" ht="32" x14ac:dyDescent="0.2">
      <c r="A740" s="1215" t="s">
        <v>714</v>
      </c>
      <c r="B740" s="1231">
        <v>22794555.872381177</v>
      </c>
      <c r="C740" s="1232" t="s">
        <v>720</v>
      </c>
      <c r="D740" s="110"/>
      <c r="E740" s="1216" t="s">
        <v>3404</v>
      </c>
      <c r="F740" s="110">
        <v>1</v>
      </c>
      <c r="G740" s="110" t="s">
        <v>378</v>
      </c>
      <c r="H740" s="110"/>
      <c r="I740" s="110"/>
      <c r="J740" s="110"/>
      <c r="K740" s="110"/>
      <c r="L740" s="845"/>
      <c r="M740" s="112"/>
    </row>
    <row r="741" spans="1:13" x14ac:dyDescent="0.2">
      <c r="A741" s="637"/>
      <c r="B741" s="166"/>
      <c r="E741" s="83"/>
      <c r="H741" t="s">
        <v>701</v>
      </c>
      <c r="I741">
        <v>7.5000000000000002E-4</v>
      </c>
      <c r="J741" t="s">
        <v>702</v>
      </c>
      <c r="K741" t="s">
        <v>701</v>
      </c>
      <c r="L741" s="166">
        <f>I741*B$740</f>
        <v>17095.916904285881</v>
      </c>
      <c r="M741" s="127" t="s">
        <v>3367</v>
      </c>
    </row>
    <row r="742" spans="1:13" x14ac:dyDescent="0.2">
      <c r="A742" s="1217"/>
      <c r="B742" s="166"/>
      <c r="E742" s="83"/>
      <c r="H742" t="s">
        <v>703</v>
      </c>
      <c r="I742" s="33">
        <v>3.3111200000000002E-8</v>
      </c>
      <c r="J742" t="s">
        <v>704</v>
      </c>
      <c r="K742" t="s">
        <v>703</v>
      </c>
      <c r="L742" s="166">
        <f t="shared" ref="L742:L750" si="59">I742*B$740</f>
        <v>0.75475509840158772</v>
      </c>
      <c r="M742" s="127" t="s">
        <v>3368</v>
      </c>
    </row>
    <row r="743" spans="1:13" x14ac:dyDescent="0.2">
      <c r="A743" s="1217"/>
      <c r="B743" s="166"/>
      <c r="E743" s="83"/>
      <c r="H743" t="s">
        <v>705</v>
      </c>
      <c r="I743">
        <v>4.1968100000000002</v>
      </c>
      <c r="J743" t="s">
        <v>706</v>
      </c>
      <c r="K743" t="s">
        <v>705</v>
      </c>
      <c r="L743" s="166">
        <f t="shared" si="59"/>
        <v>95664420.030768052</v>
      </c>
      <c r="M743" s="127" t="s">
        <v>3370</v>
      </c>
    </row>
    <row r="744" spans="1:13" x14ac:dyDescent="0.2">
      <c r="A744" s="1217"/>
      <c r="B744" s="166"/>
      <c r="E744" s="83"/>
      <c r="H744" t="s">
        <v>3372</v>
      </c>
      <c r="I744">
        <v>3.2000000000000003E-4</v>
      </c>
      <c r="J744" t="s">
        <v>3373</v>
      </c>
      <c r="K744" t="s">
        <v>3372</v>
      </c>
      <c r="L744" s="166">
        <f t="shared" si="59"/>
        <v>7294.2578791619771</v>
      </c>
      <c r="M744" s="127" t="s">
        <v>3374</v>
      </c>
    </row>
    <row r="745" spans="1:13" x14ac:dyDescent="0.2">
      <c r="A745" s="1217"/>
      <c r="B745" s="166"/>
      <c r="E745" s="83"/>
      <c r="H745" t="s">
        <v>3375</v>
      </c>
      <c r="I745">
        <v>5.2999999999999998E-4</v>
      </c>
      <c r="J745" t="s">
        <v>707</v>
      </c>
      <c r="K745" t="s">
        <v>3375</v>
      </c>
      <c r="L745" s="166">
        <f t="shared" si="59"/>
        <v>12081.114612362024</v>
      </c>
      <c r="M745" s="127" t="s">
        <v>3376</v>
      </c>
    </row>
    <row r="746" spans="1:13" x14ac:dyDescent="0.2">
      <c r="A746" s="1217"/>
      <c r="B746" s="166"/>
      <c r="E746" s="83"/>
      <c r="H746" t="s">
        <v>708</v>
      </c>
      <c r="I746">
        <v>0.39150000000000001</v>
      </c>
      <c r="J746" t="s">
        <v>709</v>
      </c>
      <c r="K746" t="s">
        <v>708</v>
      </c>
      <c r="L746" s="166">
        <f t="shared" si="59"/>
        <v>8924068.6240372304</v>
      </c>
      <c r="M746" s="127" t="s">
        <v>3377</v>
      </c>
    </row>
    <row r="747" spans="1:13" x14ac:dyDescent="0.2">
      <c r="A747" s="1217"/>
      <c r="B747" s="166"/>
      <c r="E747" s="83"/>
      <c r="H747" t="s">
        <v>3378</v>
      </c>
      <c r="I747" s="33">
        <v>9.8849699999999999E-8</v>
      </c>
      <c r="J747" t="s">
        <v>704</v>
      </c>
      <c r="K747" t="s">
        <v>3378</v>
      </c>
      <c r="L747" s="166">
        <f t="shared" si="59"/>
        <v>2.2532350096181175</v>
      </c>
      <c r="M747" s="127" t="s">
        <v>3368</v>
      </c>
    </row>
    <row r="748" spans="1:13" x14ac:dyDescent="0.2">
      <c r="A748" s="1217"/>
      <c r="B748" s="166"/>
      <c r="E748" s="83"/>
      <c r="H748" t="s">
        <v>710</v>
      </c>
      <c r="I748" s="33">
        <v>1.51061E-9</v>
      </c>
      <c r="J748" t="s">
        <v>3379</v>
      </c>
      <c r="K748" t="s">
        <v>710</v>
      </c>
      <c r="L748" s="166">
        <f t="shared" si="59"/>
        <v>3.4433684046377727E-2</v>
      </c>
      <c r="M748" s="127" t="s">
        <v>3380</v>
      </c>
    </row>
    <row r="749" spans="1:13" x14ac:dyDescent="0.2">
      <c r="A749" s="1217"/>
      <c r="B749" s="166"/>
      <c r="E749" s="83"/>
      <c r="H749" t="s">
        <v>3381</v>
      </c>
      <c r="I749">
        <v>1.01E-3</v>
      </c>
      <c r="J749" t="s">
        <v>3382</v>
      </c>
      <c r="K749" t="s">
        <v>3381</v>
      </c>
      <c r="L749" s="166">
        <f t="shared" si="59"/>
        <v>23022.501431104989</v>
      </c>
      <c r="M749" s="127" t="s">
        <v>3383</v>
      </c>
    </row>
    <row r="750" spans="1:13" x14ac:dyDescent="0.2">
      <c r="A750" s="1217"/>
      <c r="B750" s="166"/>
      <c r="E750" s="83"/>
      <c r="H750" t="s">
        <v>3384</v>
      </c>
      <c r="I750">
        <v>1.2200000000000001E-2</v>
      </c>
      <c r="J750" t="s">
        <v>711</v>
      </c>
      <c r="K750" t="s">
        <v>3384</v>
      </c>
      <c r="L750" s="166">
        <f t="shared" si="59"/>
        <v>278093.58164305036</v>
      </c>
      <c r="M750" s="127" t="s">
        <v>3385</v>
      </c>
    </row>
    <row r="751" spans="1:13" x14ac:dyDescent="0.2">
      <c r="A751" s="1219"/>
      <c r="B751" s="833"/>
      <c r="C751" s="1102"/>
      <c r="D751" s="118"/>
      <c r="E751" s="1220"/>
      <c r="F751" s="118"/>
      <c r="G751" s="118"/>
      <c r="H751" s="118"/>
      <c r="I751" s="118"/>
      <c r="J751" s="118"/>
      <c r="K751" s="118"/>
      <c r="L751" s="833"/>
      <c r="M751" s="120"/>
    </row>
    <row r="753" spans="1:15" ht="16" thickBot="1" x14ac:dyDescent="0.25"/>
    <row r="754" spans="1:15" x14ac:dyDescent="0.2">
      <c r="A754" s="1825" t="s">
        <v>1414</v>
      </c>
      <c r="B754" s="1826"/>
      <c r="C754" s="1826"/>
      <c r="D754" s="1826"/>
      <c r="E754" s="1826"/>
      <c r="F754" s="1826"/>
      <c r="G754" s="1826"/>
      <c r="H754" s="1826"/>
      <c r="I754" s="1826"/>
      <c r="J754" s="1826"/>
      <c r="K754" s="1826"/>
      <c r="L754" s="1826"/>
      <c r="M754" s="1826"/>
      <c r="N754" s="1826"/>
      <c r="O754" s="1827"/>
    </row>
    <row r="755" spans="1:15" ht="16" thickBot="1" x14ac:dyDescent="0.25">
      <c r="A755" s="1828"/>
      <c r="B755" s="1829"/>
      <c r="C755" s="1829"/>
      <c r="D755" s="1829"/>
      <c r="E755" s="1829"/>
      <c r="F755" s="1829"/>
      <c r="G755" s="1829"/>
      <c r="H755" s="1829"/>
      <c r="I755" s="1829"/>
      <c r="J755" s="1829"/>
      <c r="K755" s="1829"/>
      <c r="L755" s="1829"/>
      <c r="M755" s="1829"/>
      <c r="N755" s="1829"/>
      <c r="O755" s="1830"/>
    </row>
    <row r="756" spans="1:15" s="6" customFormat="1" x14ac:dyDescent="0.2">
      <c r="A756" s="1920" t="s">
        <v>697</v>
      </c>
      <c r="B756" s="1515" t="s">
        <v>698</v>
      </c>
      <c r="C756" s="1515"/>
      <c r="D756" s="1515"/>
      <c r="E756" s="1921" t="s">
        <v>3362</v>
      </c>
      <c r="F756" s="1515" t="s">
        <v>699</v>
      </c>
      <c r="G756" s="1515"/>
      <c r="H756" s="1515" t="s">
        <v>3363</v>
      </c>
      <c r="I756" s="1515"/>
      <c r="J756" s="1515"/>
      <c r="K756" s="1515" t="s">
        <v>700</v>
      </c>
      <c r="L756" s="1515"/>
      <c r="M756" s="1515"/>
    </row>
    <row r="757" spans="1:15" s="6" customFormat="1" ht="15.75" customHeight="1" x14ac:dyDescent="0.2">
      <c r="A757" s="1520"/>
      <c r="B757" s="1214" t="s">
        <v>515</v>
      </c>
      <c r="C757" s="969" t="s">
        <v>372</v>
      </c>
      <c r="D757" s="969" t="s">
        <v>583</v>
      </c>
      <c r="E757" s="1922"/>
      <c r="F757" s="969" t="s">
        <v>42</v>
      </c>
      <c r="G757" s="969" t="s">
        <v>372</v>
      </c>
      <c r="H757" s="29" t="s">
        <v>697</v>
      </c>
      <c r="I757" s="969" t="s">
        <v>42</v>
      </c>
      <c r="J757" s="969" t="s">
        <v>372</v>
      </c>
      <c r="K757" s="969" t="s">
        <v>697</v>
      </c>
      <c r="L757" s="1214" t="s">
        <v>42</v>
      </c>
      <c r="M757" s="969" t="s">
        <v>372</v>
      </c>
    </row>
    <row r="758" spans="1:15" ht="16" x14ac:dyDescent="0.2">
      <c r="A758" s="486" t="s">
        <v>1027</v>
      </c>
      <c r="B758" s="845">
        <v>56250</v>
      </c>
      <c r="C758" s="1159" t="s">
        <v>267</v>
      </c>
      <c r="D758" s="1229">
        <v>2</v>
      </c>
      <c r="E758" s="1216" t="s">
        <v>3388</v>
      </c>
      <c r="F758" s="110"/>
      <c r="G758" s="110"/>
      <c r="H758" s="110"/>
      <c r="I758" s="110"/>
      <c r="J758" s="110"/>
      <c r="K758" s="110"/>
      <c r="L758" s="845"/>
      <c r="M758" s="112"/>
    </row>
    <row r="759" spans="1:15" x14ac:dyDescent="0.2">
      <c r="A759" s="1217"/>
      <c r="B759" s="166">
        <f>B758/1000</f>
        <v>56.25</v>
      </c>
      <c r="C759" s="133" t="s">
        <v>444</v>
      </c>
      <c r="F759">
        <v>1</v>
      </c>
      <c r="G759" t="s">
        <v>713</v>
      </c>
      <c r="H759" t="s">
        <v>701</v>
      </c>
      <c r="I759">
        <v>0.14229</v>
      </c>
      <c r="J759" t="s">
        <v>702</v>
      </c>
      <c r="K759" t="s">
        <v>701</v>
      </c>
      <c r="L759" s="166">
        <f>I759*B$764</f>
        <v>11.52549</v>
      </c>
      <c r="M759" s="127" t="s">
        <v>3367</v>
      </c>
    </row>
    <row r="760" spans="1:15" x14ac:dyDescent="0.2">
      <c r="A760" s="1217"/>
      <c r="B760" s="166">
        <v>20</v>
      </c>
      <c r="C760" s="133" t="s">
        <v>10</v>
      </c>
      <c r="D760" t="s">
        <v>3390</v>
      </c>
      <c r="E760" s="83"/>
      <c r="F760">
        <v>40</v>
      </c>
      <c r="G760" t="s">
        <v>12</v>
      </c>
      <c r="H760" t="s">
        <v>703</v>
      </c>
      <c r="I760" s="33">
        <v>2.2291000000000001E-5</v>
      </c>
      <c r="J760" t="s">
        <v>704</v>
      </c>
      <c r="K760" t="s">
        <v>703</v>
      </c>
      <c r="L760" s="166">
        <f t="shared" ref="L760:L768" si="60">I760*B$764</f>
        <v>1.805571E-3</v>
      </c>
      <c r="M760" s="127" t="s">
        <v>3368</v>
      </c>
    </row>
    <row r="761" spans="1:15" x14ac:dyDescent="0.2">
      <c r="A761" s="1217"/>
      <c r="B761" s="166">
        <v>0.7</v>
      </c>
      <c r="D761" t="s">
        <v>3391</v>
      </c>
      <c r="E761" s="83"/>
      <c r="H761" t="s">
        <v>705</v>
      </c>
      <c r="I761">
        <v>3203.5834399999999</v>
      </c>
      <c r="J761" t="s">
        <v>706</v>
      </c>
      <c r="K761" t="s">
        <v>705</v>
      </c>
      <c r="L761" s="166">
        <f t="shared" si="60"/>
        <v>259490.25863999999</v>
      </c>
      <c r="M761" s="127" t="s">
        <v>3370</v>
      </c>
    </row>
    <row r="762" spans="1:15" x14ac:dyDescent="0.2">
      <c r="A762" s="1217"/>
      <c r="B762" s="166">
        <f>B759*B760/B761</f>
        <v>1607.1428571428573</v>
      </c>
      <c r="C762" s="133" t="s">
        <v>12</v>
      </c>
      <c r="E762" s="83"/>
      <c r="H762" t="s">
        <v>3372</v>
      </c>
      <c r="I762">
        <v>1.278E-2</v>
      </c>
      <c r="J762" t="s">
        <v>3373</v>
      </c>
      <c r="K762" t="s">
        <v>3372</v>
      </c>
      <c r="L762" s="166">
        <f t="shared" si="60"/>
        <v>1.03518</v>
      </c>
      <c r="M762" s="127" t="s">
        <v>3374</v>
      </c>
    </row>
    <row r="763" spans="1:15" x14ac:dyDescent="0.2">
      <c r="A763" s="1217"/>
      <c r="B763" s="166">
        <f>B762*D758</f>
        <v>3214.2857142857147</v>
      </c>
      <c r="C763" s="133" t="s">
        <v>12</v>
      </c>
      <c r="E763" s="83"/>
      <c r="H763" t="s">
        <v>3375</v>
      </c>
      <c r="I763">
        <v>3.7339999999999998E-2</v>
      </c>
      <c r="J763" t="s">
        <v>707</v>
      </c>
      <c r="K763" t="s">
        <v>3375</v>
      </c>
      <c r="L763" s="166">
        <f t="shared" si="60"/>
        <v>3.02454</v>
      </c>
      <c r="M763" s="127" t="s">
        <v>3376</v>
      </c>
    </row>
    <row r="764" spans="1:15" x14ac:dyDescent="0.2">
      <c r="A764" s="1217"/>
      <c r="B764" s="1218">
        <f>ROUNDUP(B763/F760,0)</f>
        <v>81</v>
      </c>
      <c r="C764" s="1114" t="s">
        <v>3392</v>
      </c>
      <c r="D764" s="6" t="s">
        <v>577</v>
      </c>
      <c r="E764" s="83"/>
      <c r="H764" t="s">
        <v>708</v>
      </c>
      <c r="I764">
        <v>9.0477000000000007</v>
      </c>
      <c r="J764" t="s">
        <v>709</v>
      </c>
      <c r="K764" t="s">
        <v>708</v>
      </c>
      <c r="L764" s="166">
        <f t="shared" si="60"/>
        <v>732.86370000000011</v>
      </c>
      <c r="M764" s="127" t="s">
        <v>3377</v>
      </c>
    </row>
    <row r="765" spans="1:15" x14ac:dyDescent="0.2">
      <c r="A765" s="1217"/>
      <c r="B765" s="166"/>
      <c r="E765" s="83"/>
      <c r="H765" t="s">
        <v>3378</v>
      </c>
      <c r="I765" s="33">
        <v>3.5905399999999997E-5</v>
      </c>
      <c r="J765" t="s">
        <v>704</v>
      </c>
      <c r="K765" t="s">
        <v>3378</v>
      </c>
      <c r="L765" s="166">
        <f t="shared" si="60"/>
        <v>2.9083373999999997E-3</v>
      </c>
      <c r="M765" s="127" t="s">
        <v>3368</v>
      </c>
    </row>
    <row r="766" spans="1:15" x14ac:dyDescent="0.2">
      <c r="A766" s="1217"/>
      <c r="B766" s="166"/>
      <c r="E766" s="83"/>
      <c r="H766" t="s">
        <v>710</v>
      </c>
      <c r="I766" s="33">
        <v>1.7364199999999999E-7</v>
      </c>
      <c r="J766" t="s">
        <v>3379</v>
      </c>
      <c r="K766" t="s">
        <v>710</v>
      </c>
      <c r="L766" s="166">
        <f t="shared" si="60"/>
        <v>1.4065001999999999E-5</v>
      </c>
      <c r="M766" s="127" t="s">
        <v>3380</v>
      </c>
    </row>
    <row r="767" spans="1:15" x14ac:dyDescent="0.2">
      <c r="A767" s="1217"/>
      <c r="B767" s="166"/>
      <c r="E767" s="83"/>
      <c r="H767" t="s">
        <v>3381</v>
      </c>
      <c r="I767">
        <v>2.9360000000000001E-2</v>
      </c>
      <c r="J767" t="s">
        <v>3382</v>
      </c>
      <c r="K767" t="s">
        <v>3381</v>
      </c>
      <c r="L767" s="166">
        <f t="shared" si="60"/>
        <v>2.3781600000000003</v>
      </c>
      <c r="M767" s="127" t="s">
        <v>3383</v>
      </c>
    </row>
    <row r="768" spans="1:15" x14ac:dyDescent="0.2">
      <c r="A768" s="1217"/>
      <c r="B768" s="166"/>
      <c r="E768" s="83"/>
      <c r="H768" t="s">
        <v>3384</v>
      </c>
      <c r="I768">
        <v>0.84404000000000001</v>
      </c>
      <c r="J768" t="s">
        <v>711</v>
      </c>
      <c r="K768" t="s">
        <v>3384</v>
      </c>
      <c r="L768" s="166">
        <f t="shared" si="60"/>
        <v>68.367239999999995</v>
      </c>
      <c r="M768" s="127" t="s">
        <v>3385</v>
      </c>
    </row>
    <row r="769" spans="1:13" x14ac:dyDescent="0.2">
      <c r="A769" s="1219"/>
      <c r="B769" s="833"/>
      <c r="C769" s="1102"/>
      <c r="D769" s="118"/>
      <c r="E769" s="1220"/>
      <c r="F769" s="118"/>
      <c r="G769" s="118"/>
      <c r="H769" s="118"/>
      <c r="I769" s="118"/>
      <c r="J769" s="118"/>
      <c r="K769" s="118"/>
      <c r="L769" s="833"/>
      <c r="M769" s="120"/>
    </row>
    <row r="770" spans="1:13" ht="48" x14ac:dyDescent="0.2">
      <c r="A770" s="486" t="s">
        <v>3431</v>
      </c>
      <c r="B770" s="845">
        <v>98704.776634659371</v>
      </c>
      <c r="C770" s="1159" t="s">
        <v>1</v>
      </c>
      <c r="D770" s="1229">
        <v>2</v>
      </c>
      <c r="E770" s="159" t="s">
        <v>3423</v>
      </c>
      <c r="F770" s="110">
        <v>1</v>
      </c>
      <c r="G770" s="110" t="s">
        <v>3424</v>
      </c>
      <c r="H770" s="110"/>
      <c r="I770" s="110"/>
      <c r="J770" s="110"/>
      <c r="K770" s="110"/>
      <c r="L770" s="845"/>
      <c r="M770" s="112"/>
    </row>
    <row r="771" spans="1:13" x14ac:dyDescent="0.2">
      <c r="A771" s="1217"/>
      <c r="B771" s="1218">
        <f>B770/F771*D770</f>
        <v>394.81910653863747</v>
      </c>
      <c r="C771" s="1114" t="s">
        <v>3424</v>
      </c>
      <c r="D771" s="6" t="s">
        <v>577</v>
      </c>
      <c r="E771" s="83"/>
      <c r="F771">
        <v>500</v>
      </c>
      <c r="G771" t="s">
        <v>3425</v>
      </c>
      <c r="H771" t="s">
        <v>701</v>
      </c>
      <c r="I771">
        <v>500.29457000000002</v>
      </c>
      <c r="J771" t="s">
        <v>702</v>
      </c>
      <c r="K771" t="s">
        <v>701</v>
      </c>
      <c r="L771" s="166">
        <f>I771*B$771</f>
        <v>197525.85513353182</v>
      </c>
      <c r="M771" s="127" t="s">
        <v>3367</v>
      </c>
    </row>
    <row r="772" spans="1:13" x14ac:dyDescent="0.2">
      <c r="A772" s="1217"/>
      <c r="B772" s="166"/>
      <c r="E772" s="83"/>
      <c r="H772" t="s">
        <v>703</v>
      </c>
      <c r="I772" s="33">
        <v>5.0630000000000001E-2</v>
      </c>
      <c r="J772" t="s">
        <v>704</v>
      </c>
      <c r="K772" t="s">
        <v>703</v>
      </c>
      <c r="L772" s="166">
        <f t="shared" ref="L772:L780" si="61">I772*B$771</f>
        <v>19.989691364051215</v>
      </c>
      <c r="M772" s="127" t="s">
        <v>3368</v>
      </c>
    </row>
    <row r="773" spans="1:13" x14ac:dyDescent="0.2">
      <c r="A773" s="1217"/>
      <c r="B773" s="166"/>
      <c r="E773" s="83"/>
      <c r="H773" t="s">
        <v>705</v>
      </c>
      <c r="I773" s="33">
        <v>4.7383300000000004E-6</v>
      </c>
      <c r="J773" t="s">
        <v>706</v>
      </c>
      <c r="K773" t="s">
        <v>705</v>
      </c>
      <c r="L773" s="166">
        <f t="shared" si="61"/>
        <v>1.8707832170852222E-3</v>
      </c>
      <c r="M773" s="127" t="s">
        <v>3370</v>
      </c>
    </row>
    <row r="774" spans="1:13" x14ac:dyDescent="0.2">
      <c r="A774" s="1217"/>
      <c r="B774" s="166"/>
      <c r="E774" s="83"/>
      <c r="H774" t="s">
        <v>3372</v>
      </c>
      <c r="I774">
        <v>32.336289999999998</v>
      </c>
      <c r="J774" t="s">
        <v>3373</v>
      </c>
      <c r="K774" t="s">
        <v>3372</v>
      </c>
      <c r="L774" s="166">
        <f t="shared" si="61"/>
        <v>12766.985126574276</v>
      </c>
      <c r="M774" s="127" t="s">
        <v>3374</v>
      </c>
    </row>
    <row r="775" spans="1:13" x14ac:dyDescent="0.2">
      <c r="A775" s="1217"/>
      <c r="B775" s="166"/>
      <c r="E775" s="83"/>
      <c r="H775" t="s">
        <v>3375</v>
      </c>
      <c r="I775">
        <v>330.76024999999998</v>
      </c>
      <c r="J775" t="s">
        <v>707</v>
      </c>
      <c r="K775" t="s">
        <v>3375</v>
      </c>
      <c r="L775" s="166">
        <f t="shared" si="61"/>
        <v>130590.46638349636</v>
      </c>
      <c r="M775" s="127" t="s">
        <v>3376</v>
      </c>
    </row>
    <row r="776" spans="1:13" x14ac:dyDescent="0.2">
      <c r="A776" s="1217"/>
      <c r="B776" s="166"/>
      <c r="E776" s="83"/>
      <c r="H776" t="s">
        <v>708</v>
      </c>
      <c r="I776" s="33">
        <v>96090.3</v>
      </c>
      <c r="J776" t="s">
        <v>709</v>
      </c>
      <c r="K776" t="s">
        <v>708</v>
      </c>
      <c r="L776" s="166">
        <f t="shared" si="61"/>
        <v>37938286.393029638</v>
      </c>
      <c r="M776" s="127" t="s">
        <v>3377</v>
      </c>
    </row>
    <row r="777" spans="1:13" x14ac:dyDescent="0.2">
      <c r="A777" s="1217"/>
      <c r="B777" s="166"/>
      <c r="E777" s="83"/>
      <c r="H777" t="s">
        <v>3378</v>
      </c>
      <c r="I777" s="33">
        <v>5.6300000000000003E-2</v>
      </c>
      <c r="J777" t="s">
        <v>704</v>
      </c>
      <c r="K777" t="s">
        <v>3378</v>
      </c>
      <c r="L777" s="166">
        <f t="shared" si="61"/>
        <v>22.228315698125289</v>
      </c>
      <c r="M777" s="127" t="s">
        <v>3368</v>
      </c>
    </row>
    <row r="778" spans="1:13" x14ac:dyDescent="0.2">
      <c r="A778" s="1217"/>
      <c r="B778" s="166"/>
      <c r="E778" s="83"/>
      <c r="H778" t="s">
        <v>710</v>
      </c>
      <c r="I778" s="33">
        <v>1.3699999999999999E-3</v>
      </c>
      <c r="J778" t="s">
        <v>3379</v>
      </c>
      <c r="K778" t="s">
        <v>710</v>
      </c>
      <c r="L778" s="166">
        <f t="shared" si="61"/>
        <v>0.54090217595793333</v>
      </c>
      <c r="M778" s="127" t="s">
        <v>3380</v>
      </c>
    </row>
    <row r="779" spans="1:13" x14ac:dyDescent="0.2">
      <c r="A779" s="1217"/>
      <c r="B779" s="166"/>
      <c r="E779" s="83"/>
      <c r="H779" t="s">
        <v>3381</v>
      </c>
      <c r="I779">
        <v>145.08896999999999</v>
      </c>
      <c r="J779" t="s">
        <v>3382</v>
      </c>
      <c r="K779" t="s">
        <v>3381</v>
      </c>
      <c r="L779" s="166">
        <f t="shared" si="61"/>
        <v>57283.897504011169</v>
      </c>
      <c r="M779" s="127" t="s">
        <v>3383</v>
      </c>
    </row>
    <row r="780" spans="1:13" x14ac:dyDescent="0.2">
      <c r="A780" s="1217"/>
      <c r="B780" s="166"/>
      <c r="E780" s="83"/>
      <c r="H780" t="s">
        <v>3384</v>
      </c>
      <c r="I780">
        <v>7926.5570900000002</v>
      </c>
      <c r="J780" t="s">
        <v>711</v>
      </c>
      <c r="K780" t="s">
        <v>3384</v>
      </c>
      <c r="L780" s="166">
        <f t="shared" si="61"/>
        <v>3129556.1882013022</v>
      </c>
      <c r="M780" s="127" t="s">
        <v>3385</v>
      </c>
    </row>
    <row r="781" spans="1:13" x14ac:dyDescent="0.2">
      <c r="A781" s="1219"/>
      <c r="B781" s="833"/>
      <c r="C781" s="1102"/>
      <c r="D781" s="118"/>
      <c r="E781" s="1220"/>
      <c r="F781" s="118"/>
      <c r="G781" s="118"/>
      <c r="H781" s="118"/>
      <c r="I781" s="118"/>
      <c r="J781" s="118"/>
      <c r="K781" s="118"/>
      <c r="L781" s="833"/>
      <c r="M781" s="120"/>
    </row>
    <row r="782" spans="1:13" ht="16" x14ac:dyDescent="0.2">
      <c r="A782" s="486" t="s">
        <v>812</v>
      </c>
      <c r="B782" s="845">
        <v>1420.7714393387091</v>
      </c>
      <c r="C782" s="1159" t="s">
        <v>14</v>
      </c>
      <c r="D782" s="1229">
        <v>2</v>
      </c>
      <c r="E782" s="159" t="s">
        <v>3399</v>
      </c>
      <c r="F782" s="110">
        <v>1</v>
      </c>
      <c r="G782" s="110" t="s">
        <v>15</v>
      </c>
      <c r="H782" s="110"/>
      <c r="I782" s="110"/>
      <c r="J782" s="110"/>
      <c r="K782" s="110"/>
      <c r="L782" s="845"/>
      <c r="M782" s="112"/>
    </row>
    <row r="783" spans="1:13" x14ac:dyDescent="0.2">
      <c r="A783" s="1217"/>
      <c r="B783" s="166">
        <f>B782*1000</f>
        <v>1420771.4393387092</v>
      </c>
      <c r="C783" s="133" t="s">
        <v>15</v>
      </c>
      <c r="E783" s="83"/>
      <c r="H783" t="s">
        <v>701</v>
      </c>
      <c r="I783">
        <v>8.2000000000000007E-3</v>
      </c>
      <c r="J783" t="s">
        <v>702</v>
      </c>
      <c r="K783" t="s">
        <v>701</v>
      </c>
      <c r="L783" s="166">
        <f>I783*B$784</f>
        <v>23300.651605154831</v>
      </c>
      <c r="M783" s="127" t="s">
        <v>3367</v>
      </c>
    </row>
    <row r="784" spans="1:13" x14ac:dyDescent="0.2">
      <c r="A784" s="1217"/>
      <c r="B784" s="1218">
        <f>B783*D782</f>
        <v>2841542.8786774185</v>
      </c>
      <c r="C784" s="1114" t="s">
        <v>15</v>
      </c>
      <c r="D784" s="6" t="s">
        <v>577</v>
      </c>
      <c r="E784" s="83"/>
      <c r="H784" t="s">
        <v>703</v>
      </c>
      <c r="I784" s="33">
        <v>1.03715E-7</v>
      </c>
      <c r="J784" t="s">
        <v>704</v>
      </c>
      <c r="K784" t="s">
        <v>703</v>
      </c>
      <c r="L784" s="166">
        <f t="shared" ref="L784:L792" si="62">I784*B$784</f>
        <v>0.29471061966202844</v>
      </c>
      <c r="M784" s="127" t="s">
        <v>3368</v>
      </c>
    </row>
    <row r="785" spans="1:13" x14ac:dyDescent="0.2">
      <c r="A785" s="1217"/>
      <c r="B785" s="166"/>
      <c r="E785" s="83"/>
      <c r="H785" t="s">
        <v>705</v>
      </c>
      <c r="I785">
        <v>14.472849999999999</v>
      </c>
      <c r="J785" t="s">
        <v>706</v>
      </c>
      <c r="K785" t="s">
        <v>705</v>
      </c>
      <c r="L785" s="166">
        <f t="shared" si="62"/>
        <v>41125223.851666473</v>
      </c>
      <c r="M785" s="127" t="s">
        <v>3370</v>
      </c>
    </row>
    <row r="786" spans="1:13" x14ac:dyDescent="0.2">
      <c r="A786" s="1217"/>
      <c r="B786" s="166"/>
      <c r="E786" s="83"/>
      <c r="H786" t="s">
        <v>3372</v>
      </c>
      <c r="I786">
        <v>1.1E-4</v>
      </c>
      <c r="J786" t="s">
        <v>3373</v>
      </c>
      <c r="K786" t="s">
        <v>3372</v>
      </c>
      <c r="L786" s="166">
        <f t="shared" si="62"/>
        <v>312.56971665451601</v>
      </c>
      <c r="M786" s="127" t="s">
        <v>3374</v>
      </c>
    </row>
    <row r="787" spans="1:13" x14ac:dyDescent="0.2">
      <c r="A787" s="1217"/>
      <c r="B787" s="166"/>
      <c r="E787" s="83"/>
      <c r="H787" t="s">
        <v>3375</v>
      </c>
      <c r="I787">
        <v>4.0000000000000001E-3</v>
      </c>
      <c r="J787" t="s">
        <v>707</v>
      </c>
      <c r="K787" t="s">
        <v>3375</v>
      </c>
      <c r="L787" s="166">
        <f t="shared" si="62"/>
        <v>11366.171514709675</v>
      </c>
      <c r="M787" s="127" t="s">
        <v>3376</v>
      </c>
    </row>
    <row r="788" spans="1:13" x14ac:dyDescent="0.2">
      <c r="A788" s="1217"/>
      <c r="B788" s="166"/>
      <c r="E788" s="83"/>
      <c r="H788" t="s">
        <v>708</v>
      </c>
      <c r="I788">
        <v>2.29596</v>
      </c>
      <c r="J788" t="s">
        <v>709</v>
      </c>
      <c r="K788" t="s">
        <v>708</v>
      </c>
      <c r="L788" s="166">
        <f t="shared" si="62"/>
        <v>6524068.7877282053</v>
      </c>
      <c r="M788" s="127" t="s">
        <v>3377</v>
      </c>
    </row>
    <row r="789" spans="1:13" x14ac:dyDescent="0.2">
      <c r="A789" s="1217"/>
      <c r="B789" s="166"/>
      <c r="E789" s="83"/>
      <c r="H789" t="s">
        <v>3378</v>
      </c>
      <c r="I789" s="33">
        <v>2.0654900000000001E-7</v>
      </c>
      <c r="J789" t="s">
        <v>704</v>
      </c>
      <c r="K789" t="s">
        <v>3378</v>
      </c>
      <c r="L789" s="166">
        <f t="shared" si="62"/>
        <v>0.58691784004794212</v>
      </c>
      <c r="M789" s="127" t="s">
        <v>3368</v>
      </c>
    </row>
    <row r="790" spans="1:13" x14ac:dyDescent="0.2">
      <c r="A790" s="1217"/>
      <c r="B790" s="166"/>
      <c r="E790" s="83"/>
      <c r="H790" t="s">
        <v>710</v>
      </c>
      <c r="I790" s="33">
        <v>9.36496E-8</v>
      </c>
      <c r="J790" t="s">
        <v>3379</v>
      </c>
      <c r="K790" t="s">
        <v>710</v>
      </c>
      <c r="L790" s="166">
        <f t="shared" si="62"/>
        <v>0.26610935397098878</v>
      </c>
      <c r="M790" s="127" t="s">
        <v>3380</v>
      </c>
    </row>
    <row r="791" spans="1:13" x14ac:dyDescent="0.2">
      <c r="A791" s="1217"/>
      <c r="B791" s="166"/>
      <c r="E791" s="83"/>
      <c r="H791" t="s">
        <v>3381</v>
      </c>
      <c r="I791">
        <v>1.6999999999999999E-3</v>
      </c>
      <c r="J791" t="s">
        <v>3382</v>
      </c>
      <c r="K791" t="s">
        <v>3381</v>
      </c>
      <c r="L791" s="166">
        <f t="shared" si="62"/>
        <v>4830.6228937516107</v>
      </c>
      <c r="M791" s="127" t="s">
        <v>3383</v>
      </c>
    </row>
    <row r="792" spans="1:13" x14ac:dyDescent="0.2">
      <c r="A792" s="1217"/>
      <c r="B792" s="166"/>
      <c r="E792" s="83"/>
      <c r="H792" t="s">
        <v>3384</v>
      </c>
      <c r="I792">
        <v>9.5829999999999999E-2</v>
      </c>
      <c r="J792" t="s">
        <v>711</v>
      </c>
      <c r="K792" t="s">
        <v>3384</v>
      </c>
      <c r="L792" s="166">
        <f t="shared" si="62"/>
        <v>272305.05406365701</v>
      </c>
      <c r="M792" s="127" t="s">
        <v>3385</v>
      </c>
    </row>
    <row r="793" spans="1:13" x14ac:dyDescent="0.2">
      <c r="A793" s="1219"/>
      <c r="B793" s="833"/>
      <c r="C793" s="1102"/>
      <c r="D793" s="118"/>
      <c r="E793" s="1220"/>
      <c r="F793" s="118"/>
      <c r="G793" s="118"/>
      <c r="H793" s="118"/>
      <c r="I793" s="118"/>
      <c r="J793" s="118"/>
      <c r="K793" s="118"/>
      <c r="L793" s="833"/>
      <c r="M793" s="120"/>
    </row>
    <row r="794" spans="1:13" ht="32" x14ac:dyDescent="0.2">
      <c r="A794" s="1215" t="s">
        <v>714</v>
      </c>
      <c r="B794" s="1231">
        <v>205151002.85143057</v>
      </c>
      <c r="C794" s="1232" t="s">
        <v>720</v>
      </c>
      <c r="D794" s="110"/>
      <c r="E794" s="1216" t="s">
        <v>3404</v>
      </c>
      <c r="F794" s="110">
        <v>1</v>
      </c>
      <c r="G794" s="110" t="s">
        <v>378</v>
      </c>
      <c r="H794" s="110"/>
      <c r="I794" s="110"/>
      <c r="J794" s="110"/>
      <c r="K794" s="110"/>
      <c r="L794" s="845"/>
      <c r="M794" s="112"/>
    </row>
    <row r="795" spans="1:13" x14ac:dyDescent="0.2">
      <c r="A795" s="637"/>
      <c r="B795" s="166"/>
      <c r="E795" s="83"/>
      <c r="H795" t="s">
        <v>701</v>
      </c>
      <c r="I795">
        <v>7.5000000000000002E-4</v>
      </c>
      <c r="J795" t="s">
        <v>702</v>
      </c>
      <c r="K795" t="s">
        <v>701</v>
      </c>
      <c r="L795" s="166">
        <f>I795*B$794</f>
        <v>153863.25213857292</v>
      </c>
      <c r="M795" s="127" t="s">
        <v>3367</v>
      </c>
    </row>
    <row r="796" spans="1:13" x14ac:dyDescent="0.2">
      <c r="A796" s="1217"/>
      <c r="B796" s="166"/>
      <c r="E796" s="83"/>
      <c r="H796" t="s">
        <v>703</v>
      </c>
      <c r="I796" s="33">
        <v>3.3111200000000002E-8</v>
      </c>
      <c r="J796" t="s">
        <v>704</v>
      </c>
      <c r="K796" t="s">
        <v>703</v>
      </c>
      <c r="L796" s="166">
        <f t="shared" ref="L796:L804" si="63">I796*B$794</f>
        <v>6.7927958856142885</v>
      </c>
      <c r="M796" s="127" t="s">
        <v>3368</v>
      </c>
    </row>
    <row r="797" spans="1:13" x14ac:dyDescent="0.2">
      <c r="A797" s="1217"/>
      <c r="B797" s="166"/>
      <c r="E797" s="83"/>
      <c r="H797" t="s">
        <v>705</v>
      </c>
      <c r="I797">
        <v>4.1968100000000002</v>
      </c>
      <c r="J797" t="s">
        <v>706</v>
      </c>
      <c r="K797" t="s">
        <v>705</v>
      </c>
      <c r="L797" s="166">
        <f t="shared" si="63"/>
        <v>860979780.27691233</v>
      </c>
      <c r="M797" s="127" t="s">
        <v>3370</v>
      </c>
    </row>
    <row r="798" spans="1:13" x14ac:dyDescent="0.2">
      <c r="A798" s="1217"/>
      <c r="B798" s="166"/>
      <c r="E798" s="83"/>
      <c r="H798" t="s">
        <v>3372</v>
      </c>
      <c r="I798">
        <v>3.2000000000000003E-4</v>
      </c>
      <c r="J798" t="s">
        <v>3373</v>
      </c>
      <c r="K798" t="s">
        <v>3372</v>
      </c>
      <c r="L798" s="166">
        <f t="shared" si="63"/>
        <v>65648.320912457784</v>
      </c>
      <c r="M798" s="127" t="s">
        <v>3374</v>
      </c>
    </row>
    <row r="799" spans="1:13" x14ac:dyDescent="0.2">
      <c r="A799" s="1217"/>
      <c r="B799" s="166"/>
      <c r="E799" s="83"/>
      <c r="H799" t="s">
        <v>3375</v>
      </c>
      <c r="I799">
        <v>5.2999999999999998E-4</v>
      </c>
      <c r="J799" t="s">
        <v>707</v>
      </c>
      <c r="K799" t="s">
        <v>3375</v>
      </c>
      <c r="L799" s="166">
        <f t="shared" si="63"/>
        <v>108730.03151125819</v>
      </c>
      <c r="M799" s="127" t="s">
        <v>3376</v>
      </c>
    </row>
    <row r="800" spans="1:13" x14ac:dyDescent="0.2">
      <c r="A800" s="1217"/>
      <c r="B800" s="166"/>
      <c r="E800" s="83"/>
      <c r="H800" t="s">
        <v>708</v>
      </c>
      <c r="I800">
        <v>0.39150000000000001</v>
      </c>
      <c r="J800" t="s">
        <v>709</v>
      </c>
      <c r="K800" t="s">
        <v>708</v>
      </c>
      <c r="L800" s="166">
        <f t="shared" si="63"/>
        <v>80316617.616335064</v>
      </c>
      <c r="M800" s="127" t="s">
        <v>3377</v>
      </c>
    </row>
    <row r="801" spans="1:15" x14ac:dyDescent="0.2">
      <c r="A801" s="1217"/>
      <c r="B801" s="166"/>
      <c r="E801" s="83"/>
      <c r="H801" t="s">
        <v>3378</v>
      </c>
      <c r="I801" s="33">
        <v>9.8849699999999999E-8</v>
      </c>
      <c r="J801" t="s">
        <v>704</v>
      </c>
      <c r="K801" t="s">
        <v>3378</v>
      </c>
      <c r="L801" s="166">
        <f t="shared" si="63"/>
        <v>20.279115086563056</v>
      </c>
      <c r="M801" s="127" t="s">
        <v>3368</v>
      </c>
    </row>
    <row r="802" spans="1:15" x14ac:dyDescent="0.2">
      <c r="A802" s="1217"/>
      <c r="B802" s="166"/>
      <c r="E802" s="83"/>
      <c r="H802" t="s">
        <v>710</v>
      </c>
      <c r="I802" s="33">
        <v>1.51061E-9</v>
      </c>
      <c r="J802" t="s">
        <v>3379</v>
      </c>
      <c r="K802" t="s">
        <v>710</v>
      </c>
      <c r="L802" s="166">
        <f t="shared" si="63"/>
        <v>0.30990315641739952</v>
      </c>
      <c r="M802" s="127" t="s">
        <v>3380</v>
      </c>
    </row>
    <row r="803" spans="1:15" x14ac:dyDescent="0.2">
      <c r="A803" s="1217"/>
      <c r="B803" s="166"/>
      <c r="E803" s="83"/>
      <c r="H803" t="s">
        <v>3381</v>
      </c>
      <c r="I803">
        <v>1.01E-3</v>
      </c>
      <c r="J803" t="s">
        <v>3382</v>
      </c>
      <c r="K803" t="s">
        <v>3381</v>
      </c>
      <c r="L803" s="166">
        <f t="shared" si="63"/>
        <v>207202.51287994487</v>
      </c>
      <c r="M803" s="127" t="s">
        <v>3383</v>
      </c>
    </row>
    <row r="804" spans="1:15" x14ac:dyDescent="0.2">
      <c r="A804" s="1217"/>
      <c r="B804" s="166"/>
      <c r="E804" s="83"/>
      <c r="H804" t="s">
        <v>3384</v>
      </c>
      <c r="I804">
        <v>1.2200000000000001E-2</v>
      </c>
      <c r="J804" t="s">
        <v>711</v>
      </c>
      <c r="K804" t="s">
        <v>3384</v>
      </c>
      <c r="L804" s="166">
        <f t="shared" si="63"/>
        <v>2502842.234787453</v>
      </c>
      <c r="M804" s="127" t="s">
        <v>3385</v>
      </c>
    </row>
    <row r="805" spans="1:15" x14ac:dyDescent="0.2">
      <c r="A805" s="1219"/>
      <c r="B805" s="833"/>
      <c r="C805" s="1102"/>
      <c r="D805" s="118"/>
      <c r="E805" s="1220"/>
      <c r="F805" s="118"/>
      <c r="G805" s="118"/>
      <c r="H805" s="118"/>
      <c r="I805" s="118"/>
      <c r="J805" s="118"/>
      <c r="K805" s="118"/>
      <c r="L805" s="833"/>
      <c r="M805" s="120"/>
    </row>
    <row r="809" spans="1:15" ht="16" thickBot="1" x14ac:dyDescent="0.25"/>
    <row r="810" spans="1:15" x14ac:dyDescent="0.2">
      <c r="A810" s="1955" t="s">
        <v>532</v>
      </c>
      <c r="B810" s="1956"/>
      <c r="C810" s="1956"/>
      <c r="D810" s="1956"/>
      <c r="E810" s="1956"/>
      <c r="F810" s="1956"/>
      <c r="G810" s="1956"/>
      <c r="H810" s="1956"/>
      <c r="I810" s="1956"/>
      <c r="J810" s="1956"/>
      <c r="K810" s="1956"/>
      <c r="L810" s="1956"/>
      <c r="M810" s="1956"/>
      <c r="N810" s="1956"/>
      <c r="O810" s="1957"/>
    </row>
    <row r="811" spans="1:15" ht="16" thickBot="1" x14ac:dyDescent="0.25">
      <c r="A811" s="1958"/>
      <c r="B811" s="1959"/>
      <c r="C811" s="1959"/>
      <c r="D811" s="1959"/>
      <c r="E811" s="1959"/>
      <c r="F811" s="1959"/>
      <c r="G811" s="1959"/>
      <c r="H811" s="1959"/>
      <c r="I811" s="1959"/>
      <c r="J811" s="1959"/>
      <c r="K811" s="1959"/>
      <c r="L811" s="1959"/>
      <c r="M811" s="1959"/>
      <c r="N811" s="1959"/>
      <c r="O811" s="1960"/>
    </row>
    <row r="812" spans="1:15" s="6" customFormat="1" x14ac:dyDescent="0.2">
      <c r="A812" s="1920" t="s">
        <v>697</v>
      </c>
      <c r="B812" s="1515" t="s">
        <v>698</v>
      </c>
      <c r="C812" s="1515"/>
      <c r="D812" s="1515"/>
      <c r="E812" s="1921" t="s">
        <v>3362</v>
      </c>
      <c r="F812" s="1515" t="s">
        <v>699</v>
      </c>
      <c r="G812" s="1515"/>
      <c r="H812" s="1515" t="s">
        <v>3363</v>
      </c>
      <c r="I812" s="1515"/>
      <c r="J812" s="1515"/>
      <c r="K812" s="1515" t="s">
        <v>700</v>
      </c>
      <c r="L812" s="1515"/>
      <c r="M812" s="1515"/>
    </row>
    <row r="813" spans="1:15" s="6" customFormat="1" ht="15.75" customHeight="1" x14ac:dyDescent="0.2">
      <c r="A813" s="1520"/>
      <c r="B813" s="1214" t="s">
        <v>515</v>
      </c>
      <c r="C813" s="969" t="s">
        <v>372</v>
      </c>
      <c r="D813" s="969" t="s">
        <v>583</v>
      </c>
      <c r="E813" s="1922"/>
      <c r="F813" s="969" t="s">
        <v>42</v>
      </c>
      <c r="G813" s="969" t="s">
        <v>372</v>
      </c>
      <c r="H813" s="29" t="s">
        <v>697</v>
      </c>
      <c r="I813" s="969" t="s">
        <v>42</v>
      </c>
      <c r="J813" s="969" t="s">
        <v>372</v>
      </c>
      <c r="K813" s="969" t="s">
        <v>697</v>
      </c>
      <c r="L813" s="1214" t="s">
        <v>42</v>
      </c>
      <c r="M813" s="969" t="s">
        <v>372</v>
      </c>
    </row>
    <row r="814" spans="1:15" ht="16" x14ac:dyDescent="0.2">
      <c r="A814" s="486" t="s">
        <v>1027</v>
      </c>
      <c r="B814" s="845">
        <v>56250</v>
      </c>
      <c r="C814" s="1159" t="s">
        <v>267</v>
      </c>
      <c r="D814" s="1229">
        <v>2</v>
      </c>
      <c r="E814" s="1216" t="s">
        <v>3388</v>
      </c>
      <c r="F814" s="110"/>
      <c r="G814" s="110"/>
      <c r="H814" s="110"/>
      <c r="I814" s="110"/>
      <c r="J814" s="110"/>
      <c r="K814" s="110"/>
      <c r="L814" s="845"/>
      <c r="M814" s="112"/>
    </row>
    <row r="815" spans="1:15" x14ac:dyDescent="0.2">
      <c r="A815" s="1217"/>
      <c r="B815" s="166">
        <f>B814/1000</f>
        <v>56.25</v>
      </c>
      <c r="C815" s="133" t="s">
        <v>444</v>
      </c>
      <c r="F815">
        <v>1</v>
      </c>
      <c r="G815" t="s">
        <v>713</v>
      </c>
      <c r="H815" t="s">
        <v>701</v>
      </c>
      <c r="I815">
        <v>0.14229</v>
      </c>
      <c r="J815" t="s">
        <v>702</v>
      </c>
      <c r="K815" t="s">
        <v>701</v>
      </c>
      <c r="L815" s="166">
        <f>I815*B$820</f>
        <v>11.52549</v>
      </c>
      <c r="M815" s="127" t="s">
        <v>3367</v>
      </c>
    </row>
    <row r="816" spans="1:15" x14ac:dyDescent="0.2">
      <c r="A816" s="1217"/>
      <c r="B816" s="166">
        <v>20</v>
      </c>
      <c r="C816" s="133" t="s">
        <v>10</v>
      </c>
      <c r="D816" t="s">
        <v>3390</v>
      </c>
      <c r="E816" s="83"/>
      <c r="F816">
        <v>40</v>
      </c>
      <c r="G816" t="s">
        <v>12</v>
      </c>
      <c r="H816" t="s">
        <v>703</v>
      </c>
      <c r="I816" s="33">
        <v>2.2291000000000001E-5</v>
      </c>
      <c r="J816" t="s">
        <v>704</v>
      </c>
      <c r="K816" t="s">
        <v>703</v>
      </c>
      <c r="L816" s="166">
        <f t="shared" ref="L816:L824" si="64">I816*B$820</f>
        <v>1.805571E-3</v>
      </c>
      <c r="M816" s="127" t="s">
        <v>3368</v>
      </c>
    </row>
    <row r="817" spans="1:13" x14ac:dyDescent="0.2">
      <c r="A817" s="1217"/>
      <c r="B817" s="166">
        <v>0.7</v>
      </c>
      <c r="D817" t="s">
        <v>3391</v>
      </c>
      <c r="E817" s="83"/>
      <c r="H817" t="s">
        <v>705</v>
      </c>
      <c r="I817">
        <v>3203.5834399999999</v>
      </c>
      <c r="J817" t="s">
        <v>706</v>
      </c>
      <c r="K817" t="s">
        <v>705</v>
      </c>
      <c r="L817" s="166">
        <f t="shared" si="64"/>
        <v>259490.25863999999</v>
      </c>
      <c r="M817" s="127" t="s">
        <v>3370</v>
      </c>
    </row>
    <row r="818" spans="1:13" x14ac:dyDescent="0.2">
      <c r="A818" s="1217"/>
      <c r="B818" s="166">
        <f>B815*B816/B817</f>
        <v>1607.1428571428573</v>
      </c>
      <c r="C818" s="133" t="s">
        <v>12</v>
      </c>
      <c r="E818" s="83"/>
      <c r="H818" t="s">
        <v>3372</v>
      </c>
      <c r="I818">
        <v>1.278E-2</v>
      </c>
      <c r="J818" t="s">
        <v>3373</v>
      </c>
      <c r="K818" t="s">
        <v>3372</v>
      </c>
      <c r="L818" s="166">
        <f t="shared" si="64"/>
        <v>1.03518</v>
      </c>
      <c r="M818" s="127" t="s">
        <v>3374</v>
      </c>
    </row>
    <row r="819" spans="1:13" x14ac:dyDescent="0.2">
      <c r="A819" s="1217"/>
      <c r="B819" s="166">
        <f>B818*D814</f>
        <v>3214.2857142857147</v>
      </c>
      <c r="C819" s="133" t="s">
        <v>12</v>
      </c>
      <c r="E819" s="83"/>
      <c r="H819" t="s">
        <v>3375</v>
      </c>
      <c r="I819">
        <v>3.7339999999999998E-2</v>
      </c>
      <c r="J819" t="s">
        <v>707</v>
      </c>
      <c r="K819" t="s">
        <v>3375</v>
      </c>
      <c r="L819" s="166">
        <f t="shared" si="64"/>
        <v>3.02454</v>
      </c>
      <c r="M819" s="127" t="s">
        <v>3376</v>
      </c>
    </row>
    <row r="820" spans="1:13" x14ac:dyDescent="0.2">
      <c r="A820" s="1217"/>
      <c r="B820" s="1218">
        <f>ROUNDUP(B819/F816,0)</f>
        <v>81</v>
      </c>
      <c r="C820" s="1114" t="s">
        <v>3392</v>
      </c>
      <c r="D820" s="6" t="s">
        <v>577</v>
      </c>
      <c r="E820" s="83"/>
      <c r="H820" t="s">
        <v>708</v>
      </c>
      <c r="I820">
        <v>9.0477000000000007</v>
      </c>
      <c r="J820" t="s">
        <v>709</v>
      </c>
      <c r="K820" t="s">
        <v>708</v>
      </c>
      <c r="L820" s="166">
        <f t="shared" si="64"/>
        <v>732.86370000000011</v>
      </c>
      <c r="M820" s="127" t="s">
        <v>3377</v>
      </c>
    </row>
    <row r="821" spans="1:13" x14ac:dyDescent="0.2">
      <c r="A821" s="1217"/>
      <c r="B821" s="166"/>
      <c r="E821" s="83"/>
      <c r="H821" t="s">
        <v>3378</v>
      </c>
      <c r="I821" s="33">
        <v>3.5905399999999997E-5</v>
      </c>
      <c r="J821" t="s">
        <v>704</v>
      </c>
      <c r="K821" t="s">
        <v>3378</v>
      </c>
      <c r="L821" s="166">
        <f t="shared" si="64"/>
        <v>2.9083373999999997E-3</v>
      </c>
      <c r="M821" s="127" t="s">
        <v>3368</v>
      </c>
    </row>
    <row r="822" spans="1:13" x14ac:dyDescent="0.2">
      <c r="A822" s="1217"/>
      <c r="B822" s="166"/>
      <c r="E822" s="83"/>
      <c r="H822" t="s">
        <v>710</v>
      </c>
      <c r="I822" s="33">
        <v>1.7364199999999999E-7</v>
      </c>
      <c r="J822" t="s">
        <v>3379</v>
      </c>
      <c r="K822" t="s">
        <v>710</v>
      </c>
      <c r="L822" s="166">
        <f t="shared" si="64"/>
        <v>1.4065001999999999E-5</v>
      </c>
      <c r="M822" s="127" t="s">
        <v>3380</v>
      </c>
    </row>
    <row r="823" spans="1:13" x14ac:dyDescent="0.2">
      <c r="A823" s="1217"/>
      <c r="B823" s="166"/>
      <c r="E823" s="83"/>
      <c r="H823" t="s">
        <v>3381</v>
      </c>
      <c r="I823">
        <v>2.9360000000000001E-2</v>
      </c>
      <c r="J823" t="s">
        <v>3382</v>
      </c>
      <c r="K823" t="s">
        <v>3381</v>
      </c>
      <c r="L823" s="166">
        <f t="shared" si="64"/>
        <v>2.3781600000000003</v>
      </c>
      <c r="M823" s="127" t="s">
        <v>3383</v>
      </c>
    </row>
    <row r="824" spans="1:13" x14ac:dyDescent="0.2">
      <c r="A824" s="1217"/>
      <c r="B824" s="166"/>
      <c r="E824" s="83"/>
      <c r="H824" t="s">
        <v>3384</v>
      </c>
      <c r="I824">
        <v>0.84404000000000001</v>
      </c>
      <c r="J824" t="s">
        <v>711</v>
      </c>
      <c r="K824" t="s">
        <v>3384</v>
      </c>
      <c r="L824" s="166">
        <f t="shared" si="64"/>
        <v>68.367239999999995</v>
      </c>
      <c r="M824" s="127" t="s">
        <v>3385</v>
      </c>
    </row>
    <row r="825" spans="1:13" x14ac:dyDescent="0.2">
      <c r="A825" s="1219"/>
      <c r="B825" s="833"/>
      <c r="C825" s="1102"/>
      <c r="D825" s="118"/>
      <c r="E825" s="1220"/>
      <c r="F825" s="118"/>
      <c r="G825" s="118"/>
      <c r="H825" s="118"/>
      <c r="I825" s="118"/>
      <c r="J825" s="118"/>
      <c r="K825" s="118"/>
      <c r="L825" s="833"/>
      <c r="M825" s="120"/>
    </row>
    <row r="826" spans="1:13" ht="32" x14ac:dyDescent="0.2">
      <c r="A826" s="486" t="s">
        <v>2514</v>
      </c>
      <c r="B826" s="845">
        <v>56250</v>
      </c>
      <c r="C826" s="1159" t="s">
        <v>267</v>
      </c>
      <c r="D826" s="1229">
        <v>2</v>
      </c>
      <c r="E826" s="1230" t="s">
        <v>3427</v>
      </c>
      <c r="F826" s="110">
        <v>1</v>
      </c>
      <c r="G826" s="110" t="s">
        <v>3428</v>
      </c>
      <c r="H826" s="110"/>
      <c r="I826" s="110"/>
      <c r="J826" s="110"/>
      <c r="K826" s="110"/>
      <c r="L826" s="845"/>
      <c r="M826" s="112"/>
    </row>
    <row r="827" spans="1:13" x14ac:dyDescent="0.2">
      <c r="A827" s="1217"/>
      <c r="B827" s="166">
        <f>B826/1000</f>
        <v>56.25</v>
      </c>
      <c r="C827" s="133" t="s">
        <v>444</v>
      </c>
      <c r="E827" s="83"/>
      <c r="F827">
        <v>2500</v>
      </c>
      <c r="G827" t="s">
        <v>3421</v>
      </c>
      <c r="H827" t="s">
        <v>701</v>
      </c>
      <c r="I827">
        <v>131.79313999999999</v>
      </c>
      <c r="J827" t="s">
        <v>702</v>
      </c>
      <c r="K827" t="s">
        <v>701</v>
      </c>
      <c r="L827" s="166">
        <f>I827*B$829</f>
        <v>527.17255999999998</v>
      </c>
      <c r="M827" s="127" t="s">
        <v>3367</v>
      </c>
    </row>
    <row r="828" spans="1:13" x14ac:dyDescent="0.2">
      <c r="A828" s="1217"/>
      <c r="B828" s="166">
        <v>30</v>
      </c>
      <c r="C828" s="133" t="s">
        <v>444</v>
      </c>
      <c r="E828" s="83"/>
      <c r="H828" t="s">
        <v>703</v>
      </c>
      <c r="I828">
        <v>1.6650000000000002E-2</v>
      </c>
      <c r="J828" t="s">
        <v>704</v>
      </c>
      <c r="K828" t="s">
        <v>703</v>
      </c>
      <c r="L828" s="166">
        <f t="shared" ref="L828:L836" si="65">I828*B$829</f>
        <v>6.6600000000000006E-2</v>
      </c>
      <c r="M828" s="127" t="s">
        <v>3368</v>
      </c>
    </row>
    <row r="829" spans="1:13" x14ac:dyDescent="0.2">
      <c r="A829" s="1217"/>
      <c r="B829" s="1218">
        <f>ROUNDUP(B827/B828,0)*D826</f>
        <v>4</v>
      </c>
      <c r="C829" s="1114" t="s">
        <v>3409</v>
      </c>
      <c r="D829" s="6" t="s">
        <v>577</v>
      </c>
      <c r="E829" s="83"/>
      <c r="H829" t="s">
        <v>705</v>
      </c>
      <c r="I829" s="33">
        <v>3506090</v>
      </c>
      <c r="J829" t="s">
        <v>706</v>
      </c>
      <c r="K829" t="s">
        <v>705</v>
      </c>
      <c r="L829" s="166">
        <f t="shared" si="65"/>
        <v>14024360</v>
      </c>
      <c r="M829" s="127" t="s">
        <v>3370</v>
      </c>
    </row>
    <row r="830" spans="1:13" x14ac:dyDescent="0.2">
      <c r="A830" s="1217"/>
      <c r="B830" s="166"/>
      <c r="E830" s="83"/>
      <c r="H830" t="s">
        <v>3372</v>
      </c>
      <c r="I830">
        <v>23.977810000000002</v>
      </c>
      <c r="J830" t="s">
        <v>3373</v>
      </c>
      <c r="K830" t="s">
        <v>3372</v>
      </c>
      <c r="L830" s="166">
        <f t="shared" si="65"/>
        <v>95.911240000000006</v>
      </c>
      <c r="M830" s="127" t="s">
        <v>3374</v>
      </c>
    </row>
    <row r="831" spans="1:13" x14ac:dyDescent="0.2">
      <c r="A831" s="1217"/>
      <c r="B831" s="1218"/>
      <c r="C831" s="1114"/>
      <c r="D831" s="6"/>
      <c r="E831" s="83"/>
      <c r="H831" t="s">
        <v>3375</v>
      </c>
      <c r="I831">
        <v>72.539479999999998</v>
      </c>
      <c r="J831" t="s">
        <v>707</v>
      </c>
      <c r="K831" t="s">
        <v>3375</v>
      </c>
      <c r="L831" s="166">
        <f t="shared" si="65"/>
        <v>290.15791999999999</v>
      </c>
      <c r="M831" s="127" t="s">
        <v>3376</v>
      </c>
    </row>
    <row r="832" spans="1:13" x14ac:dyDescent="0.2">
      <c r="A832" s="1217"/>
      <c r="B832" s="166"/>
      <c r="E832" s="83"/>
      <c r="H832" t="s">
        <v>708</v>
      </c>
      <c r="I832" s="33">
        <v>22858.9</v>
      </c>
      <c r="J832" t="s">
        <v>709</v>
      </c>
      <c r="K832" t="s">
        <v>708</v>
      </c>
      <c r="L832" s="166">
        <f t="shared" si="65"/>
        <v>91435.6</v>
      </c>
      <c r="M832" s="127" t="s">
        <v>3377</v>
      </c>
    </row>
    <row r="833" spans="1:13" x14ac:dyDescent="0.2">
      <c r="A833" s="1217"/>
      <c r="B833" s="166"/>
      <c r="E833" s="83"/>
      <c r="H833" t="s">
        <v>3378</v>
      </c>
      <c r="I833">
        <v>3.8490000000000003E-2</v>
      </c>
      <c r="J833" t="s">
        <v>704</v>
      </c>
      <c r="K833" t="s">
        <v>3378</v>
      </c>
      <c r="L833" s="166">
        <f t="shared" si="65"/>
        <v>0.15396000000000001</v>
      </c>
      <c r="M833" s="127" t="s">
        <v>3368</v>
      </c>
    </row>
    <row r="834" spans="1:13" x14ac:dyDescent="0.2">
      <c r="A834" s="1217"/>
      <c r="B834" s="166"/>
      <c r="E834" s="83"/>
      <c r="H834" t="s">
        <v>710</v>
      </c>
      <c r="I834">
        <v>1.14E-3</v>
      </c>
      <c r="J834" t="s">
        <v>3379</v>
      </c>
      <c r="K834" t="s">
        <v>710</v>
      </c>
      <c r="L834" s="166">
        <f t="shared" si="65"/>
        <v>4.5599999999999998E-3</v>
      </c>
      <c r="M834" s="127" t="s">
        <v>3380</v>
      </c>
    </row>
    <row r="835" spans="1:13" x14ac:dyDescent="0.2">
      <c r="A835" s="1217"/>
      <c r="B835" s="166"/>
      <c r="E835" s="83"/>
      <c r="H835" t="s">
        <v>3381</v>
      </c>
      <c r="I835">
        <v>34.951729999999998</v>
      </c>
      <c r="J835" t="s">
        <v>3382</v>
      </c>
      <c r="K835" t="s">
        <v>3381</v>
      </c>
      <c r="L835" s="166">
        <f t="shared" si="65"/>
        <v>139.80691999999999</v>
      </c>
      <c r="M835" s="127" t="s">
        <v>3383</v>
      </c>
    </row>
    <row r="836" spans="1:13" x14ac:dyDescent="0.2">
      <c r="A836" s="1217"/>
      <c r="B836" s="166"/>
      <c r="E836" s="83"/>
      <c r="H836" t="s">
        <v>3384</v>
      </c>
      <c r="I836">
        <v>1697.46082</v>
      </c>
      <c r="J836" t="s">
        <v>711</v>
      </c>
      <c r="K836" t="s">
        <v>3384</v>
      </c>
      <c r="L836" s="166">
        <f t="shared" si="65"/>
        <v>6789.84328</v>
      </c>
      <c r="M836" s="127" t="s">
        <v>3385</v>
      </c>
    </row>
    <row r="837" spans="1:13" x14ac:dyDescent="0.2">
      <c r="A837" s="1219"/>
      <c r="B837" s="833"/>
      <c r="C837" s="1102"/>
      <c r="D837" s="118"/>
      <c r="E837" s="1220"/>
      <c r="F837" s="118"/>
      <c r="G837" s="118"/>
      <c r="H837" s="118"/>
      <c r="I837" s="118"/>
      <c r="J837" s="118"/>
      <c r="K837" s="118"/>
      <c r="L837" s="833"/>
      <c r="M837" s="120"/>
    </row>
    <row r="838" spans="1:13" ht="32" x14ac:dyDescent="0.2">
      <c r="A838" s="486" t="s">
        <v>2515</v>
      </c>
      <c r="B838" s="845">
        <v>10305</v>
      </c>
      <c r="C838" s="1159" t="s">
        <v>267</v>
      </c>
      <c r="D838" s="1229">
        <v>2</v>
      </c>
      <c r="E838" s="1230" t="s">
        <v>3427</v>
      </c>
      <c r="F838" s="110">
        <v>1</v>
      </c>
      <c r="G838" s="110" t="s">
        <v>3428</v>
      </c>
      <c r="H838" s="110"/>
      <c r="I838" s="110"/>
      <c r="J838" s="110"/>
      <c r="K838" s="110"/>
      <c r="L838" s="845"/>
      <c r="M838" s="112"/>
    </row>
    <row r="839" spans="1:13" x14ac:dyDescent="0.2">
      <c r="A839" s="1217"/>
      <c r="B839" s="166">
        <f>F839*2</f>
        <v>5000</v>
      </c>
      <c r="C839" s="133" t="s">
        <v>267</v>
      </c>
      <c r="E839" s="83"/>
      <c r="F839">
        <v>2500</v>
      </c>
      <c r="G839" t="s">
        <v>3421</v>
      </c>
      <c r="H839" t="s">
        <v>701</v>
      </c>
      <c r="I839">
        <v>131.79313999999999</v>
      </c>
      <c r="J839" t="s">
        <v>702</v>
      </c>
      <c r="K839" t="s">
        <v>701</v>
      </c>
      <c r="L839" s="166">
        <f>I839*B$840</f>
        <v>790.75883999999996</v>
      </c>
      <c r="M839" s="127" t="s">
        <v>3367</v>
      </c>
    </row>
    <row r="840" spans="1:13" x14ac:dyDescent="0.2">
      <c r="A840" s="1217"/>
      <c r="B840" s="1218">
        <f>ROUNDUP(B838/B839,0)*D838</f>
        <v>6</v>
      </c>
      <c r="C840" s="1114" t="s">
        <v>3429</v>
      </c>
      <c r="D840" s="6" t="s">
        <v>577</v>
      </c>
      <c r="E840" s="83"/>
      <c r="H840" t="s">
        <v>703</v>
      </c>
      <c r="I840">
        <v>1.6650000000000002E-2</v>
      </c>
      <c r="J840" t="s">
        <v>704</v>
      </c>
      <c r="K840" t="s">
        <v>703</v>
      </c>
      <c r="L840" s="166">
        <f t="shared" ref="L840:L848" si="66">I840*B$840</f>
        <v>9.9900000000000017E-2</v>
      </c>
      <c r="M840" s="127" t="s">
        <v>3368</v>
      </c>
    </row>
    <row r="841" spans="1:13" x14ac:dyDescent="0.2">
      <c r="A841" s="1217"/>
      <c r="B841" s="166"/>
      <c r="E841" s="83"/>
      <c r="H841" t="s">
        <v>705</v>
      </c>
      <c r="I841" s="33">
        <v>3506090</v>
      </c>
      <c r="J841" t="s">
        <v>706</v>
      </c>
      <c r="K841" t="s">
        <v>705</v>
      </c>
      <c r="L841" s="166">
        <f t="shared" si="66"/>
        <v>21036540</v>
      </c>
      <c r="M841" s="127" t="s">
        <v>3370</v>
      </c>
    </row>
    <row r="842" spans="1:13" x14ac:dyDescent="0.2">
      <c r="A842" s="1217"/>
      <c r="B842" s="166"/>
      <c r="E842" s="83"/>
      <c r="H842" t="s">
        <v>3372</v>
      </c>
      <c r="I842">
        <v>23.977810000000002</v>
      </c>
      <c r="J842" t="s">
        <v>3373</v>
      </c>
      <c r="K842" t="s">
        <v>3372</v>
      </c>
      <c r="L842" s="166">
        <f t="shared" si="66"/>
        <v>143.86686</v>
      </c>
      <c r="M842" s="127" t="s">
        <v>3374</v>
      </c>
    </row>
    <row r="843" spans="1:13" x14ac:dyDescent="0.2">
      <c r="A843" s="1217"/>
      <c r="B843" s="166"/>
      <c r="E843" s="83"/>
      <c r="H843" t="s">
        <v>3375</v>
      </c>
      <c r="I843">
        <v>72.539479999999998</v>
      </c>
      <c r="J843" t="s">
        <v>707</v>
      </c>
      <c r="K843" t="s">
        <v>3375</v>
      </c>
      <c r="L843" s="166">
        <f t="shared" si="66"/>
        <v>435.23687999999999</v>
      </c>
      <c r="M843" s="127" t="s">
        <v>3376</v>
      </c>
    </row>
    <row r="844" spans="1:13" x14ac:dyDescent="0.2">
      <c r="A844" s="1217"/>
      <c r="B844" s="166"/>
      <c r="E844" s="83"/>
      <c r="H844" t="s">
        <v>708</v>
      </c>
      <c r="I844" s="33">
        <v>22858.9</v>
      </c>
      <c r="J844" t="s">
        <v>709</v>
      </c>
      <c r="K844" t="s">
        <v>708</v>
      </c>
      <c r="L844" s="166">
        <f t="shared" si="66"/>
        <v>137153.40000000002</v>
      </c>
      <c r="M844" s="127" t="s">
        <v>3377</v>
      </c>
    </row>
    <row r="845" spans="1:13" x14ac:dyDescent="0.2">
      <c r="A845" s="1217"/>
      <c r="B845" s="166"/>
      <c r="E845" s="83"/>
      <c r="H845" t="s">
        <v>3378</v>
      </c>
      <c r="I845">
        <v>3.8490000000000003E-2</v>
      </c>
      <c r="J845" t="s">
        <v>704</v>
      </c>
      <c r="K845" t="s">
        <v>3378</v>
      </c>
      <c r="L845" s="166">
        <f t="shared" si="66"/>
        <v>0.23094000000000003</v>
      </c>
      <c r="M845" s="127" t="s">
        <v>3368</v>
      </c>
    </row>
    <row r="846" spans="1:13" x14ac:dyDescent="0.2">
      <c r="A846" s="1217"/>
      <c r="B846" s="166"/>
      <c r="E846" s="83"/>
      <c r="H846" t="s">
        <v>710</v>
      </c>
      <c r="I846">
        <v>1.14E-3</v>
      </c>
      <c r="J846" t="s">
        <v>3379</v>
      </c>
      <c r="K846" t="s">
        <v>710</v>
      </c>
      <c r="L846" s="166">
        <f t="shared" si="66"/>
        <v>6.8399999999999997E-3</v>
      </c>
      <c r="M846" s="127" t="s">
        <v>3380</v>
      </c>
    </row>
    <row r="847" spans="1:13" x14ac:dyDescent="0.2">
      <c r="A847" s="1217"/>
      <c r="B847" s="166"/>
      <c r="E847" s="83"/>
      <c r="H847" t="s">
        <v>3381</v>
      </c>
      <c r="I847">
        <v>34.951729999999998</v>
      </c>
      <c r="J847" t="s">
        <v>3382</v>
      </c>
      <c r="K847" t="s">
        <v>3381</v>
      </c>
      <c r="L847" s="166">
        <f t="shared" si="66"/>
        <v>209.71037999999999</v>
      </c>
      <c r="M847" s="127" t="s">
        <v>3383</v>
      </c>
    </row>
    <row r="848" spans="1:13" x14ac:dyDescent="0.2">
      <c r="A848" s="1217"/>
      <c r="B848" s="166"/>
      <c r="E848" s="83"/>
      <c r="H848" t="s">
        <v>3384</v>
      </c>
      <c r="I848">
        <v>1697.46082</v>
      </c>
      <c r="J848" t="s">
        <v>711</v>
      </c>
      <c r="K848" t="s">
        <v>3384</v>
      </c>
      <c r="L848" s="166">
        <f t="shared" si="66"/>
        <v>10184.76492</v>
      </c>
      <c r="M848" s="127" t="s">
        <v>3385</v>
      </c>
    </row>
    <row r="849" spans="1:13" x14ac:dyDescent="0.2">
      <c r="A849" s="1219"/>
      <c r="B849" s="833"/>
      <c r="C849" s="1102"/>
      <c r="D849" s="118"/>
      <c r="E849" s="1220"/>
      <c r="F849" s="118"/>
      <c r="G849" s="118"/>
      <c r="H849" s="118"/>
      <c r="I849" s="118"/>
      <c r="J849" s="118"/>
      <c r="K849" s="118"/>
      <c r="L849" s="833"/>
      <c r="M849" s="120"/>
    </row>
    <row r="850" spans="1:13" ht="32" x14ac:dyDescent="0.2">
      <c r="A850" s="486" t="s">
        <v>533</v>
      </c>
      <c r="B850" s="845">
        <v>67.596192748301405</v>
      </c>
      <c r="C850" s="1159" t="s">
        <v>444</v>
      </c>
      <c r="D850" s="1229">
        <v>2</v>
      </c>
      <c r="E850" s="159" t="s">
        <v>718</v>
      </c>
      <c r="F850" s="110">
        <v>1</v>
      </c>
      <c r="G850" s="110" t="s">
        <v>3396</v>
      </c>
      <c r="H850" s="110"/>
      <c r="I850" s="110"/>
      <c r="J850" s="110"/>
      <c r="K850" s="110"/>
      <c r="L850" s="845"/>
      <c r="M850" s="112"/>
    </row>
    <row r="851" spans="1:13" x14ac:dyDescent="0.2">
      <c r="A851" s="1217"/>
      <c r="B851" s="166">
        <v>17</v>
      </c>
      <c r="C851" s="133" t="s">
        <v>7</v>
      </c>
      <c r="E851" s="83"/>
      <c r="F851">
        <v>50</v>
      </c>
      <c r="G851" t="s">
        <v>3397</v>
      </c>
      <c r="H851" t="s">
        <v>701</v>
      </c>
      <c r="I851">
        <v>0.82547999999999999</v>
      </c>
      <c r="J851" t="s">
        <v>702</v>
      </c>
      <c r="K851" t="s">
        <v>701</v>
      </c>
      <c r="L851" s="166">
        <f>I851*B$854</f>
        <v>1897.1763764555064</v>
      </c>
      <c r="M851" s="127" t="s">
        <v>3367</v>
      </c>
    </row>
    <row r="852" spans="1:13" x14ac:dyDescent="0.2">
      <c r="A852" s="1217"/>
      <c r="B852" s="166"/>
      <c r="C852" s="133" t="s">
        <v>3398</v>
      </c>
      <c r="E852" s="83"/>
      <c r="H852" t="s">
        <v>703</v>
      </c>
      <c r="I852" s="33">
        <v>1.3020000000000001E-5</v>
      </c>
      <c r="J852" t="s">
        <v>704</v>
      </c>
      <c r="K852" t="s">
        <v>703</v>
      </c>
      <c r="L852" s="166">
        <f t="shared" ref="L852:L860" si="67">I852*B$854</f>
        <v>2.9923482605818064E-2</v>
      </c>
      <c r="M852" s="127" t="s">
        <v>3368</v>
      </c>
    </row>
    <row r="853" spans="1:13" x14ac:dyDescent="0.2">
      <c r="A853" s="1217"/>
      <c r="B853" s="166"/>
      <c r="E853" s="83"/>
      <c r="H853" t="s">
        <v>705</v>
      </c>
      <c r="I853">
        <v>3440.7478099999998</v>
      </c>
      <c r="J853" t="s">
        <v>706</v>
      </c>
      <c r="K853" t="s">
        <v>705</v>
      </c>
      <c r="L853" s="166">
        <f t="shared" si="67"/>
        <v>7907769.3735439004</v>
      </c>
      <c r="M853" s="127" t="s">
        <v>3370</v>
      </c>
    </row>
    <row r="854" spans="1:13" x14ac:dyDescent="0.2">
      <c r="A854" s="1217"/>
      <c r="B854" s="1218">
        <f>B850*B851*D850</f>
        <v>2298.2705534422475</v>
      </c>
      <c r="C854" s="1114" t="s">
        <v>3397</v>
      </c>
      <c r="D854" s="6" t="s">
        <v>586</v>
      </c>
      <c r="E854" s="83"/>
      <c r="H854" t="s">
        <v>3372</v>
      </c>
      <c r="I854">
        <v>4.9140000000000003E-2</v>
      </c>
      <c r="J854" t="s">
        <v>3373</v>
      </c>
      <c r="K854" t="s">
        <v>3372</v>
      </c>
      <c r="L854" s="166">
        <f t="shared" si="67"/>
        <v>112.93701499615206</v>
      </c>
      <c r="M854" s="127" t="s">
        <v>3374</v>
      </c>
    </row>
    <row r="855" spans="1:13" x14ac:dyDescent="0.2">
      <c r="A855" s="1217"/>
      <c r="B855" s="166"/>
      <c r="E855" s="83"/>
      <c r="H855" t="s">
        <v>3375</v>
      </c>
      <c r="I855">
        <v>0.37484000000000001</v>
      </c>
      <c r="J855" t="s">
        <v>707</v>
      </c>
      <c r="K855" t="s">
        <v>3375</v>
      </c>
      <c r="L855" s="166">
        <f t="shared" si="67"/>
        <v>861.48373425229204</v>
      </c>
      <c r="M855" s="127" t="s">
        <v>3376</v>
      </c>
    </row>
    <row r="856" spans="1:13" x14ac:dyDescent="0.2">
      <c r="A856" s="1217"/>
      <c r="B856" s="166"/>
      <c r="E856" s="83"/>
      <c r="H856" t="s">
        <v>708</v>
      </c>
      <c r="I856">
        <v>234.66023000000001</v>
      </c>
      <c r="J856" t="s">
        <v>709</v>
      </c>
      <c r="K856" t="s">
        <v>708</v>
      </c>
      <c r="L856" s="166">
        <f t="shared" si="67"/>
        <v>539312.6966729851</v>
      </c>
      <c r="M856" s="127" t="s">
        <v>3377</v>
      </c>
    </row>
    <row r="857" spans="1:13" x14ac:dyDescent="0.2">
      <c r="A857" s="1217"/>
      <c r="B857" s="166"/>
      <c r="E857" s="83"/>
      <c r="H857" t="s">
        <v>3378</v>
      </c>
      <c r="I857" s="33">
        <v>5.7967699999999997E-5</v>
      </c>
      <c r="J857" t="s">
        <v>704</v>
      </c>
      <c r="K857" t="s">
        <v>3378</v>
      </c>
      <c r="L857" s="166">
        <f t="shared" si="67"/>
        <v>0.13322545796077417</v>
      </c>
      <c r="M857" s="127" t="s">
        <v>3368</v>
      </c>
    </row>
    <row r="858" spans="1:13" x14ac:dyDescent="0.2">
      <c r="A858" s="1217"/>
      <c r="B858" s="166"/>
      <c r="E858" s="83"/>
      <c r="H858" t="s">
        <v>710</v>
      </c>
      <c r="I858" s="33">
        <v>2.5430099999999999E-6</v>
      </c>
      <c r="J858" t="s">
        <v>3379</v>
      </c>
      <c r="K858" t="s">
        <v>710</v>
      </c>
      <c r="L858" s="166">
        <f t="shared" si="67"/>
        <v>5.8445250001091693E-3</v>
      </c>
      <c r="M858" s="127" t="s">
        <v>3380</v>
      </c>
    </row>
    <row r="859" spans="1:13" x14ac:dyDescent="0.2">
      <c r="A859" s="1217"/>
      <c r="B859" s="166"/>
      <c r="E859" s="83"/>
      <c r="H859" t="s">
        <v>3381</v>
      </c>
      <c r="I859">
        <v>0.17479</v>
      </c>
      <c r="J859" t="s">
        <v>3382</v>
      </c>
      <c r="K859" t="s">
        <v>3381</v>
      </c>
      <c r="L859" s="166">
        <f t="shared" si="67"/>
        <v>401.71471003617046</v>
      </c>
      <c r="M859" s="127" t="s">
        <v>3383</v>
      </c>
    </row>
    <row r="860" spans="1:13" x14ac:dyDescent="0.2">
      <c r="A860" s="1217"/>
      <c r="B860" s="166"/>
      <c r="E860" s="83"/>
      <c r="H860" t="s">
        <v>3384</v>
      </c>
      <c r="I860">
        <v>8.8856599999999997</v>
      </c>
      <c r="J860" t="s">
        <v>711</v>
      </c>
      <c r="K860" t="s">
        <v>3384</v>
      </c>
      <c r="L860" s="166">
        <f t="shared" si="67"/>
        <v>20421.650725899639</v>
      </c>
      <c r="M860" s="127" t="s">
        <v>3385</v>
      </c>
    </row>
    <row r="861" spans="1:13" x14ac:dyDescent="0.2">
      <c r="A861" s="1219"/>
      <c r="B861" s="833"/>
      <c r="C861" s="1102"/>
      <c r="D861" s="118"/>
      <c r="E861" s="1220"/>
      <c r="F861" s="118"/>
      <c r="G861" s="118"/>
      <c r="H861" s="118"/>
      <c r="I861" s="118"/>
      <c r="J861" s="118"/>
      <c r="K861" s="118"/>
      <c r="L861" s="833"/>
      <c r="M861" s="120"/>
    </row>
    <row r="862" spans="1:13" ht="32" x14ac:dyDescent="0.2">
      <c r="A862" s="1215" t="s">
        <v>714</v>
      </c>
      <c r="B862" s="1231">
        <v>23842390.138052631</v>
      </c>
      <c r="C862" s="1232" t="s">
        <v>3430</v>
      </c>
      <c r="D862" s="110"/>
      <c r="E862" s="1216" t="s">
        <v>3404</v>
      </c>
      <c r="F862" s="110">
        <v>1</v>
      </c>
      <c r="G862" s="110" t="s">
        <v>378</v>
      </c>
      <c r="H862" s="110"/>
      <c r="I862" s="110"/>
      <c r="J862" s="110"/>
      <c r="K862" s="110"/>
      <c r="L862" s="845"/>
      <c r="M862" s="112"/>
    </row>
    <row r="863" spans="1:13" x14ac:dyDescent="0.2">
      <c r="A863" s="637"/>
      <c r="B863" s="166"/>
      <c r="E863" s="83"/>
      <c r="H863" t="s">
        <v>701</v>
      </c>
      <c r="I863">
        <v>7.5000000000000002E-4</v>
      </c>
      <c r="J863" t="s">
        <v>702</v>
      </c>
      <c r="K863" t="s">
        <v>701</v>
      </c>
      <c r="L863" s="166">
        <f>I863*B$862</f>
        <v>17881.792603539474</v>
      </c>
      <c r="M863" s="127" t="s">
        <v>3367</v>
      </c>
    </row>
    <row r="864" spans="1:13" x14ac:dyDescent="0.2">
      <c r="A864" s="1217"/>
      <c r="B864" s="166"/>
      <c r="E864" s="83"/>
      <c r="H864" t="s">
        <v>703</v>
      </c>
      <c r="I864" s="33">
        <v>3.3111200000000002E-8</v>
      </c>
      <c r="J864" t="s">
        <v>704</v>
      </c>
      <c r="K864" t="s">
        <v>703</v>
      </c>
      <c r="L864" s="166">
        <f t="shared" ref="L864:L872" si="68">I864*B$862</f>
        <v>0.78945014833908833</v>
      </c>
      <c r="M864" s="127" t="s">
        <v>3368</v>
      </c>
    </row>
    <row r="865" spans="1:13" x14ac:dyDescent="0.2">
      <c r="A865" s="1217"/>
      <c r="B865" s="166"/>
      <c r="E865" s="83"/>
      <c r="H865" t="s">
        <v>705</v>
      </c>
      <c r="I865">
        <v>4.1968100000000002</v>
      </c>
      <c r="J865" t="s">
        <v>706</v>
      </c>
      <c r="K865" t="s">
        <v>705</v>
      </c>
      <c r="L865" s="166">
        <f t="shared" si="68"/>
        <v>100061981.35528067</v>
      </c>
      <c r="M865" s="127" t="s">
        <v>3370</v>
      </c>
    </row>
    <row r="866" spans="1:13" x14ac:dyDescent="0.2">
      <c r="A866" s="1217"/>
      <c r="B866" s="166"/>
      <c r="E866" s="83"/>
      <c r="H866" t="s">
        <v>3372</v>
      </c>
      <c r="I866">
        <v>3.2000000000000003E-4</v>
      </c>
      <c r="J866" t="s">
        <v>3373</v>
      </c>
      <c r="K866" t="s">
        <v>3372</v>
      </c>
      <c r="L866" s="166">
        <f t="shared" si="68"/>
        <v>7629.5648441768426</v>
      </c>
      <c r="M866" s="127" t="s">
        <v>3374</v>
      </c>
    </row>
    <row r="867" spans="1:13" x14ac:dyDescent="0.2">
      <c r="A867" s="1217"/>
      <c r="B867" s="166"/>
      <c r="E867" s="83"/>
      <c r="H867" t="s">
        <v>3375</v>
      </c>
      <c r="I867">
        <v>5.2999999999999998E-4</v>
      </c>
      <c r="J867" t="s">
        <v>707</v>
      </c>
      <c r="K867" t="s">
        <v>3375</v>
      </c>
      <c r="L867" s="166">
        <f t="shared" si="68"/>
        <v>12636.466773167895</v>
      </c>
      <c r="M867" s="127" t="s">
        <v>3376</v>
      </c>
    </row>
    <row r="868" spans="1:13" x14ac:dyDescent="0.2">
      <c r="A868" s="1217"/>
      <c r="B868" s="166"/>
      <c r="E868" s="83"/>
      <c r="H868" t="s">
        <v>708</v>
      </c>
      <c r="I868">
        <v>0.39150000000000001</v>
      </c>
      <c r="J868" t="s">
        <v>709</v>
      </c>
      <c r="K868" t="s">
        <v>708</v>
      </c>
      <c r="L868" s="166">
        <f t="shared" si="68"/>
        <v>9334295.7390476055</v>
      </c>
      <c r="M868" s="127" t="s">
        <v>3377</v>
      </c>
    </row>
    <row r="869" spans="1:13" x14ac:dyDescent="0.2">
      <c r="A869" s="1217"/>
      <c r="B869" s="166"/>
      <c r="E869" s="83"/>
      <c r="H869" t="s">
        <v>3378</v>
      </c>
      <c r="I869" s="33">
        <v>9.8849699999999999E-8</v>
      </c>
      <c r="J869" t="s">
        <v>704</v>
      </c>
      <c r="K869" t="s">
        <v>3378</v>
      </c>
      <c r="L869" s="166">
        <f t="shared" si="68"/>
        <v>2.3568131124294611</v>
      </c>
      <c r="M869" s="127" t="s">
        <v>3368</v>
      </c>
    </row>
    <row r="870" spans="1:13" x14ac:dyDescent="0.2">
      <c r="A870" s="1217"/>
      <c r="B870" s="166"/>
      <c r="E870" s="83"/>
      <c r="H870" t="s">
        <v>710</v>
      </c>
      <c r="I870" s="33">
        <v>1.51061E-9</v>
      </c>
      <c r="J870" t="s">
        <v>3379</v>
      </c>
      <c r="K870" t="s">
        <v>710</v>
      </c>
      <c r="L870" s="166">
        <f t="shared" si="68"/>
        <v>3.6016552966443682E-2</v>
      </c>
      <c r="M870" s="127" t="s">
        <v>3380</v>
      </c>
    </row>
    <row r="871" spans="1:13" x14ac:dyDescent="0.2">
      <c r="A871" s="1217"/>
      <c r="B871" s="166"/>
      <c r="E871" s="83"/>
      <c r="H871" t="s">
        <v>3381</v>
      </c>
      <c r="I871">
        <v>1.01E-3</v>
      </c>
      <c r="J871" t="s">
        <v>3382</v>
      </c>
      <c r="K871" t="s">
        <v>3381</v>
      </c>
      <c r="L871" s="166">
        <f t="shared" si="68"/>
        <v>24080.81403943316</v>
      </c>
      <c r="M871" s="127" t="s">
        <v>3383</v>
      </c>
    </row>
    <row r="872" spans="1:13" x14ac:dyDescent="0.2">
      <c r="A872" s="1217"/>
      <c r="B872" s="166"/>
      <c r="E872" s="83"/>
      <c r="H872" t="s">
        <v>3384</v>
      </c>
      <c r="I872">
        <v>1.2200000000000001E-2</v>
      </c>
      <c r="J872" t="s">
        <v>711</v>
      </c>
      <c r="K872" t="s">
        <v>3384</v>
      </c>
      <c r="L872" s="166">
        <f t="shared" si="68"/>
        <v>290877.1596842421</v>
      </c>
      <c r="M872" s="127" t="s">
        <v>3385</v>
      </c>
    </row>
    <row r="873" spans="1:13" x14ac:dyDescent="0.2">
      <c r="A873" s="1219"/>
      <c r="B873" s="833"/>
      <c r="C873" s="1102"/>
      <c r="D873" s="118"/>
      <c r="E873" s="1220"/>
      <c r="F873" s="118"/>
      <c r="G873" s="118"/>
      <c r="H873" s="118"/>
      <c r="I873" s="118"/>
      <c r="J873" s="118"/>
      <c r="K873" s="118"/>
      <c r="L873" s="833"/>
      <c r="M873" s="120"/>
    </row>
    <row r="874" spans="1:13" x14ac:dyDescent="0.2">
      <c r="A874" s="1222"/>
      <c r="B874" s="166"/>
      <c r="E874" s="83"/>
      <c r="L874" s="166"/>
    </row>
    <row r="875" spans="1:13" x14ac:dyDescent="0.2">
      <c r="A875" s="1222"/>
      <c r="B875" s="166"/>
      <c r="E875" s="83"/>
      <c r="L875" s="166"/>
    </row>
    <row r="876" spans="1:13" x14ac:dyDescent="0.2">
      <c r="A876" s="1222"/>
      <c r="B876" s="166"/>
      <c r="E876" s="83"/>
      <c r="L876" s="166"/>
    </row>
    <row r="877" spans="1:13" x14ac:dyDescent="0.2">
      <c r="A877" s="1222"/>
      <c r="B877" s="166"/>
      <c r="E877" s="83"/>
      <c r="L877" s="166"/>
    </row>
    <row r="878" spans="1:13" x14ac:dyDescent="0.2">
      <c r="A878" s="1222"/>
      <c r="B878" s="166"/>
      <c r="E878" s="83"/>
      <c r="L878" s="166"/>
    </row>
    <row r="879" spans="1:13" x14ac:dyDescent="0.2">
      <c r="A879" s="1222"/>
      <c r="B879" s="166"/>
      <c r="E879" s="83"/>
      <c r="L879" s="166"/>
    </row>
    <row r="880" spans="1:13" x14ac:dyDescent="0.2">
      <c r="A880" s="1222"/>
      <c r="B880" s="166"/>
      <c r="E880" s="83"/>
      <c r="L880" s="166"/>
    </row>
    <row r="883" spans="1:15" ht="16" thickBot="1" x14ac:dyDescent="0.25"/>
    <row r="884" spans="1:15" x14ac:dyDescent="0.2">
      <c r="A884" s="1819" t="s">
        <v>1561</v>
      </c>
      <c r="B884" s="1820"/>
      <c r="C884" s="1820"/>
      <c r="D884" s="1820"/>
      <c r="E884" s="1820"/>
      <c r="F884" s="1820"/>
      <c r="G884" s="1820"/>
      <c r="H884" s="1820"/>
      <c r="I884" s="1820"/>
      <c r="J884" s="1820"/>
      <c r="K884" s="1820"/>
      <c r="L884" s="1820"/>
      <c r="M884" s="1820"/>
      <c r="N884" s="1820"/>
      <c r="O884" s="1821"/>
    </row>
    <row r="885" spans="1:15" ht="16" thickBot="1" x14ac:dyDescent="0.25">
      <c r="A885" s="1822"/>
      <c r="B885" s="1823"/>
      <c r="C885" s="1823"/>
      <c r="D885" s="1823"/>
      <c r="E885" s="1823"/>
      <c r="F885" s="1823"/>
      <c r="G885" s="1823"/>
      <c r="H885" s="1823"/>
      <c r="I885" s="1823"/>
      <c r="J885" s="1823"/>
      <c r="K885" s="1823"/>
      <c r="L885" s="1823"/>
      <c r="M885" s="1823"/>
      <c r="N885" s="1823"/>
      <c r="O885" s="1824"/>
    </row>
    <row r="886" spans="1:15" s="6" customFormat="1" x14ac:dyDescent="0.2">
      <c r="A886" s="1920" t="s">
        <v>697</v>
      </c>
      <c r="B886" s="1515" t="s">
        <v>698</v>
      </c>
      <c r="C886" s="1515"/>
      <c r="D886" s="1515"/>
      <c r="E886" s="1921" t="s">
        <v>3362</v>
      </c>
      <c r="F886" s="1515" t="s">
        <v>699</v>
      </c>
      <c r="G886" s="1515"/>
      <c r="H886" s="1515" t="s">
        <v>3363</v>
      </c>
      <c r="I886" s="1515"/>
      <c r="J886" s="1515"/>
      <c r="K886" s="1515" t="s">
        <v>700</v>
      </c>
      <c r="L886" s="1515"/>
      <c r="M886" s="1515"/>
    </row>
    <row r="887" spans="1:15" s="6" customFormat="1" ht="15.75" customHeight="1" x14ac:dyDescent="0.2">
      <c r="A887" s="1520"/>
      <c r="B887" s="1214" t="s">
        <v>515</v>
      </c>
      <c r="C887" s="969" t="s">
        <v>372</v>
      </c>
      <c r="D887" s="969" t="s">
        <v>583</v>
      </c>
      <c r="E887" s="1922"/>
      <c r="F887" s="969" t="s">
        <v>42</v>
      </c>
      <c r="G887" s="969" t="s">
        <v>372</v>
      </c>
      <c r="H887" s="29" t="s">
        <v>697</v>
      </c>
      <c r="I887" s="969" t="s">
        <v>42</v>
      </c>
      <c r="J887" s="969" t="s">
        <v>372</v>
      </c>
      <c r="K887" s="969" t="s">
        <v>697</v>
      </c>
      <c r="L887" s="1214" t="s">
        <v>42</v>
      </c>
      <c r="M887" s="969" t="s">
        <v>372</v>
      </c>
    </row>
    <row r="888" spans="1:15" ht="16" x14ac:dyDescent="0.2">
      <c r="A888" s="486" t="s">
        <v>1027</v>
      </c>
      <c r="B888" s="845">
        <v>67596.192748301401</v>
      </c>
      <c r="C888" s="1159" t="s">
        <v>267</v>
      </c>
      <c r="D888" s="1229">
        <v>2</v>
      </c>
      <c r="E888" s="1216" t="s">
        <v>3432</v>
      </c>
      <c r="F888" s="110"/>
      <c r="G888" s="110"/>
      <c r="H888" s="110"/>
      <c r="I888" s="110"/>
      <c r="J888" s="110"/>
      <c r="K888" s="110"/>
      <c r="L888" s="845"/>
      <c r="M888" s="112"/>
    </row>
    <row r="889" spans="1:15" x14ac:dyDescent="0.2">
      <c r="A889" s="1217"/>
      <c r="B889" s="166">
        <f>B888/1000</f>
        <v>67.596192748301405</v>
      </c>
      <c r="C889" s="133" t="s">
        <v>444</v>
      </c>
      <c r="F889">
        <v>1</v>
      </c>
      <c r="G889" t="s">
        <v>713</v>
      </c>
      <c r="H889" t="s">
        <v>701</v>
      </c>
      <c r="I889">
        <v>0.14229</v>
      </c>
      <c r="J889" t="s">
        <v>702</v>
      </c>
      <c r="K889" t="s">
        <v>701</v>
      </c>
      <c r="L889" s="166">
        <f>I889*B$894</f>
        <v>13.80213</v>
      </c>
      <c r="M889" s="127" t="s">
        <v>3367</v>
      </c>
    </row>
    <row r="890" spans="1:15" x14ac:dyDescent="0.2">
      <c r="A890" s="1217"/>
      <c r="B890" s="166">
        <v>20</v>
      </c>
      <c r="C890" s="133" t="s">
        <v>10</v>
      </c>
      <c r="D890" t="s">
        <v>3390</v>
      </c>
      <c r="E890" s="83"/>
      <c r="F890">
        <v>40</v>
      </c>
      <c r="G890" t="s">
        <v>12</v>
      </c>
      <c r="H890" t="s">
        <v>703</v>
      </c>
      <c r="I890" s="33">
        <v>2.2291000000000001E-5</v>
      </c>
      <c r="J890" t="s">
        <v>704</v>
      </c>
      <c r="K890" t="s">
        <v>703</v>
      </c>
      <c r="L890" s="166">
        <f t="shared" ref="L890:L898" si="69">I890*B$894</f>
        <v>2.1622270000000001E-3</v>
      </c>
      <c r="M890" s="127" t="s">
        <v>3368</v>
      </c>
    </row>
    <row r="891" spans="1:15" x14ac:dyDescent="0.2">
      <c r="A891" s="1217"/>
      <c r="B891" s="166">
        <v>0.7</v>
      </c>
      <c r="D891" s="24" t="s">
        <v>3391</v>
      </c>
      <c r="E891" s="83"/>
      <c r="H891" t="s">
        <v>705</v>
      </c>
      <c r="I891">
        <v>3203.5834399999999</v>
      </c>
      <c r="J891" t="s">
        <v>706</v>
      </c>
      <c r="K891" t="s">
        <v>705</v>
      </c>
      <c r="L891" s="166">
        <f t="shared" si="69"/>
        <v>310747.59367999999</v>
      </c>
      <c r="M891" s="127" t="s">
        <v>3370</v>
      </c>
    </row>
    <row r="892" spans="1:15" x14ac:dyDescent="0.2">
      <c r="A892" s="1217"/>
      <c r="B892" s="166">
        <f>B889*B890/B891</f>
        <v>1931.3197928086117</v>
      </c>
      <c r="C892" s="133" t="s">
        <v>12</v>
      </c>
      <c r="D892" s="6"/>
      <c r="E892" s="83"/>
      <c r="H892" t="s">
        <v>3372</v>
      </c>
      <c r="I892">
        <v>1.278E-2</v>
      </c>
      <c r="J892" t="s">
        <v>3373</v>
      </c>
      <c r="K892" t="s">
        <v>3372</v>
      </c>
      <c r="L892" s="166">
        <f t="shared" si="69"/>
        <v>1.23966</v>
      </c>
      <c r="M892" s="127" t="s">
        <v>3374</v>
      </c>
    </row>
    <row r="893" spans="1:15" x14ac:dyDescent="0.2">
      <c r="A893" s="1217"/>
      <c r="B893" s="166">
        <f>B892*D888</f>
        <v>3862.6395856172235</v>
      </c>
      <c r="C893" s="133" t="s">
        <v>12</v>
      </c>
      <c r="E893" s="83"/>
      <c r="H893" t="s">
        <v>3375</v>
      </c>
      <c r="I893">
        <v>3.7339999999999998E-2</v>
      </c>
      <c r="J893" t="s">
        <v>707</v>
      </c>
      <c r="K893" t="s">
        <v>3375</v>
      </c>
      <c r="L893" s="166">
        <f t="shared" si="69"/>
        <v>3.6219799999999998</v>
      </c>
      <c r="M893" s="127" t="s">
        <v>3376</v>
      </c>
    </row>
    <row r="894" spans="1:15" x14ac:dyDescent="0.2">
      <c r="A894" s="1217"/>
      <c r="B894" s="1218">
        <f>ROUNDUP(B893/F890,0)</f>
        <v>97</v>
      </c>
      <c r="C894" s="1114" t="s">
        <v>3392</v>
      </c>
      <c r="D894" s="6" t="s">
        <v>577</v>
      </c>
      <c r="E894" s="83"/>
      <c r="H894" t="s">
        <v>708</v>
      </c>
      <c r="I894">
        <v>9.0477000000000007</v>
      </c>
      <c r="J894" t="s">
        <v>709</v>
      </c>
      <c r="K894" t="s">
        <v>708</v>
      </c>
      <c r="L894" s="166">
        <f t="shared" si="69"/>
        <v>877.62690000000009</v>
      </c>
      <c r="M894" s="127" t="s">
        <v>3377</v>
      </c>
    </row>
    <row r="895" spans="1:15" x14ac:dyDescent="0.2">
      <c r="A895" s="1217"/>
      <c r="B895" s="166"/>
      <c r="E895" s="83"/>
      <c r="H895" t="s">
        <v>3378</v>
      </c>
      <c r="I895" s="33">
        <v>3.5905399999999997E-5</v>
      </c>
      <c r="J895" t="s">
        <v>704</v>
      </c>
      <c r="K895" t="s">
        <v>3378</v>
      </c>
      <c r="L895" s="166">
        <f t="shared" si="69"/>
        <v>3.4828237999999997E-3</v>
      </c>
      <c r="M895" s="127" t="s">
        <v>3368</v>
      </c>
    </row>
    <row r="896" spans="1:15" x14ac:dyDescent="0.2">
      <c r="A896" s="1217"/>
      <c r="B896" s="166"/>
      <c r="E896" s="83"/>
      <c r="H896" t="s">
        <v>710</v>
      </c>
      <c r="I896" s="33">
        <v>1.7364199999999999E-7</v>
      </c>
      <c r="J896" t="s">
        <v>3379</v>
      </c>
      <c r="K896" t="s">
        <v>710</v>
      </c>
      <c r="L896" s="166">
        <f t="shared" si="69"/>
        <v>1.6843273999999997E-5</v>
      </c>
      <c r="M896" s="127" t="s">
        <v>3380</v>
      </c>
    </row>
    <row r="897" spans="1:13" x14ac:dyDescent="0.2">
      <c r="A897" s="1217"/>
      <c r="B897" s="166"/>
      <c r="E897" s="83"/>
      <c r="H897" t="s">
        <v>3381</v>
      </c>
      <c r="I897">
        <v>2.9360000000000001E-2</v>
      </c>
      <c r="J897" t="s">
        <v>3382</v>
      </c>
      <c r="K897" t="s">
        <v>3381</v>
      </c>
      <c r="L897" s="166">
        <f t="shared" si="69"/>
        <v>2.8479200000000002</v>
      </c>
      <c r="M897" s="127" t="s">
        <v>3383</v>
      </c>
    </row>
    <row r="898" spans="1:13" x14ac:dyDescent="0.2">
      <c r="A898" s="1217"/>
      <c r="B898" s="166"/>
      <c r="E898" s="83"/>
      <c r="H898" t="s">
        <v>3384</v>
      </c>
      <c r="I898">
        <v>0.84404000000000001</v>
      </c>
      <c r="J898" t="s">
        <v>711</v>
      </c>
      <c r="K898" t="s">
        <v>3384</v>
      </c>
      <c r="L898" s="166">
        <f t="shared" si="69"/>
        <v>81.871880000000004</v>
      </c>
      <c r="M898" s="127" t="s">
        <v>3385</v>
      </c>
    </row>
    <row r="899" spans="1:13" x14ac:dyDescent="0.2">
      <c r="A899" s="1219"/>
      <c r="B899" s="833"/>
      <c r="C899" s="1102"/>
      <c r="D899" s="118"/>
      <c r="E899" s="1220"/>
      <c r="F899" s="118"/>
      <c r="G899" s="118"/>
      <c r="H899" s="118"/>
      <c r="I899" s="118"/>
      <c r="J899" s="118"/>
      <c r="K899" s="118"/>
      <c r="L899" s="833"/>
      <c r="M899" s="120"/>
    </row>
    <row r="900" spans="1:13" ht="48" x14ac:dyDescent="0.2">
      <c r="A900" s="486" t="s">
        <v>1573</v>
      </c>
      <c r="B900" s="1227">
        <v>2119637083.7046049</v>
      </c>
      <c r="C900" s="1159" t="s">
        <v>267</v>
      </c>
      <c r="D900" s="1229">
        <v>2</v>
      </c>
      <c r="E900" s="1230" t="s">
        <v>3433</v>
      </c>
      <c r="F900" s="110">
        <v>1</v>
      </c>
      <c r="G900" s="110" t="s">
        <v>3429</v>
      </c>
      <c r="H900" s="110"/>
      <c r="I900" s="110"/>
      <c r="J900" s="110"/>
      <c r="K900" s="110"/>
      <c r="L900" s="845"/>
      <c r="M900" s="112"/>
    </row>
    <row r="901" spans="1:13" x14ac:dyDescent="0.2">
      <c r="A901" s="1217"/>
      <c r="B901" s="1228">
        <v>1000000</v>
      </c>
      <c r="C901" s="133" t="s">
        <v>3434</v>
      </c>
      <c r="E901" s="83"/>
      <c r="F901">
        <v>300</v>
      </c>
      <c r="G901" t="s">
        <v>545</v>
      </c>
      <c r="H901" t="s">
        <v>701</v>
      </c>
      <c r="I901">
        <v>189.73783</v>
      </c>
      <c r="J901" t="s">
        <v>702</v>
      </c>
      <c r="K901" t="s">
        <v>701</v>
      </c>
      <c r="L901" s="166">
        <f>I901*B$902</f>
        <v>804350.68129928014</v>
      </c>
      <c r="M901" s="127" t="s">
        <v>3367</v>
      </c>
    </row>
    <row r="902" spans="1:13" x14ac:dyDescent="0.2">
      <c r="A902" s="1217"/>
      <c r="B902" s="1218">
        <f>B900/B901*D900</f>
        <v>4239.2741674092094</v>
      </c>
      <c r="C902" s="1114" t="s">
        <v>3409</v>
      </c>
      <c r="D902" s="6" t="s">
        <v>577</v>
      </c>
      <c r="E902" s="83"/>
      <c r="F902">
        <v>4600</v>
      </c>
      <c r="G902" t="s">
        <v>15</v>
      </c>
      <c r="H902" t="s">
        <v>703</v>
      </c>
      <c r="I902">
        <v>2.7380000000000002E-2</v>
      </c>
      <c r="J902" t="s">
        <v>704</v>
      </c>
      <c r="K902" t="s">
        <v>703</v>
      </c>
      <c r="L902" s="166">
        <f t="shared" ref="L902:L910" si="70">I902*B$902</f>
        <v>116.07132670366416</v>
      </c>
      <c r="M902" s="127" t="s">
        <v>3368</v>
      </c>
    </row>
    <row r="903" spans="1:13" x14ac:dyDescent="0.2">
      <c r="A903" s="1217"/>
      <c r="B903" s="166"/>
      <c r="E903" s="83"/>
      <c r="H903" t="s">
        <v>705</v>
      </c>
      <c r="I903" s="33">
        <v>4212170</v>
      </c>
      <c r="J903" t="s">
        <v>706</v>
      </c>
      <c r="K903" t="s">
        <v>705</v>
      </c>
      <c r="L903" s="166">
        <f t="shared" si="70"/>
        <v>17856543469.73605</v>
      </c>
      <c r="M903" s="127" t="s">
        <v>3370</v>
      </c>
    </row>
    <row r="904" spans="1:13" x14ac:dyDescent="0.2">
      <c r="A904" s="1217"/>
      <c r="B904" s="166"/>
      <c r="E904" s="83"/>
      <c r="H904" t="s">
        <v>3372</v>
      </c>
      <c r="I904">
        <v>17.817489999999999</v>
      </c>
      <c r="J904" t="s">
        <v>3373</v>
      </c>
      <c r="K904" t="s">
        <v>3372</v>
      </c>
      <c r="L904" s="166">
        <f t="shared" si="70"/>
        <v>75533.225085071914</v>
      </c>
      <c r="M904" s="127" t="s">
        <v>3374</v>
      </c>
    </row>
    <row r="905" spans="1:13" x14ac:dyDescent="0.2">
      <c r="A905" s="1217"/>
      <c r="B905" s="166"/>
      <c r="E905" s="83"/>
      <c r="H905" t="s">
        <v>3375</v>
      </c>
      <c r="I905">
        <v>55.172849999999997</v>
      </c>
      <c r="J905" t="s">
        <v>707</v>
      </c>
      <c r="K905" t="s">
        <v>3375</v>
      </c>
      <c r="L905" s="166">
        <f t="shared" si="70"/>
        <v>233892.83774734318</v>
      </c>
      <c r="M905" s="127" t="s">
        <v>3376</v>
      </c>
    </row>
    <row r="906" spans="1:13" x14ac:dyDescent="0.2">
      <c r="A906" s="1217"/>
      <c r="B906" s="166"/>
      <c r="E906" s="83"/>
      <c r="H906" t="s">
        <v>708</v>
      </c>
      <c r="I906" s="33">
        <v>14861.5</v>
      </c>
      <c r="J906" t="s">
        <v>709</v>
      </c>
      <c r="K906" t="s">
        <v>708</v>
      </c>
      <c r="L906" s="166">
        <f t="shared" si="70"/>
        <v>63001973.038951963</v>
      </c>
      <c r="M906" s="127" t="s">
        <v>3377</v>
      </c>
    </row>
    <row r="907" spans="1:13" x14ac:dyDescent="0.2">
      <c r="A907" s="1217"/>
      <c r="B907" s="166"/>
      <c r="E907" s="83"/>
      <c r="H907" t="s">
        <v>3378</v>
      </c>
      <c r="I907">
        <v>4.5699999999999998E-2</v>
      </c>
      <c r="J907" t="s">
        <v>704</v>
      </c>
      <c r="K907" t="s">
        <v>3378</v>
      </c>
      <c r="L907" s="166">
        <f t="shared" si="70"/>
        <v>193.73482945060087</v>
      </c>
      <c r="M907" s="127" t="s">
        <v>3368</v>
      </c>
    </row>
    <row r="908" spans="1:13" x14ac:dyDescent="0.2">
      <c r="A908" s="1217"/>
      <c r="B908" s="166"/>
      <c r="E908" s="83"/>
      <c r="H908" t="s">
        <v>710</v>
      </c>
      <c r="I908">
        <v>2.7999999999999998E-4</v>
      </c>
      <c r="J908" t="s">
        <v>3379</v>
      </c>
      <c r="K908" t="s">
        <v>710</v>
      </c>
      <c r="L908" s="166">
        <f t="shared" si="70"/>
        <v>1.1869967668745784</v>
      </c>
      <c r="M908" s="127" t="s">
        <v>3380</v>
      </c>
    </row>
    <row r="909" spans="1:13" x14ac:dyDescent="0.2">
      <c r="A909" s="1217"/>
      <c r="B909" s="166"/>
      <c r="E909" s="83"/>
      <c r="H909" t="s">
        <v>3381</v>
      </c>
      <c r="I909">
        <v>33.561369999999997</v>
      </c>
      <c r="J909" t="s">
        <v>3382</v>
      </c>
      <c r="K909" t="s">
        <v>3381</v>
      </c>
      <c r="L909" s="166">
        <f t="shared" si="70"/>
        <v>142275.8488638624</v>
      </c>
      <c r="M909" s="127" t="s">
        <v>3383</v>
      </c>
    </row>
    <row r="910" spans="1:13" x14ac:dyDescent="0.2">
      <c r="A910" s="1217"/>
      <c r="B910" s="166"/>
      <c r="E910" s="83"/>
      <c r="H910" t="s">
        <v>3384</v>
      </c>
      <c r="I910">
        <v>1264.54721</v>
      </c>
      <c r="J910" t="s">
        <v>711</v>
      </c>
      <c r="K910" t="s">
        <v>3384</v>
      </c>
      <c r="L910" s="166">
        <f t="shared" si="70"/>
        <v>5360762.3208223889</v>
      </c>
      <c r="M910" s="127" t="s">
        <v>3385</v>
      </c>
    </row>
    <row r="911" spans="1:13" x14ac:dyDescent="0.2">
      <c r="A911" s="1219"/>
      <c r="B911" s="833"/>
      <c r="C911" s="1102"/>
      <c r="D911" s="118"/>
      <c r="E911" s="1220"/>
      <c r="F911" s="118"/>
      <c r="G911" s="118"/>
      <c r="H911" s="118"/>
      <c r="I911" s="118"/>
      <c r="J911" s="118"/>
      <c r="K911" s="118"/>
      <c r="L911" s="833"/>
      <c r="M911" s="120"/>
    </row>
    <row r="912" spans="1:13" ht="16" x14ac:dyDescent="0.2">
      <c r="A912" s="486" t="s">
        <v>2501</v>
      </c>
      <c r="B912" s="845">
        <v>19442.676247394767</v>
      </c>
      <c r="C912" s="1159" t="s">
        <v>2494</v>
      </c>
      <c r="D912" s="1229">
        <v>2</v>
      </c>
      <c r="E912" s="1216" t="s">
        <v>3432</v>
      </c>
      <c r="F912" s="110"/>
      <c r="G912" s="110"/>
      <c r="H912" s="110"/>
      <c r="I912" s="110"/>
      <c r="J912" s="110"/>
      <c r="K912" s="110"/>
      <c r="L912" s="845"/>
      <c r="M912" s="112"/>
    </row>
    <row r="913" spans="1:13" x14ac:dyDescent="0.2">
      <c r="A913" s="1217"/>
      <c r="B913" s="166">
        <v>8.8190482372111614</v>
      </c>
      <c r="C913" s="133" t="s">
        <v>444</v>
      </c>
      <c r="D913" s="1059">
        <v>2</v>
      </c>
      <c r="F913">
        <v>1</v>
      </c>
      <c r="G913" t="s">
        <v>713</v>
      </c>
      <c r="H913" t="s">
        <v>701</v>
      </c>
      <c r="I913">
        <v>0.14229</v>
      </c>
      <c r="J913" t="s">
        <v>702</v>
      </c>
      <c r="K913" t="s">
        <v>701</v>
      </c>
      <c r="L913" s="166">
        <f>I913*B$918</f>
        <v>1.8497699999999999</v>
      </c>
      <c r="M913" s="127" t="s">
        <v>3367</v>
      </c>
    </row>
    <row r="914" spans="1:13" x14ac:dyDescent="0.2">
      <c r="A914" s="1217"/>
      <c r="B914" s="166">
        <v>20</v>
      </c>
      <c r="C914" s="133" t="s">
        <v>10</v>
      </c>
      <c r="D914" t="s">
        <v>3390</v>
      </c>
      <c r="E914" s="83"/>
      <c r="F914">
        <v>40</v>
      </c>
      <c r="G914" t="s">
        <v>12</v>
      </c>
      <c r="H914" t="s">
        <v>703</v>
      </c>
      <c r="I914" s="33">
        <v>2.2291000000000001E-5</v>
      </c>
      <c r="J914" t="s">
        <v>704</v>
      </c>
      <c r="K914" t="s">
        <v>703</v>
      </c>
      <c r="L914" s="166">
        <f t="shared" ref="L914:L922" si="71">I914*B$918</f>
        <v>2.89783E-4</v>
      </c>
      <c r="M914" s="127" t="s">
        <v>3368</v>
      </c>
    </row>
    <row r="915" spans="1:13" x14ac:dyDescent="0.2">
      <c r="A915" s="1217"/>
      <c r="B915" s="166">
        <v>0.7</v>
      </c>
      <c r="D915" t="s">
        <v>3391</v>
      </c>
      <c r="E915" s="83"/>
      <c r="H915" t="s">
        <v>705</v>
      </c>
      <c r="I915">
        <v>3203.5834399999999</v>
      </c>
      <c r="J915" t="s">
        <v>706</v>
      </c>
      <c r="K915" t="s">
        <v>705</v>
      </c>
      <c r="L915" s="166">
        <f t="shared" si="71"/>
        <v>41646.584719999999</v>
      </c>
      <c r="M915" s="127" t="s">
        <v>3370</v>
      </c>
    </row>
    <row r="916" spans="1:13" x14ac:dyDescent="0.2">
      <c r="A916" s="1217"/>
      <c r="B916" s="166">
        <f>B913*B914/B915</f>
        <v>251.97280677746178</v>
      </c>
      <c r="C916" s="133" t="s">
        <v>12</v>
      </c>
      <c r="E916" s="83"/>
      <c r="H916" t="s">
        <v>3372</v>
      </c>
      <c r="I916">
        <v>1.278E-2</v>
      </c>
      <c r="J916" t="s">
        <v>3373</v>
      </c>
      <c r="K916" t="s">
        <v>3372</v>
      </c>
      <c r="L916" s="166">
        <f t="shared" si="71"/>
        <v>0.16614000000000001</v>
      </c>
      <c r="M916" s="127" t="s">
        <v>3374</v>
      </c>
    </row>
    <row r="917" spans="1:13" x14ac:dyDescent="0.2">
      <c r="A917" s="1217"/>
      <c r="B917" s="166">
        <f>B916*D912</f>
        <v>503.94561355492357</v>
      </c>
      <c r="C917" s="133" t="s">
        <v>12</v>
      </c>
      <c r="E917" s="83"/>
      <c r="H917" t="s">
        <v>3375</v>
      </c>
      <c r="I917">
        <v>3.7339999999999998E-2</v>
      </c>
      <c r="J917" t="s">
        <v>707</v>
      </c>
      <c r="K917" t="s">
        <v>3375</v>
      </c>
      <c r="L917" s="166">
        <f t="shared" si="71"/>
        <v>0.48541999999999996</v>
      </c>
      <c r="M917" s="127" t="s">
        <v>3376</v>
      </c>
    </row>
    <row r="918" spans="1:13" x14ac:dyDescent="0.2">
      <c r="A918" s="1217"/>
      <c r="B918" s="1218">
        <f>ROUNDUP(B917/F914,0)</f>
        <v>13</v>
      </c>
      <c r="C918" s="1114" t="s">
        <v>3392</v>
      </c>
      <c r="D918" s="6" t="s">
        <v>577</v>
      </c>
      <c r="E918" s="83"/>
      <c r="H918" t="s">
        <v>708</v>
      </c>
      <c r="I918">
        <v>9.0477000000000007</v>
      </c>
      <c r="J918" t="s">
        <v>709</v>
      </c>
      <c r="K918" t="s">
        <v>708</v>
      </c>
      <c r="L918" s="166">
        <f t="shared" si="71"/>
        <v>117.62010000000001</v>
      </c>
      <c r="M918" s="127" t="s">
        <v>3377</v>
      </c>
    </row>
    <row r="919" spans="1:13" x14ac:dyDescent="0.2">
      <c r="A919" s="1217"/>
      <c r="B919" s="166"/>
      <c r="E919" s="83"/>
      <c r="H919" t="s">
        <v>3378</v>
      </c>
      <c r="I919" s="33">
        <v>3.5905399999999997E-5</v>
      </c>
      <c r="J919" t="s">
        <v>704</v>
      </c>
      <c r="K919" t="s">
        <v>3378</v>
      </c>
      <c r="L919" s="166">
        <f t="shared" si="71"/>
        <v>4.6677019999999994E-4</v>
      </c>
      <c r="M919" s="127" t="s">
        <v>3368</v>
      </c>
    </row>
    <row r="920" spans="1:13" x14ac:dyDescent="0.2">
      <c r="A920" s="1217"/>
      <c r="B920" s="166"/>
      <c r="E920" s="83"/>
      <c r="H920" t="s">
        <v>710</v>
      </c>
      <c r="I920" s="33">
        <v>1.7364199999999999E-7</v>
      </c>
      <c r="J920" t="s">
        <v>3379</v>
      </c>
      <c r="K920" t="s">
        <v>710</v>
      </c>
      <c r="L920" s="166">
        <f t="shared" si="71"/>
        <v>2.257346E-6</v>
      </c>
      <c r="M920" s="127" t="s">
        <v>3380</v>
      </c>
    </row>
    <row r="921" spans="1:13" x14ac:dyDescent="0.2">
      <c r="A921" s="1217"/>
      <c r="B921" s="166"/>
      <c r="E921" s="83"/>
      <c r="H921" t="s">
        <v>3381</v>
      </c>
      <c r="I921">
        <v>2.9360000000000001E-2</v>
      </c>
      <c r="J921" t="s">
        <v>3382</v>
      </c>
      <c r="K921" t="s">
        <v>3381</v>
      </c>
      <c r="L921" s="166">
        <f t="shared" si="71"/>
        <v>0.38168000000000002</v>
      </c>
      <c r="M921" s="127" t="s">
        <v>3383</v>
      </c>
    </row>
    <row r="922" spans="1:13" x14ac:dyDescent="0.2">
      <c r="A922" s="1217"/>
      <c r="B922" s="166"/>
      <c r="E922" s="83"/>
      <c r="H922" t="s">
        <v>3384</v>
      </c>
      <c r="I922">
        <v>0.84404000000000001</v>
      </c>
      <c r="J922" t="s">
        <v>711</v>
      </c>
      <c r="K922" t="s">
        <v>3384</v>
      </c>
      <c r="L922" s="166">
        <f t="shared" si="71"/>
        <v>10.972519999999999</v>
      </c>
      <c r="M922" s="127" t="s">
        <v>3385</v>
      </c>
    </row>
    <row r="923" spans="1:13" x14ac:dyDescent="0.2">
      <c r="A923" s="1219"/>
      <c r="B923" s="833"/>
      <c r="C923" s="1102"/>
      <c r="D923" s="118"/>
      <c r="E923" s="1220"/>
      <c r="F923" s="118"/>
      <c r="G923" s="118"/>
      <c r="H923" s="118"/>
      <c r="I923" s="118"/>
      <c r="J923" s="118"/>
      <c r="K923" s="118"/>
      <c r="L923" s="833"/>
      <c r="M923" s="120"/>
    </row>
    <row r="924" spans="1:13" ht="32" x14ac:dyDescent="0.2">
      <c r="A924" s="486" t="s">
        <v>2520</v>
      </c>
      <c r="B924" s="845">
        <v>856.82176417106268</v>
      </c>
      <c r="C924" s="1159" t="s">
        <v>1091</v>
      </c>
      <c r="D924" s="1229">
        <v>2</v>
      </c>
      <c r="E924" s="1230" t="s">
        <v>3435</v>
      </c>
      <c r="F924" s="110">
        <v>1</v>
      </c>
      <c r="G924" s="110" t="s">
        <v>3429</v>
      </c>
      <c r="H924" s="110"/>
      <c r="I924" s="110"/>
      <c r="J924" s="110"/>
      <c r="K924" s="110"/>
      <c r="L924" s="845"/>
      <c r="M924" s="112"/>
    </row>
    <row r="925" spans="1:13" x14ac:dyDescent="0.2">
      <c r="A925" s="1217"/>
      <c r="B925" s="166">
        <v>23.318865282024596</v>
      </c>
      <c r="C925" s="133" t="s">
        <v>444</v>
      </c>
      <c r="E925" s="83"/>
      <c r="F925">
        <v>100</v>
      </c>
      <c r="G925" t="s">
        <v>545</v>
      </c>
      <c r="H925" t="s">
        <v>701</v>
      </c>
      <c r="I925">
        <v>345.02596</v>
      </c>
      <c r="J925" t="s">
        <v>702</v>
      </c>
      <c r="K925" t="s">
        <v>701</v>
      </c>
      <c r="L925" s="166">
        <f>I925*B$928</f>
        <v>4140.3115200000002</v>
      </c>
      <c r="M925" s="127" t="s">
        <v>3367</v>
      </c>
    </row>
    <row r="926" spans="1:13" x14ac:dyDescent="0.2">
      <c r="A926" s="1217"/>
      <c r="B926" s="166">
        <f>542/B925</f>
        <v>23.242983457595685</v>
      </c>
      <c r="C926" s="133" t="s">
        <v>3436</v>
      </c>
      <c r="E926" s="83"/>
      <c r="H926" t="s">
        <v>703</v>
      </c>
      <c r="I926">
        <v>2.1329999999999998E-2</v>
      </c>
      <c r="J926" t="s">
        <v>704</v>
      </c>
      <c r="K926" t="s">
        <v>703</v>
      </c>
      <c r="L926" s="166">
        <f t="shared" ref="L926:L934" si="72">I926*B$928</f>
        <v>0.25595999999999997</v>
      </c>
      <c r="M926" s="127" t="s">
        <v>3368</v>
      </c>
    </row>
    <row r="927" spans="1:13" x14ac:dyDescent="0.2">
      <c r="A927" s="1217"/>
      <c r="B927" s="166">
        <f>B925*B926</f>
        <v>542</v>
      </c>
      <c r="C927" s="133" t="s">
        <v>545</v>
      </c>
      <c r="E927" s="83"/>
      <c r="H927" t="s">
        <v>705</v>
      </c>
      <c r="I927" s="33">
        <v>6942840</v>
      </c>
      <c r="J927" t="s">
        <v>706</v>
      </c>
      <c r="K927" t="s">
        <v>705</v>
      </c>
      <c r="L927" s="166">
        <f t="shared" si="72"/>
        <v>83314080</v>
      </c>
      <c r="M927" s="127" t="s">
        <v>3370</v>
      </c>
    </row>
    <row r="928" spans="1:13" x14ac:dyDescent="0.2">
      <c r="A928" s="1217"/>
      <c r="B928" s="1218">
        <f>ROUNDUP(B927/F925,0)*D924</f>
        <v>12</v>
      </c>
      <c r="C928" s="1114" t="s">
        <v>3429</v>
      </c>
      <c r="D928" s="6" t="s">
        <v>577</v>
      </c>
      <c r="E928" s="83"/>
      <c r="H928" t="s">
        <v>3372</v>
      </c>
      <c r="I928">
        <v>30.86327</v>
      </c>
      <c r="J928" t="s">
        <v>3373</v>
      </c>
      <c r="K928" t="s">
        <v>3372</v>
      </c>
      <c r="L928" s="166">
        <f t="shared" si="72"/>
        <v>370.35924</v>
      </c>
      <c r="M928" s="127" t="s">
        <v>3374</v>
      </c>
    </row>
    <row r="929" spans="1:13" x14ac:dyDescent="0.2">
      <c r="A929" s="1217"/>
      <c r="B929" s="166"/>
      <c r="E929" s="83"/>
      <c r="H929" t="s">
        <v>3375</v>
      </c>
      <c r="I929">
        <v>103.91388000000001</v>
      </c>
      <c r="J929" t="s">
        <v>707</v>
      </c>
      <c r="K929" t="s">
        <v>3375</v>
      </c>
      <c r="L929" s="166">
        <f t="shared" si="72"/>
        <v>1246.9665600000001</v>
      </c>
      <c r="M929" s="127" t="s">
        <v>3376</v>
      </c>
    </row>
    <row r="930" spans="1:13" x14ac:dyDescent="0.2">
      <c r="A930" s="1217"/>
      <c r="B930" s="166"/>
      <c r="E930" s="83"/>
      <c r="H930" t="s">
        <v>708</v>
      </c>
      <c r="I930" s="33">
        <v>26510.1</v>
      </c>
      <c r="J930" t="s">
        <v>709</v>
      </c>
      <c r="K930" t="s">
        <v>708</v>
      </c>
      <c r="L930" s="166">
        <f t="shared" si="72"/>
        <v>318121.19999999995</v>
      </c>
      <c r="M930" s="127" t="s">
        <v>3377</v>
      </c>
    </row>
    <row r="931" spans="1:13" x14ac:dyDescent="0.2">
      <c r="A931" s="1217"/>
      <c r="B931" s="166"/>
      <c r="E931" s="83"/>
      <c r="H931" t="s">
        <v>3378</v>
      </c>
      <c r="I931">
        <v>7.2389999999999996E-2</v>
      </c>
      <c r="J931" t="s">
        <v>704</v>
      </c>
      <c r="K931" t="s">
        <v>3378</v>
      </c>
      <c r="L931" s="166">
        <f t="shared" si="72"/>
        <v>0.8686799999999999</v>
      </c>
      <c r="M931" s="127" t="s">
        <v>3368</v>
      </c>
    </row>
    <row r="932" spans="1:13" x14ac:dyDescent="0.2">
      <c r="A932" s="1217"/>
      <c r="B932" s="166"/>
      <c r="E932" s="83"/>
      <c r="H932" t="s">
        <v>710</v>
      </c>
      <c r="I932">
        <v>5.1999999999999995E-4</v>
      </c>
      <c r="J932" t="s">
        <v>3379</v>
      </c>
      <c r="K932" t="s">
        <v>710</v>
      </c>
      <c r="L932" s="166">
        <f t="shared" si="72"/>
        <v>6.239999999999999E-3</v>
      </c>
      <c r="M932" s="127" t="s">
        <v>3380</v>
      </c>
    </row>
    <row r="933" spans="1:13" x14ac:dyDescent="0.2">
      <c r="A933" s="1217"/>
      <c r="B933" s="166"/>
      <c r="E933" s="83"/>
      <c r="H933" t="s">
        <v>3381</v>
      </c>
      <c r="I933">
        <v>54.970950000000002</v>
      </c>
      <c r="J933" t="s">
        <v>3382</v>
      </c>
      <c r="K933" t="s">
        <v>3381</v>
      </c>
      <c r="L933" s="166">
        <f t="shared" si="72"/>
        <v>659.65139999999997</v>
      </c>
      <c r="M933" s="127" t="s">
        <v>3383</v>
      </c>
    </row>
    <row r="934" spans="1:13" x14ac:dyDescent="0.2">
      <c r="A934" s="1217"/>
      <c r="B934" s="166"/>
      <c r="E934" s="83"/>
      <c r="H934" t="s">
        <v>3384</v>
      </c>
      <c r="I934">
        <v>2208.7948900000001</v>
      </c>
      <c r="J934" t="s">
        <v>711</v>
      </c>
      <c r="K934" t="s">
        <v>3384</v>
      </c>
      <c r="L934" s="166">
        <f t="shared" si="72"/>
        <v>26505.538680000001</v>
      </c>
      <c r="M934" s="127" t="s">
        <v>3385</v>
      </c>
    </row>
    <row r="935" spans="1:13" x14ac:dyDescent="0.2">
      <c r="A935" s="1219"/>
      <c r="B935" s="833"/>
      <c r="C935" s="1102"/>
      <c r="D935" s="118"/>
      <c r="E935" s="1220"/>
      <c r="F935" s="118"/>
      <c r="G935" s="118"/>
      <c r="H935" s="118"/>
      <c r="I935" s="118"/>
      <c r="J935" s="118"/>
      <c r="K935" s="118"/>
      <c r="L935" s="833"/>
      <c r="M935" s="120"/>
    </row>
    <row r="936" spans="1:13" ht="16" x14ac:dyDescent="0.2">
      <c r="A936" s="486" t="s">
        <v>2521</v>
      </c>
      <c r="B936" s="845">
        <v>856.82176417106268</v>
      </c>
      <c r="C936" s="1159" t="s">
        <v>1091</v>
      </c>
      <c r="D936" s="1229">
        <v>2</v>
      </c>
      <c r="E936" s="1216" t="s">
        <v>3393</v>
      </c>
      <c r="F936" s="110"/>
      <c r="G936" s="110"/>
      <c r="H936" s="110"/>
      <c r="I936" s="110"/>
      <c r="J936" s="110"/>
      <c r="K936" s="110"/>
      <c r="L936" s="845"/>
      <c r="M936" s="112"/>
    </row>
    <row r="937" spans="1:13" x14ac:dyDescent="0.2">
      <c r="A937" s="1217"/>
      <c r="B937" s="166">
        <v>23.318865282024596</v>
      </c>
      <c r="C937" s="133" t="s">
        <v>444</v>
      </c>
      <c r="F937">
        <v>1</v>
      </c>
      <c r="G937" t="s">
        <v>15</v>
      </c>
      <c r="H937" t="s">
        <v>701</v>
      </c>
      <c r="I937">
        <v>6.0200000000000002E-3</v>
      </c>
      <c r="J937" t="s">
        <v>702</v>
      </c>
      <c r="K937" t="s">
        <v>701</v>
      </c>
      <c r="L937" s="166">
        <f>I937*B$941</f>
        <v>60.2</v>
      </c>
      <c r="M937" s="127" t="s">
        <v>3367</v>
      </c>
    </row>
    <row r="938" spans="1:13" x14ac:dyDescent="0.2">
      <c r="A938" s="1217"/>
      <c r="B938" s="166">
        <v>30</v>
      </c>
      <c r="C938" s="133" t="s">
        <v>444</v>
      </c>
      <c r="E938" s="83"/>
      <c r="H938" t="s">
        <v>703</v>
      </c>
      <c r="I938" s="33">
        <v>1.2843299999999999E-6</v>
      </c>
      <c r="J938" t="s">
        <v>704</v>
      </c>
      <c r="K938" t="s">
        <v>703</v>
      </c>
      <c r="L938" s="166">
        <f t="shared" ref="L938:L946" si="73">I938*B$941</f>
        <v>1.2843299999999998E-2</v>
      </c>
      <c r="M938" s="127" t="s">
        <v>3368</v>
      </c>
    </row>
    <row r="939" spans="1:13" x14ac:dyDescent="0.2">
      <c r="A939" s="1217"/>
      <c r="B939" s="166">
        <f>ROUNDUP(B937/B938,0)*D936</f>
        <v>2</v>
      </c>
      <c r="C939" s="133" t="s">
        <v>3409</v>
      </c>
      <c r="E939" s="83"/>
      <c r="H939" t="s">
        <v>705</v>
      </c>
      <c r="I939">
        <v>67.217029999999994</v>
      </c>
      <c r="J939" t="s">
        <v>706</v>
      </c>
      <c r="K939" t="s">
        <v>705</v>
      </c>
      <c r="L939" s="166">
        <f t="shared" si="73"/>
        <v>672170.29999999993</v>
      </c>
      <c r="M939" s="127" t="s">
        <v>3370</v>
      </c>
    </row>
    <row r="940" spans="1:13" x14ac:dyDescent="0.2">
      <c r="A940" s="1217"/>
      <c r="B940" s="166">
        <v>5000</v>
      </c>
      <c r="C940" s="133" t="s">
        <v>3410</v>
      </c>
      <c r="E940" s="83"/>
      <c r="H940" t="s">
        <v>3372</v>
      </c>
      <c r="I940">
        <v>7.6999999999999996E-4</v>
      </c>
      <c r="J940" t="s">
        <v>3373</v>
      </c>
      <c r="K940" t="s">
        <v>3372</v>
      </c>
      <c r="L940" s="166">
        <f t="shared" si="73"/>
        <v>7.6999999999999993</v>
      </c>
      <c r="M940" s="127" t="s">
        <v>3374</v>
      </c>
    </row>
    <row r="941" spans="1:13" x14ac:dyDescent="0.2">
      <c r="A941" s="1217"/>
      <c r="B941" s="1218">
        <f>B939*B940</f>
        <v>10000</v>
      </c>
      <c r="C941" s="1114" t="s">
        <v>3411</v>
      </c>
      <c r="D941" s="6" t="s">
        <v>577</v>
      </c>
      <c r="E941" s="83"/>
      <c r="H941" t="s">
        <v>3375</v>
      </c>
      <c r="I941">
        <v>4.1700000000000001E-3</v>
      </c>
      <c r="J941" t="s">
        <v>707</v>
      </c>
      <c r="K941" t="s">
        <v>3375</v>
      </c>
      <c r="L941" s="166">
        <f t="shared" si="73"/>
        <v>41.7</v>
      </c>
      <c r="M941" s="127" t="s">
        <v>3376</v>
      </c>
    </row>
    <row r="942" spans="1:13" x14ac:dyDescent="0.2">
      <c r="A942" s="1217"/>
      <c r="B942" s="166"/>
      <c r="E942" s="83"/>
      <c r="H942" t="s">
        <v>708</v>
      </c>
      <c r="I942">
        <v>1.7658199999999999</v>
      </c>
      <c r="J942" t="s">
        <v>709</v>
      </c>
      <c r="K942" t="s">
        <v>708</v>
      </c>
      <c r="L942" s="166">
        <f t="shared" si="73"/>
        <v>17658.2</v>
      </c>
      <c r="M942" s="127" t="s">
        <v>3377</v>
      </c>
    </row>
    <row r="943" spans="1:13" x14ac:dyDescent="0.2">
      <c r="A943" s="1217"/>
      <c r="B943" s="166"/>
      <c r="E943" s="83"/>
      <c r="H943" t="s">
        <v>3378</v>
      </c>
      <c r="I943" s="33">
        <v>3.4665800000000001E-7</v>
      </c>
      <c r="J943" t="s">
        <v>704</v>
      </c>
      <c r="K943" t="s">
        <v>3378</v>
      </c>
      <c r="L943" s="166">
        <f t="shared" si="73"/>
        <v>3.4665799999999999E-3</v>
      </c>
      <c r="M943" s="127" t="s">
        <v>3368</v>
      </c>
    </row>
    <row r="944" spans="1:13" x14ac:dyDescent="0.2">
      <c r="A944" s="1217"/>
      <c r="B944" s="166"/>
      <c r="E944" s="83"/>
      <c r="H944" t="s">
        <v>710</v>
      </c>
      <c r="I944" s="33">
        <v>5.15501E-8</v>
      </c>
      <c r="J944" t="s">
        <v>3379</v>
      </c>
      <c r="K944" t="s">
        <v>710</v>
      </c>
      <c r="L944" s="166">
        <f t="shared" si="73"/>
        <v>5.1550100000000002E-4</v>
      </c>
      <c r="M944" s="127" t="s">
        <v>3380</v>
      </c>
    </row>
    <row r="945" spans="1:13" x14ac:dyDescent="0.2">
      <c r="A945" s="1217"/>
      <c r="B945" s="166"/>
      <c r="E945" s="83"/>
      <c r="H945" t="s">
        <v>3381</v>
      </c>
      <c r="I945">
        <v>2.7299999999999998E-3</v>
      </c>
      <c r="J945" t="s">
        <v>3382</v>
      </c>
      <c r="K945" t="s">
        <v>3381</v>
      </c>
      <c r="L945" s="166">
        <f t="shared" si="73"/>
        <v>27.299999999999997</v>
      </c>
      <c r="M945" s="127" t="s">
        <v>3383</v>
      </c>
    </row>
    <row r="946" spans="1:13" x14ac:dyDescent="0.2">
      <c r="A946" s="1217"/>
      <c r="B946" s="166"/>
      <c r="E946" s="83"/>
      <c r="H946" t="s">
        <v>3384</v>
      </c>
      <c r="I946">
        <v>0.10051</v>
      </c>
      <c r="J946" t="s">
        <v>711</v>
      </c>
      <c r="K946" t="s">
        <v>3384</v>
      </c>
      <c r="L946" s="166">
        <f t="shared" si="73"/>
        <v>1005.1</v>
      </c>
      <c r="M946" s="127" t="s">
        <v>3385</v>
      </c>
    </row>
    <row r="947" spans="1:13" x14ac:dyDescent="0.2">
      <c r="A947" s="1219"/>
      <c r="B947" s="833"/>
      <c r="C947" s="1102"/>
      <c r="D947" s="118"/>
      <c r="E947" s="1220"/>
      <c r="F947" s="118"/>
      <c r="G947" s="118"/>
      <c r="H947" s="118"/>
      <c r="I947" s="118"/>
      <c r="J947" s="118"/>
      <c r="K947" s="118"/>
      <c r="L947" s="833"/>
      <c r="M947" s="120"/>
    </row>
    <row r="948" spans="1:13" ht="16" x14ac:dyDescent="0.2">
      <c r="A948" s="486" t="s">
        <v>2523</v>
      </c>
      <c r="B948" s="845">
        <v>85.682176417106277</v>
      </c>
      <c r="C948" s="1159" t="s">
        <v>1091</v>
      </c>
      <c r="D948" s="1229">
        <v>2</v>
      </c>
      <c r="E948" s="1216" t="s">
        <v>3393</v>
      </c>
      <c r="F948" s="110"/>
      <c r="G948" s="110"/>
      <c r="H948" s="110"/>
      <c r="I948" s="110"/>
      <c r="J948" s="110"/>
      <c r="K948" s="110"/>
      <c r="L948" s="845"/>
      <c r="M948" s="112"/>
    </row>
    <row r="949" spans="1:13" x14ac:dyDescent="0.2">
      <c r="A949" s="1217"/>
      <c r="B949" s="166">
        <v>2.3318865282024599</v>
      </c>
      <c r="C949" s="133" t="s">
        <v>444</v>
      </c>
      <c r="F949">
        <v>1</v>
      </c>
      <c r="G949" t="s">
        <v>15</v>
      </c>
      <c r="H949" t="s">
        <v>701</v>
      </c>
      <c r="I949">
        <v>6.0200000000000002E-3</v>
      </c>
      <c r="J949" t="s">
        <v>702</v>
      </c>
      <c r="K949" t="s">
        <v>701</v>
      </c>
      <c r="L949" s="166">
        <f>I949*B$954</f>
        <v>60.2</v>
      </c>
      <c r="M949" s="127" t="s">
        <v>3367</v>
      </c>
    </row>
    <row r="950" spans="1:13" x14ac:dyDescent="0.2">
      <c r="A950" s="1217"/>
      <c r="B950" s="166">
        <v>6.3463546419982114E-2</v>
      </c>
      <c r="C950" s="133" t="s">
        <v>444</v>
      </c>
      <c r="E950" s="83"/>
      <c r="H950" t="s">
        <v>703</v>
      </c>
      <c r="I950" s="33">
        <v>1.2843299999999999E-6</v>
      </c>
      <c r="J950" t="s">
        <v>704</v>
      </c>
      <c r="K950" t="s">
        <v>703</v>
      </c>
      <c r="L950" s="166">
        <f t="shared" ref="L950:L958" si="74">I950*B$954</f>
        <v>1.2843299999999998E-2</v>
      </c>
      <c r="M950" s="127" t="s">
        <v>3368</v>
      </c>
    </row>
    <row r="951" spans="1:13" x14ac:dyDescent="0.2">
      <c r="A951" s="1217"/>
      <c r="B951" s="166">
        <v>1</v>
      </c>
      <c r="C951" s="133" t="s">
        <v>444</v>
      </c>
      <c r="E951" s="83"/>
      <c r="H951" t="s">
        <v>705</v>
      </c>
      <c r="I951">
        <v>67.217029999999994</v>
      </c>
      <c r="J951" t="s">
        <v>706</v>
      </c>
      <c r="K951" t="s">
        <v>705</v>
      </c>
      <c r="L951" s="166">
        <f t="shared" si="74"/>
        <v>672170.29999999993</v>
      </c>
      <c r="M951" s="127" t="s">
        <v>3370</v>
      </c>
    </row>
    <row r="952" spans="1:13" x14ac:dyDescent="0.2">
      <c r="A952" s="1217"/>
      <c r="B952" s="166">
        <f>ROUNDUP(B950/B951,0)*D948</f>
        <v>2</v>
      </c>
      <c r="C952" s="133" t="s">
        <v>3409</v>
      </c>
      <c r="E952" s="83"/>
      <c r="H952" t="s">
        <v>3372</v>
      </c>
      <c r="I952">
        <v>7.6999999999999996E-4</v>
      </c>
      <c r="J952" t="s">
        <v>3373</v>
      </c>
      <c r="K952" t="s">
        <v>3372</v>
      </c>
      <c r="L952" s="166">
        <f t="shared" si="74"/>
        <v>7.6999999999999993</v>
      </c>
      <c r="M952" s="127" t="s">
        <v>3374</v>
      </c>
    </row>
    <row r="953" spans="1:13" x14ac:dyDescent="0.2">
      <c r="A953" s="1217"/>
      <c r="B953" s="166">
        <v>5000</v>
      </c>
      <c r="C953" s="133" t="s">
        <v>3410</v>
      </c>
      <c r="E953" s="83"/>
      <c r="H953" t="s">
        <v>3375</v>
      </c>
      <c r="I953">
        <v>4.1700000000000001E-3</v>
      </c>
      <c r="J953" t="s">
        <v>707</v>
      </c>
      <c r="K953" t="s">
        <v>3375</v>
      </c>
      <c r="L953" s="166">
        <f t="shared" si="74"/>
        <v>41.7</v>
      </c>
      <c r="M953" s="127" t="s">
        <v>3376</v>
      </c>
    </row>
    <row r="954" spans="1:13" x14ac:dyDescent="0.2">
      <c r="A954" s="1217"/>
      <c r="B954" s="1218">
        <f>B952*B953</f>
        <v>10000</v>
      </c>
      <c r="C954" s="1114" t="s">
        <v>3411</v>
      </c>
      <c r="D954" s="6" t="s">
        <v>577</v>
      </c>
      <c r="E954" s="83"/>
      <c r="H954" t="s">
        <v>708</v>
      </c>
      <c r="I954">
        <v>1.7658199999999999</v>
      </c>
      <c r="J954" t="s">
        <v>709</v>
      </c>
      <c r="K954" t="s">
        <v>708</v>
      </c>
      <c r="L954" s="166">
        <f t="shared" si="74"/>
        <v>17658.2</v>
      </c>
      <c r="M954" s="127" t="s">
        <v>3377</v>
      </c>
    </row>
    <row r="955" spans="1:13" x14ac:dyDescent="0.2">
      <c r="A955" s="1217"/>
      <c r="B955" s="166"/>
      <c r="E955" s="83"/>
      <c r="H955" t="s">
        <v>3378</v>
      </c>
      <c r="I955" s="33">
        <v>3.4665800000000001E-7</v>
      </c>
      <c r="J955" t="s">
        <v>704</v>
      </c>
      <c r="K955" t="s">
        <v>3378</v>
      </c>
      <c r="L955" s="166">
        <f t="shared" si="74"/>
        <v>3.4665799999999999E-3</v>
      </c>
      <c r="M955" s="127" t="s">
        <v>3368</v>
      </c>
    </row>
    <row r="956" spans="1:13" x14ac:dyDescent="0.2">
      <c r="A956" s="1217"/>
      <c r="B956" s="166"/>
      <c r="E956" s="83"/>
      <c r="H956" t="s">
        <v>710</v>
      </c>
      <c r="I956" s="33">
        <v>5.15501E-8</v>
      </c>
      <c r="J956" t="s">
        <v>3379</v>
      </c>
      <c r="K956" t="s">
        <v>710</v>
      </c>
      <c r="L956" s="166">
        <f t="shared" si="74"/>
        <v>5.1550100000000002E-4</v>
      </c>
      <c r="M956" s="127" t="s">
        <v>3380</v>
      </c>
    </row>
    <row r="957" spans="1:13" x14ac:dyDescent="0.2">
      <c r="A957" s="1217"/>
      <c r="B957" s="166"/>
      <c r="E957" s="83"/>
      <c r="H957" t="s">
        <v>3381</v>
      </c>
      <c r="I957">
        <v>2.7299999999999998E-3</v>
      </c>
      <c r="J957" t="s">
        <v>3382</v>
      </c>
      <c r="K957" t="s">
        <v>3381</v>
      </c>
      <c r="L957" s="166">
        <f t="shared" si="74"/>
        <v>27.299999999999997</v>
      </c>
      <c r="M957" s="127" t="s">
        <v>3383</v>
      </c>
    </row>
    <row r="958" spans="1:13" x14ac:dyDescent="0.2">
      <c r="A958" s="1217"/>
      <c r="B958" s="166"/>
      <c r="E958" s="83"/>
      <c r="H958" t="s">
        <v>3384</v>
      </c>
      <c r="I958">
        <v>0.10051</v>
      </c>
      <c r="J958" t="s">
        <v>711</v>
      </c>
      <c r="K958" t="s">
        <v>3384</v>
      </c>
      <c r="L958" s="166">
        <f t="shared" si="74"/>
        <v>1005.1</v>
      </c>
      <c r="M958" s="127" t="s">
        <v>3385</v>
      </c>
    </row>
    <row r="959" spans="1:13" x14ac:dyDescent="0.2">
      <c r="A959" s="1219"/>
      <c r="B959" s="833"/>
      <c r="C959" s="1102"/>
      <c r="D959" s="118"/>
      <c r="E959" s="1220"/>
      <c r="F959" s="118"/>
      <c r="G959" s="118"/>
      <c r="H959" s="118"/>
      <c r="I959" s="118"/>
      <c r="J959" s="118"/>
      <c r="K959" s="118"/>
      <c r="L959" s="833"/>
      <c r="M959" s="120"/>
    </row>
    <row r="960" spans="1:13" ht="16" x14ac:dyDescent="0.2">
      <c r="A960" s="486" t="s">
        <v>2524</v>
      </c>
      <c r="B960" s="845">
        <v>856.82176417106268</v>
      </c>
      <c r="C960" s="1159" t="s">
        <v>1091</v>
      </c>
      <c r="D960" s="1229">
        <v>2</v>
      </c>
      <c r="E960" s="1216" t="s">
        <v>3432</v>
      </c>
      <c r="F960" s="110"/>
      <c r="G960" s="110"/>
      <c r="H960" s="110"/>
      <c r="I960" s="110"/>
      <c r="J960" s="110"/>
      <c r="K960" s="110"/>
      <c r="L960" s="845"/>
      <c r="M960" s="112"/>
    </row>
    <row r="961" spans="1:13" x14ac:dyDescent="0.2">
      <c r="A961" s="1217"/>
      <c r="B961" s="166">
        <v>23.318865282024596</v>
      </c>
      <c r="C961" s="133" t="s">
        <v>444</v>
      </c>
      <c r="F961">
        <v>1</v>
      </c>
      <c r="G961" t="s">
        <v>713</v>
      </c>
      <c r="H961" t="s">
        <v>701</v>
      </c>
      <c r="I961">
        <v>0.14229</v>
      </c>
      <c r="J961" t="s">
        <v>702</v>
      </c>
      <c r="K961" t="s">
        <v>701</v>
      </c>
      <c r="L961" s="166">
        <f>I961*B$966</f>
        <v>4.83786</v>
      </c>
      <c r="M961" s="127" t="s">
        <v>3367</v>
      </c>
    </row>
    <row r="962" spans="1:13" x14ac:dyDescent="0.2">
      <c r="A962" s="1217"/>
      <c r="B962" s="166">
        <v>20</v>
      </c>
      <c r="C962" s="133" t="s">
        <v>10</v>
      </c>
      <c r="D962" t="s">
        <v>3390</v>
      </c>
      <c r="E962" s="83"/>
      <c r="F962">
        <v>40</v>
      </c>
      <c r="G962" t="s">
        <v>12</v>
      </c>
      <c r="H962" t="s">
        <v>703</v>
      </c>
      <c r="I962" s="33">
        <v>2.2291000000000001E-5</v>
      </c>
      <c r="J962" t="s">
        <v>704</v>
      </c>
      <c r="K962" t="s">
        <v>703</v>
      </c>
      <c r="L962" s="166">
        <f t="shared" ref="L962:L970" si="75">I962*B$966</f>
        <v>7.5789400000000006E-4</v>
      </c>
      <c r="M962" s="127" t="s">
        <v>3368</v>
      </c>
    </row>
    <row r="963" spans="1:13" x14ac:dyDescent="0.2">
      <c r="A963" s="1217"/>
      <c r="B963" s="166">
        <v>0.7</v>
      </c>
      <c r="D963" t="s">
        <v>3391</v>
      </c>
      <c r="E963" s="83"/>
      <c r="H963" t="s">
        <v>705</v>
      </c>
      <c r="I963">
        <v>3203.5834399999999</v>
      </c>
      <c r="J963" t="s">
        <v>706</v>
      </c>
      <c r="K963" t="s">
        <v>705</v>
      </c>
      <c r="L963" s="166">
        <f t="shared" si="75"/>
        <v>108921.83696</v>
      </c>
      <c r="M963" s="127" t="s">
        <v>3370</v>
      </c>
    </row>
    <row r="964" spans="1:13" x14ac:dyDescent="0.2">
      <c r="A964" s="1217"/>
      <c r="B964" s="166">
        <f>B961*B962/B963</f>
        <v>666.25329377213143</v>
      </c>
      <c r="C964" s="133" t="s">
        <v>12</v>
      </c>
      <c r="E964" s="83"/>
      <c r="H964" t="s">
        <v>3372</v>
      </c>
      <c r="I964">
        <v>1.278E-2</v>
      </c>
      <c r="J964" t="s">
        <v>3373</v>
      </c>
      <c r="K964" t="s">
        <v>3372</v>
      </c>
      <c r="L964" s="166">
        <f t="shared" si="75"/>
        <v>0.43452000000000002</v>
      </c>
      <c r="M964" s="127" t="s">
        <v>3374</v>
      </c>
    </row>
    <row r="965" spans="1:13" x14ac:dyDescent="0.2">
      <c r="A965" s="1217"/>
      <c r="B965" s="166">
        <f>B964*D960</f>
        <v>1332.5065875442629</v>
      </c>
      <c r="C965" s="133" t="s">
        <v>12</v>
      </c>
      <c r="E965" s="83"/>
      <c r="H965" t="s">
        <v>3375</v>
      </c>
      <c r="I965">
        <v>3.7339999999999998E-2</v>
      </c>
      <c r="J965" t="s">
        <v>707</v>
      </c>
      <c r="K965" t="s">
        <v>3375</v>
      </c>
      <c r="L965" s="166">
        <f t="shared" si="75"/>
        <v>1.26956</v>
      </c>
      <c r="M965" s="127" t="s">
        <v>3376</v>
      </c>
    </row>
    <row r="966" spans="1:13" x14ac:dyDescent="0.2">
      <c r="A966" s="1217"/>
      <c r="B966" s="1218">
        <f>ROUNDUP(B965/F962,0)</f>
        <v>34</v>
      </c>
      <c r="C966" s="1114" t="s">
        <v>3392</v>
      </c>
      <c r="D966" s="6" t="s">
        <v>577</v>
      </c>
      <c r="E966" s="83"/>
      <c r="H966" t="s">
        <v>708</v>
      </c>
      <c r="I966">
        <v>9.0477000000000007</v>
      </c>
      <c r="J966" t="s">
        <v>709</v>
      </c>
      <c r="K966" t="s">
        <v>708</v>
      </c>
      <c r="L966" s="166">
        <f t="shared" si="75"/>
        <v>307.62180000000001</v>
      </c>
      <c r="M966" s="127" t="s">
        <v>3377</v>
      </c>
    </row>
    <row r="967" spans="1:13" x14ac:dyDescent="0.2">
      <c r="A967" s="1217"/>
      <c r="B967" s="166"/>
      <c r="E967" s="83"/>
      <c r="H967" t="s">
        <v>3378</v>
      </c>
      <c r="I967" s="33">
        <v>3.5905399999999997E-5</v>
      </c>
      <c r="J967" t="s">
        <v>704</v>
      </c>
      <c r="K967" t="s">
        <v>3378</v>
      </c>
      <c r="L967" s="166">
        <f t="shared" si="75"/>
        <v>1.2207835999999998E-3</v>
      </c>
      <c r="M967" s="127" t="s">
        <v>3368</v>
      </c>
    </row>
    <row r="968" spans="1:13" x14ac:dyDescent="0.2">
      <c r="A968" s="1217"/>
      <c r="B968" s="166"/>
      <c r="E968" s="83"/>
      <c r="H968" t="s">
        <v>710</v>
      </c>
      <c r="I968" s="33">
        <v>1.7364199999999999E-7</v>
      </c>
      <c r="J968" t="s">
        <v>3379</v>
      </c>
      <c r="K968" t="s">
        <v>710</v>
      </c>
      <c r="L968" s="166">
        <f t="shared" si="75"/>
        <v>5.9038279999999992E-6</v>
      </c>
      <c r="M968" s="127" t="s">
        <v>3380</v>
      </c>
    </row>
    <row r="969" spans="1:13" x14ac:dyDescent="0.2">
      <c r="A969" s="1217"/>
      <c r="B969" s="166"/>
      <c r="E969" s="83"/>
      <c r="H969" t="s">
        <v>3381</v>
      </c>
      <c r="I969">
        <v>2.9360000000000001E-2</v>
      </c>
      <c r="J969" t="s">
        <v>3382</v>
      </c>
      <c r="K969" t="s">
        <v>3381</v>
      </c>
      <c r="L969" s="166">
        <f t="shared" si="75"/>
        <v>0.99824000000000002</v>
      </c>
      <c r="M969" s="127" t="s">
        <v>3383</v>
      </c>
    </row>
    <row r="970" spans="1:13" x14ac:dyDescent="0.2">
      <c r="A970" s="1217"/>
      <c r="B970" s="166"/>
      <c r="E970" s="83"/>
      <c r="H970" t="s">
        <v>3384</v>
      </c>
      <c r="I970">
        <v>0.84404000000000001</v>
      </c>
      <c r="J970" t="s">
        <v>711</v>
      </c>
      <c r="K970" t="s">
        <v>3384</v>
      </c>
      <c r="L970" s="166">
        <f t="shared" si="75"/>
        <v>28.69736</v>
      </c>
      <c r="M970" s="127" t="s">
        <v>3385</v>
      </c>
    </row>
    <row r="971" spans="1:13" x14ac:dyDescent="0.2">
      <c r="A971" s="1219"/>
      <c r="B971" s="833"/>
      <c r="C971" s="1102"/>
      <c r="D971" s="118"/>
      <c r="E971" s="1220"/>
      <c r="F971" s="118"/>
      <c r="G971" s="118"/>
      <c r="H971" s="118"/>
      <c r="I971" s="118"/>
      <c r="J971" s="118"/>
      <c r="K971" s="118"/>
      <c r="L971" s="833"/>
      <c r="M971" s="120"/>
    </row>
    <row r="972" spans="1:13" ht="48" x14ac:dyDescent="0.2">
      <c r="A972" s="486" t="s">
        <v>2525</v>
      </c>
      <c r="B972" s="845">
        <v>856.82176417106268</v>
      </c>
      <c r="C972" s="1159" t="s">
        <v>1091</v>
      </c>
      <c r="D972" s="1229">
        <v>2</v>
      </c>
      <c r="E972" s="1230" t="s">
        <v>3437</v>
      </c>
      <c r="F972" s="110">
        <v>1</v>
      </c>
      <c r="G972" s="110" t="s">
        <v>3429</v>
      </c>
      <c r="H972" s="110"/>
      <c r="I972" s="110"/>
      <c r="J972" s="110"/>
      <c r="K972" s="110"/>
      <c r="L972" s="845"/>
      <c r="M972" s="112"/>
    </row>
    <row r="973" spans="1:13" x14ac:dyDescent="0.2">
      <c r="A973" s="1217"/>
      <c r="B973" s="166">
        <v>23.318865282024596</v>
      </c>
      <c r="C973" s="133" t="s">
        <v>444</v>
      </c>
      <c r="E973" s="83"/>
      <c r="F973">
        <v>600</v>
      </c>
      <c r="G973" t="s">
        <v>3438</v>
      </c>
      <c r="H973" t="s">
        <v>701</v>
      </c>
      <c r="I973">
        <v>12.44168</v>
      </c>
      <c r="J973" t="s">
        <v>702</v>
      </c>
      <c r="K973" t="s">
        <v>701</v>
      </c>
      <c r="L973" s="166">
        <f>I973*B$974</f>
        <v>24.88336</v>
      </c>
      <c r="M973" s="127" t="s">
        <v>3367</v>
      </c>
    </row>
    <row r="974" spans="1:13" x14ac:dyDescent="0.2">
      <c r="A974" s="1217"/>
      <c r="B974" s="1218">
        <f>ROUNDUP(B973/F973,0)*D972</f>
        <v>2</v>
      </c>
      <c r="C974" s="1114" t="s">
        <v>3429</v>
      </c>
      <c r="D974" s="6" t="s">
        <v>577</v>
      </c>
      <c r="E974" s="83"/>
      <c r="H974" t="s">
        <v>703</v>
      </c>
      <c r="I974">
        <v>4.8000000000000001E-4</v>
      </c>
      <c r="J974" t="s">
        <v>704</v>
      </c>
      <c r="K974" t="s">
        <v>703</v>
      </c>
      <c r="L974" s="166">
        <f t="shared" ref="L974:L982" si="76">I974*B$974</f>
        <v>9.6000000000000002E-4</v>
      </c>
      <c r="M974" s="127" t="s">
        <v>3368</v>
      </c>
    </row>
    <row r="975" spans="1:13" x14ac:dyDescent="0.2">
      <c r="A975" s="1217"/>
      <c r="B975" s="166"/>
      <c r="E975" s="83"/>
      <c r="H975" t="s">
        <v>705</v>
      </c>
      <c r="I975" s="33">
        <v>71800.399999999994</v>
      </c>
      <c r="J975" t="s">
        <v>706</v>
      </c>
      <c r="K975" t="s">
        <v>705</v>
      </c>
      <c r="L975" s="166">
        <f t="shared" si="76"/>
        <v>143600.79999999999</v>
      </c>
      <c r="M975" s="127" t="s">
        <v>3370</v>
      </c>
    </row>
    <row r="976" spans="1:13" x14ac:dyDescent="0.2">
      <c r="A976" s="1217"/>
      <c r="B976" s="166"/>
      <c r="E976" s="83"/>
      <c r="H976" t="s">
        <v>3372</v>
      </c>
      <c r="I976">
        <v>0.48496</v>
      </c>
      <c r="J976" t="s">
        <v>3373</v>
      </c>
      <c r="K976" t="s">
        <v>3372</v>
      </c>
      <c r="L976" s="166">
        <f t="shared" si="76"/>
        <v>0.96992</v>
      </c>
      <c r="M976" s="127" t="s">
        <v>3374</v>
      </c>
    </row>
    <row r="977" spans="1:13" x14ac:dyDescent="0.2">
      <c r="A977" s="1217"/>
      <c r="B977" s="166"/>
      <c r="E977" s="83"/>
      <c r="H977" t="s">
        <v>3375</v>
      </c>
      <c r="I977">
        <v>5.6584000000000003</v>
      </c>
      <c r="J977" t="s">
        <v>707</v>
      </c>
      <c r="K977" t="s">
        <v>3375</v>
      </c>
      <c r="L977" s="166">
        <f t="shared" si="76"/>
        <v>11.316800000000001</v>
      </c>
      <c r="M977" s="127" t="s">
        <v>3376</v>
      </c>
    </row>
    <row r="978" spans="1:13" x14ac:dyDescent="0.2">
      <c r="A978" s="1217"/>
      <c r="B978" s="166"/>
      <c r="E978" s="83"/>
      <c r="H978" t="s">
        <v>708</v>
      </c>
      <c r="I978">
        <v>950.53150000000005</v>
      </c>
      <c r="J978" t="s">
        <v>709</v>
      </c>
      <c r="K978" t="s">
        <v>708</v>
      </c>
      <c r="L978" s="166">
        <f t="shared" si="76"/>
        <v>1901.0630000000001</v>
      </c>
      <c r="M978" s="127" t="s">
        <v>3377</v>
      </c>
    </row>
    <row r="979" spans="1:13" x14ac:dyDescent="0.2">
      <c r="A979" s="1217"/>
      <c r="B979" s="166"/>
      <c r="E979" s="83"/>
      <c r="H979" t="s">
        <v>3378</v>
      </c>
      <c r="I979">
        <v>9.6000000000000002E-4</v>
      </c>
      <c r="J979" t="s">
        <v>704</v>
      </c>
      <c r="K979" t="s">
        <v>3378</v>
      </c>
      <c r="L979" s="166">
        <f t="shared" si="76"/>
        <v>1.92E-3</v>
      </c>
      <c r="M979" s="127" t="s">
        <v>3368</v>
      </c>
    </row>
    <row r="980" spans="1:13" x14ac:dyDescent="0.2">
      <c r="A980" s="1217"/>
      <c r="B980" s="166"/>
      <c r="E980" s="83"/>
      <c r="H980" t="s">
        <v>710</v>
      </c>
      <c r="I980" s="33">
        <v>1.9998899999999999E-5</v>
      </c>
      <c r="J980" t="s">
        <v>3379</v>
      </c>
      <c r="K980" t="s">
        <v>710</v>
      </c>
      <c r="L980" s="166">
        <f t="shared" si="76"/>
        <v>3.9997799999999998E-5</v>
      </c>
      <c r="M980" s="127" t="s">
        <v>3380</v>
      </c>
    </row>
    <row r="981" spans="1:13" x14ac:dyDescent="0.2">
      <c r="A981" s="1217"/>
      <c r="B981" s="166"/>
      <c r="E981" s="83"/>
      <c r="H981" t="s">
        <v>3381</v>
      </c>
      <c r="I981">
        <v>1.43174</v>
      </c>
      <c r="J981" t="s">
        <v>3382</v>
      </c>
      <c r="K981" t="s">
        <v>3381</v>
      </c>
      <c r="L981" s="166">
        <f t="shared" si="76"/>
        <v>2.86348</v>
      </c>
      <c r="M981" s="127" t="s">
        <v>3383</v>
      </c>
    </row>
    <row r="982" spans="1:13" x14ac:dyDescent="0.2">
      <c r="A982" s="1217"/>
      <c r="B982" s="166"/>
      <c r="E982" s="83"/>
      <c r="H982" t="s">
        <v>3384</v>
      </c>
      <c r="I982">
        <v>65.748800000000003</v>
      </c>
      <c r="J982" t="s">
        <v>711</v>
      </c>
      <c r="K982" t="s">
        <v>3384</v>
      </c>
      <c r="L982" s="166">
        <f t="shared" si="76"/>
        <v>131.49760000000001</v>
      </c>
      <c r="M982" s="127" t="s">
        <v>3385</v>
      </c>
    </row>
    <row r="983" spans="1:13" x14ac:dyDescent="0.2">
      <c r="A983" s="1219"/>
      <c r="B983" s="833"/>
      <c r="C983" s="1102"/>
      <c r="D983" s="118"/>
      <c r="E983" s="1220"/>
      <c r="F983" s="118"/>
      <c r="G983" s="118"/>
      <c r="H983" s="118"/>
      <c r="I983" s="118"/>
      <c r="J983" s="118"/>
      <c r="K983" s="118"/>
      <c r="L983" s="833"/>
      <c r="M983" s="120"/>
    </row>
    <row r="984" spans="1:13" ht="16" x14ac:dyDescent="0.2">
      <c r="A984" s="486" t="s">
        <v>2526</v>
      </c>
      <c r="B984" s="845">
        <v>6968.1826815285576</v>
      </c>
      <c r="C984" s="1159" t="s">
        <v>1091</v>
      </c>
      <c r="D984" s="1229">
        <v>2</v>
      </c>
      <c r="E984" s="1216" t="s">
        <v>3393</v>
      </c>
      <c r="F984" s="110"/>
      <c r="G984" s="110"/>
      <c r="H984" s="110"/>
      <c r="I984" s="110"/>
      <c r="J984" s="110"/>
      <c r="K984" s="110"/>
      <c r="L984" s="845"/>
      <c r="M984" s="112"/>
    </row>
    <row r="985" spans="1:13" x14ac:dyDescent="0.2">
      <c r="A985" s="1217"/>
      <c r="B985" s="166">
        <v>189.64284056008236</v>
      </c>
      <c r="C985" s="133" t="s">
        <v>444</v>
      </c>
      <c r="F985">
        <v>1</v>
      </c>
      <c r="G985" t="s">
        <v>15</v>
      </c>
      <c r="H985" t="s">
        <v>701</v>
      </c>
      <c r="I985">
        <v>6.0200000000000002E-3</v>
      </c>
      <c r="J985" t="s">
        <v>702</v>
      </c>
      <c r="K985" t="s">
        <v>701</v>
      </c>
      <c r="L985" s="166">
        <f>I985*B$989</f>
        <v>421.40000000000003</v>
      </c>
      <c r="M985" s="127" t="s">
        <v>3367</v>
      </c>
    </row>
    <row r="986" spans="1:13" x14ac:dyDescent="0.2">
      <c r="A986" s="1217"/>
      <c r="B986" s="166">
        <v>30</v>
      </c>
      <c r="C986" s="133" t="s">
        <v>444</v>
      </c>
      <c r="E986" s="83"/>
      <c r="H986" t="s">
        <v>703</v>
      </c>
      <c r="I986" s="33">
        <v>1.2843299999999999E-6</v>
      </c>
      <c r="J986" t="s">
        <v>704</v>
      </c>
      <c r="K986" t="s">
        <v>703</v>
      </c>
      <c r="L986" s="166">
        <f t="shared" ref="L986:L994" si="77">I986*B$989</f>
        <v>8.99031E-2</v>
      </c>
      <c r="M986" s="127" t="s">
        <v>3368</v>
      </c>
    </row>
    <row r="987" spans="1:13" x14ac:dyDescent="0.2">
      <c r="A987" s="1217"/>
      <c r="B987" s="166">
        <f>ROUNDUP(B985/B986,0)*D984</f>
        <v>14</v>
      </c>
      <c r="C987" s="133" t="s">
        <v>3409</v>
      </c>
      <c r="E987" s="83"/>
      <c r="H987" t="s">
        <v>705</v>
      </c>
      <c r="I987">
        <v>67.217029999999994</v>
      </c>
      <c r="J987" t="s">
        <v>706</v>
      </c>
      <c r="K987" t="s">
        <v>705</v>
      </c>
      <c r="L987" s="166">
        <f t="shared" si="77"/>
        <v>4705192.0999999996</v>
      </c>
      <c r="M987" s="127" t="s">
        <v>3370</v>
      </c>
    </row>
    <row r="988" spans="1:13" x14ac:dyDescent="0.2">
      <c r="A988" s="1217"/>
      <c r="B988" s="166">
        <v>5000</v>
      </c>
      <c r="C988" s="133" t="s">
        <v>3410</v>
      </c>
      <c r="E988" s="83"/>
      <c r="H988" t="s">
        <v>3372</v>
      </c>
      <c r="I988">
        <v>7.6999999999999996E-4</v>
      </c>
      <c r="J988" t="s">
        <v>3373</v>
      </c>
      <c r="K988" t="s">
        <v>3372</v>
      </c>
      <c r="L988" s="166">
        <f t="shared" si="77"/>
        <v>53.9</v>
      </c>
      <c r="M988" s="127" t="s">
        <v>3374</v>
      </c>
    </row>
    <row r="989" spans="1:13" x14ac:dyDescent="0.2">
      <c r="A989" s="1217"/>
      <c r="B989" s="1218">
        <f>B987*B988</f>
        <v>70000</v>
      </c>
      <c r="C989" s="1114" t="s">
        <v>3411</v>
      </c>
      <c r="D989" s="6" t="s">
        <v>577</v>
      </c>
      <c r="E989" s="83"/>
      <c r="H989" t="s">
        <v>3375</v>
      </c>
      <c r="I989">
        <v>4.1700000000000001E-3</v>
      </c>
      <c r="J989" t="s">
        <v>707</v>
      </c>
      <c r="K989" t="s">
        <v>3375</v>
      </c>
      <c r="L989" s="166">
        <f t="shared" si="77"/>
        <v>291.90000000000003</v>
      </c>
      <c r="M989" s="127" t="s">
        <v>3376</v>
      </c>
    </row>
    <row r="990" spans="1:13" x14ac:dyDescent="0.2">
      <c r="A990" s="1217"/>
      <c r="B990" s="166"/>
      <c r="E990" s="83"/>
      <c r="H990" t="s">
        <v>708</v>
      </c>
      <c r="I990">
        <v>1.7658199999999999</v>
      </c>
      <c r="J990" t="s">
        <v>709</v>
      </c>
      <c r="K990" t="s">
        <v>708</v>
      </c>
      <c r="L990" s="166">
        <f t="shared" si="77"/>
        <v>123607.4</v>
      </c>
      <c r="M990" s="127" t="s">
        <v>3377</v>
      </c>
    </row>
    <row r="991" spans="1:13" x14ac:dyDescent="0.2">
      <c r="A991" s="1217"/>
      <c r="B991" s="166"/>
      <c r="E991" s="83"/>
      <c r="H991" t="s">
        <v>3378</v>
      </c>
      <c r="I991" s="33">
        <v>3.4665800000000001E-7</v>
      </c>
      <c r="J991" t="s">
        <v>704</v>
      </c>
      <c r="K991" t="s">
        <v>3378</v>
      </c>
      <c r="L991" s="166">
        <f t="shared" si="77"/>
        <v>2.4266059999999999E-2</v>
      </c>
      <c r="M991" s="127" t="s">
        <v>3368</v>
      </c>
    </row>
    <row r="992" spans="1:13" x14ac:dyDescent="0.2">
      <c r="A992" s="1217"/>
      <c r="B992" s="166"/>
      <c r="E992" s="83"/>
      <c r="H992" t="s">
        <v>710</v>
      </c>
      <c r="I992" s="33">
        <v>5.15501E-8</v>
      </c>
      <c r="J992" t="s">
        <v>3379</v>
      </c>
      <c r="K992" t="s">
        <v>710</v>
      </c>
      <c r="L992" s="166">
        <f t="shared" si="77"/>
        <v>3.6085069999999999E-3</v>
      </c>
      <c r="M992" s="127" t="s">
        <v>3380</v>
      </c>
    </row>
    <row r="993" spans="1:13" x14ac:dyDescent="0.2">
      <c r="A993" s="1217"/>
      <c r="B993" s="166"/>
      <c r="E993" s="83"/>
      <c r="H993" t="s">
        <v>3381</v>
      </c>
      <c r="I993">
        <v>2.7299999999999998E-3</v>
      </c>
      <c r="J993" t="s">
        <v>3382</v>
      </c>
      <c r="K993" t="s">
        <v>3381</v>
      </c>
      <c r="L993" s="166">
        <f t="shared" si="77"/>
        <v>191.1</v>
      </c>
      <c r="M993" s="127" t="s">
        <v>3383</v>
      </c>
    </row>
    <row r="994" spans="1:13" x14ac:dyDescent="0.2">
      <c r="A994" s="1217"/>
      <c r="B994" s="166"/>
      <c r="E994" s="83"/>
      <c r="H994" t="s">
        <v>3384</v>
      </c>
      <c r="I994">
        <v>0.10051</v>
      </c>
      <c r="J994" t="s">
        <v>711</v>
      </c>
      <c r="K994" t="s">
        <v>3384</v>
      </c>
      <c r="L994" s="166">
        <f t="shared" si="77"/>
        <v>7035.7</v>
      </c>
      <c r="M994" s="127" t="s">
        <v>3385</v>
      </c>
    </row>
    <row r="995" spans="1:13" x14ac:dyDescent="0.2">
      <c r="A995" s="1219"/>
      <c r="B995" s="833"/>
      <c r="C995" s="1102"/>
      <c r="D995" s="118"/>
      <c r="E995" s="1220"/>
      <c r="F995" s="118"/>
      <c r="G995" s="118"/>
      <c r="H995" s="118"/>
      <c r="I995" s="118"/>
      <c r="J995" s="118"/>
      <c r="K995" s="118"/>
      <c r="L995" s="833"/>
      <c r="M995" s="120"/>
    </row>
    <row r="996" spans="1:13" ht="16" x14ac:dyDescent="0.2">
      <c r="A996" s="486" t="s">
        <v>2527</v>
      </c>
      <c r="B996" s="845">
        <v>696.81826815285581</v>
      </c>
      <c r="C996" s="1159" t="s">
        <v>1091</v>
      </c>
      <c r="D996" s="1229">
        <v>2</v>
      </c>
      <c r="E996" s="1230" t="s">
        <v>3439</v>
      </c>
      <c r="F996" s="110">
        <v>1</v>
      </c>
      <c r="G996" s="110" t="s">
        <v>3429</v>
      </c>
      <c r="H996" s="110"/>
      <c r="I996" s="110"/>
      <c r="J996" s="110"/>
      <c r="K996" s="110"/>
      <c r="L996" s="845"/>
      <c r="M996" s="112"/>
    </row>
    <row r="997" spans="1:13" x14ac:dyDescent="0.2">
      <c r="A997" s="1217"/>
      <c r="B997" s="166">
        <v>18.964284056008239</v>
      </c>
      <c r="C997" s="133" t="s">
        <v>444</v>
      </c>
      <c r="E997" s="83"/>
      <c r="F997">
        <v>10</v>
      </c>
      <c r="G997" t="s">
        <v>545</v>
      </c>
      <c r="H997" t="s">
        <v>701</v>
      </c>
      <c r="I997">
        <v>4.3418599999999996</v>
      </c>
      <c r="J997" t="s">
        <v>702</v>
      </c>
      <c r="K997" t="s">
        <v>701</v>
      </c>
      <c r="L997" s="166">
        <f>B$1000*I997</f>
        <v>477.60459999999995</v>
      </c>
      <c r="M997" s="127" t="s">
        <v>3367</v>
      </c>
    </row>
    <row r="998" spans="1:13" x14ac:dyDescent="0.2">
      <c r="A998" s="1217"/>
      <c r="B998" s="166">
        <f>542/B997</f>
        <v>28.580040163882924</v>
      </c>
      <c r="C998" s="133" t="s">
        <v>3436</v>
      </c>
      <c r="E998" s="83"/>
      <c r="H998" t="s">
        <v>703</v>
      </c>
      <c r="I998">
        <v>6.0999999999999997E-4</v>
      </c>
      <c r="J998" t="s">
        <v>704</v>
      </c>
      <c r="K998" t="s">
        <v>703</v>
      </c>
      <c r="L998" s="166">
        <f t="shared" ref="L998:L1006" si="78">B$1000*I998</f>
        <v>6.7099999999999993E-2</v>
      </c>
      <c r="M998" s="127" t="s">
        <v>3368</v>
      </c>
    </row>
    <row r="999" spans="1:13" x14ac:dyDescent="0.2">
      <c r="A999" s="1217"/>
      <c r="B999" s="166">
        <f>B997*B998</f>
        <v>542</v>
      </c>
      <c r="C999" s="133" t="s">
        <v>545</v>
      </c>
      <c r="E999" s="83"/>
      <c r="H999" t="s">
        <v>705</v>
      </c>
      <c r="I999" s="33">
        <v>86927.7</v>
      </c>
      <c r="J999" t="s">
        <v>706</v>
      </c>
      <c r="K999" t="s">
        <v>705</v>
      </c>
      <c r="L999" s="166">
        <f t="shared" si="78"/>
        <v>9562047</v>
      </c>
      <c r="M999" s="127" t="s">
        <v>3370</v>
      </c>
    </row>
    <row r="1000" spans="1:13" x14ac:dyDescent="0.2">
      <c r="A1000" s="1217"/>
      <c r="B1000" s="1218">
        <f>ROUNDUP(B999/F997,0)*D996</f>
        <v>110</v>
      </c>
      <c r="C1000" s="1114" t="s">
        <v>3429</v>
      </c>
      <c r="D1000" s="6" t="s">
        <v>577</v>
      </c>
      <c r="E1000" s="83"/>
      <c r="H1000" t="s">
        <v>3372</v>
      </c>
      <c r="I1000">
        <v>0.40986</v>
      </c>
      <c r="J1000" t="s">
        <v>3373</v>
      </c>
      <c r="K1000" t="s">
        <v>3372</v>
      </c>
      <c r="L1000" s="166">
        <f t="shared" si="78"/>
        <v>45.084600000000002</v>
      </c>
      <c r="M1000" s="127" t="s">
        <v>3374</v>
      </c>
    </row>
    <row r="1001" spans="1:13" x14ac:dyDescent="0.2">
      <c r="A1001" s="1217"/>
      <c r="B1001" s="166"/>
      <c r="E1001" s="83"/>
      <c r="H1001" t="s">
        <v>3375</v>
      </c>
      <c r="I1001">
        <v>1.53471</v>
      </c>
      <c r="J1001" t="s">
        <v>707</v>
      </c>
      <c r="K1001" t="s">
        <v>3375</v>
      </c>
      <c r="L1001" s="166">
        <f t="shared" si="78"/>
        <v>168.81810000000002</v>
      </c>
      <c r="M1001" s="127" t="s">
        <v>3376</v>
      </c>
    </row>
    <row r="1002" spans="1:13" x14ac:dyDescent="0.2">
      <c r="A1002" s="1217"/>
      <c r="B1002" s="166"/>
      <c r="E1002" s="83"/>
      <c r="H1002" t="s">
        <v>708</v>
      </c>
      <c r="I1002">
        <v>5000.6099599999998</v>
      </c>
      <c r="J1002" t="s">
        <v>709</v>
      </c>
      <c r="K1002" t="s">
        <v>708</v>
      </c>
      <c r="L1002" s="166">
        <f t="shared" si="78"/>
        <v>550067.0956</v>
      </c>
      <c r="M1002" s="127" t="s">
        <v>3377</v>
      </c>
    </row>
    <row r="1003" spans="1:13" x14ac:dyDescent="0.2">
      <c r="A1003" s="1217"/>
      <c r="B1003" s="166"/>
      <c r="E1003" s="83"/>
      <c r="H1003" t="s">
        <v>3378</v>
      </c>
      <c r="I1003">
        <v>8.8000000000000003E-4</v>
      </c>
      <c r="J1003" t="s">
        <v>704</v>
      </c>
      <c r="K1003" t="s">
        <v>3378</v>
      </c>
      <c r="L1003" s="166">
        <f t="shared" si="78"/>
        <v>9.6799999999999997E-2</v>
      </c>
      <c r="M1003" s="127" t="s">
        <v>3368</v>
      </c>
    </row>
    <row r="1004" spans="1:13" x14ac:dyDescent="0.2">
      <c r="A1004" s="1217"/>
      <c r="B1004" s="166"/>
      <c r="E1004" s="83"/>
      <c r="H1004" t="s">
        <v>710</v>
      </c>
      <c r="I1004" s="33">
        <v>9.7167100000000004E-6</v>
      </c>
      <c r="J1004" t="s">
        <v>3379</v>
      </c>
      <c r="K1004" t="s">
        <v>710</v>
      </c>
      <c r="L1004" s="166">
        <f t="shared" si="78"/>
        <v>1.0688380999999999E-3</v>
      </c>
      <c r="M1004" s="127" t="s">
        <v>3380</v>
      </c>
    </row>
    <row r="1005" spans="1:13" x14ac:dyDescent="0.2">
      <c r="A1005" s="1217"/>
      <c r="B1005" s="166"/>
      <c r="E1005" s="83"/>
      <c r="H1005" t="s">
        <v>3381</v>
      </c>
      <c r="I1005">
        <v>0.88400999999999996</v>
      </c>
      <c r="J1005" t="s">
        <v>3382</v>
      </c>
      <c r="K1005" t="s">
        <v>3381</v>
      </c>
      <c r="L1005" s="166">
        <f t="shared" si="78"/>
        <v>97.241099999999989</v>
      </c>
      <c r="M1005" s="127" t="s">
        <v>3383</v>
      </c>
    </row>
    <row r="1006" spans="1:13" x14ac:dyDescent="0.2">
      <c r="A1006" s="1217"/>
      <c r="B1006" s="166"/>
      <c r="E1006" s="83"/>
      <c r="H1006" t="s">
        <v>3384</v>
      </c>
      <c r="I1006">
        <v>35.439450000000001</v>
      </c>
      <c r="J1006" t="s">
        <v>711</v>
      </c>
      <c r="K1006" t="s">
        <v>3384</v>
      </c>
      <c r="L1006" s="166">
        <f t="shared" si="78"/>
        <v>3898.3395</v>
      </c>
      <c r="M1006" s="127" t="s">
        <v>3385</v>
      </c>
    </row>
    <row r="1007" spans="1:13" x14ac:dyDescent="0.2">
      <c r="A1007" s="1219"/>
      <c r="B1007" s="833"/>
      <c r="C1007" s="1102"/>
      <c r="D1007" s="118"/>
      <c r="E1007" s="1220"/>
      <c r="F1007" s="118"/>
      <c r="G1007" s="118"/>
      <c r="H1007" s="118"/>
      <c r="I1007" s="118"/>
      <c r="J1007" s="118"/>
      <c r="K1007" s="118"/>
      <c r="L1007" s="833"/>
      <c r="M1007" s="120"/>
    </row>
    <row r="1008" spans="1:13" ht="32" x14ac:dyDescent="0.2">
      <c r="A1008" s="486" t="s">
        <v>2528</v>
      </c>
      <c r="B1008" s="845">
        <v>2703.9895223232111</v>
      </c>
      <c r="C1008" s="1159" t="s">
        <v>1091</v>
      </c>
      <c r="D1008" s="1229">
        <v>2</v>
      </c>
      <c r="E1008" s="1230" t="s">
        <v>3427</v>
      </c>
      <c r="F1008" s="110">
        <v>1</v>
      </c>
      <c r="G1008" s="110" t="s">
        <v>3428</v>
      </c>
      <c r="H1008" s="110"/>
      <c r="I1008" s="110"/>
      <c r="J1008" s="110"/>
      <c r="K1008" s="110"/>
      <c r="L1008" s="845"/>
      <c r="M1008" s="112"/>
    </row>
    <row r="1009" spans="1:13" x14ac:dyDescent="0.2">
      <c r="A1009" s="1217"/>
      <c r="B1009" s="166">
        <v>73.590529596389203</v>
      </c>
      <c r="C1009" s="133" t="s">
        <v>444</v>
      </c>
      <c r="E1009" s="83"/>
      <c r="F1009">
        <v>2500</v>
      </c>
      <c r="G1009" t="s">
        <v>3421</v>
      </c>
      <c r="H1009" t="s">
        <v>701</v>
      </c>
      <c r="I1009">
        <v>131.79313999999999</v>
      </c>
      <c r="J1009" t="s">
        <v>702</v>
      </c>
      <c r="K1009" t="s">
        <v>701</v>
      </c>
      <c r="L1009" s="166">
        <f>B$1011*I1009</f>
        <v>790.75883999999996</v>
      </c>
      <c r="M1009" s="127" t="s">
        <v>3367</v>
      </c>
    </row>
    <row r="1010" spans="1:13" x14ac:dyDescent="0.2">
      <c r="A1010" s="1217"/>
      <c r="B1010" s="166">
        <v>30</v>
      </c>
      <c r="C1010" s="133" t="s">
        <v>444</v>
      </c>
      <c r="E1010" s="83"/>
      <c r="H1010" t="s">
        <v>703</v>
      </c>
      <c r="I1010">
        <v>1.6650000000000002E-2</v>
      </c>
      <c r="J1010" t="s">
        <v>704</v>
      </c>
      <c r="K1010" t="s">
        <v>703</v>
      </c>
      <c r="L1010" s="166">
        <f t="shared" ref="L1010:L1018" si="79">B$1011*I1010</f>
        <v>9.9900000000000017E-2</v>
      </c>
      <c r="M1010" s="127" t="s">
        <v>3368</v>
      </c>
    </row>
    <row r="1011" spans="1:13" x14ac:dyDescent="0.2">
      <c r="A1011" s="1217"/>
      <c r="B1011" s="1218">
        <f>ROUNDUP(B1009/B1010,0)*D1008</f>
        <v>6</v>
      </c>
      <c r="C1011" s="1114" t="s">
        <v>3409</v>
      </c>
      <c r="D1011" s="6" t="s">
        <v>577</v>
      </c>
      <c r="E1011" s="83"/>
      <c r="H1011" t="s">
        <v>705</v>
      </c>
      <c r="I1011" s="33">
        <v>3506090</v>
      </c>
      <c r="J1011" t="s">
        <v>706</v>
      </c>
      <c r="K1011" t="s">
        <v>705</v>
      </c>
      <c r="L1011" s="166">
        <f t="shared" si="79"/>
        <v>21036540</v>
      </c>
      <c r="M1011" s="127" t="s">
        <v>3370</v>
      </c>
    </row>
    <row r="1012" spans="1:13" x14ac:dyDescent="0.2">
      <c r="A1012" s="1217"/>
      <c r="B1012" s="166"/>
      <c r="E1012" s="83"/>
      <c r="H1012" t="s">
        <v>3372</v>
      </c>
      <c r="I1012">
        <v>23.977810000000002</v>
      </c>
      <c r="J1012" t="s">
        <v>3373</v>
      </c>
      <c r="K1012" t="s">
        <v>3372</v>
      </c>
      <c r="L1012" s="166">
        <f t="shared" si="79"/>
        <v>143.86686</v>
      </c>
      <c r="M1012" s="127" t="s">
        <v>3374</v>
      </c>
    </row>
    <row r="1013" spans="1:13" x14ac:dyDescent="0.2">
      <c r="A1013" s="1217"/>
      <c r="B1013" s="166"/>
      <c r="E1013" s="83"/>
      <c r="H1013" t="s">
        <v>3375</v>
      </c>
      <c r="I1013">
        <v>72.539479999999998</v>
      </c>
      <c r="J1013" t="s">
        <v>707</v>
      </c>
      <c r="K1013" t="s">
        <v>3375</v>
      </c>
      <c r="L1013" s="166">
        <f t="shared" si="79"/>
        <v>435.23687999999999</v>
      </c>
      <c r="M1013" s="127" t="s">
        <v>3376</v>
      </c>
    </row>
    <row r="1014" spans="1:13" x14ac:dyDescent="0.2">
      <c r="A1014" s="1217"/>
      <c r="B1014" s="166"/>
      <c r="E1014" s="83"/>
      <c r="H1014" t="s">
        <v>708</v>
      </c>
      <c r="I1014" s="33">
        <v>22858.9</v>
      </c>
      <c r="J1014" t="s">
        <v>709</v>
      </c>
      <c r="K1014" t="s">
        <v>708</v>
      </c>
      <c r="L1014" s="166">
        <f t="shared" si="79"/>
        <v>137153.40000000002</v>
      </c>
      <c r="M1014" s="127" t="s">
        <v>3377</v>
      </c>
    </row>
    <row r="1015" spans="1:13" x14ac:dyDescent="0.2">
      <c r="A1015" s="1217"/>
      <c r="B1015" s="166"/>
      <c r="E1015" s="83"/>
      <c r="H1015" t="s">
        <v>3378</v>
      </c>
      <c r="I1015">
        <v>3.8490000000000003E-2</v>
      </c>
      <c r="J1015" t="s">
        <v>704</v>
      </c>
      <c r="K1015" t="s">
        <v>3378</v>
      </c>
      <c r="L1015" s="166">
        <f t="shared" si="79"/>
        <v>0.23094000000000003</v>
      </c>
      <c r="M1015" s="127" t="s">
        <v>3368</v>
      </c>
    </row>
    <row r="1016" spans="1:13" x14ac:dyDescent="0.2">
      <c r="A1016" s="1217"/>
      <c r="B1016" s="166"/>
      <c r="E1016" s="83"/>
      <c r="H1016" t="s">
        <v>710</v>
      </c>
      <c r="I1016">
        <v>1.14E-3</v>
      </c>
      <c r="J1016" t="s">
        <v>3379</v>
      </c>
      <c r="K1016" t="s">
        <v>710</v>
      </c>
      <c r="L1016" s="166">
        <f t="shared" si="79"/>
        <v>6.8399999999999997E-3</v>
      </c>
      <c r="M1016" s="127" t="s">
        <v>3380</v>
      </c>
    </row>
    <row r="1017" spans="1:13" x14ac:dyDescent="0.2">
      <c r="A1017" s="1217"/>
      <c r="B1017" s="166"/>
      <c r="E1017" s="83"/>
      <c r="H1017" t="s">
        <v>3381</v>
      </c>
      <c r="I1017">
        <v>34.951729999999998</v>
      </c>
      <c r="J1017" t="s">
        <v>3382</v>
      </c>
      <c r="K1017" t="s">
        <v>3381</v>
      </c>
      <c r="L1017" s="166">
        <f t="shared" si="79"/>
        <v>209.71037999999999</v>
      </c>
      <c r="M1017" s="127" t="s">
        <v>3383</v>
      </c>
    </row>
    <row r="1018" spans="1:13" x14ac:dyDescent="0.2">
      <c r="A1018" s="1217"/>
      <c r="B1018" s="166"/>
      <c r="E1018" s="83"/>
      <c r="H1018" t="s">
        <v>3384</v>
      </c>
      <c r="I1018">
        <v>1697.46082</v>
      </c>
      <c r="J1018" t="s">
        <v>711</v>
      </c>
      <c r="K1018" t="s">
        <v>3384</v>
      </c>
      <c r="L1018" s="166">
        <f t="shared" si="79"/>
        <v>10184.76492</v>
      </c>
      <c r="M1018" s="127" t="s">
        <v>3385</v>
      </c>
    </row>
    <row r="1019" spans="1:13" x14ac:dyDescent="0.2">
      <c r="A1019" s="1219"/>
      <c r="B1019" s="833"/>
      <c r="C1019" s="1102"/>
      <c r="D1019" s="118"/>
      <c r="E1019" s="1220"/>
      <c r="F1019" s="118"/>
      <c r="G1019" s="118"/>
      <c r="H1019" s="118"/>
      <c r="I1019" s="118"/>
      <c r="J1019" s="118"/>
      <c r="K1019" s="118"/>
      <c r="L1019" s="833"/>
      <c r="M1019" s="120"/>
    </row>
    <row r="1020" spans="1:13" ht="16" x14ac:dyDescent="0.2">
      <c r="A1020" s="486" t="s">
        <v>2529</v>
      </c>
      <c r="B1020" s="845">
        <v>6968.1826815285576</v>
      </c>
      <c r="C1020" s="1159" t="s">
        <v>1091</v>
      </c>
      <c r="D1020" s="1229">
        <v>2</v>
      </c>
      <c r="E1020" s="1216" t="s">
        <v>3393</v>
      </c>
      <c r="F1020" s="110"/>
      <c r="G1020" s="110"/>
      <c r="H1020" s="110"/>
      <c r="I1020" s="110"/>
      <c r="J1020" s="110"/>
      <c r="K1020" s="110"/>
      <c r="L1020" s="845"/>
      <c r="M1020" s="112"/>
    </row>
    <row r="1021" spans="1:13" x14ac:dyDescent="0.2">
      <c r="A1021" s="1217"/>
      <c r="B1021" s="166">
        <v>189.64284056008236</v>
      </c>
      <c r="C1021" s="133" t="s">
        <v>444</v>
      </c>
      <c r="F1021">
        <v>1</v>
      </c>
      <c r="G1021" t="s">
        <v>15</v>
      </c>
      <c r="H1021" t="s">
        <v>701</v>
      </c>
      <c r="I1021">
        <v>6.0200000000000002E-3</v>
      </c>
      <c r="J1021" t="s">
        <v>702</v>
      </c>
      <c r="K1021" t="s">
        <v>701</v>
      </c>
      <c r="L1021" s="166">
        <f>I1021*B$1025</f>
        <v>421.40000000000003</v>
      </c>
      <c r="M1021" s="127" t="s">
        <v>3367</v>
      </c>
    </row>
    <row r="1022" spans="1:13" x14ac:dyDescent="0.2">
      <c r="A1022" s="1217"/>
      <c r="B1022" s="166">
        <v>30</v>
      </c>
      <c r="C1022" s="133" t="s">
        <v>444</v>
      </c>
      <c r="E1022" s="83"/>
      <c r="H1022" t="s">
        <v>703</v>
      </c>
      <c r="I1022" s="33">
        <v>1.2843299999999999E-6</v>
      </c>
      <c r="J1022" t="s">
        <v>704</v>
      </c>
      <c r="K1022" t="s">
        <v>703</v>
      </c>
      <c r="L1022" s="166">
        <f t="shared" ref="L1022:L1029" si="80">I1022*B$1025</f>
        <v>8.99031E-2</v>
      </c>
      <c r="M1022" s="127" t="s">
        <v>3368</v>
      </c>
    </row>
    <row r="1023" spans="1:13" x14ac:dyDescent="0.2">
      <c r="A1023" s="1217"/>
      <c r="B1023" s="166">
        <f>ROUNDUP(B1021/B1022,0)*D1020</f>
        <v>14</v>
      </c>
      <c r="C1023" s="133" t="s">
        <v>3409</v>
      </c>
      <c r="E1023" s="83"/>
      <c r="H1023" t="s">
        <v>705</v>
      </c>
      <c r="I1023">
        <v>67.217029999999994</v>
      </c>
      <c r="J1023" t="s">
        <v>706</v>
      </c>
      <c r="K1023" t="s">
        <v>705</v>
      </c>
      <c r="L1023" s="166">
        <f t="shared" si="80"/>
        <v>4705192.0999999996</v>
      </c>
      <c r="M1023" s="127" t="s">
        <v>3370</v>
      </c>
    </row>
    <row r="1024" spans="1:13" x14ac:dyDescent="0.2">
      <c r="A1024" s="1217"/>
      <c r="B1024" s="166">
        <v>5000</v>
      </c>
      <c r="C1024" s="133" t="s">
        <v>3410</v>
      </c>
      <c r="E1024" s="83"/>
      <c r="H1024" t="s">
        <v>3372</v>
      </c>
      <c r="I1024">
        <v>7.6999999999999996E-4</v>
      </c>
      <c r="J1024" t="s">
        <v>3373</v>
      </c>
      <c r="K1024" t="s">
        <v>3372</v>
      </c>
      <c r="L1024" s="166">
        <f t="shared" si="80"/>
        <v>53.9</v>
      </c>
      <c r="M1024" s="127" t="s">
        <v>3374</v>
      </c>
    </row>
    <row r="1025" spans="1:13" x14ac:dyDescent="0.2">
      <c r="A1025" s="1217"/>
      <c r="B1025" s="1218">
        <f>B1023*B1024</f>
        <v>70000</v>
      </c>
      <c r="C1025" s="1114" t="s">
        <v>3411</v>
      </c>
      <c r="D1025" s="6" t="s">
        <v>577</v>
      </c>
      <c r="E1025" s="83"/>
      <c r="H1025" t="s">
        <v>3375</v>
      </c>
      <c r="I1025">
        <v>4.1700000000000001E-3</v>
      </c>
      <c r="J1025" t="s">
        <v>707</v>
      </c>
      <c r="K1025" t="s">
        <v>3375</v>
      </c>
      <c r="L1025" s="166">
        <f t="shared" si="80"/>
        <v>291.90000000000003</v>
      </c>
      <c r="M1025" s="127" t="s">
        <v>3376</v>
      </c>
    </row>
    <row r="1026" spans="1:13" x14ac:dyDescent="0.2">
      <c r="A1026" s="1217"/>
      <c r="B1026" s="166"/>
      <c r="E1026" s="83"/>
      <c r="H1026" t="s">
        <v>708</v>
      </c>
      <c r="I1026">
        <v>1.7658199999999999</v>
      </c>
      <c r="J1026" t="s">
        <v>709</v>
      </c>
      <c r="K1026" t="s">
        <v>708</v>
      </c>
      <c r="L1026" s="166">
        <f t="shared" si="80"/>
        <v>123607.4</v>
      </c>
      <c r="M1026" s="127" t="s">
        <v>3377</v>
      </c>
    </row>
    <row r="1027" spans="1:13" x14ac:dyDescent="0.2">
      <c r="A1027" s="1217"/>
      <c r="B1027" s="166"/>
      <c r="E1027" s="83"/>
      <c r="H1027" t="s">
        <v>3378</v>
      </c>
      <c r="I1027" s="33">
        <v>3.4665800000000001E-7</v>
      </c>
      <c r="J1027" t="s">
        <v>704</v>
      </c>
      <c r="K1027" t="s">
        <v>3378</v>
      </c>
      <c r="L1027" s="166">
        <f t="shared" si="80"/>
        <v>2.4266059999999999E-2</v>
      </c>
      <c r="M1027" s="127" t="s">
        <v>3368</v>
      </c>
    </row>
    <row r="1028" spans="1:13" x14ac:dyDescent="0.2">
      <c r="A1028" s="1217"/>
      <c r="B1028" s="166"/>
      <c r="E1028" s="83"/>
      <c r="H1028" t="s">
        <v>710</v>
      </c>
      <c r="I1028" s="33">
        <v>5.15501E-8</v>
      </c>
      <c r="J1028" t="s">
        <v>3379</v>
      </c>
      <c r="K1028" t="s">
        <v>710</v>
      </c>
      <c r="L1028" s="166">
        <f t="shared" si="80"/>
        <v>3.6085069999999999E-3</v>
      </c>
      <c r="M1028" s="127" t="s">
        <v>3380</v>
      </c>
    </row>
    <row r="1029" spans="1:13" x14ac:dyDescent="0.2">
      <c r="A1029" s="1217"/>
      <c r="B1029" s="166"/>
      <c r="E1029" s="83"/>
      <c r="H1029" t="s">
        <v>3381</v>
      </c>
      <c r="I1029">
        <v>2.7299999999999998E-3</v>
      </c>
      <c r="J1029" t="s">
        <v>3382</v>
      </c>
      <c r="K1029" t="s">
        <v>3381</v>
      </c>
      <c r="L1029" s="166">
        <f t="shared" si="80"/>
        <v>191.1</v>
      </c>
      <c r="M1029" s="127" t="s">
        <v>3383</v>
      </c>
    </row>
    <row r="1030" spans="1:13" x14ac:dyDescent="0.2">
      <c r="A1030" s="1217"/>
      <c r="B1030" s="166"/>
      <c r="E1030" s="83"/>
      <c r="H1030" t="s">
        <v>3384</v>
      </c>
      <c r="I1030">
        <v>0.10051</v>
      </c>
      <c r="J1030" t="s">
        <v>711</v>
      </c>
      <c r="K1030" t="s">
        <v>3384</v>
      </c>
      <c r="L1030" s="166">
        <f>I1030*B$1025</f>
        <v>7035.7</v>
      </c>
      <c r="M1030" s="127" t="s">
        <v>3385</v>
      </c>
    </row>
    <row r="1031" spans="1:13" x14ac:dyDescent="0.2">
      <c r="A1031" s="1219"/>
      <c r="B1031" s="833"/>
      <c r="C1031" s="1102"/>
      <c r="D1031" s="118"/>
      <c r="E1031" s="1220"/>
      <c r="F1031" s="118"/>
      <c r="G1031" s="118"/>
      <c r="H1031" s="118"/>
      <c r="I1031" s="118"/>
      <c r="J1031" s="118"/>
      <c r="K1031" s="118"/>
      <c r="L1031" s="833"/>
      <c r="M1031" s="120"/>
    </row>
    <row r="1032" spans="1:13" ht="16" x14ac:dyDescent="0.2">
      <c r="A1032" s="486" t="s">
        <v>2502</v>
      </c>
      <c r="B1032" s="845">
        <v>13.582379352777743</v>
      </c>
      <c r="C1032" s="1159" t="s">
        <v>444</v>
      </c>
      <c r="D1032" s="1229">
        <v>2</v>
      </c>
      <c r="E1032" s="1216" t="s">
        <v>3388</v>
      </c>
      <c r="F1032" s="110"/>
      <c r="G1032" s="110"/>
      <c r="H1032" s="110"/>
      <c r="I1032" s="110"/>
      <c r="J1032" s="110"/>
      <c r="K1032" s="110"/>
      <c r="L1032" s="845"/>
      <c r="M1032" s="112"/>
    </row>
    <row r="1033" spans="1:13" x14ac:dyDescent="0.2">
      <c r="A1033" s="1217"/>
      <c r="B1033" s="166">
        <v>20</v>
      </c>
      <c r="C1033" s="133" t="s">
        <v>10</v>
      </c>
      <c r="D1033" t="s">
        <v>3390</v>
      </c>
      <c r="F1033">
        <v>1</v>
      </c>
      <c r="G1033" t="s">
        <v>713</v>
      </c>
      <c r="H1033" t="s">
        <v>701</v>
      </c>
      <c r="I1033">
        <v>0.14229</v>
      </c>
      <c r="J1033" t="s">
        <v>702</v>
      </c>
      <c r="K1033" t="s">
        <v>701</v>
      </c>
      <c r="L1033" s="166">
        <f>I1033*B$1037</f>
        <v>2.8458000000000001</v>
      </c>
      <c r="M1033" s="127" t="s">
        <v>3367</v>
      </c>
    </row>
    <row r="1034" spans="1:13" x14ac:dyDescent="0.2">
      <c r="A1034" s="1217"/>
      <c r="B1034" s="166">
        <v>0.7</v>
      </c>
      <c r="D1034" t="s">
        <v>3391</v>
      </c>
      <c r="E1034" s="83"/>
      <c r="F1034">
        <v>40</v>
      </c>
      <c r="G1034" t="s">
        <v>12</v>
      </c>
      <c r="H1034" t="s">
        <v>703</v>
      </c>
      <c r="I1034" s="33">
        <v>2.2291000000000001E-5</v>
      </c>
      <c r="J1034" t="s">
        <v>704</v>
      </c>
      <c r="K1034" t="s">
        <v>703</v>
      </c>
      <c r="L1034" s="166">
        <f t="shared" ref="L1034:L1042" si="81">I1034*B$1037</f>
        <v>4.4581999999999998E-4</v>
      </c>
      <c r="M1034" s="127" t="s">
        <v>3368</v>
      </c>
    </row>
    <row r="1035" spans="1:13" x14ac:dyDescent="0.2">
      <c r="A1035" s="1217"/>
      <c r="B1035" s="166">
        <f>B1032*B1033/B1034</f>
        <v>388.06798150793549</v>
      </c>
      <c r="C1035" s="133" t="s">
        <v>12</v>
      </c>
      <c r="E1035" s="83"/>
      <c r="H1035" t="s">
        <v>705</v>
      </c>
      <c r="I1035">
        <v>3203.5834399999999</v>
      </c>
      <c r="J1035" t="s">
        <v>706</v>
      </c>
      <c r="K1035" t="s">
        <v>705</v>
      </c>
      <c r="L1035" s="166">
        <f t="shared" si="81"/>
        <v>64071.668799999999</v>
      </c>
      <c r="M1035" s="127" t="s">
        <v>3370</v>
      </c>
    </row>
    <row r="1036" spans="1:13" x14ac:dyDescent="0.2">
      <c r="A1036" s="1217"/>
      <c r="B1036" s="166">
        <f>B1035*D1032</f>
        <v>776.13596301587097</v>
      </c>
      <c r="C1036" s="133" t="s">
        <v>12</v>
      </c>
      <c r="E1036" s="83"/>
      <c r="H1036" t="s">
        <v>3372</v>
      </c>
      <c r="I1036">
        <v>1.278E-2</v>
      </c>
      <c r="J1036" t="s">
        <v>3373</v>
      </c>
      <c r="K1036" t="s">
        <v>3372</v>
      </c>
      <c r="L1036" s="166">
        <f t="shared" si="81"/>
        <v>0.25559999999999999</v>
      </c>
      <c r="M1036" s="127" t="s">
        <v>3374</v>
      </c>
    </row>
    <row r="1037" spans="1:13" x14ac:dyDescent="0.2">
      <c r="A1037" s="1217"/>
      <c r="B1037" s="1218">
        <f>ROUNDUP(B1036/F1034,0)</f>
        <v>20</v>
      </c>
      <c r="C1037" s="1114" t="s">
        <v>3392</v>
      </c>
      <c r="D1037" s="6" t="s">
        <v>577</v>
      </c>
      <c r="E1037" s="83"/>
      <c r="H1037" t="s">
        <v>3375</v>
      </c>
      <c r="I1037">
        <v>3.7339999999999998E-2</v>
      </c>
      <c r="J1037" t="s">
        <v>707</v>
      </c>
      <c r="K1037" t="s">
        <v>3375</v>
      </c>
      <c r="L1037" s="166">
        <f t="shared" si="81"/>
        <v>0.74679999999999991</v>
      </c>
      <c r="M1037" s="127" t="s">
        <v>3376</v>
      </c>
    </row>
    <row r="1038" spans="1:13" x14ac:dyDescent="0.2">
      <c r="A1038" s="1217"/>
      <c r="B1038" s="166"/>
      <c r="E1038" s="83"/>
      <c r="H1038" t="s">
        <v>708</v>
      </c>
      <c r="I1038">
        <v>9.0477000000000007</v>
      </c>
      <c r="J1038" t="s">
        <v>709</v>
      </c>
      <c r="K1038" t="s">
        <v>708</v>
      </c>
      <c r="L1038" s="166">
        <f t="shared" si="81"/>
        <v>180.95400000000001</v>
      </c>
      <c r="M1038" s="127" t="s">
        <v>3377</v>
      </c>
    </row>
    <row r="1039" spans="1:13" x14ac:dyDescent="0.2">
      <c r="A1039" s="1217"/>
      <c r="B1039" s="166"/>
      <c r="E1039" s="83"/>
      <c r="H1039" t="s">
        <v>3378</v>
      </c>
      <c r="I1039" s="33">
        <v>3.5905399999999997E-5</v>
      </c>
      <c r="J1039" t="s">
        <v>704</v>
      </c>
      <c r="K1039" t="s">
        <v>3378</v>
      </c>
      <c r="L1039" s="166">
        <f t="shared" si="81"/>
        <v>7.1810799999999996E-4</v>
      </c>
      <c r="M1039" s="127" t="s">
        <v>3368</v>
      </c>
    </row>
    <row r="1040" spans="1:13" x14ac:dyDescent="0.2">
      <c r="A1040" s="1217"/>
      <c r="B1040" s="166"/>
      <c r="E1040" s="83"/>
      <c r="H1040" t="s">
        <v>710</v>
      </c>
      <c r="I1040" s="33">
        <v>1.7364199999999999E-7</v>
      </c>
      <c r="J1040" t="s">
        <v>3379</v>
      </c>
      <c r="K1040" t="s">
        <v>710</v>
      </c>
      <c r="L1040" s="166">
        <f t="shared" si="81"/>
        <v>3.4728399999999999E-6</v>
      </c>
      <c r="M1040" s="127" t="s">
        <v>3380</v>
      </c>
    </row>
    <row r="1041" spans="1:13" x14ac:dyDescent="0.2">
      <c r="A1041" s="1217"/>
      <c r="B1041" s="166"/>
      <c r="E1041" s="83"/>
      <c r="H1041" t="s">
        <v>3381</v>
      </c>
      <c r="I1041">
        <v>2.9360000000000001E-2</v>
      </c>
      <c r="J1041" t="s">
        <v>3382</v>
      </c>
      <c r="K1041" t="s">
        <v>3381</v>
      </c>
      <c r="L1041" s="166">
        <f t="shared" si="81"/>
        <v>0.58720000000000006</v>
      </c>
      <c r="M1041" s="127" t="s">
        <v>3383</v>
      </c>
    </row>
    <row r="1042" spans="1:13" x14ac:dyDescent="0.2">
      <c r="A1042" s="1217"/>
      <c r="B1042" s="166"/>
      <c r="E1042" s="83"/>
      <c r="H1042" t="s">
        <v>3384</v>
      </c>
      <c r="I1042">
        <v>0.84404000000000001</v>
      </c>
      <c r="J1042" t="s">
        <v>711</v>
      </c>
      <c r="K1042" t="s">
        <v>3384</v>
      </c>
      <c r="L1042" s="166">
        <f t="shared" si="81"/>
        <v>16.880800000000001</v>
      </c>
      <c r="M1042" s="127" t="s">
        <v>3385</v>
      </c>
    </row>
    <row r="1043" spans="1:13" x14ac:dyDescent="0.2">
      <c r="A1043" s="1219"/>
      <c r="B1043" s="833"/>
      <c r="C1043" s="1102"/>
      <c r="D1043" s="118"/>
      <c r="E1043" s="1220"/>
      <c r="F1043" s="118"/>
      <c r="G1043" s="118"/>
      <c r="H1043" s="118"/>
      <c r="I1043" s="118"/>
      <c r="J1043" s="118"/>
      <c r="K1043" s="118"/>
      <c r="L1043" s="833"/>
      <c r="M1043" s="120"/>
    </row>
    <row r="1044" spans="1:13" ht="16" x14ac:dyDescent="0.2">
      <c r="A1044" s="486" t="s">
        <v>2503</v>
      </c>
      <c r="B1044" s="845">
        <v>6160.8626900989684</v>
      </c>
      <c r="C1044" s="1159" t="s">
        <v>2494</v>
      </c>
      <c r="D1044" s="1229">
        <v>2</v>
      </c>
      <c r="E1044" s="1216" t="s">
        <v>3388</v>
      </c>
      <c r="F1044" s="110"/>
      <c r="G1044" s="110"/>
      <c r="H1044" s="110"/>
      <c r="I1044" s="110"/>
      <c r="J1044" s="110"/>
      <c r="K1044" s="110"/>
      <c r="L1044" s="845"/>
      <c r="M1044" s="112"/>
    </row>
    <row r="1045" spans="1:13" x14ac:dyDescent="0.2">
      <c r="A1045" s="1217"/>
      <c r="B1045" s="166">
        <v>2.7945198775861781</v>
      </c>
      <c r="C1045" s="133" t="s">
        <v>444</v>
      </c>
      <c r="F1045">
        <v>1</v>
      </c>
      <c r="G1045" t="s">
        <v>713</v>
      </c>
      <c r="H1045" t="s">
        <v>701</v>
      </c>
      <c r="I1045">
        <v>0.14229</v>
      </c>
      <c r="J1045" t="s">
        <v>702</v>
      </c>
      <c r="K1045" t="s">
        <v>701</v>
      </c>
      <c r="L1045" s="166">
        <f>I1045*B$1050</f>
        <v>0.56916</v>
      </c>
      <c r="M1045" s="127" t="s">
        <v>3367</v>
      </c>
    </row>
    <row r="1046" spans="1:13" x14ac:dyDescent="0.2">
      <c r="A1046" s="1217"/>
      <c r="B1046" s="166">
        <v>20</v>
      </c>
      <c r="C1046" s="133" t="s">
        <v>10</v>
      </c>
      <c r="D1046" t="s">
        <v>3390</v>
      </c>
      <c r="E1046" s="83"/>
      <c r="F1046">
        <v>40</v>
      </c>
      <c r="G1046" t="s">
        <v>12</v>
      </c>
      <c r="H1046" t="s">
        <v>703</v>
      </c>
      <c r="I1046" s="33">
        <v>2.2291000000000001E-5</v>
      </c>
      <c r="J1046" t="s">
        <v>704</v>
      </c>
      <c r="K1046" t="s">
        <v>703</v>
      </c>
      <c r="L1046" s="166">
        <f t="shared" ref="L1046:L1054" si="82">I1046*B$1050</f>
        <v>8.9164000000000002E-5</v>
      </c>
      <c r="M1046" s="127" t="s">
        <v>3368</v>
      </c>
    </row>
    <row r="1047" spans="1:13" x14ac:dyDescent="0.2">
      <c r="A1047" s="1217"/>
      <c r="B1047" s="166">
        <v>0.7</v>
      </c>
      <c r="D1047" t="s">
        <v>3391</v>
      </c>
      <c r="E1047" s="83"/>
      <c r="H1047" t="s">
        <v>705</v>
      </c>
      <c r="I1047">
        <v>3203.5834399999999</v>
      </c>
      <c r="J1047" t="s">
        <v>706</v>
      </c>
      <c r="K1047" t="s">
        <v>705</v>
      </c>
      <c r="L1047" s="166">
        <f t="shared" si="82"/>
        <v>12814.33376</v>
      </c>
      <c r="M1047" s="127" t="s">
        <v>3370</v>
      </c>
    </row>
    <row r="1048" spans="1:13" x14ac:dyDescent="0.2">
      <c r="A1048" s="1217"/>
      <c r="B1048" s="166">
        <f>B1045*B1046/B1047</f>
        <v>79.843425073890813</v>
      </c>
      <c r="C1048" s="133" t="s">
        <v>12</v>
      </c>
      <c r="E1048" s="83"/>
      <c r="H1048" t="s">
        <v>3372</v>
      </c>
      <c r="I1048">
        <v>1.278E-2</v>
      </c>
      <c r="J1048" t="s">
        <v>3373</v>
      </c>
      <c r="K1048" t="s">
        <v>3372</v>
      </c>
      <c r="L1048" s="166">
        <f t="shared" si="82"/>
        <v>5.1119999999999999E-2</v>
      </c>
      <c r="M1048" s="127" t="s">
        <v>3374</v>
      </c>
    </row>
    <row r="1049" spans="1:13" x14ac:dyDescent="0.2">
      <c r="A1049" s="1217"/>
      <c r="B1049" s="166">
        <f>B1048*D1044</f>
        <v>159.68685014778163</v>
      </c>
      <c r="C1049" s="133" t="s">
        <v>12</v>
      </c>
      <c r="E1049" s="83"/>
      <c r="H1049" t="s">
        <v>3375</v>
      </c>
      <c r="I1049">
        <v>3.7339999999999998E-2</v>
      </c>
      <c r="J1049" t="s">
        <v>707</v>
      </c>
      <c r="K1049" t="s">
        <v>3375</v>
      </c>
      <c r="L1049" s="166">
        <f t="shared" si="82"/>
        <v>0.14935999999999999</v>
      </c>
      <c r="M1049" s="127" t="s">
        <v>3376</v>
      </c>
    </row>
    <row r="1050" spans="1:13" x14ac:dyDescent="0.2">
      <c r="A1050" s="1217"/>
      <c r="B1050" s="1218">
        <f>ROUNDUP(B1049/F1046,0)</f>
        <v>4</v>
      </c>
      <c r="C1050" s="1114" t="s">
        <v>3392</v>
      </c>
      <c r="D1050" s="6" t="s">
        <v>577</v>
      </c>
      <c r="E1050" s="83"/>
      <c r="H1050" t="s">
        <v>708</v>
      </c>
      <c r="I1050">
        <v>9.0477000000000007</v>
      </c>
      <c r="J1050" t="s">
        <v>709</v>
      </c>
      <c r="K1050" t="s">
        <v>708</v>
      </c>
      <c r="L1050" s="166">
        <f t="shared" si="82"/>
        <v>36.190800000000003</v>
      </c>
      <c r="M1050" s="127" t="s">
        <v>3377</v>
      </c>
    </row>
    <row r="1051" spans="1:13" x14ac:dyDescent="0.2">
      <c r="A1051" s="1217"/>
      <c r="B1051" s="166"/>
      <c r="E1051" s="83"/>
      <c r="H1051" t="s">
        <v>3378</v>
      </c>
      <c r="I1051" s="33">
        <v>3.5905399999999997E-5</v>
      </c>
      <c r="J1051" t="s">
        <v>704</v>
      </c>
      <c r="K1051" t="s">
        <v>3378</v>
      </c>
      <c r="L1051" s="166">
        <f t="shared" si="82"/>
        <v>1.4362159999999999E-4</v>
      </c>
      <c r="M1051" s="127" t="s">
        <v>3368</v>
      </c>
    </row>
    <row r="1052" spans="1:13" x14ac:dyDescent="0.2">
      <c r="A1052" s="1217"/>
      <c r="B1052" s="166"/>
      <c r="E1052" s="83"/>
      <c r="H1052" t="s">
        <v>710</v>
      </c>
      <c r="I1052" s="33">
        <v>1.7364199999999999E-7</v>
      </c>
      <c r="J1052" t="s">
        <v>3379</v>
      </c>
      <c r="K1052" t="s">
        <v>710</v>
      </c>
      <c r="L1052" s="166">
        <f t="shared" si="82"/>
        <v>6.9456799999999995E-7</v>
      </c>
      <c r="M1052" s="127" t="s">
        <v>3380</v>
      </c>
    </row>
    <row r="1053" spans="1:13" x14ac:dyDescent="0.2">
      <c r="A1053" s="1217"/>
      <c r="B1053" s="166"/>
      <c r="E1053" s="83"/>
      <c r="H1053" t="s">
        <v>3381</v>
      </c>
      <c r="I1053">
        <v>2.9360000000000001E-2</v>
      </c>
      <c r="J1053" t="s">
        <v>3382</v>
      </c>
      <c r="K1053" t="s">
        <v>3381</v>
      </c>
      <c r="L1053" s="166">
        <f t="shared" si="82"/>
        <v>0.11744</v>
      </c>
      <c r="M1053" s="127" t="s">
        <v>3383</v>
      </c>
    </row>
    <row r="1054" spans="1:13" x14ac:dyDescent="0.2">
      <c r="A1054" s="1217"/>
      <c r="B1054" s="166"/>
      <c r="E1054" s="83"/>
      <c r="H1054" t="s">
        <v>3384</v>
      </c>
      <c r="I1054">
        <v>0.84404000000000001</v>
      </c>
      <c r="J1054" t="s">
        <v>711</v>
      </c>
      <c r="K1054" t="s">
        <v>3384</v>
      </c>
      <c r="L1054" s="166">
        <f t="shared" si="82"/>
        <v>3.37616</v>
      </c>
      <c r="M1054" s="127" t="s">
        <v>3385</v>
      </c>
    </row>
    <row r="1055" spans="1:13" x14ac:dyDescent="0.2">
      <c r="A1055" s="1219"/>
      <c r="B1055" s="833"/>
      <c r="C1055" s="1102"/>
      <c r="D1055" s="118"/>
      <c r="E1055" s="1220"/>
      <c r="F1055" s="118"/>
      <c r="G1055" s="118"/>
      <c r="H1055" s="118"/>
      <c r="I1055" s="118"/>
      <c r="J1055" s="118"/>
      <c r="K1055" s="118"/>
      <c r="L1055" s="833"/>
      <c r="M1055" s="120"/>
    </row>
    <row r="1056" spans="1:13" ht="32" x14ac:dyDescent="0.2">
      <c r="A1056" s="1215" t="s">
        <v>714</v>
      </c>
      <c r="B1056" s="1231">
        <v>3243351.5020528501</v>
      </c>
      <c r="C1056" s="1232" t="s">
        <v>720</v>
      </c>
      <c r="D1056" s="110"/>
      <c r="E1056" s="1216" t="s">
        <v>3404</v>
      </c>
      <c r="F1056" s="110">
        <v>1</v>
      </c>
      <c r="G1056" s="110" t="s">
        <v>378</v>
      </c>
      <c r="H1056" s="110"/>
      <c r="I1056" s="110"/>
      <c r="J1056" s="110"/>
      <c r="K1056" s="110"/>
      <c r="L1056" s="845"/>
      <c r="M1056" s="112"/>
    </row>
    <row r="1057" spans="1:15" x14ac:dyDescent="0.2">
      <c r="A1057" s="637"/>
      <c r="B1057" s="166"/>
      <c r="E1057" s="83"/>
      <c r="H1057" t="s">
        <v>701</v>
      </c>
      <c r="I1057">
        <v>7.5000000000000002E-4</v>
      </c>
      <c r="J1057" t="s">
        <v>702</v>
      </c>
      <c r="K1057" t="s">
        <v>701</v>
      </c>
      <c r="L1057" s="166">
        <f>I1057*B$1056</f>
        <v>2432.5136265396377</v>
      </c>
      <c r="M1057" s="127" t="s">
        <v>3367</v>
      </c>
    </row>
    <row r="1058" spans="1:15" x14ac:dyDescent="0.2">
      <c r="A1058" s="1217"/>
      <c r="B1058" s="166"/>
      <c r="E1058" s="83"/>
      <c r="H1058" t="s">
        <v>703</v>
      </c>
      <c r="I1058" s="33">
        <v>3.3111200000000002E-8</v>
      </c>
      <c r="J1058" t="s">
        <v>704</v>
      </c>
      <c r="K1058" t="s">
        <v>703</v>
      </c>
      <c r="L1058" s="166">
        <f t="shared" ref="L1058:L1066" si="83">I1058*B$1056</f>
        <v>0.10739126025477233</v>
      </c>
      <c r="M1058" s="127" t="s">
        <v>3368</v>
      </c>
    </row>
    <row r="1059" spans="1:15" x14ac:dyDescent="0.2">
      <c r="A1059" s="1217"/>
      <c r="B1059" s="166"/>
      <c r="E1059" s="83"/>
      <c r="H1059" t="s">
        <v>705</v>
      </c>
      <c r="I1059">
        <v>4.1968100000000002</v>
      </c>
      <c r="J1059" t="s">
        <v>706</v>
      </c>
      <c r="K1059" t="s">
        <v>705</v>
      </c>
      <c r="L1059" s="166">
        <f t="shared" si="83"/>
        <v>13611730.017330423</v>
      </c>
      <c r="M1059" s="127" t="s">
        <v>3370</v>
      </c>
    </row>
    <row r="1060" spans="1:15" x14ac:dyDescent="0.2">
      <c r="A1060" s="1217"/>
      <c r="B1060" s="166"/>
      <c r="E1060" s="83"/>
      <c r="H1060" t="s">
        <v>3372</v>
      </c>
      <c r="I1060">
        <v>3.2000000000000003E-4</v>
      </c>
      <c r="J1060" t="s">
        <v>3373</v>
      </c>
      <c r="K1060" t="s">
        <v>3372</v>
      </c>
      <c r="L1060" s="166">
        <f t="shared" si="83"/>
        <v>1037.8724806569121</v>
      </c>
      <c r="M1060" s="127" t="s">
        <v>3374</v>
      </c>
    </row>
    <row r="1061" spans="1:15" x14ac:dyDescent="0.2">
      <c r="A1061" s="1217"/>
      <c r="B1061" s="166"/>
      <c r="E1061" s="83"/>
      <c r="H1061" t="s">
        <v>3375</v>
      </c>
      <c r="I1061">
        <v>5.2999999999999998E-4</v>
      </c>
      <c r="J1061" t="s">
        <v>707</v>
      </c>
      <c r="K1061" t="s">
        <v>3375</v>
      </c>
      <c r="L1061" s="166">
        <f t="shared" si="83"/>
        <v>1718.9762960880105</v>
      </c>
      <c r="M1061" s="127" t="s">
        <v>3376</v>
      </c>
    </row>
    <row r="1062" spans="1:15" x14ac:dyDescent="0.2">
      <c r="A1062" s="1217"/>
      <c r="B1062" s="166"/>
      <c r="E1062" s="83"/>
      <c r="H1062" t="s">
        <v>708</v>
      </c>
      <c r="I1062">
        <v>0.39150000000000001</v>
      </c>
      <c r="J1062" t="s">
        <v>709</v>
      </c>
      <c r="K1062" t="s">
        <v>708</v>
      </c>
      <c r="L1062" s="166">
        <f t="shared" si="83"/>
        <v>1269772.1130536909</v>
      </c>
      <c r="M1062" s="127" t="s">
        <v>3377</v>
      </c>
    </row>
    <row r="1063" spans="1:15" x14ac:dyDescent="0.2">
      <c r="A1063" s="1217"/>
      <c r="B1063" s="166"/>
      <c r="E1063" s="83"/>
      <c r="H1063" t="s">
        <v>3378</v>
      </c>
      <c r="I1063" s="33">
        <v>9.8849699999999999E-8</v>
      </c>
      <c r="J1063" t="s">
        <v>704</v>
      </c>
      <c r="K1063" t="s">
        <v>3378</v>
      </c>
      <c r="L1063" s="166">
        <f t="shared" si="83"/>
        <v>0.3206043229724736</v>
      </c>
      <c r="M1063" s="127" t="s">
        <v>3368</v>
      </c>
    </row>
    <row r="1064" spans="1:15" x14ac:dyDescent="0.2">
      <c r="A1064" s="1217"/>
      <c r="B1064" s="166"/>
      <c r="E1064" s="83"/>
      <c r="H1064" t="s">
        <v>710</v>
      </c>
      <c r="I1064" s="33">
        <v>1.51061E-9</v>
      </c>
      <c r="J1064" t="s">
        <v>3379</v>
      </c>
      <c r="K1064" t="s">
        <v>710</v>
      </c>
      <c r="L1064" s="166">
        <f t="shared" si="83"/>
        <v>4.8994392125160562E-3</v>
      </c>
      <c r="M1064" s="127" t="s">
        <v>3380</v>
      </c>
    </row>
    <row r="1065" spans="1:15" x14ac:dyDescent="0.2">
      <c r="A1065" s="1217"/>
      <c r="B1065" s="166"/>
      <c r="E1065" s="83"/>
      <c r="H1065" t="s">
        <v>3381</v>
      </c>
      <c r="I1065">
        <v>1.01E-3</v>
      </c>
      <c r="J1065" t="s">
        <v>3382</v>
      </c>
      <c r="K1065" t="s">
        <v>3381</v>
      </c>
      <c r="L1065" s="166">
        <f t="shared" si="83"/>
        <v>3275.7850170733786</v>
      </c>
      <c r="M1065" s="127" t="s">
        <v>3383</v>
      </c>
    </row>
    <row r="1066" spans="1:15" x14ac:dyDescent="0.2">
      <c r="A1066" s="1217"/>
      <c r="B1066" s="166"/>
      <c r="E1066" s="83"/>
      <c r="H1066" t="s">
        <v>3384</v>
      </c>
      <c r="I1066">
        <v>1.2200000000000001E-2</v>
      </c>
      <c r="J1066" t="s">
        <v>711</v>
      </c>
      <c r="K1066" t="s">
        <v>3384</v>
      </c>
      <c r="L1066" s="166">
        <f t="shared" si="83"/>
        <v>39568.888325044776</v>
      </c>
      <c r="M1066" s="127" t="s">
        <v>3385</v>
      </c>
    </row>
    <row r="1067" spans="1:15" x14ac:dyDescent="0.2">
      <c r="A1067" s="1219"/>
      <c r="B1067" s="833"/>
      <c r="C1067" s="1102"/>
      <c r="D1067" s="118"/>
      <c r="E1067" s="1220"/>
      <c r="F1067" s="118"/>
      <c r="G1067" s="118"/>
      <c r="H1067" s="118"/>
      <c r="I1067" s="118"/>
      <c r="J1067" s="118"/>
      <c r="K1067" s="118"/>
      <c r="L1067" s="833"/>
      <c r="M1067" s="120"/>
    </row>
    <row r="1071" spans="1:15" ht="16" thickBot="1" x14ac:dyDescent="0.25"/>
    <row r="1072" spans="1:15" x14ac:dyDescent="0.2">
      <c r="A1072" s="1831" t="s">
        <v>1411</v>
      </c>
      <c r="B1072" s="1832"/>
      <c r="C1072" s="1832"/>
      <c r="D1072" s="1832"/>
      <c r="E1072" s="1832"/>
      <c r="F1072" s="1832"/>
      <c r="G1072" s="1832"/>
      <c r="H1072" s="1832"/>
      <c r="I1072" s="1832"/>
      <c r="J1072" s="1832"/>
      <c r="K1072" s="1832"/>
      <c r="L1072" s="1832"/>
      <c r="M1072" s="1832"/>
      <c r="N1072" s="1832"/>
      <c r="O1072" s="1833"/>
    </row>
    <row r="1073" spans="1:15" ht="16" thickBot="1" x14ac:dyDescent="0.25">
      <c r="A1073" s="1834"/>
      <c r="B1073" s="1835"/>
      <c r="C1073" s="1835"/>
      <c r="D1073" s="1835"/>
      <c r="E1073" s="1835"/>
      <c r="F1073" s="1835"/>
      <c r="G1073" s="1835"/>
      <c r="H1073" s="1835"/>
      <c r="I1073" s="1835"/>
      <c r="J1073" s="1835"/>
      <c r="K1073" s="1835"/>
      <c r="L1073" s="1835"/>
      <c r="M1073" s="1835"/>
      <c r="N1073" s="1835"/>
      <c r="O1073" s="1836"/>
    </row>
    <row r="1074" spans="1:15" s="6" customFormat="1" x14ac:dyDescent="0.2">
      <c r="A1074" s="1920" t="s">
        <v>697</v>
      </c>
      <c r="B1074" s="1515" t="s">
        <v>698</v>
      </c>
      <c r="C1074" s="1515"/>
      <c r="D1074" s="1515"/>
      <c r="E1074" s="1921" t="s">
        <v>3362</v>
      </c>
      <c r="F1074" s="1515" t="s">
        <v>699</v>
      </c>
      <c r="G1074" s="1515"/>
      <c r="H1074" s="1515" t="s">
        <v>3363</v>
      </c>
      <c r="I1074" s="1515"/>
      <c r="J1074" s="1515"/>
      <c r="K1074" s="1515" t="s">
        <v>700</v>
      </c>
      <c r="L1074" s="1515"/>
      <c r="M1074" s="1515"/>
    </row>
    <row r="1075" spans="1:15" s="6" customFormat="1" ht="15.75" customHeight="1" x14ac:dyDescent="0.2">
      <c r="A1075" s="1520"/>
      <c r="B1075" s="1214" t="s">
        <v>515</v>
      </c>
      <c r="C1075" s="969" t="s">
        <v>372</v>
      </c>
      <c r="D1075" s="969" t="s">
        <v>583</v>
      </c>
      <c r="E1075" s="1922"/>
      <c r="F1075" s="969" t="s">
        <v>42</v>
      </c>
      <c r="G1075" s="969" t="s">
        <v>372</v>
      </c>
      <c r="H1075" s="29" t="s">
        <v>697</v>
      </c>
      <c r="I1075" s="969" t="s">
        <v>42</v>
      </c>
      <c r="J1075" s="969" t="s">
        <v>372</v>
      </c>
      <c r="K1075" s="969" t="s">
        <v>697</v>
      </c>
      <c r="L1075" s="1214" t="s">
        <v>42</v>
      </c>
      <c r="M1075" s="969" t="s">
        <v>372</v>
      </c>
    </row>
    <row r="1076" spans="1:15" ht="16" x14ac:dyDescent="0.2">
      <c r="A1076" s="486" t="s">
        <v>2517</v>
      </c>
      <c r="B1076" s="845">
        <v>124585.31281886628</v>
      </c>
      <c r="C1076" s="1159" t="s">
        <v>267</v>
      </c>
      <c r="D1076" s="1229">
        <v>2</v>
      </c>
      <c r="E1076" s="1216" t="s">
        <v>3388</v>
      </c>
      <c r="F1076" s="110"/>
      <c r="G1076" s="110"/>
      <c r="H1076" s="110"/>
      <c r="I1076" s="110"/>
      <c r="J1076" s="110"/>
      <c r="K1076" s="110"/>
      <c r="L1076" s="845"/>
      <c r="M1076" s="112"/>
    </row>
    <row r="1077" spans="1:15" x14ac:dyDescent="0.2">
      <c r="A1077" s="1217"/>
      <c r="B1077" s="166">
        <f>B1076/1000</f>
        <v>124.58531281886629</v>
      </c>
      <c r="C1077" s="133" t="s">
        <v>444</v>
      </c>
      <c r="F1077">
        <v>1</v>
      </c>
      <c r="G1077" t="s">
        <v>713</v>
      </c>
      <c r="H1077" t="s">
        <v>701</v>
      </c>
      <c r="I1077">
        <v>0.14229</v>
      </c>
      <c r="J1077" t="s">
        <v>702</v>
      </c>
      <c r="K1077" t="s">
        <v>701</v>
      </c>
      <c r="L1077" s="166">
        <f>I1077*B$1082</f>
        <v>25.32762</v>
      </c>
      <c r="M1077" s="127" t="s">
        <v>3367</v>
      </c>
    </row>
    <row r="1078" spans="1:15" x14ac:dyDescent="0.2">
      <c r="A1078" s="1217"/>
      <c r="B1078" s="166">
        <v>20</v>
      </c>
      <c r="C1078" s="133" t="s">
        <v>10</v>
      </c>
      <c r="D1078" t="s">
        <v>3390</v>
      </c>
      <c r="E1078" s="83"/>
      <c r="F1078">
        <v>40</v>
      </c>
      <c r="G1078" t="s">
        <v>12</v>
      </c>
      <c r="H1078" t="s">
        <v>703</v>
      </c>
      <c r="I1078" s="33">
        <v>2.2291000000000001E-5</v>
      </c>
      <c r="J1078" t="s">
        <v>704</v>
      </c>
      <c r="K1078" t="s">
        <v>703</v>
      </c>
      <c r="L1078" s="166">
        <f t="shared" ref="L1078:L1086" si="84">I1078*B$1082</f>
        <v>3.9677979999999998E-3</v>
      </c>
      <c r="M1078" s="127" t="s">
        <v>3368</v>
      </c>
    </row>
    <row r="1079" spans="1:15" x14ac:dyDescent="0.2">
      <c r="A1079" s="1217"/>
      <c r="B1079" s="166">
        <v>0.7</v>
      </c>
      <c r="D1079" t="s">
        <v>3391</v>
      </c>
      <c r="E1079" s="83"/>
      <c r="H1079" t="s">
        <v>705</v>
      </c>
      <c r="I1079">
        <v>3203.5834399999999</v>
      </c>
      <c r="J1079" t="s">
        <v>706</v>
      </c>
      <c r="K1079" t="s">
        <v>705</v>
      </c>
      <c r="L1079" s="166">
        <f t="shared" si="84"/>
        <v>570237.85231999995</v>
      </c>
      <c r="M1079" s="127" t="s">
        <v>3370</v>
      </c>
    </row>
    <row r="1080" spans="1:15" x14ac:dyDescent="0.2">
      <c r="A1080" s="1217"/>
      <c r="B1080" s="166">
        <f>B1077*B1078/B1079</f>
        <v>3559.5803662533226</v>
      </c>
      <c r="C1080" s="133" t="s">
        <v>12</v>
      </c>
      <c r="E1080" s="83"/>
      <c r="H1080" t="s">
        <v>3372</v>
      </c>
      <c r="I1080">
        <v>1.278E-2</v>
      </c>
      <c r="J1080" t="s">
        <v>3373</v>
      </c>
      <c r="K1080" t="s">
        <v>3372</v>
      </c>
      <c r="L1080" s="166">
        <f t="shared" si="84"/>
        <v>2.2748399999999998</v>
      </c>
      <c r="M1080" s="127" t="s">
        <v>3374</v>
      </c>
    </row>
    <row r="1081" spans="1:15" x14ac:dyDescent="0.2">
      <c r="A1081" s="1217"/>
      <c r="B1081" s="166">
        <f>B1080*D1076</f>
        <v>7119.1607325066452</v>
      </c>
      <c r="C1081" s="133" t="s">
        <v>12</v>
      </c>
      <c r="E1081" s="83"/>
      <c r="H1081" t="s">
        <v>3375</v>
      </c>
      <c r="I1081">
        <v>3.7339999999999998E-2</v>
      </c>
      <c r="J1081" t="s">
        <v>707</v>
      </c>
      <c r="K1081" t="s">
        <v>3375</v>
      </c>
      <c r="L1081" s="166">
        <f t="shared" si="84"/>
        <v>6.6465199999999998</v>
      </c>
      <c r="M1081" s="127" t="s">
        <v>3376</v>
      </c>
    </row>
    <row r="1082" spans="1:15" x14ac:dyDescent="0.2">
      <c r="A1082" s="1217"/>
      <c r="B1082" s="1218">
        <f>ROUNDUP(B1081/F1078,0)</f>
        <v>178</v>
      </c>
      <c r="C1082" s="1114" t="s">
        <v>3392</v>
      </c>
      <c r="D1082" s="6" t="s">
        <v>577</v>
      </c>
      <c r="E1082" s="83"/>
      <c r="H1082" t="s">
        <v>708</v>
      </c>
      <c r="I1082">
        <v>9.0477000000000007</v>
      </c>
      <c r="J1082" t="s">
        <v>709</v>
      </c>
      <c r="K1082" t="s">
        <v>708</v>
      </c>
      <c r="L1082" s="166">
        <f t="shared" si="84"/>
        <v>1610.4906000000001</v>
      </c>
      <c r="M1082" s="127" t="s">
        <v>3377</v>
      </c>
    </row>
    <row r="1083" spans="1:15" x14ac:dyDescent="0.2">
      <c r="A1083" s="1217"/>
      <c r="B1083" s="166"/>
      <c r="E1083" s="83"/>
      <c r="H1083" t="s">
        <v>3378</v>
      </c>
      <c r="I1083" s="33">
        <v>3.5905399999999997E-5</v>
      </c>
      <c r="J1083" t="s">
        <v>704</v>
      </c>
      <c r="K1083" t="s">
        <v>3378</v>
      </c>
      <c r="L1083" s="166">
        <f t="shared" si="84"/>
        <v>6.3911611999999994E-3</v>
      </c>
      <c r="M1083" s="127" t="s">
        <v>3368</v>
      </c>
    </row>
    <row r="1084" spans="1:15" x14ac:dyDescent="0.2">
      <c r="A1084" s="1217"/>
      <c r="B1084" s="166"/>
      <c r="E1084" s="83"/>
      <c r="H1084" t="s">
        <v>710</v>
      </c>
      <c r="I1084" s="33">
        <v>1.7364199999999999E-7</v>
      </c>
      <c r="J1084" t="s">
        <v>3379</v>
      </c>
      <c r="K1084" t="s">
        <v>710</v>
      </c>
      <c r="L1084" s="166">
        <f t="shared" si="84"/>
        <v>3.0908275999999998E-5</v>
      </c>
      <c r="M1084" s="127" t="s">
        <v>3380</v>
      </c>
    </row>
    <row r="1085" spans="1:15" x14ac:dyDescent="0.2">
      <c r="A1085" s="1217"/>
      <c r="B1085" s="166"/>
      <c r="E1085" s="83"/>
      <c r="H1085" t="s">
        <v>3381</v>
      </c>
      <c r="I1085">
        <v>2.9360000000000001E-2</v>
      </c>
      <c r="J1085" t="s">
        <v>3382</v>
      </c>
      <c r="K1085" t="s">
        <v>3381</v>
      </c>
      <c r="L1085" s="166">
        <f t="shared" si="84"/>
        <v>5.2260800000000005</v>
      </c>
      <c r="M1085" s="127" t="s">
        <v>3383</v>
      </c>
    </row>
    <row r="1086" spans="1:15" x14ac:dyDescent="0.2">
      <c r="A1086" s="1217"/>
      <c r="B1086" s="166"/>
      <c r="E1086" s="83"/>
      <c r="H1086" t="s">
        <v>3384</v>
      </c>
      <c r="I1086">
        <v>0.84404000000000001</v>
      </c>
      <c r="J1086" t="s">
        <v>711</v>
      </c>
      <c r="K1086" t="s">
        <v>3384</v>
      </c>
      <c r="L1086" s="166">
        <f t="shared" si="84"/>
        <v>150.23912000000001</v>
      </c>
      <c r="M1086" s="127" t="s">
        <v>3385</v>
      </c>
    </row>
    <row r="1087" spans="1:15" x14ac:dyDescent="0.2">
      <c r="A1087" s="1219"/>
      <c r="B1087" s="833"/>
      <c r="C1087" s="1102"/>
      <c r="D1087" s="118"/>
      <c r="E1087" s="1220"/>
      <c r="F1087" s="118"/>
      <c r="G1087" s="118"/>
      <c r="H1087" s="118"/>
      <c r="I1087" s="118"/>
      <c r="J1087" s="118"/>
      <c r="K1087" s="118"/>
      <c r="L1087" s="833"/>
      <c r="M1087" s="120"/>
    </row>
    <row r="1088" spans="1:15" ht="16" x14ac:dyDescent="0.2">
      <c r="A1088" s="486" t="s">
        <v>2518</v>
      </c>
      <c r="B1088" s="845">
        <v>12353.458619571857</v>
      </c>
      <c r="C1088" s="1159" t="s">
        <v>267</v>
      </c>
      <c r="D1088" s="1229">
        <v>2</v>
      </c>
      <c r="E1088" s="1216" t="s">
        <v>3388</v>
      </c>
      <c r="F1088" s="110"/>
      <c r="G1088" s="110"/>
      <c r="H1088" s="110"/>
      <c r="I1088" s="110"/>
      <c r="J1088" s="110"/>
      <c r="K1088" s="110"/>
      <c r="L1088" s="845"/>
      <c r="M1088" s="112"/>
    </row>
    <row r="1089" spans="1:13" x14ac:dyDescent="0.2">
      <c r="A1089" s="1217"/>
      <c r="B1089" s="166">
        <f>B1088/1000</f>
        <v>12.353458619571857</v>
      </c>
      <c r="C1089" s="133" t="s">
        <v>444</v>
      </c>
      <c r="F1089">
        <v>1</v>
      </c>
      <c r="G1089" t="s">
        <v>713</v>
      </c>
      <c r="H1089" t="s">
        <v>701</v>
      </c>
      <c r="I1089">
        <v>0.14229</v>
      </c>
      <c r="J1089" t="s">
        <v>702</v>
      </c>
      <c r="K1089" t="s">
        <v>701</v>
      </c>
      <c r="L1089" s="166">
        <f>I1089*B$1094</f>
        <v>2.5612200000000001</v>
      </c>
      <c r="M1089" s="127" t="s">
        <v>3367</v>
      </c>
    </row>
    <row r="1090" spans="1:13" x14ac:dyDescent="0.2">
      <c r="A1090" s="1217"/>
      <c r="B1090" s="166">
        <v>20</v>
      </c>
      <c r="C1090" s="133" t="s">
        <v>10</v>
      </c>
      <c r="D1090" t="s">
        <v>3390</v>
      </c>
      <c r="E1090" s="83"/>
      <c r="F1090">
        <v>40</v>
      </c>
      <c r="G1090" t="s">
        <v>12</v>
      </c>
      <c r="H1090" t="s">
        <v>703</v>
      </c>
      <c r="I1090" s="33">
        <v>2.2291000000000001E-5</v>
      </c>
      <c r="J1090" t="s">
        <v>704</v>
      </c>
      <c r="K1090" t="s">
        <v>703</v>
      </c>
      <c r="L1090" s="166">
        <f t="shared" ref="L1090:L1098" si="85">I1090*B$1094</f>
        <v>4.01238E-4</v>
      </c>
      <c r="M1090" s="127" t="s">
        <v>3368</v>
      </c>
    </row>
    <row r="1091" spans="1:13" x14ac:dyDescent="0.2">
      <c r="A1091" s="1217"/>
      <c r="B1091" s="166">
        <v>0.7</v>
      </c>
      <c r="D1091" t="s">
        <v>3391</v>
      </c>
      <c r="E1091" s="83"/>
      <c r="H1091" t="s">
        <v>705</v>
      </c>
      <c r="I1091">
        <v>3203.5834399999999</v>
      </c>
      <c r="J1091" t="s">
        <v>706</v>
      </c>
      <c r="K1091" t="s">
        <v>705</v>
      </c>
      <c r="L1091" s="166">
        <f t="shared" si="85"/>
        <v>57664.501919999995</v>
      </c>
      <c r="M1091" s="127" t="s">
        <v>3370</v>
      </c>
    </row>
    <row r="1092" spans="1:13" x14ac:dyDescent="0.2">
      <c r="A1092" s="1217"/>
      <c r="B1092" s="166">
        <f>B1089*B1090/B1091</f>
        <v>352.95596055919589</v>
      </c>
      <c r="C1092" s="133" t="s">
        <v>12</v>
      </c>
      <c r="E1092" s="83"/>
      <c r="H1092" t="s">
        <v>3372</v>
      </c>
      <c r="I1092">
        <v>1.278E-2</v>
      </c>
      <c r="J1092" t="s">
        <v>3373</v>
      </c>
      <c r="K1092" t="s">
        <v>3372</v>
      </c>
      <c r="L1092" s="166">
        <f t="shared" si="85"/>
        <v>0.23003999999999999</v>
      </c>
      <c r="M1092" s="127" t="s">
        <v>3374</v>
      </c>
    </row>
    <row r="1093" spans="1:13" x14ac:dyDescent="0.2">
      <c r="A1093" s="1217"/>
      <c r="B1093" s="166">
        <f>B1092*D1088</f>
        <v>705.91192111839177</v>
      </c>
      <c r="C1093" s="133" t="s">
        <v>12</v>
      </c>
      <c r="E1093" s="83"/>
      <c r="H1093" t="s">
        <v>3375</v>
      </c>
      <c r="I1093">
        <v>3.7339999999999998E-2</v>
      </c>
      <c r="J1093" t="s">
        <v>707</v>
      </c>
      <c r="K1093" t="s">
        <v>3375</v>
      </c>
      <c r="L1093" s="166">
        <f t="shared" si="85"/>
        <v>0.67211999999999994</v>
      </c>
      <c r="M1093" s="127" t="s">
        <v>3376</v>
      </c>
    </row>
    <row r="1094" spans="1:13" x14ac:dyDescent="0.2">
      <c r="A1094" s="1217"/>
      <c r="B1094" s="1218">
        <f>ROUNDUP(B1093/F1090,0)</f>
        <v>18</v>
      </c>
      <c r="C1094" s="1114" t="s">
        <v>3392</v>
      </c>
      <c r="D1094" s="6" t="s">
        <v>577</v>
      </c>
      <c r="E1094" s="83"/>
      <c r="H1094" t="s">
        <v>708</v>
      </c>
      <c r="I1094">
        <v>9.0477000000000007</v>
      </c>
      <c r="J1094" t="s">
        <v>709</v>
      </c>
      <c r="K1094" t="s">
        <v>708</v>
      </c>
      <c r="L1094" s="166">
        <f t="shared" si="85"/>
        <v>162.85860000000002</v>
      </c>
      <c r="M1094" s="127" t="s">
        <v>3377</v>
      </c>
    </row>
    <row r="1095" spans="1:13" x14ac:dyDescent="0.2">
      <c r="A1095" s="1217"/>
      <c r="B1095" s="166"/>
      <c r="E1095" s="83"/>
      <c r="H1095" t="s">
        <v>3378</v>
      </c>
      <c r="I1095" s="33">
        <v>3.5905399999999997E-5</v>
      </c>
      <c r="J1095" t="s">
        <v>704</v>
      </c>
      <c r="K1095" t="s">
        <v>3378</v>
      </c>
      <c r="L1095" s="166">
        <f t="shared" si="85"/>
        <v>6.4629719999999996E-4</v>
      </c>
      <c r="M1095" s="127" t="s">
        <v>3368</v>
      </c>
    </row>
    <row r="1096" spans="1:13" x14ac:dyDescent="0.2">
      <c r="A1096" s="1217"/>
      <c r="B1096" s="166"/>
      <c r="E1096" s="83"/>
      <c r="H1096" t="s">
        <v>710</v>
      </c>
      <c r="I1096" s="33">
        <v>1.7364199999999999E-7</v>
      </c>
      <c r="J1096" t="s">
        <v>3379</v>
      </c>
      <c r="K1096" t="s">
        <v>710</v>
      </c>
      <c r="L1096" s="166">
        <f t="shared" si="85"/>
        <v>3.1255559999999998E-6</v>
      </c>
      <c r="M1096" s="127" t="s">
        <v>3380</v>
      </c>
    </row>
    <row r="1097" spans="1:13" x14ac:dyDescent="0.2">
      <c r="A1097" s="1217"/>
      <c r="B1097" s="166"/>
      <c r="E1097" s="83"/>
      <c r="H1097" t="s">
        <v>3381</v>
      </c>
      <c r="I1097">
        <v>2.9360000000000001E-2</v>
      </c>
      <c r="J1097" t="s">
        <v>3382</v>
      </c>
      <c r="K1097" t="s">
        <v>3381</v>
      </c>
      <c r="L1097" s="166">
        <f t="shared" si="85"/>
        <v>0.52848000000000006</v>
      </c>
      <c r="M1097" s="127" t="s">
        <v>3383</v>
      </c>
    </row>
    <row r="1098" spans="1:13" x14ac:dyDescent="0.2">
      <c r="A1098" s="1217"/>
      <c r="B1098" s="166"/>
      <c r="E1098" s="83"/>
      <c r="H1098" t="s">
        <v>3384</v>
      </c>
      <c r="I1098">
        <v>0.84404000000000001</v>
      </c>
      <c r="J1098" t="s">
        <v>711</v>
      </c>
      <c r="K1098" t="s">
        <v>3384</v>
      </c>
      <c r="L1098" s="166">
        <f t="shared" si="85"/>
        <v>15.19272</v>
      </c>
      <c r="M1098" s="127" t="s">
        <v>3385</v>
      </c>
    </row>
    <row r="1099" spans="1:13" x14ac:dyDescent="0.2">
      <c r="A1099" s="1219"/>
      <c r="B1099" s="833"/>
      <c r="C1099" s="1102"/>
      <c r="D1099" s="118"/>
      <c r="E1099" s="1220"/>
      <c r="F1099" s="118"/>
      <c r="G1099" s="118"/>
      <c r="H1099" s="118"/>
      <c r="I1099" s="118"/>
      <c r="J1099" s="118"/>
      <c r="K1099" s="118"/>
      <c r="L1099" s="833"/>
      <c r="M1099" s="120"/>
    </row>
    <row r="1100" spans="1:13" ht="16" x14ac:dyDescent="0.2">
      <c r="A1100" s="486" t="s">
        <v>2519</v>
      </c>
      <c r="B1100" s="845">
        <v>1</v>
      </c>
      <c r="C1100" s="1159" t="s">
        <v>267</v>
      </c>
      <c r="D1100" s="1229">
        <v>2</v>
      </c>
      <c r="E1100" s="1216" t="s">
        <v>3388</v>
      </c>
      <c r="F1100" s="110"/>
      <c r="G1100" s="110"/>
      <c r="H1100" s="110"/>
      <c r="I1100" s="110"/>
      <c r="J1100" s="110"/>
      <c r="K1100" s="110"/>
      <c r="L1100" s="845"/>
      <c r="M1100" s="112"/>
    </row>
    <row r="1101" spans="1:13" x14ac:dyDescent="0.2">
      <c r="A1101" s="1217"/>
      <c r="B1101" s="166">
        <f>B1100/1000</f>
        <v>1E-3</v>
      </c>
      <c r="C1101" s="133" t="s">
        <v>444</v>
      </c>
      <c r="F1101">
        <v>1</v>
      </c>
      <c r="G1101" t="s">
        <v>713</v>
      </c>
      <c r="H1101" t="s">
        <v>701</v>
      </c>
      <c r="I1101">
        <v>0.14229</v>
      </c>
      <c r="J1101" t="s">
        <v>702</v>
      </c>
      <c r="K1101" t="s">
        <v>701</v>
      </c>
      <c r="L1101" s="166">
        <f>I1101*B$1106</f>
        <v>0.14229</v>
      </c>
      <c r="M1101" s="127" t="s">
        <v>3367</v>
      </c>
    </row>
    <row r="1102" spans="1:13" x14ac:dyDescent="0.2">
      <c r="A1102" s="1217"/>
      <c r="B1102" s="166">
        <v>20</v>
      </c>
      <c r="C1102" s="133" t="s">
        <v>10</v>
      </c>
      <c r="D1102" t="s">
        <v>3390</v>
      </c>
      <c r="E1102" s="83"/>
      <c r="F1102">
        <v>40</v>
      </c>
      <c r="G1102" t="s">
        <v>12</v>
      </c>
      <c r="H1102" t="s">
        <v>703</v>
      </c>
      <c r="I1102" s="33">
        <v>2.2291000000000001E-5</v>
      </c>
      <c r="J1102" t="s">
        <v>704</v>
      </c>
      <c r="K1102" t="s">
        <v>703</v>
      </c>
      <c r="L1102" s="166">
        <f t="shared" ref="L1102:L1110" si="86">I1102*B$1106</f>
        <v>2.2291000000000001E-5</v>
      </c>
      <c r="M1102" s="127" t="s">
        <v>3368</v>
      </c>
    </row>
    <row r="1103" spans="1:13" x14ac:dyDescent="0.2">
      <c r="A1103" s="1217"/>
      <c r="B1103" s="166">
        <v>0.7</v>
      </c>
      <c r="D1103" t="s">
        <v>3391</v>
      </c>
      <c r="E1103" s="83"/>
      <c r="H1103" t="s">
        <v>705</v>
      </c>
      <c r="I1103">
        <v>3203.5834399999999</v>
      </c>
      <c r="J1103" t="s">
        <v>706</v>
      </c>
      <c r="K1103" t="s">
        <v>705</v>
      </c>
      <c r="L1103" s="166">
        <f t="shared" si="86"/>
        <v>3203.5834399999999</v>
      </c>
      <c r="M1103" s="127" t="s">
        <v>3370</v>
      </c>
    </row>
    <row r="1104" spans="1:13" x14ac:dyDescent="0.2">
      <c r="A1104" s="1217"/>
      <c r="B1104" s="166">
        <f>B1101*B1102/B1103</f>
        <v>2.8571428571428574E-2</v>
      </c>
      <c r="C1104" s="133" t="s">
        <v>12</v>
      </c>
      <c r="E1104" s="83"/>
      <c r="H1104" t="s">
        <v>3372</v>
      </c>
      <c r="I1104">
        <v>1.278E-2</v>
      </c>
      <c r="J1104" t="s">
        <v>3373</v>
      </c>
      <c r="K1104" t="s">
        <v>3372</v>
      </c>
      <c r="L1104" s="166">
        <f t="shared" si="86"/>
        <v>1.278E-2</v>
      </c>
      <c r="M1104" s="127" t="s">
        <v>3374</v>
      </c>
    </row>
    <row r="1105" spans="1:13" x14ac:dyDescent="0.2">
      <c r="A1105" s="1217"/>
      <c r="B1105" s="166">
        <f>B1104*D1100</f>
        <v>5.7142857142857148E-2</v>
      </c>
      <c r="C1105" s="133" t="s">
        <v>12</v>
      </c>
      <c r="E1105" s="83"/>
      <c r="H1105" t="s">
        <v>3375</v>
      </c>
      <c r="I1105">
        <v>3.7339999999999998E-2</v>
      </c>
      <c r="J1105" t="s">
        <v>707</v>
      </c>
      <c r="K1105" t="s">
        <v>3375</v>
      </c>
      <c r="L1105" s="166">
        <f t="shared" si="86"/>
        <v>3.7339999999999998E-2</v>
      </c>
      <c r="M1105" s="127" t="s">
        <v>3376</v>
      </c>
    </row>
    <row r="1106" spans="1:13" x14ac:dyDescent="0.2">
      <c r="A1106" s="1217"/>
      <c r="B1106" s="1218">
        <f>ROUNDUP(B1105/F1102,0)</f>
        <v>1</v>
      </c>
      <c r="C1106" s="1114" t="s">
        <v>3392</v>
      </c>
      <c r="D1106" s="6" t="s">
        <v>577</v>
      </c>
      <c r="E1106" s="83"/>
      <c r="H1106" t="s">
        <v>708</v>
      </c>
      <c r="I1106">
        <v>9.0477000000000007</v>
      </c>
      <c r="J1106" t="s">
        <v>709</v>
      </c>
      <c r="K1106" t="s">
        <v>708</v>
      </c>
      <c r="L1106" s="166">
        <f t="shared" si="86"/>
        <v>9.0477000000000007</v>
      </c>
      <c r="M1106" s="127" t="s">
        <v>3377</v>
      </c>
    </row>
    <row r="1107" spans="1:13" x14ac:dyDescent="0.2">
      <c r="A1107" s="1217"/>
      <c r="B1107" s="166"/>
      <c r="E1107" s="83"/>
      <c r="H1107" t="s">
        <v>3378</v>
      </c>
      <c r="I1107" s="33">
        <v>3.5905399999999997E-5</v>
      </c>
      <c r="J1107" t="s">
        <v>704</v>
      </c>
      <c r="K1107" t="s">
        <v>3378</v>
      </c>
      <c r="L1107" s="166">
        <f t="shared" si="86"/>
        <v>3.5905399999999997E-5</v>
      </c>
      <c r="M1107" s="127" t="s">
        <v>3368</v>
      </c>
    </row>
    <row r="1108" spans="1:13" x14ac:dyDescent="0.2">
      <c r="A1108" s="1217"/>
      <c r="B1108" s="166"/>
      <c r="E1108" s="83"/>
      <c r="H1108" t="s">
        <v>710</v>
      </c>
      <c r="I1108" s="33">
        <v>1.7364199999999999E-7</v>
      </c>
      <c r="J1108" t="s">
        <v>3379</v>
      </c>
      <c r="K1108" t="s">
        <v>710</v>
      </c>
      <c r="L1108" s="166">
        <f t="shared" si="86"/>
        <v>1.7364199999999999E-7</v>
      </c>
      <c r="M1108" s="127" t="s">
        <v>3380</v>
      </c>
    </row>
    <row r="1109" spans="1:13" x14ac:dyDescent="0.2">
      <c r="A1109" s="1217"/>
      <c r="B1109" s="166"/>
      <c r="E1109" s="83"/>
      <c r="H1109" t="s">
        <v>3381</v>
      </c>
      <c r="I1109">
        <v>2.9360000000000001E-2</v>
      </c>
      <c r="J1109" t="s">
        <v>3382</v>
      </c>
      <c r="K1109" t="s">
        <v>3381</v>
      </c>
      <c r="L1109" s="166">
        <f t="shared" si="86"/>
        <v>2.9360000000000001E-2</v>
      </c>
      <c r="M1109" s="127" t="s">
        <v>3383</v>
      </c>
    </row>
    <row r="1110" spans="1:13" x14ac:dyDescent="0.2">
      <c r="A1110" s="1217"/>
      <c r="B1110" s="166"/>
      <c r="E1110" s="83"/>
      <c r="H1110" t="s">
        <v>3384</v>
      </c>
      <c r="I1110">
        <v>0.84404000000000001</v>
      </c>
      <c r="J1110" t="s">
        <v>711</v>
      </c>
      <c r="K1110" t="s">
        <v>3384</v>
      </c>
      <c r="L1110" s="166">
        <f t="shared" si="86"/>
        <v>0.84404000000000001</v>
      </c>
      <c r="M1110" s="127" t="s">
        <v>3385</v>
      </c>
    </row>
    <row r="1111" spans="1:13" x14ac:dyDescent="0.2">
      <c r="A1111" s="1219"/>
      <c r="B1111" s="833"/>
      <c r="C1111" s="1102"/>
      <c r="D1111" s="118"/>
      <c r="E1111" s="1220"/>
      <c r="F1111" s="118"/>
      <c r="G1111" s="118"/>
      <c r="H1111" s="118"/>
      <c r="I1111" s="118"/>
      <c r="J1111" s="118"/>
      <c r="K1111" s="118"/>
      <c r="L1111" s="833"/>
      <c r="M1111" s="120"/>
    </row>
    <row r="1112" spans="1:13" ht="48" x14ac:dyDescent="0.2">
      <c r="A1112" s="486" t="s">
        <v>3431</v>
      </c>
      <c r="B1112" s="845">
        <v>5515.6591051436253</v>
      </c>
      <c r="C1112" s="1159" t="s">
        <v>1</v>
      </c>
      <c r="D1112" s="1229">
        <v>2</v>
      </c>
      <c r="E1112" s="159" t="s">
        <v>3423</v>
      </c>
      <c r="F1112" s="110">
        <v>1</v>
      </c>
      <c r="G1112" s="110" t="s">
        <v>3424</v>
      </c>
      <c r="H1112" s="110"/>
      <c r="I1112" s="110"/>
      <c r="J1112" s="110"/>
      <c r="K1112" s="110"/>
      <c r="L1112" s="845"/>
      <c r="M1112" s="112"/>
    </row>
    <row r="1113" spans="1:13" x14ac:dyDescent="0.2">
      <c r="A1113" s="1217"/>
      <c r="B1113" s="1218">
        <f>B1112/F1113*D1112</f>
        <v>22.062636420574503</v>
      </c>
      <c r="C1113" s="1114" t="s">
        <v>3424</v>
      </c>
      <c r="D1113" s="6" t="s">
        <v>577</v>
      </c>
      <c r="E1113" s="83"/>
      <c r="F1113">
        <v>500</v>
      </c>
      <c r="G1113" t="s">
        <v>3425</v>
      </c>
      <c r="H1113" t="s">
        <v>701</v>
      </c>
      <c r="I1113">
        <v>500.29457000000002</v>
      </c>
      <c r="J1113" t="s">
        <v>702</v>
      </c>
      <c r="K1113" t="s">
        <v>701</v>
      </c>
      <c r="L1113" s="166">
        <f>I1113*B$1113</f>
        <v>11037.81720109766</v>
      </c>
      <c r="M1113" s="127" t="s">
        <v>3367</v>
      </c>
    </row>
    <row r="1114" spans="1:13" x14ac:dyDescent="0.2">
      <c r="A1114" s="1217"/>
      <c r="B1114" s="166"/>
      <c r="E1114" s="83"/>
      <c r="H1114" t="s">
        <v>703</v>
      </c>
      <c r="I1114" s="33">
        <v>5.0630000000000001E-2</v>
      </c>
      <c r="J1114" t="s">
        <v>704</v>
      </c>
      <c r="K1114" t="s">
        <v>703</v>
      </c>
      <c r="L1114" s="166">
        <f t="shared" ref="L1114:L1122" si="87">I1114*B$1113</f>
        <v>1.1170312819736872</v>
      </c>
      <c r="M1114" s="127" t="s">
        <v>3368</v>
      </c>
    </row>
    <row r="1115" spans="1:13" x14ac:dyDescent="0.2">
      <c r="A1115" s="1217"/>
      <c r="B1115" s="166"/>
      <c r="E1115" s="83"/>
      <c r="H1115" t="s">
        <v>705</v>
      </c>
      <c r="I1115" s="33">
        <v>4.7383300000000004E-6</v>
      </c>
      <c r="J1115" t="s">
        <v>706</v>
      </c>
      <c r="K1115" t="s">
        <v>705</v>
      </c>
      <c r="L1115" s="166">
        <f t="shared" si="87"/>
        <v>1.0454005203070079E-4</v>
      </c>
      <c r="M1115" s="127" t="s">
        <v>3370</v>
      </c>
    </row>
    <row r="1116" spans="1:13" x14ac:dyDescent="0.2">
      <c r="A1116" s="1217"/>
      <c r="B1116" s="166"/>
      <c r="E1116" s="83"/>
      <c r="H1116" t="s">
        <v>3372</v>
      </c>
      <c r="I1116">
        <v>32.336289999999998</v>
      </c>
      <c r="J1116" t="s">
        <v>3373</v>
      </c>
      <c r="K1116" t="s">
        <v>3372</v>
      </c>
      <c r="L1116" s="166">
        <f t="shared" si="87"/>
        <v>713.42380946025901</v>
      </c>
      <c r="M1116" s="127" t="s">
        <v>3374</v>
      </c>
    </row>
    <row r="1117" spans="1:13" x14ac:dyDescent="0.2">
      <c r="A1117" s="1217"/>
      <c r="B1117" s="166"/>
      <c r="E1117" s="83"/>
      <c r="H1117" t="s">
        <v>3375</v>
      </c>
      <c r="I1117">
        <v>330.76024999999998</v>
      </c>
      <c r="J1117" t="s">
        <v>707</v>
      </c>
      <c r="K1117" t="s">
        <v>3375</v>
      </c>
      <c r="L1117" s="166">
        <f t="shared" si="87"/>
        <v>7297.4431381283275</v>
      </c>
      <c r="M1117" s="127" t="s">
        <v>3376</v>
      </c>
    </row>
    <row r="1118" spans="1:13" x14ac:dyDescent="0.2">
      <c r="A1118" s="1217"/>
      <c r="B1118" s="166"/>
      <c r="E1118" s="83"/>
      <c r="H1118" t="s">
        <v>708</v>
      </c>
      <c r="I1118" s="33">
        <v>96090.3</v>
      </c>
      <c r="J1118" t="s">
        <v>709</v>
      </c>
      <c r="K1118" t="s">
        <v>708</v>
      </c>
      <c r="L1118" s="166">
        <f t="shared" si="87"/>
        <v>2120005.3524439302</v>
      </c>
      <c r="M1118" s="127" t="s">
        <v>3377</v>
      </c>
    </row>
    <row r="1119" spans="1:13" x14ac:dyDescent="0.2">
      <c r="A1119" s="1217"/>
      <c r="B1119" s="166"/>
      <c r="E1119" s="83"/>
      <c r="H1119" t="s">
        <v>3378</v>
      </c>
      <c r="I1119" s="33">
        <v>5.6300000000000003E-2</v>
      </c>
      <c r="J1119" t="s">
        <v>704</v>
      </c>
      <c r="K1119" t="s">
        <v>3378</v>
      </c>
      <c r="L1119" s="166">
        <f t="shared" si="87"/>
        <v>1.2421264304783446</v>
      </c>
      <c r="M1119" s="127" t="s">
        <v>3368</v>
      </c>
    </row>
    <row r="1120" spans="1:13" x14ac:dyDescent="0.2">
      <c r="A1120" s="1217"/>
      <c r="B1120" s="166"/>
      <c r="E1120" s="83"/>
      <c r="H1120" t="s">
        <v>710</v>
      </c>
      <c r="I1120" s="33">
        <v>1.3699999999999999E-3</v>
      </c>
      <c r="J1120" t="s">
        <v>3379</v>
      </c>
      <c r="K1120" t="s">
        <v>710</v>
      </c>
      <c r="L1120" s="166">
        <f t="shared" si="87"/>
        <v>3.0225811896187067E-2</v>
      </c>
      <c r="M1120" s="127" t="s">
        <v>3380</v>
      </c>
    </row>
    <row r="1121" spans="1:13" x14ac:dyDescent="0.2">
      <c r="A1121" s="1217"/>
      <c r="B1121" s="166"/>
      <c r="E1121" s="83"/>
      <c r="H1121" t="s">
        <v>3381</v>
      </c>
      <c r="I1121">
        <v>145.08896999999999</v>
      </c>
      <c r="J1121" t="s">
        <v>3382</v>
      </c>
      <c r="K1121" t="s">
        <v>3381</v>
      </c>
      <c r="L1121" s="166">
        <f t="shared" si="87"/>
        <v>3201.045193745641</v>
      </c>
      <c r="M1121" s="127" t="s">
        <v>3383</v>
      </c>
    </row>
    <row r="1122" spans="1:13" x14ac:dyDescent="0.2">
      <c r="A1122" s="1217"/>
      <c r="B1122" s="166"/>
      <c r="E1122" s="83"/>
      <c r="H1122" t="s">
        <v>3384</v>
      </c>
      <c r="I1122">
        <v>7926.5570900000002</v>
      </c>
      <c r="J1122" t="s">
        <v>711</v>
      </c>
      <c r="K1122" t="s">
        <v>3384</v>
      </c>
      <c r="L1122" s="166">
        <f t="shared" si="87"/>
        <v>174880.74714359705</v>
      </c>
      <c r="M1122" s="127" t="s">
        <v>3385</v>
      </c>
    </row>
    <row r="1123" spans="1:13" x14ac:dyDescent="0.2">
      <c r="A1123" s="1219"/>
      <c r="B1123" s="833"/>
      <c r="C1123" s="1102"/>
      <c r="D1123" s="118"/>
      <c r="E1123" s="1220"/>
      <c r="F1123" s="118"/>
      <c r="G1123" s="118"/>
      <c r="H1123" s="118"/>
      <c r="I1123" s="118"/>
      <c r="J1123" s="118"/>
      <c r="K1123" s="118"/>
      <c r="L1123" s="833"/>
      <c r="M1123" s="120"/>
    </row>
    <row r="1124" spans="1:13" ht="16" x14ac:dyDescent="0.2">
      <c r="A1124" s="486" t="s">
        <v>842</v>
      </c>
      <c r="B1124" s="845">
        <v>4887.1865725150938</v>
      </c>
      <c r="C1124" s="1159" t="s">
        <v>14</v>
      </c>
      <c r="D1124" s="1229">
        <v>2</v>
      </c>
      <c r="E1124" s="159" t="s">
        <v>3399</v>
      </c>
      <c r="F1124" s="110">
        <v>1</v>
      </c>
      <c r="G1124" s="110" t="s">
        <v>15</v>
      </c>
      <c r="H1124" s="110"/>
      <c r="I1124" s="110"/>
      <c r="J1124" s="110"/>
      <c r="K1124" s="110"/>
      <c r="L1124" s="845"/>
      <c r="M1124" s="112"/>
    </row>
    <row r="1125" spans="1:13" x14ac:dyDescent="0.2">
      <c r="A1125" s="1217"/>
      <c r="B1125" s="166">
        <f>B1124*1000</f>
        <v>4887186.5725150937</v>
      </c>
      <c r="C1125" s="133" t="s">
        <v>15</v>
      </c>
      <c r="E1125" s="83"/>
      <c r="H1125" t="s">
        <v>701</v>
      </c>
      <c r="I1125">
        <v>8.2000000000000007E-3</v>
      </c>
      <c r="J1125" t="s">
        <v>702</v>
      </c>
      <c r="K1125" t="s">
        <v>701</v>
      </c>
      <c r="L1125" s="166">
        <f>I1125*B$1126</f>
        <v>80149.859789247537</v>
      </c>
      <c r="M1125" s="127" t="s">
        <v>3367</v>
      </c>
    </row>
    <row r="1126" spans="1:13" x14ac:dyDescent="0.2">
      <c r="A1126" s="1217"/>
      <c r="B1126" s="1218">
        <f>B1125*D1124</f>
        <v>9774373.1450301874</v>
      </c>
      <c r="C1126" s="1114" t="s">
        <v>15</v>
      </c>
      <c r="D1126" s="6" t="s">
        <v>577</v>
      </c>
      <c r="E1126" s="83"/>
      <c r="H1126" t="s">
        <v>703</v>
      </c>
      <c r="I1126" s="33">
        <v>1.03715E-7</v>
      </c>
      <c r="J1126" t="s">
        <v>704</v>
      </c>
      <c r="K1126" t="s">
        <v>703</v>
      </c>
      <c r="L1126" s="166">
        <f t="shared" ref="L1126:L1134" si="88">I1126*B$1126</f>
        <v>1.013749110736806</v>
      </c>
      <c r="M1126" s="127" t="s">
        <v>3368</v>
      </c>
    </row>
    <row r="1127" spans="1:13" x14ac:dyDescent="0.2">
      <c r="A1127" s="1217"/>
      <c r="B1127" s="166"/>
      <c r="E1127" s="83"/>
      <c r="H1127" t="s">
        <v>705</v>
      </c>
      <c r="I1127">
        <v>14.472849999999999</v>
      </c>
      <c r="J1127" t="s">
        <v>706</v>
      </c>
      <c r="K1127" t="s">
        <v>705</v>
      </c>
      <c r="L1127" s="166">
        <f t="shared" si="88"/>
        <v>141463036.37205014</v>
      </c>
      <c r="M1127" s="127" t="s">
        <v>3370</v>
      </c>
    </row>
    <row r="1128" spans="1:13" x14ac:dyDescent="0.2">
      <c r="A1128" s="1217"/>
      <c r="B1128" s="166"/>
      <c r="E1128" s="83"/>
      <c r="H1128" t="s">
        <v>3372</v>
      </c>
      <c r="I1128">
        <v>1.1E-4</v>
      </c>
      <c r="J1128" t="s">
        <v>3373</v>
      </c>
      <c r="K1128" t="s">
        <v>3372</v>
      </c>
      <c r="L1128" s="166">
        <f t="shared" si="88"/>
        <v>1075.1810459533206</v>
      </c>
      <c r="M1128" s="127" t="s">
        <v>3374</v>
      </c>
    </row>
    <row r="1129" spans="1:13" x14ac:dyDescent="0.2">
      <c r="A1129" s="1217"/>
      <c r="B1129" s="166"/>
      <c r="E1129" s="83"/>
      <c r="H1129" t="s">
        <v>3375</v>
      </c>
      <c r="I1129">
        <v>4.0000000000000001E-3</v>
      </c>
      <c r="J1129" t="s">
        <v>707</v>
      </c>
      <c r="K1129" t="s">
        <v>3375</v>
      </c>
      <c r="L1129" s="166">
        <f t="shared" si="88"/>
        <v>39097.49258012075</v>
      </c>
      <c r="M1129" s="127" t="s">
        <v>3376</v>
      </c>
    </row>
    <row r="1130" spans="1:13" x14ac:dyDescent="0.2">
      <c r="A1130" s="1217"/>
      <c r="B1130" s="166"/>
      <c r="E1130" s="83"/>
      <c r="H1130" t="s">
        <v>708</v>
      </c>
      <c r="I1130">
        <v>2.29596</v>
      </c>
      <c r="J1130" t="s">
        <v>709</v>
      </c>
      <c r="K1130" t="s">
        <v>708</v>
      </c>
      <c r="L1130" s="166">
        <f t="shared" si="88"/>
        <v>22441569.766063508</v>
      </c>
      <c r="M1130" s="127" t="s">
        <v>3377</v>
      </c>
    </row>
    <row r="1131" spans="1:13" x14ac:dyDescent="0.2">
      <c r="A1131" s="1217"/>
      <c r="B1131" s="166"/>
      <c r="E1131" s="83"/>
      <c r="H1131" t="s">
        <v>3378</v>
      </c>
      <c r="I1131" s="33">
        <v>2.0654900000000001E-7</v>
      </c>
      <c r="J1131" t="s">
        <v>704</v>
      </c>
      <c r="K1131" t="s">
        <v>3378</v>
      </c>
      <c r="L1131" s="166">
        <f t="shared" si="88"/>
        <v>2.0188869987328402</v>
      </c>
      <c r="M1131" s="127" t="s">
        <v>3368</v>
      </c>
    </row>
    <row r="1132" spans="1:13" x14ac:dyDescent="0.2">
      <c r="A1132" s="1217"/>
      <c r="B1132" s="166"/>
      <c r="E1132" s="83"/>
      <c r="H1132" t="s">
        <v>710</v>
      </c>
      <c r="I1132" s="33">
        <v>9.36496E-8</v>
      </c>
      <c r="J1132" t="s">
        <v>3379</v>
      </c>
      <c r="K1132" t="s">
        <v>710</v>
      </c>
      <c r="L1132" s="166">
        <f t="shared" si="88"/>
        <v>0.91536613528281907</v>
      </c>
      <c r="M1132" s="127" t="s">
        <v>3380</v>
      </c>
    </row>
    <row r="1133" spans="1:13" x14ac:dyDescent="0.2">
      <c r="A1133" s="1217"/>
      <c r="B1133" s="166"/>
      <c r="E1133" s="83"/>
      <c r="H1133" t="s">
        <v>3381</v>
      </c>
      <c r="I1133">
        <v>1.6999999999999999E-3</v>
      </c>
      <c r="J1133" t="s">
        <v>3382</v>
      </c>
      <c r="K1133" t="s">
        <v>3381</v>
      </c>
      <c r="L1133" s="166">
        <f t="shared" si="88"/>
        <v>16616.434346551319</v>
      </c>
      <c r="M1133" s="127" t="s">
        <v>3383</v>
      </c>
    </row>
    <row r="1134" spans="1:13" x14ac:dyDescent="0.2">
      <c r="A1134" s="1217"/>
      <c r="B1134" s="166"/>
      <c r="E1134" s="83"/>
      <c r="H1134" t="s">
        <v>3384</v>
      </c>
      <c r="I1134">
        <v>9.5829999999999999E-2</v>
      </c>
      <c r="J1134" t="s">
        <v>711</v>
      </c>
      <c r="K1134" t="s">
        <v>3384</v>
      </c>
      <c r="L1134" s="166">
        <f t="shared" si="88"/>
        <v>936678.17848824291</v>
      </c>
      <c r="M1134" s="127" t="s">
        <v>3385</v>
      </c>
    </row>
    <row r="1135" spans="1:13" x14ac:dyDescent="0.2">
      <c r="A1135" s="1219"/>
      <c r="B1135" s="833"/>
      <c r="C1135" s="1102"/>
      <c r="D1135" s="118"/>
      <c r="E1135" s="1220"/>
      <c r="F1135" s="118"/>
      <c r="G1135" s="118"/>
      <c r="H1135" s="118"/>
      <c r="I1135" s="118"/>
      <c r="J1135" s="118"/>
      <c r="K1135" s="118"/>
      <c r="L1135" s="833"/>
      <c r="M1135" s="120"/>
    </row>
    <row r="1136" spans="1:13" ht="32" x14ac:dyDescent="0.2">
      <c r="A1136" s="1215" t="s">
        <v>714</v>
      </c>
      <c r="B1136" s="1231">
        <v>280194657.54113233</v>
      </c>
      <c r="C1136" s="1232" t="s">
        <v>3430</v>
      </c>
      <c r="D1136" s="110"/>
      <c r="E1136" s="1216" t="s">
        <v>3404</v>
      </c>
      <c r="F1136" s="110">
        <v>1</v>
      </c>
      <c r="G1136" s="110" t="s">
        <v>378</v>
      </c>
      <c r="H1136" s="110"/>
      <c r="I1136" s="110"/>
      <c r="J1136" s="110"/>
      <c r="K1136" s="110"/>
      <c r="L1136" s="845"/>
      <c r="M1136" s="112"/>
    </row>
    <row r="1137" spans="1:15" x14ac:dyDescent="0.2">
      <c r="A1137" s="637"/>
      <c r="B1137" s="166"/>
      <c r="E1137" s="83"/>
      <c r="H1137" t="s">
        <v>701</v>
      </c>
      <c r="I1137">
        <v>7.5000000000000002E-4</v>
      </c>
      <c r="J1137" t="s">
        <v>702</v>
      </c>
      <c r="K1137" t="s">
        <v>701</v>
      </c>
      <c r="L1137" s="166">
        <f>I1137*B$1136</f>
        <v>210145.99315584925</v>
      </c>
      <c r="M1137" s="127" t="s">
        <v>3367</v>
      </c>
    </row>
    <row r="1138" spans="1:15" x14ac:dyDescent="0.2">
      <c r="A1138" s="1217"/>
      <c r="B1138" s="166"/>
      <c r="E1138" s="83"/>
      <c r="H1138" t="s">
        <v>703</v>
      </c>
      <c r="I1138" s="33">
        <v>3.3111200000000002E-8</v>
      </c>
      <c r="J1138" t="s">
        <v>704</v>
      </c>
      <c r="K1138" t="s">
        <v>703</v>
      </c>
      <c r="L1138" s="166">
        <f t="shared" ref="L1138:L1146" si="89">I1138*B$1136</f>
        <v>9.2775813447759408</v>
      </c>
      <c r="M1138" s="127" t="s">
        <v>3368</v>
      </c>
    </row>
    <row r="1139" spans="1:15" x14ac:dyDescent="0.2">
      <c r="A1139" s="1217"/>
      <c r="B1139" s="166"/>
      <c r="E1139" s="83"/>
      <c r="H1139" t="s">
        <v>705</v>
      </c>
      <c r="I1139">
        <v>4.1968100000000002</v>
      </c>
      <c r="J1139" t="s">
        <v>706</v>
      </c>
      <c r="K1139" t="s">
        <v>705</v>
      </c>
      <c r="L1139" s="166">
        <f t="shared" si="89"/>
        <v>1175923740.7151997</v>
      </c>
      <c r="M1139" s="127" t="s">
        <v>3370</v>
      </c>
    </row>
    <row r="1140" spans="1:15" x14ac:dyDescent="0.2">
      <c r="A1140" s="1217"/>
      <c r="B1140" s="166"/>
      <c r="E1140" s="83"/>
      <c r="H1140" t="s">
        <v>3372</v>
      </c>
      <c r="I1140">
        <v>3.2000000000000003E-4</v>
      </c>
      <c r="J1140" t="s">
        <v>3373</v>
      </c>
      <c r="K1140" t="s">
        <v>3372</v>
      </c>
      <c r="L1140" s="166">
        <f t="shared" si="89"/>
        <v>89662.290413162351</v>
      </c>
      <c r="M1140" s="127" t="s">
        <v>3374</v>
      </c>
    </row>
    <row r="1141" spans="1:15" x14ac:dyDescent="0.2">
      <c r="A1141" s="1217"/>
      <c r="B1141" s="166"/>
      <c r="E1141" s="83"/>
      <c r="H1141" t="s">
        <v>3375</v>
      </c>
      <c r="I1141">
        <v>5.2999999999999998E-4</v>
      </c>
      <c r="J1141" t="s">
        <v>707</v>
      </c>
      <c r="K1141" t="s">
        <v>3375</v>
      </c>
      <c r="L1141" s="166">
        <f t="shared" si="89"/>
        <v>148503.16849680012</v>
      </c>
      <c r="M1141" s="127" t="s">
        <v>3376</v>
      </c>
    </row>
    <row r="1142" spans="1:15" x14ac:dyDescent="0.2">
      <c r="A1142" s="1217"/>
      <c r="B1142" s="166"/>
      <c r="E1142" s="83"/>
      <c r="H1142" t="s">
        <v>708</v>
      </c>
      <c r="I1142">
        <v>0.39150000000000001</v>
      </c>
      <c r="J1142" t="s">
        <v>709</v>
      </c>
      <c r="K1142" t="s">
        <v>708</v>
      </c>
      <c r="L1142" s="166">
        <f t="shared" si="89"/>
        <v>109696208.42735331</v>
      </c>
      <c r="M1142" s="127" t="s">
        <v>3377</v>
      </c>
    </row>
    <row r="1143" spans="1:15" x14ac:dyDescent="0.2">
      <c r="A1143" s="1217"/>
      <c r="B1143" s="166"/>
      <c r="E1143" s="83"/>
      <c r="H1143" t="s">
        <v>3378</v>
      </c>
      <c r="I1143" s="33">
        <v>9.8849699999999999E-8</v>
      </c>
      <c r="J1143" t="s">
        <v>704</v>
      </c>
      <c r="K1143" t="s">
        <v>3378</v>
      </c>
      <c r="L1143" s="166">
        <f t="shared" si="89"/>
        <v>27.697157839543667</v>
      </c>
      <c r="M1143" s="127" t="s">
        <v>3368</v>
      </c>
    </row>
    <row r="1144" spans="1:15" x14ac:dyDescent="0.2">
      <c r="A1144" s="1217"/>
      <c r="B1144" s="166"/>
      <c r="E1144" s="83"/>
      <c r="H1144" t="s">
        <v>710</v>
      </c>
      <c r="I1144" s="33">
        <v>1.51061E-9</v>
      </c>
      <c r="J1144" t="s">
        <v>3379</v>
      </c>
      <c r="K1144" t="s">
        <v>710</v>
      </c>
      <c r="L1144" s="166">
        <f t="shared" si="89"/>
        <v>0.42326485162820993</v>
      </c>
      <c r="M1144" s="127" t="s">
        <v>3380</v>
      </c>
    </row>
    <row r="1145" spans="1:15" x14ac:dyDescent="0.2">
      <c r="A1145" s="1217"/>
      <c r="B1145" s="166"/>
      <c r="E1145" s="83"/>
      <c r="H1145" t="s">
        <v>3381</v>
      </c>
      <c r="I1145">
        <v>1.01E-3</v>
      </c>
      <c r="J1145" t="s">
        <v>3382</v>
      </c>
      <c r="K1145" t="s">
        <v>3381</v>
      </c>
      <c r="L1145" s="166">
        <f t="shared" si="89"/>
        <v>282996.60411654366</v>
      </c>
      <c r="M1145" s="127" t="s">
        <v>3383</v>
      </c>
    </row>
    <row r="1146" spans="1:15" x14ac:dyDescent="0.2">
      <c r="A1146" s="1217"/>
      <c r="B1146" s="166"/>
      <c r="E1146" s="83"/>
      <c r="H1146" t="s">
        <v>3384</v>
      </c>
      <c r="I1146">
        <v>1.2200000000000001E-2</v>
      </c>
      <c r="J1146" t="s">
        <v>711</v>
      </c>
      <c r="K1146" t="s">
        <v>3384</v>
      </c>
      <c r="L1146" s="166">
        <f t="shared" si="89"/>
        <v>3418374.8220018148</v>
      </c>
      <c r="M1146" s="127" t="s">
        <v>3385</v>
      </c>
    </row>
    <row r="1147" spans="1:15" x14ac:dyDescent="0.2">
      <c r="A1147" s="1219"/>
      <c r="B1147" s="833"/>
      <c r="C1147" s="1102"/>
      <c r="D1147" s="118"/>
      <c r="E1147" s="1220"/>
      <c r="F1147" s="118"/>
      <c r="G1147" s="118"/>
      <c r="H1147" s="118"/>
      <c r="I1147" s="118"/>
      <c r="J1147" s="118"/>
      <c r="K1147" s="118"/>
      <c r="L1147" s="833"/>
      <c r="M1147" s="120"/>
    </row>
    <row r="1151" spans="1:15" ht="16" thickBot="1" x14ac:dyDescent="0.25"/>
    <row r="1152" spans="1:15" x14ac:dyDescent="0.2">
      <c r="A1152" s="1955" t="s">
        <v>532</v>
      </c>
      <c r="B1152" s="1956"/>
      <c r="C1152" s="1956"/>
      <c r="D1152" s="1956"/>
      <c r="E1152" s="1956"/>
      <c r="F1152" s="1956"/>
      <c r="G1152" s="1956"/>
      <c r="H1152" s="1956"/>
      <c r="I1152" s="1956"/>
      <c r="J1152" s="1956"/>
      <c r="K1152" s="1956"/>
      <c r="L1152" s="1956"/>
      <c r="M1152" s="1956"/>
      <c r="N1152" s="1956"/>
      <c r="O1152" s="1957"/>
    </row>
    <row r="1153" spans="1:15" ht="16" thickBot="1" x14ac:dyDescent="0.25">
      <c r="A1153" s="1958"/>
      <c r="B1153" s="1959"/>
      <c r="C1153" s="1959"/>
      <c r="D1153" s="1959"/>
      <c r="E1153" s="1959"/>
      <c r="F1153" s="1959"/>
      <c r="G1153" s="1959"/>
      <c r="H1153" s="1959"/>
      <c r="I1153" s="1959"/>
      <c r="J1153" s="1959"/>
      <c r="K1153" s="1959"/>
      <c r="L1153" s="1959"/>
      <c r="M1153" s="1959"/>
      <c r="N1153" s="1959"/>
      <c r="O1153" s="1960"/>
    </row>
    <row r="1154" spans="1:15" s="6" customFormat="1" x14ac:dyDescent="0.2">
      <c r="A1154" s="1920" t="s">
        <v>697</v>
      </c>
      <c r="B1154" s="1515" t="s">
        <v>698</v>
      </c>
      <c r="C1154" s="1515"/>
      <c r="D1154" s="1515"/>
      <c r="E1154" s="1921" t="s">
        <v>3362</v>
      </c>
      <c r="F1154" s="1515" t="s">
        <v>699</v>
      </c>
      <c r="G1154" s="1515"/>
      <c r="H1154" s="1515" t="s">
        <v>3363</v>
      </c>
      <c r="I1154" s="1515"/>
      <c r="J1154" s="1515"/>
      <c r="K1154" s="1515" t="s">
        <v>700</v>
      </c>
      <c r="L1154" s="1515"/>
      <c r="M1154" s="1515"/>
    </row>
    <row r="1155" spans="1:15" s="6" customFormat="1" ht="15.75" customHeight="1" x14ac:dyDescent="0.2">
      <c r="A1155" s="1520"/>
      <c r="B1155" s="1214" t="s">
        <v>515</v>
      </c>
      <c r="C1155" s="969" t="s">
        <v>372</v>
      </c>
      <c r="D1155" s="969" t="s">
        <v>583</v>
      </c>
      <c r="E1155" s="1922"/>
      <c r="F1155" s="969" t="s">
        <v>42</v>
      </c>
      <c r="G1155" s="969" t="s">
        <v>372</v>
      </c>
      <c r="H1155" s="29" t="s">
        <v>697</v>
      </c>
      <c r="I1155" s="969" t="s">
        <v>42</v>
      </c>
      <c r="J1155" s="969" t="s">
        <v>372</v>
      </c>
      <c r="K1155" s="969" t="s">
        <v>697</v>
      </c>
      <c r="L1155" s="1214" t="s">
        <v>42</v>
      </c>
      <c r="M1155" s="969" t="s">
        <v>372</v>
      </c>
    </row>
    <row r="1156" spans="1:15" ht="16" x14ac:dyDescent="0.2">
      <c r="A1156" s="486" t="s">
        <v>1027</v>
      </c>
      <c r="B1156" s="845">
        <v>124585.31281886628</v>
      </c>
      <c r="C1156" s="1159" t="s">
        <v>267</v>
      </c>
      <c r="D1156" s="1229">
        <v>2</v>
      </c>
      <c r="E1156" s="1216" t="s">
        <v>3388</v>
      </c>
      <c r="F1156" s="110"/>
      <c r="G1156" s="110"/>
      <c r="H1156" s="110"/>
      <c r="I1156" s="110"/>
      <c r="J1156" s="110"/>
      <c r="K1156" s="110"/>
      <c r="L1156" s="845"/>
      <c r="M1156" s="112"/>
    </row>
    <row r="1157" spans="1:15" x14ac:dyDescent="0.2">
      <c r="A1157" s="1217"/>
      <c r="B1157" s="166">
        <f>B1156/1000</f>
        <v>124.58531281886629</v>
      </c>
      <c r="C1157" s="133" t="s">
        <v>444</v>
      </c>
      <c r="F1157">
        <v>1</v>
      </c>
      <c r="G1157" t="s">
        <v>713</v>
      </c>
      <c r="H1157" t="s">
        <v>701</v>
      </c>
      <c r="I1157">
        <v>0.14229</v>
      </c>
      <c r="J1157" t="s">
        <v>702</v>
      </c>
      <c r="K1157" t="s">
        <v>701</v>
      </c>
      <c r="L1157" s="166">
        <f>I1157*B$1162</f>
        <v>25.32762</v>
      </c>
      <c r="M1157" s="127" t="s">
        <v>3367</v>
      </c>
    </row>
    <row r="1158" spans="1:15" x14ac:dyDescent="0.2">
      <c r="A1158" s="1217"/>
      <c r="B1158" s="166">
        <v>20</v>
      </c>
      <c r="C1158" s="133" t="s">
        <v>10</v>
      </c>
      <c r="D1158" t="s">
        <v>3390</v>
      </c>
      <c r="E1158" s="83"/>
      <c r="F1158">
        <v>40</v>
      </c>
      <c r="G1158" t="s">
        <v>12</v>
      </c>
      <c r="H1158" t="s">
        <v>703</v>
      </c>
      <c r="I1158" s="33">
        <v>2.2291000000000001E-5</v>
      </c>
      <c r="J1158" t="s">
        <v>704</v>
      </c>
      <c r="K1158" t="s">
        <v>703</v>
      </c>
      <c r="L1158" s="166">
        <f t="shared" ref="L1158:L1166" si="90">I1158*B$1162</f>
        <v>3.9677979999999998E-3</v>
      </c>
      <c r="M1158" s="127" t="s">
        <v>3368</v>
      </c>
    </row>
    <row r="1159" spans="1:15" x14ac:dyDescent="0.2">
      <c r="A1159" s="1217"/>
      <c r="B1159" s="166">
        <v>0.7</v>
      </c>
      <c r="D1159" t="s">
        <v>3391</v>
      </c>
      <c r="E1159" s="83"/>
      <c r="H1159" t="s">
        <v>705</v>
      </c>
      <c r="I1159">
        <v>3203.5834399999999</v>
      </c>
      <c r="J1159" t="s">
        <v>706</v>
      </c>
      <c r="K1159" t="s">
        <v>705</v>
      </c>
      <c r="L1159" s="166">
        <f t="shared" si="90"/>
        <v>570237.85231999995</v>
      </c>
      <c r="M1159" s="127" t="s">
        <v>3370</v>
      </c>
    </row>
    <row r="1160" spans="1:15" x14ac:dyDescent="0.2">
      <c r="A1160" s="1217"/>
      <c r="B1160" s="166">
        <f>B1157*B1158/B1159</f>
        <v>3559.5803662533226</v>
      </c>
      <c r="C1160" s="133" t="s">
        <v>12</v>
      </c>
      <c r="E1160" s="83"/>
      <c r="H1160" t="s">
        <v>3372</v>
      </c>
      <c r="I1160">
        <v>1.278E-2</v>
      </c>
      <c r="J1160" t="s">
        <v>3373</v>
      </c>
      <c r="K1160" t="s">
        <v>3372</v>
      </c>
      <c r="L1160" s="166">
        <f t="shared" si="90"/>
        <v>2.2748399999999998</v>
      </c>
      <c r="M1160" s="127" t="s">
        <v>3374</v>
      </c>
    </row>
    <row r="1161" spans="1:15" x14ac:dyDescent="0.2">
      <c r="A1161" s="1217"/>
      <c r="B1161" s="166">
        <f>B1160*D1156</f>
        <v>7119.1607325066452</v>
      </c>
      <c r="C1161" s="133" t="s">
        <v>12</v>
      </c>
      <c r="E1161" s="83"/>
      <c r="H1161" t="s">
        <v>3375</v>
      </c>
      <c r="I1161">
        <v>3.7339999999999998E-2</v>
      </c>
      <c r="J1161" t="s">
        <v>707</v>
      </c>
      <c r="K1161" t="s">
        <v>3375</v>
      </c>
      <c r="L1161" s="166">
        <f t="shared" si="90"/>
        <v>6.6465199999999998</v>
      </c>
      <c r="M1161" s="127" t="s">
        <v>3376</v>
      </c>
    </row>
    <row r="1162" spans="1:15" x14ac:dyDescent="0.2">
      <c r="A1162" s="1217"/>
      <c r="B1162" s="1218">
        <f>ROUNDUP(B1161/F1158,0)</f>
        <v>178</v>
      </c>
      <c r="C1162" s="1114" t="s">
        <v>3392</v>
      </c>
      <c r="D1162" s="6" t="s">
        <v>577</v>
      </c>
      <c r="E1162" s="83"/>
      <c r="H1162" t="s">
        <v>708</v>
      </c>
      <c r="I1162">
        <v>9.0477000000000007</v>
      </c>
      <c r="J1162" t="s">
        <v>709</v>
      </c>
      <c r="K1162" t="s">
        <v>708</v>
      </c>
      <c r="L1162" s="166">
        <f t="shared" si="90"/>
        <v>1610.4906000000001</v>
      </c>
      <c r="M1162" s="127" t="s">
        <v>3377</v>
      </c>
    </row>
    <row r="1163" spans="1:15" x14ac:dyDescent="0.2">
      <c r="A1163" s="1217"/>
      <c r="B1163" s="166"/>
      <c r="E1163" s="83"/>
      <c r="H1163" t="s">
        <v>3378</v>
      </c>
      <c r="I1163" s="33">
        <v>3.5905399999999997E-5</v>
      </c>
      <c r="J1163" t="s">
        <v>704</v>
      </c>
      <c r="K1163" t="s">
        <v>3378</v>
      </c>
      <c r="L1163" s="166">
        <f t="shared" si="90"/>
        <v>6.3911611999999994E-3</v>
      </c>
      <c r="M1163" s="127" t="s">
        <v>3368</v>
      </c>
    </row>
    <row r="1164" spans="1:15" x14ac:dyDescent="0.2">
      <c r="A1164" s="1217"/>
      <c r="B1164" s="166"/>
      <c r="E1164" s="83"/>
      <c r="H1164" t="s">
        <v>710</v>
      </c>
      <c r="I1164" s="33">
        <v>1.7364199999999999E-7</v>
      </c>
      <c r="J1164" t="s">
        <v>3379</v>
      </c>
      <c r="K1164" t="s">
        <v>710</v>
      </c>
      <c r="L1164" s="166">
        <f t="shared" si="90"/>
        <v>3.0908275999999998E-5</v>
      </c>
      <c r="M1164" s="127" t="s">
        <v>3380</v>
      </c>
    </row>
    <row r="1165" spans="1:15" x14ac:dyDescent="0.2">
      <c r="A1165" s="1217"/>
      <c r="B1165" s="166"/>
      <c r="E1165" s="83"/>
      <c r="H1165" t="s">
        <v>3381</v>
      </c>
      <c r="I1165">
        <v>2.9360000000000001E-2</v>
      </c>
      <c r="J1165" t="s">
        <v>3382</v>
      </c>
      <c r="K1165" t="s">
        <v>3381</v>
      </c>
      <c r="L1165" s="166">
        <f t="shared" si="90"/>
        <v>5.2260800000000005</v>
      </c>
      <c r="M1165" s="127" t="s">
        <v>3383</v>
      </c>
    </row>
    <row r="1166" spans="1:15" x14ac:dyDescent="0.2">
      <c r="A1166" s="1217"/>
      <c r="B1166" s="166"/>
      <c r="E1166" s="83"/>
      <c r="H1166" t="s">
        <v>3384</v>
      </c>
      <c r="I1166">
        <v>0.84404000000000001</v>
      </c>
      <c r="J1166" t="s">
        <v>711</v>
      </c>
      <c r="K1166" t="s">
        <v>3384</v>
      </c>
      <c r="L1166" s="166">
        <f t="shared" si="90"/>
        <v>150.23912000000001</v>
      </c>
      <c r="M1166" s="127" t="s">
        <v>3385</v>
      </c>
    </row>
    <row r="1167" spans="1:15" x14ac:dyDescent="0.2">
      <c r="A1167" s="1219"/>
      <c r="B1167" s="833"/>
      <c r="C1167" s="1102"/>
      <c r="D1167" s="118"/>
      <c r="E1167" s="1220"/>
      <c r="F1167" s="118"/>
      <c r="G1167" s="118"/>
      <c r="H1167" s="118"/>
      <c r="I1167" s="118"/>
      <c r="J1167" s="118"/>
      <c r="K1167" s="118"/>
      <c r="L1167" s="833"/>
      <c r="M1167" s="120"/>
    </row>
    <row r="1168" spans="1:15" ht="32" x14ac:dyDescent="0.2">
      <c r="A1168" s="486" t="s">
        <v>2514</v>
      </c>
      <c r="B1168" s="845">
        <v>124585.31281886628</v>
      </c>
      <c r="C1168" s="1159" t="s">
        <v>267</v>
      </c>
      <c r="D1168" s="1229">
        <v>2</v>
      </c>
      <c r="E1168" s="1230" t="s">
        <v>3427</v>
      </c>
      <c r="F1168" s="110">
        <v>1</v>
      </c>
      <c r="G1168" s="110" t="s">
        <v>3428</v>
      </c>
      <c r="H1168" s="110"/>
      <c r="I1168" s="110"/>
      <c r="J1168" s="110"/>
      <c r="K1168" s="110"/>
      <c r="L1168" s="845"/>
      <c r="M1168" s="112"/>
    </row>
    <row r="1169" spans="1:13" x14ac:dyDescent="0.2">
      <c r="A1169" s="1217"/>
      <c r="B1169" s="166">
        <f>B1168/1000</f>
        <v>124.58531281886629</v>
      </c>
      <c r="C1169" s="133" t="s">
        <v>444</v>
      </c>
      <c r="E1169" s="83"/>
      <c r="F1169">
        <v>2500</v>
      </c>
      <c r="G1169" t="s">
        <v>3421</v>
      </c>
      <c r="H1169" t="s">
        <v>701</v>
      </c>
      <c r="I1169">
        <v>131.79313999999999</v>
      </c>
      <c r="J1169" t="s">
        <v>702</v>
      </c>
      <c r="K1169" t="s">
        <v>701</v>
      </c>
      <c r="L1169" s="166">
        <f>I1169*B$1171</f>
        <v>1317.9313999999999</v>
      </c>
      <c r="M1169" s="127" t="s">
        <v>3367</v>
      </c>
    </row>
    <row r="1170" spans="1:13" x14ac:dyDescent="0.2">
      <c r="A1170" s="1217"/>
      <c r="B1170" s="166">
        <v>30</v>
      </c>
      <c r="C1170" s="133" t="s">
        <v>444</v>
      </c>
      <c r="E1170" s="83"/>
      <c r="H1170" t="s">
        <v>703</v>
      </c>
      <c r="I1170">
        <v>1.6650000000000002E-2</v>
      </c>
      <c r="J1170" t="s">
        <v>704</v>
      </c>
      <c r="K1170" t="s">
        <v>703</v>
      </c>
      <c r="L1170" s="166">
        <f t="shared" ref="L1170:L1178" si="91">I1170*B$1171</f>
        <v>0.16650000000000001</v>
      </c>
      <c r="M1170" s="127" t="s">
        <v>3368</v>
      </c>
    </row>
    <row r="1171" spans="1:13" x14ac:dyDescent="0.2">
      <c r="A1171" s="1217"/>
      <c r="B1171" s="1218">
        <f>ROUNDUP(B1169/B1170,0)*D1168</f>
        <v>10</v>
      </c>
      <c r="C1171" s="1114" t="s">
        <v>3409</v>
      </c>
      <c r="D1171" s="6" t="s">
        <v>577</v>
      </c>
      <c r="E1171" s="83"/>
      <c r="H1171" t="s">
        <v>705</v>
      </c>
      <c r="I1171" s="33">
        <v>3506090</v>
      </c>
      <c r="J1171" t="s">
        <v>706</v>
      </c>
      <c r="K1171" t="s">
        <v>705</v>
      </c>
      <c r="L1171" s="166">
        <f t="shared" si="91"/>
        <v>35060900</v>
      </c>
      <c r="M1171" s="127" t="s">
        <v>3370</v>
      </c>
    </row>
    <row r="1172" spans="1:13" x14ac:dyDescent="0.2">
      <c r="A1172" s="1217"/>
      <c r="B1172" s="166"/>
      <c r="E1172" s="83"/>
      <c r="H1172" t="s">
        <v>3372</v>
      </c>
      <c r="I1172">
        <v>23.977810000000002</v>
      </c>
      <c r="J1172" t="s">
        <v>3373</v>
      </c>
      <c r="K1172" t="s">
        <v>3372</v>
      </c>
      <c r="L1172" s="166">
        <f t="shared" si="91"/>
        <v>239.77810000000002</v>
      </c>
      <c r="M1172" s="127" t="s">
        <v>3374</v>
      </c>
    </row>
    <row r="1173" spans="1:13" x14ac:dyDescent="0.2">
      <c r="A1173" s="1217"/>
      <c r="B1173" s="166"/>
      <c r="E1173" s="83"/>
      <c r="H1173" t="s">
        <v>3375</v>
      </c>
      <c r="I1173">
        <v>72.539479999999998</v>
      </c>
      <c r="J1173" t="s">
        <v>707</v>
      </c>
      <c r="K1173" t="s">
        <v>3375</v>
      </c>
      <c r="L1173" s="166">
        <f t="shared" si="91"/>
        <v>725.39480000000003</v>
      </c>
      <c r="M1173" s="127" t="s">
        <v>3376</v>
      </c>
    </row>
    <row r="1174" spans="1:13" x14ac:dyDescent="0.2">
      <c r="A1174" s="1217"/>
      <c r="B1174" s="166"/>
      <c r="E1174" s="83"/>
      <c r="H1174" t="s">
        <v>708</v>
      </c>
      <c r="I1174" s="33">
        <v>22858.9</v>
      </c>
      <c r="J1174" t="s">
        <v>709</v>
      </c>
      <c r="K1174" t="s">
        <v>708</v>
      </c>
      <c r="L1174" s="166">
        <f t="shared" si="91"/>
        <v>228589</v>
      </c>
      <c r="M1174" s="127" t="s">
        <v>3377</v>
      </c>
    </row>
    <row r="1175" spans="1:13" x14ac:dyDescent="0.2">
      <c r="A1175" s="1217"/>
      <c r="B1175" s="166"/>
      <c r="E1175" s="83"/>
      <c r="H1175" t="s">
        <v>3378</v>
      </c>
      <c r="I1175">
        <v>3.8490000000000003E-2</v>
      </c>
      <c r="J1175" t="s">
        <v>704</v>
      </c>
      <c r="K1175" t="s">
        <v>3378</v>
      </c>
      <c r="L1175" s="166">
        <f t="shared" si="91"/>
        <v>0.38490000000000002</v>
      </c>
      <c r="M1175" s="127" t="s">
        <v>3368</v>
      </c>
    </row>
    <row r="1176" spans="1:13" x14ac:dyDescent="0.2">
      <c r="A1176" s="1217"/>
      <c r="B1176" s="166"/>
      <c r="E1176" s="83"/>
      <c r="H1176" t="s">
        <v>710</v>
      </c>
      <c r="I1176">
        <v>1.14E-3</v>
      </c>
      <c r="J1176" t="s">
        <v>3379</v>
      </c>
      <c r="K1176" t="s">
        <v>710</v>
      </c>
      <c r="L1176" s="166">
        <f t="shared" si="91"/>
        <v>1.14E-2</v>
      </c>
      <c r="M1176" s="127" t="s">
        <v>3380</v>
      </c>
    </row>
    <row r="1177" spans="1:13" x14ac:dyDescent="0.2">
      <c r="A1177" s="1217"/>
      <c r="B1177" s="166"/>
      <c r="E1177" s="83"/>
      <c r="H1177" t="s">
        <v>3381</v>
      </c>
      <c r="I1177">
        <v>34.951729999999998</v>
      </c>
      <c r="J1177" t="s">
        <v>3382</v>
      </c>
      <c r="K1177" t="s">
        <v>3381</v>
      </c>
      <c r="L1177" s="166">
        <f t="shared" si="91"/>
        <v>349.51729999999998</v>
      </c>
      <c r="M1177" s="127" t="s">
        <v>3383</v>
      </c>
    </row>
    <row r="1178" spans="1:13" x14ac:dyDescent="0.2">
      <c r="A1178" s="1217"/>
      <c r="B1178" s="166"/>
      <c r="E1178" s="83"/>
      <c r="H1178" t="s">
        <v>3384</v>
      </c>
      <c r="I1178">
        <v>1697.46082</v>
      </c>
      <c r="J1178" t="s">
        <v>711</v>
      </c>
      <c r="K1178" t="s">
        <v>3384</v>
      </c>
      <c r="L1178" s="166">
        <f t="shared" si="91"/>
        <v>16974.608199999999</v>
      </c>
      <c r="M1178" s="127" t="s">
        <v>3385</v>
      </c>
    </row>
    <row r="1179" spans="1:13" x14ac:dyDescent="0.2">
      <c r="A1179" s="1219"/>
      <c r="B1179" s="833"/>
      <c r="C1179" s="1102"/>
      <c r="D1179" s="118"/>
      <c r="E1179" s="1220"/>
      <c r="F1179" s="118"/>
      <c r="G1179" s="118"/>
      <c r="H1179" s="118"/>
      <c r="I1179" s="118"/>
      <c r="J1179" s="118"/>
      <c r="K1179" s="118"/>
      <c r="L1179" s="833"/>
      <c r="M1179" s="120"/>
    </row>
    <row r="1180" spans="1:13" ht="32" x14ac:dyDescent="0.2">
      <c r="A1180" s="486" t="s">
        <v>2515</v>
      </c>
      <c r="B1180" s="845">
        <v>40385.575003363694</v>
      </c>
      <c r="C1180" s="1159" t="s">
        <v>267</v>
      </c>
      <c r="D1180" s="1229">
        <v>2</v>
      </c>
      <c r="E1180" s="1230" t="s">
        <v>3427</v>
      </c>
      <c r="F1180" s="110">
        <v>1</v>
      </c>
      <c r="G1180" s="110" t="s">
        <v>3428</v>
      </c>
      <c r="H1180" s="110"/>
      <c r="I1180" s="110"/>
      <c r="J1180" s="110"/>
      <c r="K1180" s="110"/>
      <c r="L1180" s="845"/>
      <c r="M1180" s="112"/>
    </row>
    <row r="1181" spans="1:13" x14ac:dyDescent="0.2">
      <c r="A1181" s="1217"/>
      <c r="B1181" s="166">
        <f>F1181*2</f>
        <v>5000</v>
      </c>
      <c r="C1181" s="133" t="s">
        <v>267</v>
      </c>
      <c r="E1181" s="83"/>
      <c r="F1181">
        <v>2500</v>
      </c>
      <c r="G1181" t="s">
        <v>3421</v>
      </c>
      <c r="H1181" t="s">
        <v>701</v>
      </c>
      <c r="I1181">
        <v>131.79313999999999</v>
      </c>
      <c r="J1181" t="s">
        <v>702</v>
      </c>
      <c r="K1181" t="s">
        <v>701</v>
      </c>
      <c r="L1181" s="166">
        <f t="shared" ref="L1181:L1190" si="92">I1181*B$1182</f>
        <v>2372.2765199999999</v>
      </c>
      <c r="M1181" s="127" t="s">
        <v>3367</v>
      </c>
    </row>
    <row r="1182" spans="1:13" x14ac:dyDescent="0.2">
      <c r="A1182" s="1217"/>
      <c r="B1182" s="1218">
        <f>ROUNDUP(B1180/B1181,0)*D1180</f>
        <v>18</v>
      </c>
      <c r="C1182" s="1114" t="s">
        <v>3429</v>
      </c>
      <c r="D1182" s="6" t="s">
        <v>577</v>
      </c>
      <c r="E1182" s="83"/>
      <c r="H1182" t="s">
        <v>703</v>
      </c>
      <c r="I1182">
        <v>1.6650000000000002E-2</v>
      </c>
      <c r="J1182" t="s">
        <v>704</v>
      </c>
      <c r="K1182" t="s">
        <v>703</v>
      </c>
      <c r="L1182" s="166">
        <f t="shared" si="92"/>
        <v>0.29970000000000002</v>
      </c>
      <c r="M1182" s="127" t="s">
        <v>3368</v>
      </c>
    </row>
    <row r="1183" spans="1:13" x14ac:dyDescent="0.2">
      <c r="A1183" s="1217"/>
      <c r="B1183" s="166"/>
      <c r="E1183" s="83"/>
      <c r="H1183" t="s">
        <v>705</v>
      </c>
      <c r="I1183" s="33">
        <v>3506090</v>
      </c>
      <c r="J1183" t="s">
        <v>706</v>
      </c>
      <c r="K1183" t="s">
        <v>705</v>
      </c>
      <c r="L1183" s="166">
        <f t="shared" si="92"/>
        <v>63109620</v>
      </c>
      <c r="M1183" s="127" t="s">
        <v>3370</v>
      </c>
    </row>
    <row r="1184" spans="1:13" x14ac:dyDescent="0.2">
      <c r="A1184" s="1217"/>
      <c r="B1184" s="166"/>
      <c r="E1184" s="83"/>
      <c r="H1184" t="s">
        <v>3372</v>
      </c>
      <c r="I1184">
        <v>23.977810000000002</v>
      </c>
      <c r="J1184" t="s">
        <v>3373</v>
      </c>
      <c r="K1184" t="s">
        <v>3372</v>
      </c>
      <c r="L1184" s="166">
        <f t="shared" si="92"/>
        <v>431.60058000000004</v>
      </c>
      <c r="M1184" s="127" t="s">
        <v>3374</v>
      </c>
    </row>
    <row r="1185" spans="1:13" x14ac:dyDescent="0.2">
      <c r="A1185" s="1217"/>
      <c r="B1185" s="166"/>
      <c r="E1185" s="83"/>
      <c r="H1185" t="s">
        <v>3375</v>
      </c>
      <c r="I1185">
        <v>72.539479999999998</v>
      </c>
      <c r="J1185" t="s">
        <v>707</v>
      </c>
      <c r="K1185" t="s">
        <v>3375</v>
      </c>
      <c r="L1185" s="166">
        <f t="shared" si="92"/>
        <v>1305.71064</v>
      </c>
      <c r="M1185" s="127" t="s">
        <v>3376</v>
      </c>
    </row>
    <row r="1186" spans="1:13" x14ac:dyDescent="0.2">
      <c r="A1186" s="1217"/>
      <c r="B1186" s="166"/>
      <c r="E1186" s="83"/>
      <c r="H1186" t="s">
        <v>708</v>
      </c>
      <c r="I1186" s="33">
        <v>22858.9</v>
      </c>
      <c r="J1186" t="s">
        <v>709</v>
      </c>
      <c r="K1186" t="s">
        <v>708</v>
      </c>
      <c r="L1186" s="166">
        <f t="shared" si="92"/>
        <v>411460.2</v>
      </c>
      <c r="M1186" s="127" t="s">
        <v>3377</v>
      </c>
    </row>
    <row r="1187" spans="1:13" x14ac:dyDescent="0.2">
      <c r="A1187" s="1217"/>
      <c r="B1187" s="166"/>
      <c r="E1187" s="83"/>
      <c r="H1187" t="s">
        <v>3378</v>
      </c>
      <c r="I1187">
        <v>3.8490000000000003E-2</v>
      </c>
      <c r="J1187" t="s">
        <v>704</v>
      </c>
      <c r="K1187" t="s">
        <v>3378</v>
      </c>
      <c r="L1187" s="166">
        <f t="shared" si="92"/>
        <v>0.6928200000000001</v>
      </c>
      <c r="M1187" s="127" t="s">
        <v>3368</v>
      </c>
    </row>
    <row r="1188" spans="1:13" x14ac:dyDescent="0.2">
      <c r="A1188" s="1217"/>
      <c r="B1188" s="166"/>
      <c r="E1188" s="83"/>
      <c r="H1188" t="s">
        <v>710</v>
      </c>
      <c r="I1188">
        <v>1.14E-3</v>
      </c>
      <c r="J1188" t="s">
        <v>3379</v>
      </c>
      <c r="K1188" t="s">
        <v>710</v>
      </c>
      <c r="L1188" s="166">
        <f t="shared" si="92"/>
        <v>2.052E-2</v>
      </c>
      <c r="M1188" s="127" t="s">
        <v>3380</v>
      </c>
    </row>
    <row r="1189" spans="1:13" x14ac:dyDescent="0.2">
      <c r="A1189" s="1217"/>
      <c r="B1189" s="166"/>
      <c r="E1189" s="83"/>
      <c r="H1189" t="s">
        <v>3381</v>
      </c>
      <c r="I1189">
        <v>34.951729999999998</v>
      </c>
      <c r="J1189" t="s">
        <v>3382</v>
      </c>
      <c r="K1189" t="s">
        <v>3381</v>
      </c>
      <c r="L1189" s="166">
        <f t="shared" si="92"/>
        <v>629.13113999999996</v>
      </c>
      <c r="M1189" s="127" t="s">
        <v>3383</v>
      </c>
    </row>
    <row r="1190" spans="1:13" x14ac:dyDescent="0.2">
      <c r="A1190" s="1217"/>
      <c r="B1190" s="166"/>
      <c r="E1190" s="83"/>
      <c r="H1190" t="s">
        <v>3384</v>
      </c>
      <c r="I1190">
        <v>1697.46082</v>
      </c>
      <c r="J1190" t="s">
        <v>711</v>
      </c>
      <c r="K1190" t="s">
        <v>3384</v>
      </c>
      <c r="L1190" s="166">
        <f t="shared" si="92"/>
        <v>30554.294760000001</v>
      </c>
      <c r="M1190" s="127" t="s">
        <v>3385</v>
      </c>
    </row>
    <row r="1191" spans="1:13" x14ac:dyDescent="0.2">
      <c r="A1191" s="1219"/>
      <c r="B1191" s="833"/>
      <c r="C1191" s="1102"/>
      <c r="D1191" s="118"/>
      <c r="E1191" s="1220"/>
      <c r="F1191" s="118"/>
      <c r="G1191" s="118"/>
      <c r="H1191" s="118"/>
      <c r="I1191" s="118"/>
      <c r="J1191" s="118"/>
      <c r="K1191" s="118"/>
      <c r="L1191" s="833"/>
      <c r="M1191" s="120"/>
    </row>
    <row r="1192" spans="1:13" ht="32" x14ac:dyDescent="0.2">
      <c r="A1192" s="486" t="s">
        <v>533</v>
      </c>
      <c r="B1192" s="845">
        <v>118.65267887511074</v>
      </c>
      <c r="C1192" s="1159" t="s">
        <v>444</v>
      </c>
      <c r="D1192" s="1229">
        <v>2</v>
      </c>
      <c r="E1192" s="159" t="s">
        <v>718</v>
      </c>
      <c r="F1192" s="110">
        <v>1</v>
      </c>
      <c r="G1192" s="110" t="s">
        <v>3396</v>
      </c>
      <c r="H1192" s="110"/>
      <c r="I1192" s="110"/>
      <c r="J1192" s="110"/>
      <c r="K1192" s="110"/>
      <c r="L1192" s="845"/>
      <c r="M1192" s="112"/>
    </row>
    <row r="1193" spans="1:13" x14ac:dyDescent="0.2">
      <c r="A1193" s="1217"/>
      <c r="B1193" s="166">
        <v>17</v>
      </c>
      <c r="C1193" s="133" t="s">
        <v>7</v>
      </c>
      <c r="E1193" s="83"/>
      <c r="F1193">
        <v>50</v>
      </c>
      <c r="G1193" t="s">
        <v>3397</v>
      </c>
      <c r="H1193" t="s">
        <v>701</v>
      </c>
      <c r="I1193">
        <v>0.82547999999999999</v>
      </c>
      <c r="J1193" t="s">
        <v>702</v>
      </c>
      <c r="K1193" t="s">
        <v>701</v>
      </c>
      <c r="L1193" s="166">
        <f>I1193*B$1196</f>
        <v>3330.1440541660982</v>
      </c>
      <c r="M1193" s="127" t="s">
        <v>3367</v>
      </c>
    </row>
    <row r="1194" spans="1:13" x14ac:dyDescent="0.2">
      <c r="A1194" s="1217"/>
      <c r="B1194" s="166"/>
      <c r="C1194" s="133" t="s">
        <v>3398</v>
      </c>
      <c r="E1194" s="83"/>
      <c r="H1194" t="s">
        <v>703</v>
      </c>
      <c r="I1194" s="33">
        <v>1.3020000000000001E-5</v>
      </c>
      <c r="J1194" t="s">
        <v>704</v>
      </c>
      <c r="K1194" t="s">
        <v>703</v>
      </c>
      <c r="L1194" s="166">
        <f t="shared" ref="L1194:L1202" si="93">I1194*B$1196</f>
        <v>5.2525167884434024E-2</v>
      </c>
      <c r="M1194" s="127" t="s">
        <v>3368</v>
      </c>
    </row>
    <row r="1195" spans="1:13" x14ac:dyDescent="0.2">
      <c r="A1195" s="1217"/>
      <c r="B1195" s="166"/>
      <c r="E1195" s="83"/>
      <c r="H1195" t="s">
        <v>705</v>
      </c>
      <c r="I1195">
        <v>3440.7478099999998</v>
      </c>
      <c r="J1195" t="s">
        <v>706</v>
      </c>
      <c r="K1195" t="s">
        <v>705</v>
      </c>
      <c r="L1195" s="166">
        <f t="shared" si="93"/>
        <v>13880634.129665798</v>
      </c>
      <c r="M1195" s="127" t="s">
        <v>3370</v>
      </c>
    </row>
    <row r="1196" spans="1:13" x14ac:dyDescent="0.2">
      <c r="A1196" s="1217"/>
      <c r="B1196" s="1218">
        <f>B1192*B1193*D1192</f>
        <v>4034.191081753765</v>
      </c>
      <c r="C1196" s="1114" t="s">
        <v>3397</v>
      </c>
      <c r="D1196" s="6" t="s">
        <v>586</v>
      </c>
      <c r="E1196" s="83"/>
      <c r="H1196" t="s">
        <v>3372</v>
      </c>
      <c r="I1196">
        <v>4.9140000000000003E-2</v>
      </c>
      <c r="J1196" t="s">
        <v>3373</v>
      </c>
      <c r="K1196" t="s">
        <v>3372</v>
      </c>
      <c r="L1196" s="166">
        <f t="shared" si="93"/>
        <v>198.24014975738004</v>
      </c>
      <c r="M1196" s="127" t="s">
        <v>3374</v>
      </c>
    </row>
    <row r="1197" spans="1:13" x14ac:dyDescent="0.2">
      <c r="A1197" s="1217"/>
      <c r="B1197" s="166"/>
      <c r="E1197" s="83"/>
      <c r="H1197" t="s">
        <v>3375</v>
      </c>
      <c r="I1197">
        <v>0.37484000000000001</v>
      </c>
      <c r="J1197" t="s">
        <v>707</v>
      </c>
      <c r="K1197" t="s">
        <v>3375</v>
      </c>
      <c r="L1197" s="166">
        <f t="shared" si="93"/>
        <v>1512.1761850845812</v>
      </c>
      <c r="M1197" s="127" t="s">
        <v>3376</v>
      </c>
    </row>
    <row r="1198" spans="1:13" x14ac:dyDescent="0.2">
      <c r="A1198" s="1217"/>
      <c r="B1198" s="166"/>
      <c r="E1198" s="83"/>
      <c r="H1198" t="s">
        <v>708</v>
      </c>
      <c r="I1198">
        <v>234.66023000000001</v>
      </c>
      <c r="J1198" t="s">
        <v>709</v>
      </c>
      <c r="K1198" t="s">
        <v>708</v>
      </c>
      <c r="L1198" s="166">
        <f t="shared" si="93"/>
        <v>946664.20710828737</v>
      </c>
      <c r="M1198" s="127" t="s">
        <v>3377</v>
      </c>
    </row>
    <row r="1199" spans="1:13" x14ac:dyDescent="0.2">
      <c r="A1199" s="1217"/>
      <c r="B1199" s="166"/>
      <c r="E1199" s="83"/>
      <c r="H1199" t="s">
        <v>3378</v>
      </c>
      <c r="I1199" s="33">
        <v>5.7967699999999997E-5</v>
      </c>
      <c r="J1199" t="s">
        <v>704</v>
      </c>
      <c r="K1199" t="s">
        <v>3378</v>
      </c>
      <c r="L1199" s="166">
        <f t="shared" si="93"/>
        <v>0.23385277836977772</v>
      </c>
      <c r="M1199" s="127" t="s">
        <v>3368</v>
      </c>
    </row>
    <row r="1200" spans="1:13" x14ac:dyDescent="0.2">
      <c r="A1200" s="1217"/>
      <c r="B1200" s="166"/>
      <c r="E1200" s="83"/>
      <c r="H1200" t="s">
        <v>710</v>
      </c>
      <c r="I1200" s="33">
        <v>2.5430099999999999E-6</v>
      </c>
      <c r="J1200" t="s">
        <v>3379</v>
      </c>
      <c r="K1200" t="s">
        <v>710</v>
      </c>
      <c r="L1200" s="166">
        <f t="shared" si="93"/>
        <v>1.0258988262810641E-2</v>
      </c>
      <c r="M1200" s="127" t="s">
        <v>3380</v>
      </c>
    </row>
    <row r="1201" spans="1:13" x14ac:dyDescent="0.2">
      <c r="A1201" s="1217"/>
      <c r="B1201" s="166"/>
      <c r="E1201" s="83"/>
      <c r="H1201" t="s">
        <v>3381</v>
      </c>
      <c r="I1201">
        <v>0.17479</v>
      </c>
      <c r="J1201" t="s">
        <v>3382</v>
      </c>
      <c r="K1201" t="s">
        <v>3381</v>
      </c>
      <c r="L1201" s="166">
        <f t="shared" si="93"/>
        <v>705.13625917974059</v>
      </c>
      <c r="M1201" s="127" t="s">
        <v>3383</v>
      </c>
    </row>
    <row r="1202" spans="1:13" x14ac:dyDescent="0.2">
      <c r="A1202" s="1217"/>
      <c r="B1202" s="166"/>
      <c r="E1202" s="83"/>
      <c r="H1202" t="s">
        <v>3384</v>
      </c>
      <c r="I1202">
        <v>8.8856599999999997</v>
      </c>
      <c r="J1202" t="s">
        <v>711</v>
      </c>
      <c r="K1202" t="s">
        <v>3384</v>
      </c>
      <c r="L1202" s="166">
        <f t="shared" si="93"/>
        <v>35846.450327496161</v>
      </c>
      <c r="M1202" s="127" t="s">
        <v>3385</v>
      </c>
    </row>
    <row r="1203" spans="1:13" x14ac:dyDescent="0.2">
      <c r="A1203" s="1219"/>
      <c r="B1203" s="833"/>
      <c r="C1203" s="1102"/>
      <c r="D1203" s="118"/>
      <c r="E1203" s="1220"/>
      <c r="F1203" s="118"/>
      <c r="G1203" s="118"/>
      <c r="H1203" s="118"/>
      <c r="I1203" s="118"/>
      <c r="J1203" s="118"/>
      <c r="K1203" s="118"/>
      <c r="L1203" s="833"/>
      <c r="M1203" s="120"/>
    </row>
    <row r="1204" spans="1:13" ht="32" x14ac:dyDescent="0.2">
      <c r="A1204" s="1215" t="s">
        <v>714</v>
      </c>
      <c r="B1204" s="1231">
        <v>39015338.720493831</v>
      </c>
      <c r="C1204" s="1232" t="s">
        <v>720</v>
      </c>
      <c r="D1204" s="110"/>
      <c r="E1204" s="1216" t="s">
        <v>3404</v>
      </c>
      <c r="F1204" s="110">
        <v>1</v>
      </c>
      <c r="G1204" s="110" t="s">
        <v>378</v>
      </c>
      <c r="H1204" s="110"/>
      <c r="I1204" s="110"/>
      <c r="J1204" s="110"/>
      <c r="K1204" s="110"/>
      <c r="L1204" s="845"/>
      <c r="M1204" s="112"/>
    </row>
    <row r="1205" spans="1:13" x14ac:dyDescent="0.2">
      <c r="A1205" s="637"/>
      <c r="B1205" s="166"/>
      <c r="E1205" s="83"/>
      <c r="H1205" t="s">
        <v>701</v>
      </c>
      <c r="I1205">
        <v>7.5000000000000002E-4</v>
      </c>
      <c r="J1205" t="s">
        <v>702</v>
      </c>
      <c r="K1205" t="s">
        <v>701</v>
      </c>
      <c r="L1205" s="166">
        <f>I1205*B$1204</f>
        <v>29261.504040370375</v>
      </c>
      <c r="M1205" s="127" t="s">
        <v>3367</v>
      </c>
    </row>
    <row r="1206" spans="1:13" x14ac:dyDescent="0.2">
      <c r="A1206" s="1217"/>
      <c r="B1206" s="166"/>
      <c r="E1206" s="83"/>
      <c r="H1206" t="s">
        <v>703</v>
      </c>
      <c r="I1206" s="33">
        <v>3.3111200000000002E-8</v>
      </c>
      <c r="J1206" t="s">
        <v>704</v>
      </c>
      <c r="K1206" t="s">
        <v>703</v>
      </c>
      <c r="L1206" s="166">
        <f t="shared" ref="L1206:L1214" si="94">I1206*B$1204</f>
        <v>1.2918446834420154</v>
      </c>
      <c r="M1206" s="127" t="s">
        <v>3368</v>
      </c>
    </row>
    <row r="1207" spans="1:13" x14ac:dyDescent="0.2">
      <c r="A1207" s="1217"/>
      <c r="B1207" s="166"/>
      <c r="E1207" s="83"/>
      <c r="H1207" t="s">
        <v>705</v>
      </c>
      <c r="I1207">
        <v>4.1968100000000002</v>
      </c>
      <c r="J1207" t="s">
        <v>706</v>
      </c>
      <c r="K1207" t="s">
        <v>705</v>
      </c>
      <c r="L1207" s="166">
        <f t="shared" si="94"/>
        <v>163739963.69555572</v>
      </c>
      <c r="M1207" s="127" t="s">
        <v>3370</v>
      </c>
    </row>
    <row r="1208" spans="1:13" x14ac:dyDescent="0.2">
      <c r="A1208" s="1217"/>
      <c r="B1208" s="166"/>
      <c r="E1208" s="83"/>
      <c r="H1208" t="s">
        <v>3372</v>
      </c>
      <c r="I1208">
        <v>3.2000000000000003E-4</v>
      </c>
      <c r="J1208" t="s">
        <v>3373</v>
      </c>
      <c r="K1208" t="s">
        <v>3372</v>
      </c>
      <c r="L1208" s="166">
        <f t="shared" si="94"/>
        <v>12484.908390558026</v>
      </c>
      <c r="M1208" s="127" t="s">
        <v>3374</v>
      </c>
    </row>
    <row r="1209" spans="1:13" x14ac:dyDescent="0.2">
      <c r="A1209" s="1217"/>
      <c r="B1209" s="166"/>
      <c r="E1209" s="83"/>
      <c r="H1209" t="s">
        <v>3375</v>
      </c>
      <c r="I1209">
        <v>5.2999999999999998E-4</v>
      </c>
      <c r="J1209" t="s">
        <v>707</v>
      </c>
      <c r="K1209" t="s">
        <v>3375</v>
      </c>
      <c r="L1209" s="166">
        <f t="shared" si="94"/>
        <v>20678.129521861731</v>
      </c>
      <c r="M1209" s="127" t="s">
        <v>3376</v>
      </c>
    </row>
    <row r="1210" spans="1:13" x14ac:dyDescent="0.2">
      <c r="A1210" s="1217"/>
      <c r="B1210" s="166"/>
      <c r="E1210" s="83"/>
      <c r="H1210" t="s">
        <v>708</v>
      </c>
      <c r="I1210">
        <v>0.39150000000000001</v>
      </c>
      <c r="J1210" t="s">
        <v>709</v>
      </c>
      <c r="K1210" t="s">
        <v>708</v>
      </c>
      <c r="L1210" s="166">
        <f t="shared" si="94"/>
        <v>15274505.109073335</v>
      </c>
      <c r="M1210" s="127" t="s">
        <v>3377</v>
      </c>
    </row>
    <row r="1211" spans="1:13" x14ac:dyDescent="0.2">
      <c r="A1211" s="1217"/>
      <c r="B1211" s="166"/>
      <c r="E1211" s="83"/>
      <c r="H1211" t="s">
        <v>3378</v>
      </c>
      <c r="I1211" s="33">
        <v>9.8849699999999999E-8</v>
      </c>
      <c r="J1211" t="s">
        <v>704</v>
      </c>
      <c r="K1211" t="s">
        <v>3378</v>
      </c>
      <c r="L1211" s="166">
        <f t="shared" si="94"/>
        <v>3.8566545279191988</v>
      </c>
      <c r="M1211" s="127" t="s">
        <v>3368</v>
      </c>
    </row>
    <row r="1212" spans="1:13" x14ac:dyDescent="0.2">
      <c r="A1212" s="1217"/>
      <c r="B1212" s="166"/>
      <c r="E1212" s="83"/>
      <c r="H1212" t="s">
        <v>710</v>
      </c>
      <c r="I1212" s="33">
        <v>1.51061E-9</v>
      </c>
      <c r="J1212" t="s">
        <v>3379</v>
      </c>
      <c r="K1212" t="s">
        <v>710</v>
      </c>
      <c r="L1212" s="166">
        <f t="shared" si="94"/>
        <v>5.8936960824565184E-2</v>
      </c>
      <c r="M1212" s="127" t="s">
        <v>3380</v>
      </c>
    </row>
    <row r="1213" spans="1:13" x14ac:dyDescent="0.2">
      <c r="A1213" s="1217"/>
      <c r="B1213" s="166"/>
      <c r="E1213" s="83"/>
      <c r="H1213" t="s">
        <v>3381</v>
      </c>
      <c r="I1213">
        <v>1.01E-3</v>
      </c>
      <c r="J1213" t="s">
        <v>3382</v>
      </c>
      <c r="K1213" t="s">
        <v>3381</v>
      </c>
      <c r="L1213" s="166">
        <f t="shared" si="94"/>
        <v>39405.492107698774</v>
      </c>
      <c r="M1213" s="127" t="s">
        <v>3383</v>
      </c>
    </row>
    <row r="1214" spans="1:13" x14ac:dyDescent="0.2">
      <c r="A1214" s="1217"/>
      <c r="B1214" s="166"/>
      <c r="E1214" s="83"/>
      <c r="H1214" t="s">
        <v>3384</v>
      </c>
      <c r="I1214">
        <v>1.2200000000000001E-2</v>
      </c>
      <c r="J1214" t="s">
        <v>711</v>
      </c>
      <c r="K1214" t="s">
        <v>3384</v>
      </c>
      <c r="L1214" s="166">
        <f t="shared" si="94"/>
        <v>475987.13239002478</v>
      </c>
      <c r="M1214" s="127" t="s">
        <v>3385</v>
      </c>
    </row>
    <row r="1215" spans="1:13" x14ac:dyDescent="0.2">
      <c r="A1215" s="414"/>
      <c r="B1215" s="833"/>
      <c r="C1215" s="1102"/>
      <c r="D1215" s="118"/>
      <c r="E1215" s="1235"/>
      <c r="F1215" s="118"/>
      <c r="G1215" s="118"/>
      <c r="H1215" s="118"/>
      <c r="I1215" s="118"/>
      <c r="J1215" s="118"/>
      <c r="K1215" s="118"/>
      <c r="L1215" s="833"/>
      <c r="M1215" s="120"/>
    </row>
    <row r="1216" spans="1:13" ht="48" x14ac:dyDescent="0.2">
      <c r="A1216" s="486" t="s">
        <v>3440</v>
      </c>
      <c r="B1216" s="845">
        <v>5445246.0678692618</v>
      </c>
      <c r="C1216" s="1103" t="s">
        <v>3441</v>
      </c>
      <c r="D1216" s="110"/>
      <c r="E1216" s="159" t="s">
        <v>3442</v>
      </c>
      <c r="F1216" s="110">
        <v>1</v>
      </c>
      <c r="G1216" s="110" t="s">
        <v>15</v>
      </c>
      <c r="H1216" s="110"/>
      <c r="I1216" s="110"/>
      <c r="J1216" s="110"/>
      <c r="K1216" s="110"/>
      <c r="L1216" s="845"/>
      <c r="M1216" s="112"/>
    </row>
    <row r="1217" spans="1:15" x14ac:dyDescent="0.2">
      <c r="A1217" s="637"/>
      <c r="B1217" s="1218">
        <f>B1216*1000</f>
        <v>5445246067.8692617</v>
      </c>
      <c r="C1217" s="1114" t="s">
        <v>3443</v>
      </c>
      <c r="D1217" s="6" t="s">
        <v>577</v>
      </c>
      <c r="H1217" t="s">
        <v>701</v>
      </c>
      <c r="I1217" s="33">
        <v>1.1E-4</v>
      </c>
      <c r="J1217" t="s">
        <v>702</v>
      </c>
      <c r="K1217" t="s">
        <v>701</v>
      </c>
      <c r="L1217" s="166">
        <f>I1217*B$1217</f>
        <v>598977.06746561883</v>
      </c>
      <c r="M1217" s="127" t="s">
        <v>3367</v>
      </c>
    </row>
    <row r="1218" spans="1:15" x14ac:dyDescent="0.2">
      <c r="A1218" s="637"/>
      <c r="B1218" s="166"/>
      <c r="H1218" t="s">
        <v>703</v>
      </c>
      <c r="I1218" s="33">
        <v>3.4002900000000001E-9</v>
      </c>
      <c r="J1218" t="s">
        <v>704</v>
      </c>
      <c r="K1218" t="s">
        <v>703</v>
      </c>
      <c r="L1218" s="166">
        <f t="shared" ref="L1218:L1226" si="95">I1218*B$1217</f>
        <v>18.515415752115171</v>
      </c>
      <c r="M1218" s="127" t="s">
        <v>3368</v>
      </c>
    </row>
    <row r="1219" spans="1:15" x14ac:dyDescent="0.2">
      <c r="A1219" s="637"/>
      <c r="B1219" s="166"/>
      <c r="H1219" t="s">
        <v>705</v>
      </c>
      <c r="I1219">
        <v>0.80737999999999999</v>
      </c>
      <c r="J1219" t="s">
        <v>706</v>
      </c>
      <c r="K1219" t="s">
        <v>705</v>
      </c>
      <c r="L1219" s="166">
        <f t="shared" si="95"/>
        <v>4396382770.2762842</v>
      </c>
      <c r="M1219" s="127" t="s">
        <v>3370</v>
      </c>
    </row>
    <row r="1220" spans="1:15" x14ac:dyDescent="0.2">
      <c r="A1220" s="637"/>
      <c r="B1220" s="166"/>
      <c r="H1220" t="s">
        <v>3372</v>
      </c>
      <c r="I1220" s="33">
        <v>5.43068E-5</v>
      </c>
      <c r="J1220" t="s">
        <v>3373</v>
      </c>
      <c r="K1220" t="s">
        <v>3372</v>
      </c>
      <c r="L1220" s="166">
        <f t="shared" si="95"/>
        <v>295713.88915856241</v>
      </c>
      <c r="M1220" s="127" t="s">
        <v>3374</v>
      </c>
    </row>
    <row r="1221" spans="1:15" x14ac:dyDescent="0.2">
      <c r="A1221" s="637"/>
      <c r="B1221" s="166"/>
      <c r="H1221" t="s">
        <v>3375</v>
      </c>
      <c r="I1221" s="33">
        <v>1.2999999999999999E-4</v>
      </c>
      <c r="J1221" t="s">
        <v>707</v>
      </c>
      <c r="K1221" t="s">
        <v>3375</v>
      </c>
      <c r="L1221" s="166">
        <f t="shared" si="95"/>
        <v>707881.98882300395</v>
      </c>
      <c r="M1221" s="127" t="s">
        <v>3376</v>
      </c>
    </row>
    <row r="1222" spans="1:15" x14ac:dyDescent="0.2">
      <c r="A1222" s="637"/>
      <c r="B1222" s="166"/>
      <c r="H1222" t="s">
        <v>708</v>
      </c>
      <c r="I1222" s="33">
        <v>9.0699999999999999E-3</v>
      </c>
      <c r="J1222" t="s">
        <v>709</v>
      </c>
      <c r="K1222" t="s">
        <v>708</v>
      </c>
      <c r="L1222" s="166">
        <f t="shared" si="95"/>
        <v>49388381.835574202</v>
      </c>
      <c r="M1222" s="127" t="s">
        <v>3377</v>
      </c>
    </row>
    <row r="1223" spans="1:15" x14ac:dyDescent="0.2">
      <c r="A1223" s="637"/>
      <c r="B1223" s="166"/>
      <c r="H1223" t="s">
        <v>3378</v>
      </c>
      <c r="I1223" s="33">
        <v>9.5625400000000006E-7</v>
      </c>
      <c r="J1223" t="s">
        <v>704</v>
      </c>
      <c r="K1223" t="s">
        <v>3378</v>
      </c>
      <c r="L1223" s="166">
        <f t="shared" si="95"/>
        <v>5207.0383333842537</v>
      </c>
      <c r="M1223" s="127" t="s">
        <v>3368</v>
      </c>
    </row>
    <row r="1224" spans="1:15" x14ac:dyDescent="0.2">
      <c r="A1224" s="637"/>
      <c r="B1224" s="166"/>
      <c r="H1224" t="s">
        <v>710</v>
      </c>
      <c r="I1224" s="33">
        <v>2.1944899999999999E-11</v>
      </c>
      <c r="J1224" t="s">
        <v>3379</v>
      </c>
      <c r="K1224" t="s">
        <v>710</v>
      </c>
      <c r="L1224" s="166">
        <f t="shared" si="95"/>
        <v>0.11949538043478415</v>
      </c>
      <c r="M1224" s="127" t="s">
        <v>3380</v>
      </c>
    </row>
    <row r="1225" spans="1:15" x14ac:dyDescent="0.2">
      <c r="A1225" s="637"/>
      <c r="B1225" s="166"/>
      <c r="H1225" t="s">
        <v>3381</v>
      </c>
      <c r="I1225" s="33">
        <v>5.1362999999999995E-4</v>
      </c>
      <c r="J1225" t="s">
        <v>3382</v>
      </c>
      <c r="K1225" t="s">
        <v>3381</v>
      </c>
      <c r="L1225" s="166">
        <f t="shared" si="95"/>
        <v>2796841.7378396885</v>
      </c>
      <c r="M1225" s="127" t="s">
        <v>3383</v>
      </c>
    </row>
    <row r="1226" spans="1:15" x14ac:dyDescent="0.2">
      <c r="A1226" s="637"/>
      <c r="B1226" s="166"/>
      <c r="H1226" t="s">
        <v>3384</v>
      </c>
      <c r="I1226" s="33">
        <v>5.1000000000000004E-4</v>
      </c>
      <c r="J1226" t="s">
        <v>711</v>
      </c>
      <c r="K1226" t="s">
        <v>3384</v>
      </c>
      <c r="L1226" s="166">
        <f t="shared" si="95"/>
        <v>2777075.4946133238</v>
      </c>
      <c r="M1226" s="127" t="s">
        <v>3385</v>
      </c>
    </row>
    <row r="1227" spans="1:15" x14ac:dyDescent="0.2">
      <c r="A1227" s="414"/>
      <c r="B1227" s="833"/>
      <c r="C1227" s="1102"/>
      <c r="D1227" s="118"/>
      <c r="E1227" s="1235"/>
      <c r="F1227" s="118"/>
      <c r="G1227" s="118"/>
      <c r="H1227" s="118"/>
      <c r="I1227" s="118"/>
      <c r="J1227" s="118"/>
      <c r="K1227" s="118"/>
      <c r="L1227" s="833"/>
      <c r="M1227" s="120"/>
    </row>
    <row r="1231" spans="1:15" x14ac:dyDescent="0.2">
      <c r="A1231" s="1725" t="s">
        <v>1418</v>
      </c>
      <c r="B1231" s="1725"/>
      <c r="C1231" s="1725"/>
      <c r="D1231" s="1725"/>
      <c r="E1231" s="1725"/>
      <c r="F1231" s="1725"/>
      <c r="G1231" s="1725"/>
      <c r="H1231" s="1725"/>
      <c r="I1231" s="1725"/>
      <c r="J1231" s="1725"/>
      <c r="K1231" s="1725"/>
      <c r="L1231" s="1725"/>
      <c r="M1231" s="1725"/>
      <c r="N1231" s="1725"/>
      <c r="O1231" s="1725"/>
    </row>
    <row r="1232" spans="1:15" x14ac:dyDescent="0.2">
      <c r="A1232" s="1725"/>
      <c r="B1232" s="1725"/>
      <c r="C1232" s="1725"/>
      <c r="D1232" s="1725"/>
      <c r="E1232" s="1725"/>
      <c r="F1232" s="1725"/>
      <c r="G1232" s="1725"/>
      <c r="H1232" s="1725"/>
      <c r="I1232" s="1725"/>
      <c r="J1232" s="1725"/>
      <c r="K1232" s="1725"/>
      <c r="L1232" s="1725"/>
      <c r="M1232" s="1725"/>
      <c r="N1232" s="1725"/>
      <c r="O1232" s="1725"/>
    </row>
    <row r="1234" spans="1:15" ht="16" thickBot="1" x14ac:dyDescent="0.25"/>
    <row r="1235" spans="1:15" x14ac:dyDescent="0.2">
      <c r="A1235" s="1942" t="s">
        <v>534</v>
      </c>
      <c r="B1235" s="1943"/>
      <c r="C1235" s="1943"/>
      <c r="D1235" s="1943"/>
      <c r="E1235" s="1943"/>
      <c r="F1235" s="1943"/>
      <c r="G1235" s="1943"/>
      <c r="H1235" s="1943"/>
      <c r="I1235" s="1943"/>
      <c r="J1235" s="1943"/>
      <c r="K1235" s="1943"/>
      <c r="L1235" s="1943"/>
      <c r="M1235" s="1943"/>
      <c r="N1235" s="1943"/>
      <c r="O1235" s="1944"/>
    </row>
    <row r="1236" spans="1:15" ht="16" thickBot="1" x14ac:dyDescent="0.25">
      <c r="A1236" s="1945"/>
      <c r="B1236" s="1946"/>
      <c r="C1236" s="1946"/>
      <c r="D1236" s="1946"/>
      <c r="E1236" s="1946"/>
      <c r="F1236" s="1946"/>
      <c r="G1236" s="1946"/>
      <c r="H1236" s="1946"/>
      <c r="I1236" s="1946"/>
      <c r="J1236" s="1946"/>
      <c r="K1236" s="1946"/>
      <c r="L1236" s="1946"/>
      <c r="M1236" s="1946"/>
      <c r="N1236" s="1946"/>
      <c r="O1236" s="1947"/>
    </row>
    <row r="1237" spans="1:15" s="6" customFormat="1" x14ac:dyDescent="0.2">
      <c r="A1237" s="1920" t="s">
        <v>697</v>
      </c>
      <c r="B1237" s="1515" t="s">
        <v>698</v>
      </c>
      <c r="C1237" s="1515"/>
      <c r="D1237" s="1515"/>
      <c r="E1237" s="1921" t="s">
        <v>3362</v>
      </c>
      <c r="F1237" s="1515" t="s">
        <v>699</v>
      </c>
      <c r="G1237" s="1515"/>
      <c r="H1237" s="1515" t="s">
        <v>3363</v>
      </c>
      <c r="I1237" s="1515"/>
      <c r="J1237" s="1515"/>
      <c r="K1237" s="1515" t="s">
        <v>700</v>
      </c>
      <c r="L1237" s="1515"/>
      <c r="M1237" s="1515"/>
    </row>
    <row r="1238" spans="1:15" s="6" customFormat="1" ht="15.75" customHeight="1" x14ac:dyDescent="0.2">
      <c r="A1238" s="1520"/>
      <c r="B1238" s="1214" t="s">
        <v>515</v>
      </c>
      <c r="C1238" s="969" t="s">
        <v>372</v>
      </c>
      <c r="D1238" s="969" t="s">
        <v>583</v>
      </c>
      <c r="E1238" s="1922"/>
      <c r="F1238" s="969" t="s">
        <v>42</v>
      </c>
      <c r="G1238" s="969" t="s">
        <v>372</v>
      </c>
      <c r="H1238" s="29" t="s">
        <v>697</v>
      </c>
      <c r="I1238" s="969" t="s">
        <v>42</v>
      </c>
      <c r="J1238" s="969" t="s">
        <v>372</v>
      </c>
      <c r="K1238" s="969" t="s">
        <v>697</v>
      </c>
      <c r="L1238" s="1214" t="s">
        <v>42</v>
      </c>
      <c r="M1238" s="969" t="s">
        <v>372</v>
      </c>
    </row>
    <row r="1239" spans="1:15" ht="32" x14ac:dyDescent="0.2">
      <c r="A1239" s="486" t="s">
        <v>799</v>
      </c>
      <c r="B1239" s="845">
        <v>95970</v>
      </c>
      <c r="C1239" s="1159" t="s">
        <v>7</v>
      </c>
      <c r="D1239" s="1229">
        <v>2</v>
      </c>
      <c r="E1239" s="159" t="s">
        <v>718</v>
      </c>
      <c r="F1239" s="110">
        <v>1</v>
      </c>
      <c r="G1239" s="110" t="s">
        <v>3396</v>
      </c>
      <c r="H1239" s="110"/>
      <c r="I1239" s="110"/>
      <c r="J1239" s="110"/>
      <c r="K1239" s="110"/>
      <c r="L1239" s="845"/>
      <c r="M1239" s="112"/>
    </row>
    <row r="1240" spans="1:15" x14ac:dyDescent="0.2">
      <c r="A1240" s="1217"/>
      <c r="B1240" s="1218">
        <f>B1239/F1240*D1239</f>
        <v>3838.8</v>
      </c>
      <c r="C1240" s="1114" t="s">
        <v>3396</v>
      </c>
      <c r="D1240" s="6" t="s">
        <v>577</v>
      </c>
      <c r="E1240" s="83"/>
      <c r="F1240">
        <v>50</v>
      </c>
      <c r="G1240" t="s">
        <v>3397</v>
      </c>
      <c r="H1240" t="s">
        <v>701</v>
      </c>
      <c r="I1240">
        <v>0.82547999999999999</v>
      </c>
      <c r="J1240" t="s">
        <v>702</v>
      </c>
      <c r="K1240" t="s">
        <v>701</v>
      </c>
      <c r="L1240" s="166">
        <f t="shared" ref="L1240:L1249" si="96">I1240*B$1240</f>
        <v>3168.8526240000001</v>
      </c>
      <c r="M1240" s="127" t="s">
        <v>3367</v>
      </c>
    </row>
    <row r="1241" spans="1:15" x14ac:dyDescent="0.2">
      <c r="A1241" s="1217"/>
      <c r="B1241" s="166"/>
      <c r="E1241" s="83"/>
      <c r="H1241" t="s">
        <v>703</v>
      </c>
      <c r="I1241" s="33">
        <v>1.3020000000000001E-5</v>
      </c>
      <c r="J1241" t="s">
        <v>704</v>
      </c>
      <c r="K1241" t="s">
        <v>703</v>
      </c>
      <c r="L1241" s="166">
        <f t="shared" si="96"/>
        <v>4.9981176000000002E-2</v>
      </c>
      <c r="M1241" s="127" t="s">
        <v>3368</v>
      </c>
    </row>
    <row r="1242" spans="1:15" x14ac:dyDescent="0.2">
      <c r="A1242" s="1217"/>
      <c r="B1242" s="166"/>
      <c r="E1242" s="83"/>
      <c r="H1242" t="s">
        <v>705</v>
      </c>
      <c r="I1242">
        <v>3440.7478099999998</v>
      </c>
      <c r="J1242" t="s">
        <v>706</v>
      </c>
      <c r="K1242" t="s">
        <v>705</v>
      </c>
      <c r="L1242" s="166">
        <f t="shared" si="96"/>
        <v>13208342.693027999</v>
      </c>
      <c r="M1242" s="127" t="s">
        <v>3370</v>
      </c>
    </row>
    <row r="1243" spans="1:15" x14ac:dyDescent="0.2">
      <c r="A1243" s="1217"/>
      <c r="B1243" s="166"/>
      <c r="E1243" s="83"/>
      <c r="H1243" t="s">
        <v>3372</v>
      </c>
      <c r="I1243">
        <v>4.9140000000000003E-2</v>
      </c>
      <c r="J1243" t="s">
        <v>3373</v>
      </c>
      <c r="K1243" t="s">
        <v>3372</v>
      </c>
      <c r="L1243" s="166">
        <f t="shared" si="96"/>
        <v>188.63863200000003</v>
      </c>
      <c r="M1243" s="127" t="s">
        <v>3374</v>
      </c>
    </row>
    <row r="1244" spans="1:15" x14ac:dyDescent="0.2">
      <c r="A1244" s="1217"/>
      <c r="B1244" s="166"/>
      <c r="E1244" s="83"/>
      <c r="H1244" t="s">
        <v>3375</v>
      </c>
      <c r="I1244">
        <v>0.37484000000000001</v>
      </c>
      <c r="J1244" t="s">
        <v>707</v>
      </c>
      <c r="K1244" t="s">
        <v>3375</v>
      </c>
      <c r="L1244" s="166">
        <f t="shared" si="96"/>
        <v>1438.935792</v>
      </c>
      <c r="M1244" s="127" t="s">
        <v>3376</v>
      </c>
    </row>
    <row r="1245" spans="1:15" x14ac:dyDescent="0.2">
      <c r="A1245" s="1217"/>
      <c r="B1245" s="166"/>
      <c r="E1245" s="83"/>
      <c r="H1245" t="s">
        <v>708</v>
      </c>
      <c r="I1245">
        <v>234.66023000000001</v>
      </c>
      <c r="J1245" t="s">
        <v>709</v>
      </c>
      <c r="K1245" t="s">
        <v>708</v>
      </c>
      <c r="L1245" s="166">
        <f t="shared" si="96"/>
        <v>900813.69092400011</v>
      </c>
      <c r="M1245" s="127" t="s">
        <v>3377</v>
      </c>
    </row>
    <row r="1246" spans="1:15" x14ac:dyDescent="0.2">
      <c r="A1246" s="1217"/>
      <c r="B1246" s="166"/>
      <c r="E1246" s="83"/>
      <c r="H1246" t="s">
        <v>3378</v>
      </c>
      <c r="I1246" s="33">
        <v>5.7967699999999997E-5</v>
      </c>
      <c r="J1246" t="s">
        <v>704</v>
      </c>
      <c r="K1246" t="s">
        <v>3378</v>
      </c>
      <c r="L1246" s="166">
        <f t="shared" si="96"/>
        <v>0.22252640675999999</v>
      </c>
      <c r="M1246" s="127" t="s">
        <v>3368</v>
      </c>
    </row>
    <row r="1247" spans="1:15" x14ac:dyDescent="0.2">
      <c r="A1247" s="1217"/>
      <c r="B1247" s="166"/>
      <c r="E1247" s="83"/>
      <c r="H1247" t="s">
        <v>710</v>
      </c>
      <c r="I1247" s="33">
        <v>2.5430099999999999E-6</v>
      </c>
      <c r="J1247" t="s">
        <v>3379</v>
      </c>
      <c r="K1247" t="s">
        <v>710</v>
      </c>
      <c r="L1247" s="166">
        <f t="shared" si="96"/>
        <v>9.7621067879999999E-3</v>
      </c>
      <c r="M1247" s="127" t="s">
        <v>3380</v>
      </c>
    </row>
    <row r="1248" spans="1:15" x14ac:dyDescent="0.2">
      <c r="A1248" s="1217"/>
      <c r="B1248" s="166"/>
      <c r="E1248" s="83"/>
      <c r="H1248" t="s">
        <v>3381</v>
      </c>
      <c r="I1248">
        <v>0.17479</v>
      </c>
      <c r="J1248" t="s">
        <v>3382</v>
      </c>
      <c r="K1248" t="s">
        <v>3381</v>
      </c>
      <c r="L1248" s="166">
        <f t="shared" si="96"/>
        <v>670.98385200000007</v>
      </c>
      <c r="M1248" s="127" t="s">
        <v>3383</v>
      </c>
    </row>
    <row r="1249" spans="1:13" x14ac:dyDescent="0.2">
      <c r="A1249" s="1217"/>
      <c r="B1249" s="166"/>
      <c r="E1249" s="83"/>
      <c r="H1249" t="s">
        <v>3384</v>
      </c>
      <c r="I1249">
        <v>8.8856599999999997</v>
      </c>
      <c r="J1249" t="s">
        <v>711</v>
      </c>
      <c r="K1249" t="s">
        <v>3384</v>
      </c>
      <c r="L1249" s="166">
        <f t="shared" si="96"/>
        <v>34110.271608000003</v>
      </c>
      <c r="M1249" s="127" t="s">
        <v>3385</v>
      </c>
    </row>
    <row r="1250" spans="1:13" x14ac:dyDescent="0.2">
      <c r="A1250" s="1219"/>
      <c r="B1250" s="833"/>
      <c r="C1250" s="1102"/>
      <c r="D1250" s="118"/>
      <c r="E1250" s="1220"/>
      <c r="F1250" s="118"/>
      <c r="G1250" s="118"/>
      <c r="H1250" s="118"/>
      <c r="I1250" s="118"/>
      <c r="J1250" s="118"/>
      <c r="K1250" s="118"/>
      <c r="L1250" s="833"/>
      <c r="M1250" s="120"/>
    </row>
    <row r="1251" spans="1:13" ht="32" x14ac:dyDescent="0.2">
      <c r="A1251" s="486" t="s">
        <v>800</v>
      </c>
      <c r="B1251" s="845">
        <v>95970</v>
      </c>
      <c r="C1251" s="1159" t="s">
        <v>7</v>
      </c>
      <c r="D1251" s="1229">
        <v>2</v>
      </c>
      <c r="E1251" s="159" t="s">
        <v>718</v>
      </c>
      <c r="F1251" s="110">
        <v>1</v>
      </c>
      <c r="G1251" s="110" t="s">
        <v>3396</v>
      </c>
      <c r="H1251" s="110"/>
      <c r="I1251" s="110"/>
      <c r="J1251" s="110"/>
      <c r="K1251" s="110"/>
      <c r="L1251" s="845"/>
      <c r="M1251" s="112"/>
    </row>
    <row r="1252" spans="1:13" x14ac:dyDescent="0.2">
      <c r="A1252" s="1217"/>
      <c r="B1252" s="1218">
        <f>B1251/F1252*D1251</f>
        <v>3838.8</v>
      </c>
      <c r="C1252" s="1114" t="s">
        <v>3396</v>
      </c>
      <c r="D1252" s="6" t="s">
        <v>577</v>
      </c>
      <c r="E1252" s="83"/>
      <c r="F1252">
        <v>50</v>
      </c>
      <c r="G1252" t="s">
        <v>3397</v>
      </c>
      <c r="H1252" t="s">
        <v>701</v>
      </c>
      <c r="I1252">
        <v>0.82547999999999999</v>
      </c>
      <c r="J1252" t="s">
        <v>702</v>
      </c>
      <c r="K1252" t="s">
        <v>701</v>
      </c>
      <c r="L1252" s="166">
        <f>I1252*B$1252</f>
        <v>3168.8526240000001</v>
      </c>
      <c r="M1252" s="127" t="s">
        <v>3367</v>
      </c>
    </row>
    <row r="1253" spans="1:13" x14ac:dyDescent="0.2">
      <c r="A1253" s="1217"/>
      <c r="B1253" s="166"/>
      <c r="E1253" s="83"/>
      <c r="H1253" t="s">
        <v>703</v>
      </c>
      <c r="I1253" s="33">
        <v>1.3020000000000001E-5</v>
      </c>
      <c r="J1253" t="s">
        <v>704</v>
      </c>
      <c r="K1253" t="s">
        <v>703</v>
      </c>
      <c r="L1253" s="166">
        <f t="shared" ref="L1253:L1261" si="97">I1253*B$1252</f>
        <v>4.9981176000000002E-2</v>
      </c>
      <c r="M1253" s="127" t="s">
        <v>3368</v>
      </c>
    </row>
    <row r="1254" spans="1:13" x14ac:dyDescent="0.2">
      <c r="A1254" s="1217"/>
      <c r="B1254" s="166"/>
      <c r="E1254" s="83"/>
      <c r="H1254" t="s">
        <v>705</v>
      </c>
      <c r="I1254">
        <v>3440.7478099999998</v>
      </c>
      <c r="J1254" t="s">
        <v>706</v>
      </c>
      <c r="K1254" t="s">
        <v>705</v>
      </c>
      <c r="L1254" s="166">
        <f t="shared" si="97"/>
        <v>13208342.693027999</v>
      </c>
      <c r="M1254" s="127" t="s">
        <v>3370</v>
      </c>
    </row>
    <row r="1255" spans="1:13" x14ac:dyDescent="0.2">
      <c r="A1255" s="1217"/>
      <c r="B1255" s="166"/>
      <c r="E1255" s="83"/>
      <c r="H1255" t="s">
        <v>3372</v>
      </c>
      <c r="I1255">
        <v>4.9140000000000003E-2</v>
      </c>
      <c r="J1255" t="s">
        <v>3373</v>
      </c>
      <c r="K1255" t="s">
        <v>3372</v>
      </c>
      <c r="L1255" s="166">
        <f t="shared" si="97"/>
        <v>188.63863200000003</v>
      </c>
      <c r="M1255" s="127" t="s">
        <v>3374</v>
      </c>
    </row>
    <row r="1256" spans="1:13" x14ac:dyDescent="0.2">
      <c r="A1256" s="1217"/>
      <c r="B1256" s="166"/>
      <c r="E1256" s="83"/>
      <c r="H1256" t="s">
        <v>3375</v>
      </c>
      <c r="I1256">
        <v>0.37484000000000001</v>
      </c>
      <c r="J1256" t="s">
        <v>707</v>
      </c>
      <c r="K1256" t="s">
        <v>3375</v>
      </c>
      <c r="L1256" s="166">
        <f t="shared" si="97"/>
        <v>1438.935792</v>
      </c>
      <c r="M1256" s="127" t="s">
        <v>3376</v>
      </c>
    </row>
    <row r="1257" spans="1:13" x14ac:dyDescent="0.2">
      <c r="A1257" s="1217"/>
      <c r="B1257" s="166"/>
      <c r="E1257" s="83"/>
      <c r="H1257" t="s">
        <v>708</v>
      </c>
      <c r="I1257">
        <v>234.66023000000001</v>
      </c>
      <c r="J1257" t="s">
        <v>709</v>
      </c>
      <c r="K1257" t="s">
        <v>708</v>
      </c>
      <c r="L1257" s="166">
        <f t="shared" si="97"/>
        <v>900813.69092400011</v>
      </c>
      <c r="M1257" s="127" t="s">
        <v>3377</v>
      </c>
    </row>
    <row r="1258" spans="1:13" x14ac:dyDescent="0.2">
      <c r="A1258" s="1217"/>
      <c r="B1258" s="166"/>
      <c r="E1258" s="83"/>
      <c r="H1258" t="s">
        <v>3378</v>
      </c>
      <c r="I1258" s="33">
        <v>5.7967699999999997E-5</v>
      </c>
      <c r="J1258" t="s">
        <v>704</v>
      </c>
      <c r="K1258" t="s">
        <v>3378</v>
      </c>
      <c r="L1258" s="166">
        <f t="shared" si="97"/>
        <v>0.22252640675999999</v>
      </c>
      <c r="M1258" s="127" t="s">
        <v>3368</v>
      </c>
    </row>
    <row r="1259" spans="1:13" x14ac:dyDescent="0.2">
      <c r="A1259" s="1217"/>
      <c r="B1259" s="166"/>
      <c r="E1259" s="83"/>
      <c r="H1259" t="s">
        <v>710</v>
      </c>
      <c r="I1259" s="33">
        <v>2.5430099999999999E-6</v>
      </c>
      <c r="J1259" t="s">
        <v>3379</v>
      </c>
      <c r="K1259" t="s">
        <v>710</v>
      </c>
      <c r="L1259" s="166">
        <f t="shared" si="97"/>
        <v>9.7621067879999999E-3</v>
      </c>
      <c r="M1259" s="127" t="s">
        <v>3380</v>
      </c>
    </row>
    <row r="1260" spans="1:13" x14ac:dyDescent="0.2">
      <c r="A1260" s="1217"/>
      <c r="B1260" s="166"/>
      <c r="E1260" s="83"/>
      <c r="H1260" t="s">
        <v>3381</v>
      </c>
      <c r="I1260">
        <v>0.17479</v>
      </c>
      <c r="J1260" t="s">
        <v>3382</v>
      </c>
      <c r="K1260" t="s">
        <v>3381</v>
      </c>
      <c r="L1260" s="166">
        <f t="shared" si="97"/>
        <v>670.98385200000007</v>
      </c>
      <c r="M1260" s="127" t="s">
        <v>3383</v>
      </c>
    </row>
    <row r="1261" spans="1:13" x14ac:dyDescent="0.2">
      <c r="A1261" s="1217"/>
      <c r="B1261" s="166"/>
      <c r="E1261" s="83"/>
      <c r="H1261" t="s">
        <v>3384</v>
      </c>
      <c r="I1261">
        <v>8.8856599999999997</v>
      </c>
      <c r="J1261" t="s">
        <v>711</v>
      </c>
      <c r="K1261" t="s">
        <v>3384</v>
      </c>
      <c r="L1261" s="166">
        <f t="shared" si="97"/>
        <v>34110.271608000003</v>
      </c>
      <c r="M1261" s="127" t="s">
        <v>3385</v>
      </c>
    </row>
    <row r="1262" spans="1:13" x14ac:dyDescent="0.2">
      <c r="A1262" s="1219"/>
      <c r="B1262" s="833"/>
      <c r="C1262" s="1102"/>
      <c r="D1262" s="118"/>
      <c r="E1262" s="1220"/>
      <c r="F1262" s="118"/>
      <c r="G1262" s="118"/>
      <c r="H1262" s="118"/>
      <c r="I1262" s="118"/>
      <c r="J1262" s="118"/>
      <c r="K1262" s="118"/>
      <c r="L1262" s="833"/>
      <c r="M1262" s="120"/>
    </row>
    <row r="1263" spans="1:13" ht="32" x14ac:dyDescent="0.2">
      <c r="A1263" s="486" t="s">
        <v>802</v>
      </c>
      <c r="B1263" s="845">
        <v>95970</v>
      </c>
      <c r="C1263" s="1159" t="s">
        <v>7</v>
      </c>
      <c r="D1263" s="1229">
        <v>2</v>
      </c>
      <c r="E1263" s="159" t="s">
        <v>718</v>
      </c>
      <c r="F1263" s="110">
        <v>1</v>
      </c>
      <c r="G1263" s="110" t="s">
        <v>3396</v>
      </c>
      <c r="H1263" s="110"/>
      <c r="I1263" s="110"/>
      <c r="J1263" s="110"/>
      <c r="K1263" s="110"/>
      <c r="L1263" s="845"/>
      <c r="M1263" s="112"/>
    </row>
    <row r="1264" spans="1:13" x14ac:dyDescent="0.2">
      <c r="A1264" s="1217"/>
      <c r="B1264" s="1218">
        <f>B1263/F1264*D1263</f>
        <v>3838.8</v>
      </c>
      <c r="C1264" s="1114" t="s">
        <v>3396</v>
      </c>
      <c r="D1264" s="6" t="s">
        <v>577</v>
      </c>
      <c r="E1264" s="83"/>
      <c r="F1264">
        <v>50</v>
      </c>
      <c r="G1264" t="s">
        <v>3397</v>
      </c>
      <c r="H1264" t="s">
        <v>701</v>
      </c>
      <c r="I1264">
        <v>0.82547999999999999</v>
      </c>
      <c r="J1264" t="s">
        <v>702</v>
      </c>
      <c r="K1264" t="s">
        <v>701</v>
      </c>
      <c r="L1264" s="166">
        <f>I1264*B$1264</f>
        <v>3168.8526240000001</v>
      </c>
      <c r="M1264" s="127" t="s">
        <v>3367</v>
      </c>
    </row>
    <row r="1265" spans="1:13" x14ac:dyDescent="0.2">
      <c r="A1265" s="1217"/>
      <c r="B1265" s="166"/>
      <c r="E1265" s="83"/>
      <c r="H1265" t="s">
        <v>703</v>
      </c>
      <c r="I1265" s="33">
        <v>1.3020000000000001E-5</v>
      </c>
      <c r="J1265" t="s">
        <v>704</v>
      </c>
      <c r="K1265" t="s">
        <v>703</v>
      </c>
      <c r="L1265" s="166">
        <f t="shared" ref="L1265:L1273" si="98">I1265*B$1264</f>
        <v>4.9981176000000002E-2</v>
      </c>
      <c r="M1265" s="127" t="s">
        <v>3368</v>
      </c>
    </row>
    <row r="1266" spans="1:13" x14ac:dyDescent="0.2">
      <c r="A1266" s="1217"/>
      <c r="B1266" s="166"/>
      <c r="E1266" s="83"/>
      <c r="H1266" t="s">
        <v>705</v>
      </c>
      <c r="I1266">
        <v>3440.7478099999998</v>
      </c>
      <c r="J1266" t="s">
        <v>706</v>
      </c>
      <c r="K1266" t="s">
        <v>705</v>
      </c>
      <c r="L1266" s="166">
        <f t="shared" si="98"/>
        <v>13208342.693027999</v>
      </c>
      <c r="M1266" s="127" t="s">
        <v>3370</v>
      </c>
    </row>
    <row r="1267" spans="1:13" x14ac:dyDescent="0.2">
      <c r="A1267" s="1217"/>
      <c r="B1267" s="166"/>
      <c r="E1267" s="83"/>
      <c r="H1267" t="s">
        <v>3372</v>
      </c>
      <c r="I1267">
        <v>4.9140000000000003E-2</v>
      </c>
      <c r="J1267" t="s">
        <v>3373</v>
      </c>
      <c r="K1267" t="s">
        <v>3372</v>
      </c>
      <c r="L1267" s="166">
        <f t="shared" si="98"/>
        <v>188.63863200000003</v>
      </c>
      <c r="M1267" s="127" t="s">
        <v>3374</v>
      </c>
    </row>
    <row r="1268" spans="1:13" x14ac:dyDescent="0.2">
      <c r="A1268" s="1217"/>
      <c r="B1268" s="166"/>
      <c r="E1268" s="83"/>
      <c r="H1268" t="s">
        <v>3375</v>
      </c>
      <c r="I1268">
        <v>0.37484000000000001</v>
      </c>
      <c r="J1268" t="s">
        <v>707</v>
      </c>
      <c r="K1268" t="s">
        <v>3375</v>
      </c>
      <c r="L1268" s="166">
        <f t="shared" si="98"/>
        <v>1438.935792</v>
      </c>
      <c r="M1268" s="127" t="s">
        <v>3376</v>
      </c>
    </row>
    <row r="1269" spans="1:13" x14ac:dyDescent="0.2">
      <c r="A1269" s="1217"/>
      <c r="B1269" s="166"/>
      <c r="E1269" s="83"/>
      <c r="H1269" t="s">
        <v>708</v>
      </c>
      <c r="I1269">
        <v>234.66023000000001</v>
      </c>
      <c r="J1269" t="s">
        <v>709</v>
      </c>
      <c r="K1269" t="s">
        <v>708</v>
      </c>
      <c r="L1269" s="166">
        <f t="shared" si="98"/>
        <v>900813.69092400011</v>
      </c>
      <c r="M1269" s="127" t="s">
        <v>3377</v>
      </c>
    </row>
    <row r="1270" spans="1:13" x14ac:dyDescent="0.2">
      <c r="A1270" s="1217"/>
      <c r="B1270" s="166"/>
      <c r="E1270" s="83"/>
      <c r="H1270" t="s">
        <v>3378</v>
      </c>
      <c r="I1270" s="33">
        <v>5.7967699999999997E-5</v>
      </c>
      <c r="J1270" t="s">
        <v>704</v>
      </c>
      <c r="K1270" t="s">
        <v>3378</v>
      </c>
      <c r="L1270" s="166">
        <f t="shared" si="98"/>
        <v>0.22252640675999999</v>
      </c>
      <c r="M1270" s="127" t="s">
        <v>3368</v>
      </c>
    </row>
    <row r="1271" spans="1:13" x14ac:dyDescent="0.2">
      <c r="A1271" s="1217"/>
      <c r="B1271" s="166"/>
      <c r="E1271" s="83"/>
      <c r="H1271" t="s">
        <v>710</v>
      </c>
      <c r="I1271" s="33">
        <v>2.5430099999999999E-6</v>
      </c>
      <c r="J1271" t="s">
        <v>3379</v>
      </c>
      <c r="K1271" t="s">
        <v>710</v>
      </c>
      <c r="L1271" s="166">
        <f t="shared" si="98"/>
        <v>9.7621067879999999E-3</v>
      </c>
      <c r="M1271" s="127" t="s">
        <v>3380</v>
      </c>
    </row>
    <row r="1272" spans="1:13" x14ac:dyDescent="0.2">
      <c r="A1272" s="1217"/>
      <c r="B1272" s="166"/>
      <c r="E1272" s="83"/>
      <c r="H1272" t="s">
        <v>3381</v>
      </c>
      <c r="I1272">
        <v>0.17479</v>
      </c>
      <c r="J1272" t="s">
        <v>3382</v>
      </c>
      <c r="K1272" t="s">
        <v>3381</v>
      </c>
      <c r="L1272" s="166">
        <f t="shared" si="98"/>
        <v>670.98385200000007</v>
      </c>
      <c r="M1272" s="127" t="s">
        <v>3383</v>
      </c>
    </row>
    <row r="1273" spans="1:13" x14ac:dyDescent="0.2">
      <c r="A1273" s="1217"/>
      <c r="B1273" s="166"/>
      <c r="E1273" s="83"/>
      <c r="H1273" t="s">
        <v>3384</v>
      </c>
      <c r="I1273">
        <v>8.8856599999999997</v>
      </c>
      <c r="J1273" t="s">
        <v>711</v>
      </c>
      <c r="K1273" t="s">
        <v>3384</v>
      </c>
      <c r="L1273" s="166">
        <f t="shared" si="98"/>
        <v>34110.271608000003</v>
      </c>
      <c r="M1273" s="127" t="s">
        <v>3385</v>
      </c>
    </row>
    <row r="1274" spans="1:13" x14ac:dyDescent="0.2">
      <c r="A1274" s="1219"/>
      <c r="B1274" s="833"/>
      <c r="C1274" s="1102"/>
      <c r="D1274" s="118"/>
      <c r="E1274" s="1220"/>
      <c r="F1274" s="118"/>
      <c r="G1274" s="118"/>
      <c r="H1274" s="118"/>
      <c r="I1274" s="118"/>
      <c r="J1274" s="118"/>
      <c r="K1274" s="118"/>
      <c r="L1274" s="833"/>
      <c r="M1274" s="120"/>
    </row>
    <row r="1275" spans="1:13" ht="16" x14ac:dyDescent="0.2">
      <c r="A1275" s="486" t="s">
        <v>812</v>
      </c>
      <c r="B1275" s="845">
        <v>976.77805519271158</v>
      </c>
      <c r="C1275" s="1159" t="s">
        <v>14</v>
      </c>
      <c r="D1275" s="1229">
        <v>2</v>
      </c>
      <c r="E1275" s="159" t="s">
        <v>3399</v>
      </c>
      <c r="F1275" s="110">
        <v>1</v>
      </c>
      <c r="G1275" s="110" t="s">
        <v>15</v>
      </c>
      <c r="H1275" s="110"/>
      <c r="I1275" s="110"/>
      <c r="J1275" s="110"/>
      <c r="K1275" s="110"/>
      <c r="L1275" s="845"/>
      <c r="M1275" s="112"/>
    </row>
    <row r="1276" spans="1:13" x14ac:dyDescent="0.2">
      <c r="A1276" s="1217"/>
      <c r="B1276" s="166">
        <f>B1275*1000</f>
        <v>976778.05519271153</v>
      </c>
      <c r="C1276" s="133" t="s">
        <v>15</v>
      </c>
      <c r="E1276" s="83"/>
      <c r="H1276" t="s">
        <v>701</v>
      </c>
      <c r="I1276">
        <v>8.2000000000000007E-3</v>
      </c>
      <c r="J1276" t="s">
        <v>702</v>
      </c>
      <c r="K1276" t="s">
        <v>701</v>
      </c>
      <c r="L1276" s="166">
        <f>I1276*B$1277</f>
        <v>16019.16010516047</v>
      </c>
      <c r="M1276" s="127" t="s">
        <v>3367</v>
      </c>
    </row>
    <row r="1277" spans="1:13" x14ac:dyDescent="0.2">
      <c r="A1277" s="1217"/>
      <c r="B1277" s="1218">
        <f>B1276*D1275</f>
        <v>1953556.1103854231</v>
      </c>
      <c r="C1277" s="133" t="s">
        <v>15</v>
      </c>
      <c r="D1277" s="1114" t="s">
        <v>577</v>
      </c>
      <c r="E1277" s="83"/>
      <c r="H1277" t="s">
        <v>703</v>
      </c>
      <c r="I1277" s="33">
        <v>1.03715E-7</v>
      </c>
      <c r="J1277" t="s">
        <v>704</v>
      </c>
      <c r="K1277" t="s">
        <v>703</v>
      </c>
      <c r="L1277" s="166">
        <f t="shared" ref="L1277:L1285" si="99">I1277*B$1277</f>
        <v>0.20261307198862416</v>
      </c>
      <c r="M1277" s="127" t="s">
        <v>3368</v>
      </c>
    </row>
    <row r="1278" spans="1:13" x14ac:dyDescent="0.2">
      <c r="A1278" s="1217"/>
      <c r="B1278" s="166"/>
      <c r="E1278" s="83"/>
      <c r="H1278" t="s">
        <v>705</v>
      </c>
      <c r="I1278">
        <v>14.472849999999999</v>
      </c>
      <c r="J1278" t="s">
        <v>706</v>
      </c>
      <c r="K1278" t="s">
        <v>705</v>
      </c>
      <c r="L1278" s="166">
        <f t="shared" si="99"/>
        <v>28273524.552191667</v>
      </c>
      <c r="M1278" s="127" t="s">
        <v>3370</v>
      </c>
    </row>
    <row r="1279" spans="1:13" x14ac:dyDescent="0.2">
      <c r="A1279" s="1217"/>
      <c r="B1279" s="166"/>
      <c r="E1279" s="83"/>
      <c r="H1279" t="s">
        <v>3372</v>
      </c>
      <c r="I1279">
        <v>1.1E-4</v>
      </c>
      <c r="J1279" t="s">
        <v>3373</v>
      </c>
      <c r="K1279" t="s">
        <v>3372</v>
      </c>
      <c r="L1279" s="166">
        <f t="shared" si="99"/>
        <v>214.89117214239656</v>
      </c>
      <c r="M1279" s="127" t="s">
        <v>3374</v>
      </c>
    </row>
    <row r="1280" spans="1:13" x14ac:dyDescent="0.2">
      <c r="A1280" s="1217"/>
      <c r="B1280" s="166"/>
      <c r="E1280" s="83"/>
      <c r="H1280" t="s">
        <v>3375</v>
      </c>
      <c r="I1280">
        <v>4.0000000000000001E-3</v>
      </c>
      <c r="J1280" t="s">
        <v>707</v>
      </c>
      <c r="K1280" t="s">
        <v>3375</v>
      </c>
      <c r="L1280" s="166">
        <f t="shared" si="99"/>
        <v>7814.2244415416926</v>
      </c>
      <c r="M1280" s="127" t="s">
        <v>3376</v>
      </c>
    </row>
    <row r="1281" spans="1:13" x14ac:dyDescent="0.2">
      <c r="A1281" s="1217"/>
      <c r="B1281" s="166"/>
      <c r="E1281" s="83"/>
      <c r="H1281" t="s">
        <v>708</v>
      </c>
      <c r="I1281">
        <v>2.29596</v>
      </c>
      <c r="J1281" t="s">
        <v>709</v>
      </c>
      <c r="K1281" t="s">
        <v>708</v>
      </c>
      <c r="L1281" s="166">
        <f t="shared" si="99"/>
        <v>4485286.6872005155</v>
      </c>
      <c r="M1281" s="127" t="s">
        <v>3377</v>
      </c>
    </row>
    <row r="1282" spans="1:13" x14ac:dyDescent="0.2">
      <c r="A1282" s="1217"/>
      <c r="B1282" s="166"/>
      <c r="E1282" s="83"/>
      <c r="H1282" t="s">
        <v>3378</v>
      </c>
      <c r="I1282" s="33">
        <v>2.0654900000000001E-7</v>
      </c>
      <c r="J1282" t="s">
        <v>704</v>
      </c>
      <c r="K1282" t="s">
        <v>3378</v>
      </c>
      <c r="L1282" s="166">
        <f t="shared" si="99"/>
        <v>0.40350506104399875</v>
      </c>
      <c r="M1282" s="127" t="s">
        <v>3368</v>
      </c>
    </row>
    <row r="1283" spans="1:13" x14ac:dyDescent="0.2">
      <c r="A1283" s="1217"/>
      <c r="B1283" s="166"/>
      <c r="E1283" s="83"/>
      <c r="H1283" t="s">
        <v>710</v>
      </c>
      <c r="I1283" s="33">
        <v>9.36496E-8</v>
      </c>
      <c r="J1283" t="s">
        <v>3379</v>
      </c>
      <c r="K1283" t="s">
        <v>710</v>
      </c>
      <c r="L1283" s="166">
        <f t="shared" si="99"/>
        <v>0.18294974831515071</v>
      </c>
      <c r="M1283" s="127" t="s">
        <v>3380</v>
      </c>
    </row>
    <row r="1284" spans="1:13" x14ac:dyDescent="0.2">
      <c r="A1284" s="1217"/>
      <c r="B1284" s="166"/>
      <c r="E1284" s="83"/>
      <c r="H1284" t="s">
        <v>3381</v>
      </c>
      <c r="I1284">
        <v>1.6999999999999999E-3</v>
      </c>
      <c r="J1284" t="s">
        <v>3382</v>
      </c>
      <c r="K1284" t="s">
        <v>3381</v>
      </c>
      <c r="L1284" s="166">
        <f t="shared" si="99"/>
        <v>3321.0453876552192</v>
      </c>
      <c r="M1284" s="127" t="s">
        <v>3383</v>
      </c>
    </row>
    <row r="1285" spans="1:13" x14ac:dyDescent="0.2">
      <c r="A1285" s="1217"/>
      <c r="B1285" s="166"/>
      <c r="E1285" s="83"/>
      <c r="H1285" t="s">
        <v>3384</v>
      </c>
      <c r="I1285">
        <v>9.5829999999999999E-2</v>
      </c>
      <c r="J1285" t="s">
        <v>711</v>
      </c>
      <c r="K1285" t="s">
        <v>3384</v>
      </c>
      <c r="L1285" s="166">
        <f t="shared" si="99"/>
        <v>187209.28205823508</v>
      </c>
      <c r="M1285" s="127" t="s">
        <v>3385</v>
      </c>
    </row>
    <row r="1286" spans="1:13" x14ac:dyDescent="0.2">
      <c r="A1286" s="1219"/>
      <c r="B1286" s="833"/>
      <c r="C1286" s="1102"/>
      <c r="D1286" s="118"/>
      <c r="E1286" s="1220"/>
      <c r="F1286" s="118"/>
      <c r="G1286" s="118"/>
      <c r="H1286" s="118"/>
      <c r="I1286" s="118"/>
      <c r="J1286" s="118"/>
      <c r="K1286" s="118"/>
      <c r="L1286" s="833"/>
      <c r="M1286" s="120"/>
    </row>
    <row r="1287" spans="1:13" ht="16" x14ac:dyDescent="0.2">
      <c r="A1287" s="486" t="s">
        <v>834</v>
      </c>
      <c r="B1287" s="845">
        <v>155.05388293135326</v>
      </c>
      <c r="C1287" s="1159" t="s">
        <v>1</v>
      </c>
      <c r="D1287" s="1229">
        <v>2</v>
      </c>
      <c r="E1287" s="159" t="s">
        <v>3400</v>
      </c>
      <c r="F1287" s="110">
        <v>1</v>
      </c>
      <c r="G1287" s="110" t="s">
        <v>1</v>
      </c>
      <c r="H1287" s="110"/>
      <c r="I1287" s="110"/>
      <c r="J1287" s="110"/>
      <c r="K1287" s="110"/>
      <c r="L1287" s="845"/>
      <c r="M1287" s="112"/>
    </row>
    <row r="1288" spans="1:13" x14ac:dyDescent="0.2">
      <c r="A1288" s="1217"/>
      <c r="B1288" s="1218">
        <f>B1287*D1287</f>
        <v>310.10776586270651</v>
      </c>
      <c r="C1288" s="1114" t="s">
        <v>1</v>
      </c>
      <c r="D1288" s="6" t="s">
        <v>2279</v>
      </c>
      <c r="E1288" s="83"/>
      <c r="H1288" t="s">
        <v>701</v>
      </c>
      <c r="I1288">
        <v>7.5000000000000002E-4</v>
      </c>
      <c r="J1288" t="s">
        <v>702</v>
      </c>
      <c r="K1288" t="s">
        <v>701</v>
      </c>
      <c r="L1288" s="166">
        <f>I1288*B$1288</f>
        <v>0.2325808243970299</v>
      </c>
      <c r="M1288" s="127" t="s">
        <v>3367</v>
      </c>
    </row>
    <row r="1289" spans="1:13" x14ac:dyDescent="0.2">
      <c r="A1289" s="1217"/>
      <c r="B1289" s="166"/>
      <c r="E1289" s="83"/>
      <c r="H1289" t="s">
        <v>703</v>
      </c>
      <c r="I1289" s="33">
        <v>3.3111200000000002E-8</v>
      </c>
      <c r="J1289" t="s">
        <v>704</v>
      </c>
      <c r="K1289" t="s">
        <v>703</v>
      </c>
      <c r="L1289" s="166">
        <f t="shared" ref="L1289:L1297" si="100">I1289*B$1288</f>
        <v>1.0268040257033249E-5</v>
      </c>
      <c r="M1289" s="127" t="s">
        <v>3368</v>
      </c>
    </row>
    <row r="1290" spans="1:13" x14ac:dyDescent="0.2">
      <c r="A1290" s="1217"/>
      <c r="B1290" s="166"/>
      <c r="E1290" s="83"/>
      <c r="H1290" t="s">
        <v>705</v>
      </c>
      <c r="I1290">
        <v>4.1968100000000002</v>
      </c>
      <c r="J1290" t="s">
        <v>706</v>
      </c>
      <c r="K1290" t="s">
        <v>705</v>
      </c>
      <c r="L1290" s="166">
        <f t="shared" si="100"/>
        <v>1301.4633728502654</v>
      </c>
      <c r="M1290" s="127" t="s">
        <v>3370</v>
      </c>
    </row>
    <row r="1291" spans="1:13" x14ac:dyDescent="0.2">
      <c r="A1291" s="1217"/>
      <c r="B1291" s="166"/>
      <c r="E1291" s="83"/>
      <c r="H1291" t="s">
        <v>3372</v>
      </c>
      <c r="I1291">
        <v>3.2000000000000003E-4</v>
      </c>
      <c r="J1291" t="s">
        <v>3373</v>
      </c>
      <c r="K1291" t="s">
        <v>3372</v>
      </c>
      <c r="L1291" s="166">
        <f t="shared" si="100"/>
        <v>9.9234485076066095E-2</v>
      </c>
      <c r="M1291" s="127" t="s">
        <v>3374</v>
      </c>
    </row>
    <row r="1292" spans="1:13" x14ac:dyDescent="0.2">
      <c r="A1292" s="1217"/>
      <c r="B1292" s="166"/>
      <c r="E1292" s="83"/>
      <c r="H1292" t="s">
        <v>3375</v>
      </c>
      <c r="I1292">
        <v>5.2999999999999998E-4</v>
      </c>
      <c r="J1292" t="s">
        <v>707</v>
      </c>
      <c r="K1292" t="s">
        <v>3375</v>
      </c>
      <c r="L1292" s="166">
        <f t="shared" si="100"/>
        <v>0.16435711590723445</v>
      </c>
      <c r="M1292" s="127" t="s">
        <v>3376</v>
      </c>
    </row>
    <row r="1293" spans="1:13" x14ac:dyDescent="0.2">
      <c r="A1293" s="1217"/>
      <c r="B1293" s="166"/>
      <c r="E1293" s="83"/>
      <c r="H1293" t="s">
        <v>708</v>
      </c>
      <c r="I1293">
        <v>0.39150000000000001</v>
      </c>
      <c r="J1293" t="s">
        <v>709</v>
      </c>
      <c r="K1293" t="s">
        <v>708</v>
      </c>
      <c r="L1293" s="166">
        <f t="shared" si="100"/>
        <v>121.40719033524961</v>
      </c>
      <c r="M1293" s="127" t="s">
        <v>3377</v>
      </c>
    </row>
    <row r="1294" spans="1:13" x14ac:dyDescent="0.2">
      <c r="A1294" s="1217"/>
      <c r="B1294" s="166"/>
      <c r="E1294" s="83"/>
      <c r="H1294" t="s">
        <v>3378</v>
      </c>
      <c r="I1294" s="33">
        <v>9.8849699999999999E-8</v>
      </c>
      <c r="J1294" t="s">
        <v>704</v>
      </c>
      <c r="K1294" t="s">
        <v>3378</v>
      </c>
      <c r="L1294" s="166">
        <f t="shared" si="100"/>
        <v>3.0654059623198782E-5</v>
      </c>
      <c r="M1294" s="127" t="s">
        <v>3368</v>
      </c>
    </row>
    <row r="1295" spans="1:13" x14ac:dyDescent="0.2">
      <c r="A1295" s="1217"/>
      <c r="B1295" s="166"/>
      <c r="E1295" s="83"/>
      <c r="H1295" t="s">
        <v>710</v>
      </c>
      <c r="I1295" s="33">
        <v>1.51061E-9</v>
      </c>
      <c r="J1295" t="s">
        <v>3379</v>
      </c>
      <c r="K1295" t="s">
        <v>710</v>
      </c>
      <c r="L1295" s="166">
        <f t="shared" si="100"/>
        <v>4.6845189218986309E-7</v>
      </c>
      <c r="M1295" s="127" t="s">
        <v>3380</v>
      </c>
    </row>
    <row r="1296" spans="1:13" x14ac:dyDescent="0.2">
      <c r="A1296" s="1217"/>
      <c r="B1296" s="166"/>
      <c r="E1296" s="83"/>
      <c r="H1296" t="s">
        <v>3381</v>
      </c>
      <c r="I1296">
        <v>1.01E-3</v>
      </c>
      <c r="J1296" t="s">
        <v>3382</v>
      </c>
      <c r="K1296" t="s">
        <v>3381</v>
      </c>
      <c r="L1296" s="166">
        <f t="shared" si="100"/>
        <v>0.3132088435213336</v>
      </c>
      <c r="M1296" s="127" t="s">
        <v>3383</v>
      </c>
    </row>
    <row r="1297" spans="1:13" x14ac:dyDescent="0.2">
      <c r="A1297" s="1217"/>
      <c r="B1297" s="166"/>
      <c r="E1297" s="83"/>
      <c r="H1297" t="s">
        <v>3384</v>
      </c>
      <c r="I1297">
        <v>1.2200000000000001E-2</v>
      </c>
      <c r="J1297" t="s">
        <v>711</v>
      </c>
      <c r="K1297" t="s">
        <v>3384</v>
      </c>
      <c r="L1297" s="166">
        <f t="shared" si="100"/>
        <v>3.7833147435250196</v>
      </c>
      <c r="M1297" s="127" t="s">
        <v>3385</v>
      </c>
    </row>
    <row r="1298" spans="1:13" x14ac:dyDescent="0.2">
      <c r="A1298" s="1219"/>
      <c r="B1298" s="833"/>
      <c r="C1298" s="1102"/>
      <c r="D1298" s="118"/>
      <c r="E1298" s="1220"/>
      <c r="F1298" s="118"/>
      <c r="G1298" s="118"/>
      <c r="H1298" s="118"/>
      <c r="I1298" s="118"/>
      <c r="J1298" s="118"/>
      <c r="K1298" s="118"/>
      <c r="L1298" s="833"/>
      <c r="M1298" s="120"/>
    </row>
    <row r="1299" spans="1:13" ht="16" x14ac:dyDescent="0.2">
      <c r="A1299" s="486" t="s">
        <v>835</v>
      </c>
      <c r="B1299" s="845">
        <v>65.752893977425842</v>
      </c>
      <c r="C1299" s="1159" t="s">
        <v>1</v>
      </c>
      <c r="D1299" s="1229">
        <v>2</v>
      </c>
      <c r="E1299" s="159" t="s">
        <v>3400</v>
      </c>
      <c r="F1299" s="110">
        <v>1</v>
      </c>
      <c r="G1299" s="110" t="s">
        <v>1</v>
      </c>
      <c r="H1299" s="110"/>
      <c r="I1299" s="110"/>
      <c r="J1299" s="110"/>
      <c r="K1299" s="110"/>
      <c r="L1299" s="845"/>
      <c r="M1299" s="112"/>
    </row>
    <row r="1300" spans="1:13" x14ac:dyDescent="0.2">
      <c r="A1300" s="1217"/>
      <c r="B1300" s="1218">
        <f>B1299*D1299</f>
        <v>131.50578795485168</v>
      </c>
      <c r="C1300" s="1114" t="s">
        <v>1</v>
      </c>
      <c r="D1300" s="6" t="s">
        <v>2279</v>
      </c>
      <c r="E1300" s="83"/>
      <c r="H1300" t="s">
        <v>701</v>
      </c>
      <c r="I1300">
        <v>7.5000000000000002E-4</v>
      </c>
      <c r="J1300" t="s">
        <v>702</v>
      </c>
      <c r="K1300" t="s">
        <v>701</v>
      </c>
      <c r="L1300" s="166">
        <f>I1300*B$1300</f>
        <v>9.8629340966138762E-2</v>
      </c>
      <c r="M1300" s="127" t="s">
        <v>3367</v>
      </c>
    </row>
    <row r="1301" spans="1:13" x14ac:dyDescent="0.2">
      <c r="A1301" s="1217"/>
      <c r="B1301" s="166"/>
      <c r="E1301" s="83"/>
      <c r="H1301" t="s">
        <v>703</v>
      </c>
      <c r="I1301" s="33">
        <v>3.3111200000000002E-8</v>
      </c>
      <c r="J1301" t="s">
        <v>704</v>
      </c>
      <c r="K1301" t="s">
        <v>703</v>
      </c>
      <c r="L1301" s="166">
        <f t="shared" ref="L1301:L1309" si="101">I1301*B$1300</f>
        <v>4.3543144461306854E-6</v>
      </c>
      <c r="M1301" s="127" t="s">
        <v>3368</v>
      </c>
    </row>
    <row r="1302" spans="1:13" x14ac:dyDescent="0.2">
      <c r="A1302" s="1217"/>
      <c r="B1302" s="166"/>
      <c r="E1302" s="83"/>
      <c r="H1302" t="s">
        <v>705</v>
      </c>
      <c r="I1302">
        <v>4.1968100000000002</v>
      </c>
      <c r="J1302" t="s">
        <v>706</v>
      </c>
      <c r="K1302" t="s">
        <v>705</v>
      </c>
      <c r="L1302" s="166">
        <f t="shared" si="101"/>
        <v>551.90480594680116</v>
      </c>
      <c r="M1302" s="127" t="s">
        <v>3370</v>
      </c>
    </row>
    <row r="1303" spans="1:13" x14ac:dyDescent="0.2">
      <c r="A1303" s="1217"/>
      <c r="B1303" s="166"/>
      <c r="E1303" s="83"/>
      <c r="H1303" t="s">
        <v>3372</v>
      </c>
      <c r="I1303">
        <v>3.2000000000000003E-4</v>
      </c>
      <c r="J1303" t="s">
        <v>3373</v>
      </c>
      <c r="K1303" t="s">
        <v>3372</v>
      </c>
      <c r="L1303" s="166">
        <f t="shared" si="101"/>
        <v>4.2081852145552545E-2</v>
      </c>
      <c r="M1303" s="127" t="s">
        <v>3374</v>
      </c>
    </row>
    <row r="1304" spans="1:13" x14ac:dyDescent="0.2">
      <c r="A1304" s="1217"/>
      <c r="B1304" s="166"/>
      <c r="E1304" s="83"/>
      <c r="H1304" t="s">
        <v>3375</v>
      </c>
      <c r="I1304">
        <v>5.2999999999999998E-4</v>
      </c>
      <c r="J1304" t="s">
        <v>707</v>
      </c>
      <c r="K1304" t="s">
        <v>3375</v>
      </c>
      <c r="L1304" s="166">
        <f t="shared" si="101"/>
        <v>6.9698067616071391E-2</v>
      </c>
      <c r="M1304" s="127" t="s">
        <v>3376</v>
      </c>
    </row>
    <row r="1305" spans="1:13" x14ac:dyDescent="0.2">
      <c r="A1305" s="1217"/>
      <c r="B1305" s="166"/>
      <c r="E1305" s="83"/>
      <c r="H1305" t="s">
        <v>708</v>
      </c>
      <c r="I1305">
        <v>0.39150000000000001</v>
      </c>
      <c r="J1305" t="s">
        <v>709</v>
      </c>
      <c r="K1305" t="s">
        <v>708</v>
      </c>
      <c r="L1305" s="166">
        <f t="shared" si="101"/>
        <v>51.484515984324439</v>
      </c>
      <c r="M1305" s="127" t="s">
        <v>3377</v>
      </c>
    </row>
    <row r="1306" spans="1:13" x14ac:dyDescent="0.2">
      <c r="A1306" s="1217"/>
      <c r="B1306" s="166"/>
      <c r="E1306" s="83"/>
      <c r="H1306" t="s">
        <v>3378</v>
      </c>
      <c r="I1306" s="33">
        <v>9.8849699999999999E-8</v>
      </c>
      <c r="J1306" t="s">
        <v>704</v>
      </c>
      <c r="K1306" t="s">
        <v>3378</v>
      </c>
      <c r="L1306" s="166">
        <f t="shared" si="101"/>
        <v>1.2999307687600703E-5</v>
      </c>
      <c r="M1306" s="127" t="s">
        <v>3368</v>
      </c>
    </row>
    <row r="1307" spans="1:13" x14ac:dyDescent="0.2">
      <c r="A1307" s="1217"/>
      <c r="B1307" s="166"/>
      <c r="E1307" s="83"/>
      <c r="H1307" t="s">
        <v>710</v>
      </c>
      <c r="I1307" s="33">
        <v>1.51061E-9</v>
      </c>
      <c r="J1307" t="s">
        <v>3379</v>
      </c>
      <c r="K1307" t="s">
        <v>710</v>
      </c>
      <c r="L1307" s="166">
        <f t="shared" si="101"/>
        <v>1.9865395834247851E-7</v>
      </c>
      <c r="M1307" s="127" t="s">
        <v>3380</v>
      </c>
    </row>
    <row r="1308" spans="1:13" x14ac:dyDescent="0.2">
      <c r="A1308" s="1217"/>
      <c r="B1308" s="166"/>
      <c r="E1308" s="83"/>
      <c r="H1308" t="s">
        <v>3381</v>
      </c>
      <c r="I1308">
        <v>1.01E-3</v>
      </c>
      <c r="J1308" t="s">
        <v>3382</v>
      </c>
      <c r="K1308" t="s">
        <v>3381</v>
      </c>
      <c r="L1308" s="166">
        <f t="shared" si="101"/>
        <v>0.13282084583440021</v>
      </c>
      <c r="M1308" s="127" t="s">
        <v>3383</v>
      </c>
    </row>
    <row r="1309" spans="1:13" x14ac:dyDescent="0.2">
      <c r="A1309" s="1217"/>
      <c r="B1309" s="166"/>
      <c r="E1309" s="83"/>
      <c r="H1309" t="s">
        <v>3384</v>
      </c>
      <c r="I1309">
        <v>1.2200000000000001E-2</v>
      </c>
      <c r="J1309" t="s">
        <v>711</v>
      </c>
      <c r="K1309" t="s">
        <v>3384</v>
      </c>
      <c r="L1309" s="166">
        <f t="shared" si="101"/>
        <v>1.6043706130491906</v>
      </c>
      <c r="M1309" s="127" t="s">
        <v>3385</v>
      </c>
    </row>
    <row r="1310" spans="1:13" x14ac:dyDescent="0.2">
      <c r="A1310" s="1219"/>
      <c r="B1310" s="833"/>
      <c r="C1310" s="1102"/>
      <c r="D1310" s="118"/>
      <c r="E1310" s="1220"/>
      <c r="F1310" s="118"/>
      <c r="G1310" s="118"/>
      <c r="H1310" s="118"/>
      <c r="I1310" s="118"/>
      <c r="J1310" s="118"/>
      <c r="K1310" s="118"/>
      <c r="L1310" s="833"/>
      <c r="M1310" s="120"/>
    </row>
    <row r="1311" spans="1:13" ht="16" x14ac:dyDescent="0.2">
      <c r="A1311" s="486" t="s">
        <v>836</v>
      </c>
      <c r="B1311" s="845">
        <v>65.752893977425842</v>
      </c>
      <c r="C1311" s="1159" t="s">
        <v>1</v>
      </c>
      <c r="D1311" s="1229">
        <v>2</v>
      </c>
      <c r="E1311" s="159" t="s">
        <v>3400</v>
      </c>
      <c r="F1311" s="110">
        <v>1</v>
      </c>
      <c r="G1311" s="110" t="s">
        <v>1</v>
      </c>
      <c r="H1311" s="110"/>
      <c r="I1311" s="110"/>
      <c r="J1311" s="110"/>
      <c r="K1311" s="110"/>
      <c r="L1311" s="845"/>
      <c r="M1311" s="112"/>
    </row>
    <row r="1312" spans="1:13" x14ac:dyDescent="0.2">
      <c r="A1312" s="1217"/>
      <c r="B1312" s="1218">
        <f>B1311*D1311</f>
        <v>131.50578795485168</v>
      </c>
      <c r="C1312" s="1114" t="s">
        <v>1</v>
      </c>
      <c r="D1312" s="6" t="s">
        <v>2279</v>
      </c>
      <c r="E1312" s="83"/>
      <c r="H1312" t="s">
        <v>701</v>
      </c>
      <c r="I1312">
        <v>7.5000000000000002E-4</v>
      </c>
      <c r="J1312" t="s">
        <v>702</v>
      </c>
      <c r="K1312" t="s">
        <v>701</v>
      </c>
      <c r="L1312" s="166">
        <f>I1312*B$1312</f>
        <v>9.8629340966138762E-2</v>
      </c>
      <c r="M1312" s="127" t="s">
        <v>3367</v>
      </c>
    </row>
    <row r="1313" spans="1:13" x14ac:dyDescent="0.2">
      <c r="A1313" s="1217"/>
      <c r="B1313" s="166"/>
      <c r="E1313" s="83"/>
      <c r="H1313" t="s">
        <v>703</v>
      </c>
      <c r="I1313" s="33">
        <v>3.3111200000000002E-8</v>
      </c>
      <c r="J1313" t="s">
        <v>704</v>
      </c>
      <c r="K1313" t="s">
        <v>703</v>
      </c>
      <c r="L1313" s="166">
        <f t="shared" ref="L1313:L1321" si="102">I1313*B$1312</f>
        <v>4.3543144461306854E-6</v>
      </c>
      <c r="M1313" s="127" t="s">
        <v>3368</v>
      </c>
    </row>
    <row r="1314" spans="1:13" x14ac:dyDescent="0.2">
      <c r="A1314" s="1217"/>
      <c r="B1314" s="166"/>
      <c r="E1314" s="83"/>
      <c r="H1314" t="s">
        <v>705</v>
      </c>
      <c r="I1314">
        <v>4.1968100000000002</v>
      </c>
      <c r="J1314" t="s">
        <v>706</v>
      </c>
      <c r="K1314" t="s">
        <v>705</v>
      </c>
      <c r="L1314" s="166">
        <f t="shared" si="102"/>
        <v>551.90480594680116</v>
      </c>
      <c r="M1314" s="127" t="s">
        <v>3370</v>
      </c>
    </row>
    <row r="1315" spans="1:13" x14ac:dyDescent="0.2">
      <c r="A1315" s="1217"/>
      <c r="B1315" s="166"/>
      <c r="E1315" s="83"/>
      <c r="H1315" t="s">
        <v>3372</v>
      </c>
      <c r="I1315">
        <v>3.2000000000000003E-4</v>
      </c>
      <c r="J1315" t="s">
        <v>3373</v>
      </c>
      <c r="K1315" t="s">
        <v>3372</v>
      </c>
      <c r="L1315" s="166">
        <f t="shared" si="102"/>
        <v>4.2081852145552545E-2</v>
      </c>
      <c r="M1315" s="127" t="s">
        <v>3374</v>
      </c>
    </row>
    <row r="1316" spans="1:13" x14ac:dyDescent="0.2">
      <c r="A1316" s="1217"/>
      <c r="B1316" s="166"/>
      <c r="E1316" s="83"/>
      <c r="H1316" t="s">
        <v>3375</v>
      </c>
      <c r="I1316">
        <v>5.2999999999999998E-4</v>
      </c>
      <c r="J1316" t="s">
        <v>707</v>
      </c>
      <c r="K1316" t="s">
        <v>3375</v>
      </c>
      <c r="L1316" s="166">
        <f t="shared" si="102"/>
        <v>6.9698067616071391E-2</v>
      </c>
      <c r="M1316" s="127" t="s">
        <v>3376</v>
      </c>
    </row>
    <row r="1317" spans="1:13" x14ac:dyDescent="0.2">
      <c r="A1317" s="1217"/>
      <c r="B1317" s="166"/>
      <c r="E1317" s="83"/>
      <c r="H1317" t="s">
        <v>708</v>
      </c>
      <c r="I1317">
        <v>0.39150000000000001</v>
      </c>
      <c r="J1317" t="s">
        <v>709</v>
      </c>
      <c r="K1317" t="s">
        <v>708</v>
      </c>
      <c r="L1317" s="166">
        <f t="shared" si="102"/>
        <v>51.484515984324439</v>
      </c>
      <c r="M1317" s="127" t="s">
        <v>3377</v>
      </c>
    </row>
    <row r="1318" spans="1:13" x14ac:dyDescent="0.2">
      <c r="A1318" s="1217"/>
      <c r="B1318" s="166"/>
      <c r="E1318" s="83"/>
      <c r="H1318" t="s">
        <v>3378</v>
      </c>
      <c r="I1318" s="33">
        <v>9.8849699999999999E-8</v>
      </c>
      <c r="J1318" t="s">
        <v>704</v>
      </c>
      <c r="K1318" t="s">
        <v>3378</v>
      </c>
      <c r="L1318" s="166">
        <f t="shared" si="102"/>
        <v>1.2999307687600703E-5</v>
      </c>
      <c r="M1318" s="127" t="s">
        <v>3368</v>
      </c>
    </row>
    <row r="1319" spans="1:13" x14ac:dyDescent="0.2">
      <c r="A1319" s="1217"/>
      <c r="B1319" s="166"/>
      <c r="E1319" s="83"/>
      <c r="H1319" t="s">
        <v>710</v>
      </c>
      <c r="I1319" s="33">
        <v>1.51061E-9</v>
      </c>
      <c r="J1319" t="s">
        <v>3379</v>
      </c>
      <c r="K1319" t="s">
        <v>710</v>
      </c>
      <c r="L1319" s="166">
        <f t="shared" si="102"/>
        <v>1.9865395834247851E-7</v>
      </c>
      <c r="M1319" s="127" t="s">
        <v>3380</v>
      </c>
    </row>
    <row r="1320" spans="1:13" x14ac:dyDescent="0.2">
      <c r="A1320" s="1217"/>
      <c r="B1320" s="166"/>
      <c r="E1320" s="83"/>
      <c r="H1320" t="s">
        <v>3381</v>
      </c>
      <c r="I1320">
        <v>1.01E-3</v>
      </c>
      <c r="J1320" t="s">
        <v>3382</v>
      </c>
      <c r="K1320" t="s">
        <v>3381</v>
      </c>
      <c r="L1320" s="166">
        <f t="shared" si="102"/>
        <v>0.13282084583440021</v>
      </c>
      <c r="M1320" s="127" t="s">
        <v>3383</v>
      </c>
    </row>
    <row r="1321" spans="1:13" x14ac:dyDescent="0.2">
      <c r="A1321" s="1217"/>
      <c r="B1321" s="166"/>
      <c r="E1321" s="83"/>
      <c r="H1321" t="s">
        <v>3384</v>
      </c>
      <c r="I1321">
        <v>1.2200000000000001E-2</v>
      </c>
      <c r="J1321" t="s">
        <v>711</v>
      </c>
      <c r="K1321" t="s">
        <v>3384</v>
      </c>
      <c r="L1321" s="166">
        <f t="shared" si="102"/>
        <v>1.6043706130491906</v>
      </c>
      <c r="M1321" s="127" t="s">
        <v>3385</v>
      </c>
    </row>
    <row r="1322" spans="1:13" x14ac:dyDescent="0.2">
      <c r="A1322" s="1219"/>
      <c r="B1322" s="833"/>
      <c r="C1322" s="1102"/>
      <c r="D1322" s="118"/>
      <c r="E1322" s="1220"/>
      <c r="F1322" s="118"/>
      <c r="G1322" s="118"/>
      <c r="H1322" s="118"/>
      <c r="I1322" s="118"/>
      <c r="J1322" s="118"/>
      <c r="K1322" s="118"/>
      <c r="L1322" s="833"/>
      <c r="M1322" s="120"/>
    </row>
    <row r="1323" spans="1:13" ht="16" x14ac:dyDescent="0.2">
      <c r="A1323" s="486" t="s">
        <v>837</v>
      </c>
      <c r="B1323" s="845">
        <v>65.752893977425842</v>
      </c>
      <c r="C1323" s="1159" t="s">
        <v>1</v>
      </c>
      <c r="D1323" s="1229">
        <v>2</v>
      </c>
      <c r="E1323" s="159" t="s">
        <v>3400</v>
      </c>
      <c r="F1323" s="110">
        <v>1</v>
      </c>
      <c r="G1323" s="110" t="s">
        <v>1</v>
      </c>
      <c r="H1323" s="110"/>
      <c r="I1323" s="110"/>
      <c r="J1323" s="110"/>
      <c r="K1323" s="110"/>
      <c r="L1323" s="845"/>
      <c r="M1323" s="112"/>
    </row>
    <row r="1324" spans="1:13" x14ac:dyDescent="0.2">
      <c r="A1324" s="1217"/>
      <c r="B1324" s="1218">
        <f>B1323*D1323</f>
        <v>131.50578795485168</v>
      </c>
      <c r="C1324" s="1114" t="s">
        <v>1</v>
      </c>
      <c r="D1324" s="6" t="s">
        <v>2279</v>
      </c>
      <c r="E1324" s="83"/>
      <c r="H1324" t="s">
        <v>701</v>
      </c>
      <c r="I1324">
        <v>7.5000000000000002E-4</v>
      </c>
      <c r="J1324" t="s">
        <v>702</v>
      </c>
      <c r="K1324" t="s">
        <v>701</v>
      </c>
      <c r="L1324" s="166">
        <f>I1324*B$1324</f>
        <v>9.8629340966138762E-2</v>
      </c>
      <c r="M1324" s="127" t="s">
        <v>3367</v>
      </c>
    </row>
    <row r="1325" spans="1:13" x14ac:dyDescent="0.2">
      <c r="A1325" s="1217"/>
      <c r="B1325" s="166"/>
      <c r="E1325" s="83"/>
      <c r="H1325" t="s">
        <v>703</v>
      </c>
      <c r="I1325" s="33">
        <v>3.3111200000000002E-8</v>
      </c>
      <c r="J1325" t="s">
        <v>704</v>
      </c>
      <c r="K1325" t="s">
        <v>703</v>
      </c>
      <c r="L1325" s="166">
        <f t="shared" ref="L1325:L1333" si="103">I1325*B$1324</f>
        <v>4.3543144461306854E-6</v>
      </c>
      <c r="M1325" s="127" t="s">
        <v>3368</v>
      </c>
    </row>
    <row r="1326" spans="1:13" x14ac:dyDescent="0.2">
      <c r="A1326" s="1217"/>
      <c r="B1326" s="166"/>
      <c r="E1326" s="83"/>
      <c r="H1326" t="s">
        <v>705</v>
      </c>
      <c r="I1326">
        <v>4.1968100000000002</v>
      </c>
      <c r="J1326" t="s">
        <v>706</v>
      </c>
      <c r="K1326" t="s">
        <v>705</v>
      </c>
      <c r="L1326" s="166">
        <f t="shared" si="103"/>
        <v>551.90480594680116</v>
      </c>
      <c r="M1326" s="127" t="s">
        <v>3370</v>
      </c>
    </row>
    <row r="1327" spans="1:13" x14ac:dyDescent="0.2">
      <c r="A1327" s="1217"/>
      <c r="B1327" s="166"/>
      <c r="E1327" s="83"/>
      <c r="H1327" t="s">
        <v>3372</v>
      </c>
      <c r="I1327">
        <v>3.2000000000000003E-4</v>
      </c>
      <c r="J1327" t="s">
        <v>3373</v>
      </c>
      <c r="K1327" t="s">
        <v>3372</v>
      </c>
      <c r="L1327" s="166">
        <f t="shared" si="103"/>
        <v>4.2081852145552545E-2</v>
      </c>
      <c r="M1327" s="127" t="s">
        <v>3374</v>
      </c>
    </row>
    <row r="1328" spans="1:13" x14ac:dyDescent="0.2">
      <c r="A1328" s="1217"/>
      <c r="B1328" s="166"/>
      <c r="E1328" s="83"/>
      <c r="H1328" t="s">
        <v>3375</v>
      </c>
      <c r="I1328">
        <v>5.2999999999999998E-4</v>
      </c>
      <c r="J1328" t="s">
        <v>707</v>
      </c>
      <c r="K1328" t="s">
        <v>3375</v>
      </c>
      <c r="L1328" s="166">
        <f t="shared" si="103"/>
        <v>6.9698067616071391E-2</v>
      </c>
      <c r="M1328" s="127" t="s">
        <v>3376</v>
      </c>
    </row>
    <row r="1329" spans="1:13" x14ac:dyDescent="0.2">
      <c r="A1329" s="1217"/>
      <c r="B1329" s="166"/>
      <c r="E1329" s="83"/>
      <c r="H1329" t="s">
        <v>708</v>
      </c>
      <c r="I1329">
        <v>0.39150000000000001</v>
      </c>
      <c r="J1329" t="s">
        <v>709</v>
      </c>
      <c r="K1329" t="s">
        <v>708</v>
      </c>
      <c r="L1329" s="166">
        <f t="shared" si="103"/>
        <v>51.484515984324439</v>
      </c>
      <c r="M1329" s="127" t="s">
        <v>3377</v>
      </c>
    </row>
    <row r="1330" spans="1:13" x14ac:dyDescent="0.2">
      <c r="A1330" s="1217"/>
      <c r="B1330" s="166"/>
      <c r="E1330" s="83"/>
      <c r="H1330" t="s">
        <v>3378</v>
      </c>
      <c r="I1330" s="33">
        <v>9.8849699999999999E-8</v>
      </c>
      <c r="J1330" t="s">
        <v>704</v>
      </c>
      <c r="K1330" t="s">
        <v>3378</v>
      </c>
      <c r="L1330" s="166">
        <f t="shared" si="103"/>
        <v>1.2999307687600703E-5</v>
      </c>
      <c r="M1330" s="127" t="s">
        <v>3368</v>
      </c>
    </row>
    <row r="1331" spans="1:13" x14ac:dyDescent="0.2">
      <c r="A1331" s="1217"/>
      <c r="B1331" s="166"/>
      <c r="E1331" s="83"/>
      <c r="H1331" t="s">
        <v>710</v>
      </c>
      <c r="I1331" s="33">
        <v>1.51061E-9</v>
      </c>
      <c r="J1331" t="s">
        <v>3379</v>
      </c>
      <c r="K1331" t="s">
        <v>710</v>
      </c>
      <c r="L1331" s="166">
        <f t="shared" si="103"/>
        <v>1.9865395834247851E-7</v>
      </c>
      <c r="M1331" s="127" t="s">
        <v>3380</v>
      </c>
    </row>
    <row r="1332" spans="1:13" x14ac:dyDescent="0.2">
      <c r="A1332" s="1217"/>
      <c r="B1332" s="166"/>
      <c r="E1332" s="83"/>
      <c r="H1332" t="s">
        <v>3381</v>
      </c>
      <c r="I1332">
        <v>1.01E-3</v>
      </c>
      <c r="J1332" t="s">
        <v>3382</v>
      </c>
      <c r="K1332" t="s">
        <v>3381</v>
      </c>
      <c r="L1332" s="166">
        <f t="shared" si="103"/>
        <v>0.13282084583440021</v>
      </c>
      <c r="M1332" s="127" t="s">
        <v>3383</v>
      </c>
    </row>
    <row r="1333" spans="1:13" x14ac:dyDescent="0.2">
      <c r="A1333" s="1217"/>
      <c r="B1333" s="166"/>
      <c r="E1333" s="83"/>
      <c r="H1333" t="s">
        <v>3384</v>
      </c>
      <c r="I1333">
        <v>1.2200000000000001E-2</v>
      </c>
      <c r="J1333" t="s">
        <v>711</v>
      </c>
      <c r="K1333" t="s">
        <v>3384</v>
      </c>
      <c r="L1333" s="166">
        <f t="shared" si="103"/>
        <v>1.6043706130491906</v>
      </c>
      <c r="M1333" s="127" t="s">
        <v>3385</v>
      </c>
    </row>
    <row r="1334" spans="1:13" x14ac:dyDescent="0.2">
      <c r="A1334" s="1219"/>
      <c r="B1334" s="833"/>
      <c r="C1334" s="1102"/>
      <c r="D1334" s="118"/>
      <c r="E1334" s="1220"/>
      <c r="F1334" s="118"/>
      <c r="G1334" s="118"/>
      <c r="H1334" s="118"/>
      <c r="I1334" s="118"/>
      <c r="J1334" s="118"/>
      <c r="K1334" s="118"/>
      <c r="L1334" s="833"/>
      <c r="M1334" s="120"/>
    </row>
    <row r="1335" spans="1:13" ht="16" x14ac:dyDescent="0.2">
      <c r="A1335" s="486" t="s">
        <v>745</v>
      </c>
      <c r="B1335" s="845">
        <v>191928.30718464431</v>
      </c>
      <c r="C1335" s="1159" t="s">
        <v>391</v>
      </c>
      <c r="D1335" s="1229">
        <v>2</v>
      </c>
      <c r="E1335" s="1216" t="s">
        <v>3388</v>
      </c>
      <c r="F1335" s="110"/>
      <c r="G1335" s="110"/>
      <c r="H1335" s="110"/>
      <c r="I1335" s="110"/>
      <c r="J1335" s="110"/>
      <c r="K1335" s="110"/>
      <c r="L1335" s="845"/>
      <c r="M1335" s="112"/>
    </row>
    <row r="1336" spans="1:13" x14ac:dyDescent="0.2">
      <c r="A1336" s="1217"/>
      <c r="B1336" s="166">
        <f>B1335/1000</f>
        <v>191.9283071846443</v>
      </c>
      <c r="C1336" s="133" t="s">
        <v>444</v>
      </c>
      <c r="F1336">
        <v>1</v>
      </c>
      <c r="G1336" t="s">
        <v>713</v>
      </c>
      <c r="H1336" t="s">
        <v>701</v>
      </c>
      <c r="I1336">
        <v>0.14229</v>
      </c>
      <c r="J1336" t="s">
        <v>702</v>
      </c>
      <c r="K1336" t="s">
        <v>701</v>
      </c>
      <c r="L1336" s="166">
        <f>I1336*B$1341</f>
        <v>39.129750000000001</v>
      </c>
      <c r="M1336" s="127" t="s">
        <v>3367</v>
      </c>
    </row>
    <row r="1337" spans="1:13" x14ac:dyDescent="0.2">
      <c r="A1337" s="1217"/>
      <c r="B1337" s="166">
        <v>20</v>
      </c>
      <c r="C1337" s="133" t="s">
        <v>10</v>
      </c>
      <c r="D1337" t="s">
        <v>3390</v>
      </c>
      <c r="E1337" s="83"/>
      <c r="F1337">
        <v>40</v>
      </c>
      <c r="G1337" t="s">
        <v>12</v>
      </c>
      <c r="H1337" t="s">
        <v>703</v>
      </c>
      <c r="I1337" s="33">
        <v>2.2291000000000001E-5</v>
      </c>
      <c r="J1337" t="s">
        <v>704</v>
      </c>
      <c r="K1337" t="s">
        <v>703</v>
      </c>
      <c r="L1337" s="166">
        <f t="shared" ref="L1337:L1345" si="104">I1337*B$1341</f>
        <v>6.1300249999999999E-3</v>
      </c>
      <c r="M1337" s="127" t="s">
        <v>3368</v>
      </c>
    </row>
    <row r="1338" spans="1:13" x14ac:dyDescent="0.2">
      <c r="A1338" s="1217"/>
      <c r="B1338" s="166">
        <v>0.7</v>
      </c>
      <c r="D1338" t="s">
        <v>3391</v>
      </c>
      <c r="E1338" s="83"/>
      <c r="H1338" t="s">
        <v>705</v>
      </c>
      <c r="I1338">
        <v>3203.5834399999999</v>
      </c>
      <c r="J1338" t="s">
        <v>706</v>
      </c>
      <c r="K1338" t="s">
        <v>705</v>
      </c>
      <c r="L1338" s="166">
        <f t="shared" si="104"/>
        <v>880985.446</v>
      </c>
      <c r="M1338" s="127" t="s">
        <v>3370</v>
      </c>
    </row>
    <row r="1339" spans="1:13" x14ac:dyDescent="0.2">
      <c r="A1339" s="1217"/>
      <c r="B1339" s="166">
        <f>B1336*B1337/B1338</f>
        <v>5483.6659195612656</v>
      </c>
      <c r="C1339" s="133" t="s">
        <v>12</v>
      </c>
      <c r="D1339" s="6"/>
      <c r="E1339" s="83"/>
      <c r="H1339" t="s">
        <v>3372</v>
      </c>
      <c r="I1339">
        <v>1.278E-2</v>
      </c>
      <c r="J1339" t="s">
        <v>3373</v>
      </c>
      <c r="K1339" t="s">
        <v>3372</v>
      </c>
      <c r="L1339" s="166">
        <f t="shared" si="104"/>
        <v>3.5145</v>
      </c>
      <c r="M1339" s="127" t="s">
        <v>3374</v>
      </c>
    </row>
    <row r="1340" spans="1:13" x14ac:dyDescent="0.2">
      <c r="A1340" s="1217"/>
      <c r="B1340" s="166">
        <f>B1339*D1335</f>
        <v>10967.331839122531</v>
      </c>
      <c r="C1340" s="133" t="s">
        <v>12</v>
      </c>
      <c r="E1340" s="83"/>
      <c r="H1340" t="s">
        <v>3375</v>
      </c>
      <c r="I1340">
        <v>3.7339999999999998E-2</v>
      </c>
      <c r="J1340" t="s">
        <v>707</v>
      </c>
      <c r="K1340" t="s">
        <v>3375</v>
      </c>
      <c r="L1340" s="166">
        <f t="shared" si="104"/>
        <v>10.2685</v>
      </c>
      <c r="M1340" s="127" t="s">
        <v>3376</v>
      </c>
    </row>
    <row r="1341" spans="1:13" x14ac:dyDescent="0.2">
      <c r="A1341" s="1217"/>
      <c r="B1341" s="1218">
        <f>ROUNDUP(B1340/F1337,0)</f>
        <v>275</v>
      </c>
      <c r="C1341" s="1114" t="s">
        <v>3392</v>
      </c>
      <c r="D1341" s="6" t="s">
        <v>577</v>
      </c>
      <c r="E1341" s="83"/>
      <c r="H1341" t="s">
        <v>708</v>
      </c>
      <c r="I1341">
        <v>9.0477000000000007</v>
      </c>
      <c r="J1341" t="s">
        <v>709</v>
      </c>
      <c r="K1341" t="s">
        <v>708</v>
      </c>
      <c r="L1341" s="166">
        <f t="shared" si="104"/>
        <v>2488.1175000000003</v>
      </c>
      <c r="M1341" s="127" t="s">
        <v>3377</v>
      </c>
    </row>
    <row r="1342" spans="1:13" x14ac:dyDescent="0.2">
      <c r="A1342" s="1217"/>
      <c r="B1342" s="166"/>
      <c r="E1342" s="83"/>
      <c r="H1342" t="s">
        <v>3378</v>
      </c>
      <c r="I1342" s="33">
        <v>3.5905399999999997E-5</v>
      </c>
      <c r="J1342" t="s">
        <v>704</v>
      </c>
      <c r="K1342" t="s">
        <v>3378</v>
      </c>
      <c r="L1342" s="166">
        <f t="shared" si="104"/>
        <v>9.8739849999999983E-3</v>
      </c>
      <c r="M1342" s="127" t="s">
        <v>3368</v>
      </c>
    </row>
    <row r="1343" spans="1:13" x14ac:dyDescent="0.2">
      <c r="A1343" s="1217"/>
      <c r="B1343" s="166"/>
      <c r="E1343" s="83"/>
      <c r="H1343" t="s">
        <v>710</v>
      </c>
      <c r="I1343" s="33">
        <v>1.7364199999999999E-7</v>
      </c>
      <c r="J1343" t="s">
        <v>3379</v>
      </c>
      <c r="K1343" t="s">
        <v>710</v>
      </c>
      <c r="L1343" s="166">
        <f t="shared" si="104"/>
        <v>4.7751549999999995E-5</v>
      </c>
      <c r="M1343" s="127" t="s">
        <v>3380</v>
      </c>
    </row>
    <row r="1344" spans="1:13" x14ac:dyDescent="0.2">
      <c r="A1344" s="1217"/>
      <c r="B1344" s="166"/>
      <c r="E1344" s="83"/>
      <c r="H1344" t="s">
        <v>3381</v>
      </c>
      <c r="I1344">
        <v>2.9360000000000001E-2</v>
      </c>
      <c r="J1344" t="s">
        <v>3382</v>
      </c>
      <c r="K1344" t="s">
        <v>3381</v>
      </c>
      <c r="L1344" s="166">
        <f t="shared" si="104"/>
        <v>8.0739999999999998</v>
      </c>
      <c r="M1344" s="127" t="s">
        <v>3383</v>
      </c>
    </row>
    <row r="1345" spans="1:13" x14ac:dyDescent="0.2">
      <c r="A1345" s="1217"/>
      <c r="B1345" s="166"/>
      <c r="E1345" s="83"/>
      <c r="H1345" t="s">
        <v>3384</v>
      </c>
      <c r="I1345">
        <v>0.84404000000000001</v>
      </c>
      <c r="J1345" t="s">
        <v>711</v>
      </c>
      <c r="K1345" t="s">
        <v>3384</v>
      </c>
      <c r="L1345" s="166">
        <f t="shared" si="104"/>
        <v>232.11099999999999</v>
      </c>
      <c r="M1345" s="127" t="s">
        <v>3385</v>
      </c>
    </row>
    <row r="1346" spans="1:13" x14ac:dyDescent="0.2">
      <c r="A1346" s="1219"/>
      <c r="B1346" s="833"/>
      <c r="C1346" s="1102"/>
      <c r="D1346" s="118"/>
      <c r="E1346" s="1220"/>
      <c r="F1346" s="118"/>
      <c r="G1346" s="118"/>
      <c r="H1346" s="118"/>
      <c r="I1346" s="118"/>
      <c r="J1346" s="118"/>
      <c r="K1346" s="118"/>
      <c r="L1346" s="833"/>
      <c r="M1346" s="120"/>
    </row>
    <row r="1347" spans="1:13" ht="32" x14ac:dyDescent="0.2">
      <c r="A1347" s="1215" t="s">
        <v>714</v>
      </c>
      <c r="B1347" s="845">
        <v>1631973.3354743493</v>
      </c>
      <c r="C1347" s="1103" t="s">
        <v>40</v>
      </c>
      <c r="D1347" s="110"/>
      <c r="E1347" s="1216" t="s">
        <v>3404</v>
      </c>
      <c r="F1347" s="110">
        <v>1</v>
      </c>
      <c r="G1347" s="110" t="s">
        <v>378</v>
      </c>
      <c r="H1347" s="110"/>
      <c r="I1347" s="110"/>
      <c r="J1347" s="110"/>
      <c r="K1347" s="110"/>
      <c r="L1347" s="845"/>
      <c r="M1347" s="112"/>
    </row>
    <row r="1348" spans="1:13" x14ac:dyDescent="0.2">
      <c r="A1348" s="637"/>
      <c r="B1348" s="1218">
        <f>B1347*30</f>
        <v>48959200.064230479</v>
      </c>
      <c r="C1348" s="1114" t="s">
        <v>3430</v>
      </c>
      <c r="E1348" s="83"/>
      <c r="H1348" t="s">
        <v>701</v>
      </c>
      <c r="I1348">
        <v>7.5000000000000002E-4</v>
      </c>
      <c r="J1348" t="s">
        <v>702</v>
      </c>
      <c r="K1348" t="s">
        <v>701</v>
      </c>
      <c r="L1348" s="166">
        <f>I1348*B$1348</f>
        <v>36719.400048172858</v>
      </c>
      <c r="M1348" s="127" t="s">
        <v>3367</v>
      </c>
    </row>
    <row r="1349" spans="1:13" x14ac:dyDescent="0.2">
      <c r="A1349" s="1217"/>
      <c r="B1349" s="166"/>
      <c r="E1349" s="83"/>
      <c r="H1349" t="s">
        <v>703</v>
      </c>
      <c r="I1349" s="33">
        <v>3.3111200000000002E-8</v>
      </c>
      <c r="J1349" t="s">
        <v>704</v>
      </c>
      <c r="K1349" t="s">
        <v>703</v>
      </c>
      <c r="L1349" s="166">
        <f t="shared" ref="L1349:L1357" si="105">I1349*B$1348</f>
        <v>1.6210978651667483</v>
      </c>
      <c r="M1349" s="127" t="s">
        <v>3368</v>
      </c>
    </row>
    <row r="1350" spans="1:13" x14ac:dyDescent="0.2">
      <c r="A1350" s="1217"/>
      <c r="B1350" s="166"/>
      <c r="E1350" s="83"/>
      <c r="H1350" t="s">
        <v>705</v>
      </c>
      <c r="I1350">
        <v>4.1968100000000002</v>
      </c>
      <c r="J1350" t="s">
        <v>706</v>
      </c>
      <c r="K1350" t="s">
        <v>705</v>
      </c>
      <c r="L1350" s="166">
        <f t="shared" si="105"/>
        <v>205472460.42156312</v>
      </c>
      <c r="M1350" s="127" t="s">
        <v>3370</v>
      </c>
    </row>
    <row r="1351" spans="1:13" x14ac:dyDescent="0.2">
      <c r="A1351" s="1217"/>
      <c r="B1351" s="166"/>
      <c r="E1351" s="83"/>
      <c r="H1351" t="s">
        <v>3372</v>
      </c>
      <c r="I1351">
        <v>3.2000000000000003E-4</v>
      </c>
      <c r="J1351" t="s">
        <v>3373</v>
      </c>
      <c r="K1351" t="s">
        <v>3372</v>
      </c>
      <c r="L1351" s="166">
        <f t="shared" si="105"/>
        <v>15666.944020553754</v>
      </c>
      <c r="M1351" s="127" t="s">
        <v>3374</v>
      </c>
    </row>
    <row r="1352" spans="1:13" x14ac:dyDescent="0.2">
      <c r="A1352" s="1217"/>
      <c r="B1352" s="166"/>
      <c r="E1352" s="83"/>
      <c r="H1352" t="s">
        <v>3375</v>
      </c>
      <c r="I1352">
        <v>5.2999999999999998E-4</v>
      </c>
      <c r="J1352" t="s">
        <v>707</v>
      </c>
      <c r="K1352" t="s">
        <v>3375</v>
      </c>
      <c r="L1352" s="166">
        <f t="shared" si="105"/>
        <v>25948.376034042154</v>
      </c>
      <c r="M1352" s="127" t="s">
        <v>3376</v>
      </c>
    </row>
    <row r="1353" spans="1:13" x14ac:dyDescent="0.2">
      <c r="A1353" s="1217"/>
      <c r="B1353" s="166"/>
      <c r="E1353" s="83"/>
      <c r="H1353" t="s">
        <v>708</v>
      </c>
      <c r="I1353">
        <v>0.39150000000000001</v>
      </c>
      <c r="J1353" t="s">
        <v>709</v>
      </c>
      <c r="K1353" t="s">
        <v>708</v>
      </c>
      <c r="L1353" s="166">
        <f t="shared" si="105"/>
        <v>19167526.825146232</v>
      </c>
      <c r="M1353" s="127" t="s">
        <v>3377</v>
      </c>
    </row>
    <row r="1354" spans="1:13" x14ac:dyDescent="0.2">
      <c r="A1354" s="1217"/>
      <c r="B1354" s="166"/>
      <c r="E1354" s="83"/>
      <c r="H1354" t="s">
        <v>3378</v>
      </c>
      <c r="I1354" s="33">
        <v>9.8849699999999999E-8</v>
      </c>
      <c r="J1354" t="s">
        <v>704</v>
      </c>
      <c r="K1354" t="s">
        <v>3378</v>
      </c>
      <c r="L1354" s="166">
        <f t="shared" si="105"/>
        <v>4.8396022385891637</v>
      </c>
      <c r="M1354" s="127" t="s">
        <v>3368</v>
      </c>
    </row>
    <row r="1355" spans="1:13" x14ac:dyDescent="0.2">
      <c r="A1355" s="1217"/>
      <c r="B1355" s="166"/>
      <c r="E1355" s="83"/>
      <c r="H1355" t="s">
        <v>710</v>
      </c>
      <c r="I1355" s="33">
        <v>1.51061E-9</v>
      </c>
      <c r="J1355" t="s">
        <v>3379</v>
      </c>
      <c r="K1355" t="s">
        <v>710</v>
      </c>
      <c r="L1355" s="166">
        <f t="shared" si="105"/>
        <v>7.3958257209027212E-2</v>
      </c>
      <c r="M1355" s="127" t="s">
        <v>3380</v>
      </c>
    </row>
    <row r="1356" spans="1:13" x14ac:dyDescent="0.2">
      <c r="A1356" s="1217"/>
      <c r="B1356" s="166"/>
      <c r="E1356" s="83"/>
      <c r="H1356" t="s">
        <v>3381</v>
      </c>
      <c r="I1356">
        <v>1.01E-3</v>
      </c>
      <c r="J1356" t="s">
        <v>3382</v>
      </c>
      <c r="K1356" t="s">
        <v>3381</v>
      </c>
      <c r="L1356" s="166">
        <f t="shared" si="105"/>
        <v>49448.792064872789</v>
      </c>
      <c r="M1356" s="127" t="s">
        <v>3383</v>
      </c>
    </row>
    <row r="1357" spans="1:13" x14ac:dyDescent="0.2">
      <c r="A1357" s="1217"/>
      <c r="B1357" s="166"/>
      <c r="E1357" s="83"/>
      <c r="H1357" t="s">
        <v>3384</v>
      </c>
      <c r="I1357">
        <v>1.2200000000000001E-2</v>
      </c>
      <c r="J1357" t="s">
        <v>711</v>
      </c>
      <c r="K1357" t="s">
        <v>3384</v>
      </c>
      <c r="L1357" s="166">
        <f t="shared" si="105"/>
        <v>597302.24078361189</v>
      </c>
      <c r="M1357" s="127" t="s">
        <v>3385</v>
      </c>
    </row>
    <row r="1358" spans="1:13" x14ac:dyDescent="0.2">
      <c r="A1358" s="1219"/>
      <c r="B1358" s="833"/>
      <c r="C1358" s="1102"/>
      <c r="D1358" s="118"/>
      <c r="E1358" s="1220"/>
      <c r="F1358" s="118"/>
      <c r="G1358" s="118"/>
      <c r="H1358" s="118"/>
      <c r="I1358" s="118"/>
      <c r="J1358" s="118"/>
      <c r="K1358" s="118"/>
      <c r="L1358" s="833"/>
      <c r="M1358" s="120"/>
    </row>
    <row r="1359" spans="1:13" ht="32" x14ac:dyDescent="0.2">
      <c r="A1359" s="1215" t="s">
        <v>2433</v>
      </c>
      <c r="B1359" s="845">
        <v>348228809.1639573</v>
      </c>
      <c r="C1359" s="1103" t="s">
        <v>2959</v>
      </c>
      <c r="D1359" s="110"/>
      <c r="E1359" s="1216" t="s">
        <v>3444</v>
      </c>
      <c r="F1359" s="110">
        <v>1</v>
      </c>
      <c r="G1359" s="110" t="s">
        <v>1</v>
      </c>
      <c r="H1359" s="110"/>
      <c r="I1359" s="110"/>
      <c r="J1359" s="110"/>
      <c r="K1359" s="110"/>
      <c r="L1359" s="845"/>
      <c r="M1359" s="112"/>
    </row>
    <row r="1360" spans="1:13" x14ac:dyDescent="0.2">
      <c r="A1360" s="1217"/>
      <c r="B1360" s="166">
        <v>157955.55164835224</v>
      </c>
      <c r="C1360" s="133" t="s">
        <v>3225</v>
      </c>
      <c r="E1360" s="83"/>
      <c r="H1360" t="s">
        <v>701</v>
      </c>
      <c r="I1360">
        <v>1.14E-3</v>
      </c>
      <c r="J1360" t="s">
        <v>702</v>
      </c>
      <c r="K1360" t="s">
        <v>701</v>
      </c>
      <c r="L1360" s="166">
        <f>I1360*B$1361</f>
        <v>5402.0798663736459</v>
      </c>
      <c r="M1360" s="127" t="s">
        <v>3367</v>
      </c>
    </row>
    <row r="1361" spans="1:15" x14ac:dyDescent="0.2">
      <c r="A1361" s="1217"/>
      <c r="B1361" s="1218">
        <f>B1360*30</f>
        <v>4738666.549450567</v>
      </c>
      <c r="C1361" s="1114" t="s">
        <v>3445</v>
      </c>
      <c r="D1361" s="6" t="s">
        <v>577</v>
      </c>
      <c r="E1361" s="83"/>
      <c r="H1361" t="s">
        <v>703</v>
      </c>
      <c r="I1361" s="33">
        <v>5.4967900000000001E-8</v>
      </c>
      <c r="J1361" t="s">
        <v>704</v>
      </c>
      <c r="K1361" t="s">
        <v>703</v>
      </c>
      <c r="L1361" s="166">
        <f t="shared" ref="L1361:L1369" si="106">I1361*B$1361</f>
        <v>0.26047454902354383</v>
      </c>
      <c r="M1361" s="127" t="s">
        <v>3368</v>
      </c>
    </row>
    <row r="1362" spans="1:15" x14ac:dyDescent="0.2">
      <c r="A1362" s="1217"/>
      <c r="B1362" s="166"/>
      <c r="E1362" s="83"/>
      <c r="H1362" t="s">
        <v>705</v>
      </c>
      <c r="I1362">
        <v>9.5996699999999997</v>
      </c>
      <c r="J1362" t="s">
        <v>706</v>
      </c>
      <c r="K1362" t="s">
        <v>705</v>
      </c>
      <c r="L1362" s="166">
        <f t="shared" si="106"/>
        <v>45489635.114764124</v>
      </c>
      <c r="M1362" s="127" t="s">
        <v>3370</v>
      </c>
    </row>
    <row r="1363" spans="1:15" x14ac:dyDescent="0.2">
      <c r="A1363" s="1217"/>
      <c r="B1363" s="166"/>
      <c r="E1363" s="83"/>
      <c r="H1363" t="s">
        <v>3372</v>
      </c>
      <c r="I1363">
        <v>2.3600000000000001E-3</v>
      </c>
      <c r="J1363" t="s">
        <v>3373</v>
      </c>
      <c r="K1363" t="s">
        <v>3372</v>
      </c>
      <c r="L1363" s="166">
        <f t="shared" si="106"/>
        <v>11183.253056703339</v>
      </c>
      <c r="M1363" s="127" t="s">
        <v>3374</v>
      </c>
    </row>
    <row r="1364" spans="1:15" x14ac:dyDescent="0.2">
      <c r="A1364" s="1217"/>
      <c r="B1364" s="166"/>
      <c r="E1364" s="83"/>
      <c r="H1364" t="s">
        <v>3375</v>
      </c>
      <c r="I1364">
        <v>7.0000000000000001E-3</v>
      </c>
      <c r="J1364" t="s">
        <v>707</v>
      </c>
      <c r="K1364" t="s">
        <v>3375</v>
      </c>
      <c r="L1364" s="166">
        <f t="shared" si="106"/>
        <v>33170.66584615397</v>
      </c>
      <c r="M1364" s="127" t="s">
        <v>3376</v>
      </c>
    </row>
    <row r="1365" spans="1:15" x14ac:dyDescent="0.2">
      <c r="A1365" s="1217"/>
      <c r="B1365" s="166"/>
      <c r="E1365" s="83"/>
      <c r="H1365" t="s">
        <v>708</v>
      </c>
      <c r="I1365">
        <v>0.20222999999999999</v>
      </c>
      <c r="J1365" t="s">
        <v>709</v>
      </c>
      <c r="K1365" t="s">
        <v>708</v>
      </c>
      <c r="L1365" s="166">
        <f t="shared" si="106"/>
        <v>958300.53629538813</v>
      </c>
      <c r="M1365" s="127" t="s">
        <v>3377</v>
      </c>
    </row>
    <row r="1366" spans="1:15" x14ac:dyDescent="0.2">
      <c r="A1366" s="1217"/>
      <c r="B1366" s="166"/>
      <c r="E1366" s="83"/>
      <c r="H1366" t="s">
        <v>3378</v>
      </c>
      <c r="I1366" s="33">
        <v>5.2573200000000002E-6</v>
      </c>
      <c r="J1366" t="s">
        <v>704</v>
      </c>
      <c r="K1366" t="s">
        <v>3378</v>
      </c>
      <c r="L1366" s="166">
        <f t="shared" si="106"/>
        <v>24.912686423757457</v>
      </c>
      <c r="M1366" s="127" t="s">
        <v>3368</v>
      </c>
    </row>
    <row r="1367" spans="1:15" x14ac:dyDescent="0.2">
      <c r="A1367" s="1217"/>
      <c r="B1367" s="166"/>
      <c r="E1367" s="83"/>
      <c r="H1367" t="s">
        <v>710</v>
      </c>
      <c r="I1367" s="33">
        <v>1.8080899999999999E-9</v>
      </c>
      <c r="J1367" t="s">
        <v>3379</v>
      </c>
      <c r="K1367" t="s">
        <v>710</v>
      </c>
      <c r="L1367" s="166">
        <f t="shared" si="106"/>
        <v>8.5679356013960758E-3</v>
      </c>
      <c r="M1367" s="127" t="s">
        <v>3380</v>
      </c>
    </row>
    <row r="1368" spans="1:15" x14ac:dyDescent="0.2">
      <c r="A1368" s="1217"/>
      <c r="B1368" s="166"/>
      <c r="E1368" s="83"/>
      <c r="H1368" t="s">
        <v>3381</v>
      </c>
      <c r="I1368">
        <v>1.4999999999999999E-4</v>
      </c>
      <c r="J1368" t="s">
        <v>3382</v>
      </c>
      <c r="K1368" t="s">
        <v>3381</v>
      </c>
      <c r="L1368" s="166">
        <f t="shared" si="106"/>
        <v>710.79998241758494</v>
      </c>
      <c r="M1368" s="127" t="s">
        <v>3383</v>
      </c>
    </row>
    <row r="1369" spans="1:15" x14ac:dyDescent="0.2">
      <c r="A1369" s="1217"/>
      <c r="B1369" s="166"/>
      <c r="E1369" s="83"/>
      <c r="H1369" t="s">
        <v>3384</v>
      </c>
      <c r="I1369">
        <v>1.456E-2</v>
      </c>
      <c r="J1369" t="s">
        <v>711</v>
      </c>
      <c r="K1369" t="s">
        <v>3384</v>
      </c>
      <c r="L1369" s="166">
        <f t="shared" si="106"/>
        <v>68994.984960000249</v>
      </c>
      <c r="M1369" s="127" t="s">
        <v>3385</v>
      </c>
    </row>
    <row r="1370" spans="1:15" x14ac:dyDescent="0.2">
      <c r="A1370" s="1219"/>
      <c r="B1370" s="833"/>
      <c r="C1370" s="1102"/>
      <c r="D1370" s="118"/>
      <c r="E1370" s="1220"/>
      <c r="F1370" s="118"/>
      <c r="G1370" s="118"/>
      <c r="H1370" s="118"/>
      <c r="I1370" s="118"/>
      <c r="J1370" s="118"/>
      <c r="K1370" s="118"/>
      <c r="L1370" s="833"/>
      <c r="M1370" s="120"/>
    </row>
    <row r="1373" spans="1:15" ht="16" thickBot="1" x14ac:dyDescent="0.25"/>
    <row r="1374" spans="1:15" x14ac:dyDescent="0.2">
      <c r="A1374" s="1934" t="s">
        <v>910</v>
      </c>
      <c r="B1374" s="1935"/>
      <c r="C1374" s="1935"/>
      <c r="D1374" s="1935"/>
      <c r="E1374" s="1935"/>
      <c r="F1374" s="1935"/>
      <c r="G1374" s="1935"/>
      <c r="H1374" s="1935"/>
      <c r="I1374" s="1935"/>
      <c r="J1374" s="1935"/>
      <c r="K1374" s="1935"/>
      <c r="L1374" s="1935"/>
      <c r="M1374" s="1935"/>
      <c r="N1374" s="1935"/>
      <c r="O1374" s="1936"/>
    </row>
    <row r="1375" spans="1:15" ht="16" thickBot="1" x14ac:dyDescent="0.25">
      <c r="A1375" s="1937"/>
      <c r="B1375" s="1938"/>
      <c r="C1375" s="1938"/>
      <c r="D1375" s="1938"/>
      <c r="E1375" s="1938"/>
      <c r="F1375" s="1938"/>
      <c r="G1375" s="1938"/>
      <c r="H1375" s="1938"/>
      <c r="I1375" s="1938"/>
      <c r="J1375" s="1938"/>
      <c r="K1375" s="1938"/>
      <c r="L1375" s="1938"/>
      <c r="M1375" s="1938"/>
      <c r="N1375" s="1938"/>
      <c r="O1375" s="1939"/>
    </row>
    <row r="1376" spans="1:15" s="6" customFormat="1" x14ac:dyDescent="0.2">
      <c r="A1376" s="1920" t="s">
        <v>697</v>
      </c>
      <c r="B1376" s="1515" t="s">
        <v>698</v>
      </c>
      <c r="C1376" s="1515"/>
      <c r="D1376" s="1515"/>
      <c r="E1376" s="1921" t="s">
        <v>3362</v>
      </c>
      <c r="F1376" s="1515" t="s">
        <v>699</v>
      </c>
      <c r="G1376" s="1515"/>
      <c r="H1376" s="1515" t="s">
        <v>3363</v>
      </c>
      <c r="I1376" s="1515"/>
      <c r="J1376" s="1515"/>
      <c r="K1376" s="1515" t="s">
        <v>700</v>
      </c>
      <c r="L1376" s="1515"/>
      <c r="M1376" s="1515"/>
    </row>
    <row r="1377" spans="1:13" s="6" customFormat="1" ht="15.75" customHeight="1" x14ac:dyDescent="0.2">
      <c r="A1377" s="1520"/>
      <c r="B1377" s="1214" t="s">
        <v>515</v>
      </c>
      <c r="C1377" s="969" t="s">
        <v>372</v>
      </c>
      <c r="D1377" s="969" t="s">
        <v>583</v>
      </c>
      <c r="E1377" s="1922"/>
      <c r="F1377" s="969" t="s">
        <v>42</v>
      </c>
      <c r="G1377" s="969" t="s">
        <v>372</v>
      </c>
      <c r="H1377" s="29" t="s">
        <v>697</v>
      </c>
      <c r="I1377" s="969" t="s">
        <v>42</v>
      </c>
      <c r="J1377" s="969" t="s">
        <v>372</v>
      </c>
      <c r="K1377" s="969" t="s">
        <v>697</v>
      </c>
      <c r="L1377" s="1214" t="s">
        <v>42</v>
      </c>
      <c r="M1377" s="969" t="s">
        <v>372</v>
      </c>
    </row>
    <row r="1378" spans="1:13" ht="16" x14ac:dyDescent="0.2">
      <c r="A1378" s="486" t="s">
        <v>2379</v>
      </c>
      <c r="B1378" s="845">
        <v>21356.728370429853</v>
      </c>
      <c r="C1378" s="1159" t="s">
        <v>267</v>
      </c>
      <c r="D1378" s="1229">
        <v>2</v>
      </c>
      <c r="E1378" s="159" t="s">
        <v>3400</v>
      </c>
      <c r="F1378" s="110">
        <v>1</v>
      </c>
      <c r="G1378" s="110" t="s">
        <v>1</v>
      </c>
      <c r="H1378" s="110"/>
      <c r="I1378" s="110"/>
      <c r="J1378" s="110"/>
      <c r="K1378" s="110"/>
      <c r="L1378" s="845"/>
      <c r="M1378" s="112"/>
    </row>
    <row r="1379" spans="1:13" x14ac:dyDescent="0.2">
      <c r="A1379" s="1217"/>
      <c r="B1379" s="166">
        <f>B1378*10/1000</f>
        <v>213.56728370429855</v>
      </c>
      <c r="C1379" s="133" t="s">
        <v>1</v>
      </c>
      <c r="E1379" s="83"/>
      <c r="H1379" t="s">
        <v>701</v>
      </c>
      <c r="I1379">
        <v>7.5000000000000002E-4</v>
      </c>
      <c r="J1379" t="s">
        <v>702</v>
      </c>
      <c r="K1379" t="s">
        <v>701</v>
      </c>
      <c r="L1379" s="166">
        <f>I1379*B$1380</f>
        <v>0.32035092555644784</v>
      </c>
      <c r="M1379" s="127" t="s">
        <v>3367</v>
      </c>
    </row>
    <row r="1380" spans="1:13" x14ac:dyDescent="0.2">
      <c r="A1380" s="1217"/>
      <c r="B1380" s="1218">
        <f>B1379*D1378</f>
        <v>427.13456740859709</v>
      </c>
      <c r="C1380" s="1114" t="s">
        <v>1</v>
      </c>
      <c r="D1380" s="6" t="s">
        <v>577</v>
      </c>
      <c r="E1380" s="83"/>
      <c r="H1380" t="s">
        <v>703</v>
      </c>
      <c r="I1380" s="33">
        <v>3.3111200000000002E-8</v>
      </c>
      <c r="J1380" t="s">
        <v>704</v>
      </c>
      <c r="K1380" t="s">
        <v>703</v>
      </c>
      <c r="L1380" s="166">
        <f t="shared" ref="L1380:L1388" si="107">I1380*B$1380</f>
        <v>1.4142938088379542E-5</v>
      </c>
      <c r="M1380" s="127" t="s">
        <v>3368</v>
      </c>
    </row>
    <row r="1381" spans="1:13" x14ac:dyDescent="0.2">
      <c r="A1381" s="1217"/>
      <c r="B1381" s="166"/>
      <c r="E1381" s="83"/>
      <c r="H1381" t="s">
        <v>705</v>
      </c>
      <c r="I1381">
        <v>4.1968100000000002</v>
      </c>
      <c r="J1381" t="s">
        <v>706</v>
      </c>
      <c r="K1381" t="s">
        <v>705</v>
      </c>
      <c r="L1381" s="166">
        <f t="shared" si="107"/>
        <v>1792.6026238460745</v>
      </c>
      <c r="M1381" s="127" t="s">
        <v>3370</v>
      </c>
    </row>
    <row r="1382" spans="1:13" x14ac:dyDescent="0.2">
      <c r="A1382" s="1217"/>
      <c r="B1382" s="166"/>
      <c r="E1382" s="83"/>
      <c r="H1382" t="s">
        <v>3372</v>
      </c>
      <c r="I1382">
        <v>3.2000000000000003E-4</v>
      </c>
      <c r="J1382" t="s">
        <v>3373</v>
      </c>
      <c r="K1382" t="s">
        <v>3372</v>
      </c>
      <c r="L1382" s="166">
        <f t="shared" si="107"/>
        <v>0.13668306157075108</v>
      </c>
      <c r="M1382" s="127" t="s">
        <v>3374</v>
      </c>
    </row>
    <row r="1383" spans="1:13" x14ac:dyDescent="0.2">
      <c r="A1383" s="1217"/>
      <c r="B1383" s="166"/>
      <c r="E1383" s="83"/>
      <c r="H1383" t="s">
        <v>3375</v>
      </c>
      <c r="I1383">
        <v>5.2999999999999998E-4</v>
      </c>
      <c r="J1383" t="s">
        <v>707</v>
      </c>
      <c r="K1383" t="s">
        <v>3375</v>
      </c>
      <c r="L1383" s="166">
        <f t="shared" si="107"/>
        <v>0.22638132072655645</v>
      </c>
      <c r="M1383" s="127" t="s">
        <v>3376</v>
      </c>
    </row>
    <row r="1384" spans="1:13" x14ac:dyDescent="0.2">
      <c r="A1384" s="1217"/>
      <c r="B1384" s="166"/>
      <c r="E1384" s="83"/>
      <c r="H1384" t="s">
        <v>708</v>
      </c>
      <c r="I1384">
        <v>0.39150000000000001</v>
      </c>
      <c r="J1384" t="s">
        <v>709</v>
      </c>
      <c r="K1384" t="s">
        <v>708</v>
      </c>
      <c r="L1384" s="166">
        <f t="shared" si="107"/>
        <v>167.22318314046578</v>
      </c>
      <c r="M1384" s="127" t="s">
        <v>3377</v>
      </c>
    </row>
    <row r="1385" spans="1:13" x14ac:dyDescent="0.2">
      <c r="A1385" s="1217"/>
      <c r="B1385" s="166"/>
      <c r="E1385" s="83"/>
      <c r="H1385" t="s">
        <v>3378</v>
      </c>
      <c r="I1385" s="33">
        <v>9.8849699999999999E-8</v>
      </c>
      <c r="J1385" t="s">
        <v>704</v>
      </c>
      <c r="K1385" t="s">
        <v>3378</v>
      </c>
      <c r="L1385" s="166">
        <f t="shared" si="107"/>
        <v>4.2222123847969603E-5</v>
      </c>
      <c r="M1385" s="127" t="s">
        <v>3368</v>
      </c>
    </row>
    <row r="1386" spans="1:13" x14ac:dyDescent="0.2">
      <c r="A1386" s="1217"/>
      <c r="B1386" s="166"/>
      <c r="E1386" s="83"/>
      <c r="H1386" t="s">
        <v>710</v>
      </c>
      <c r="I1386" s="33">
        <v>1.51061E-9</v>
      </c>
      <c r="J1386" t="s">
        <v>3379</v>
      </c>
      <c r="K1386" t="s">
        <v>710</v>
      </c>
      <c r="L1386" s="166">
        <f t="shared" si="107"/>
        <v>6.4523374887310081E-7</v>
      </c>
      <c r="M1386" s="127" t="s">
        <v>3380</v>
      </c>
    </row>
    <row r="1387" spans="1:13" x14ac:dyDescent="0.2">
      <c r="A1387" s="1217"/>
      <c r="B1387" s="166"/>
      <c r="E1387" s="83"/>
      <c r="H1387" t="s">
        <v>3381</v>
      </c>
      <c r="I1387">
        <v>1.01E-3</v>
      </c>
      <c r="J1387" t="s">
        <v>3382</v>
      </c>
      <c r="K1387" t="s">
        <v>3381</v>
      </c>
      <c r="L1387" s="166">
        <f t="shared" si="107"/>
        <v>0.43140591308268306</v>
      </c>
      <c r="M1387" s="127" t="s">
        <v>3383</v>
      </c>
    </row>
    <row r="1388" spans="1:13" x14ac:dyDescent="0.2">
      <c r="A1388" s="1217"/>
      <c r="B1388" s="166"/>
      <c r="E1388" s="83"/>
      <c r="H1388" t="s">
        <v>3384</v>
      </c>
      <c r="I1388">
        <v>1.2200000000000001E-2</v>
      </c>
      <c r="J1388" t="s">
        <v>711</v>
      </c>
      <c r="K1388" t="s">
        <v>3384</v>
      </c>
      <c r="L1388" s="166">
        <f t="shared" si="107"/>
        <v>5.2110417223848851</v>
      </c>
      <c r="M1388" s="127" t="s">
        <v>3385</v>
      </c>
    </row>
    <row r="1389" spans="1:13" x14ac:dyDescent="0.2">
      <c r="A1389" s="1219"/>
      <c r="B1389" s="833"/>
      <c r="C1389" s="1102"/>
      <c r="D1389" s="118"/>
      <c r="E1389" s="1220"/>
      <c r="F1389" s="118"/>
      <c r="G1389" s="118"/>
      <c r="H1389" s="118"/>
      <c r="I1389" s="118"/>
      <c r="J1389" s="118"/>
      <c r="K1389" s="118"/>
      <c r="L1389" s="833"/>
      <c r="M1389" s="120"/>
    </row>
    <row r="1390" spans="1:13" ht="16" x14ac:dyDescent="0.2">
      <c r="A1390" s="486" t="s">
        <v>2374</v>
      </c>
      <c r="B1390" s="845">
        <v>1783.2159423335968</v>
      </c>
      <c r="C1390" s="1159" t="s">
        <v>267</v>
      </c>
      <c r="D1390" s="1229">
        <v>2</v>
      </c>
      <c r="E1390" s="1216" t="s">
        <v>3388</v>
      </c>
      <c r="F1390" s="110"/>
      <c r="G1390" s="110"/>
      <c r="H1390" s="110"/>
      <c r="I1390" s="110"/>
      <c r="J1390" s="110"/>
      <c r="K1390" s="110"/>
      <c r="L1390" s="845"/>
      <c r="M1390" s="112"/>
    </row>
    <row r="1391" spans="1:13" x14ac:dyDescent="0.2">
      <c r="A1391" s="1217"/>
      <c r="B1391" s="166">
        <f>B1390/1000</f>
        <v>1.7832159423335967</v>
      </c>
      <c r="C1391" s="133" t="s">
        <v>444</v>
      </c>
      <c r="F1391">
        <v>1</v>
      </c>
      <c r="G1391" t="s">
        <v>713</v>
      </c>
      <c r="H1391" t="s">
        <v>701</v>
      </c>
      <c r="I1391">
        <v>0.14229</v>
      </c>
      <c r="J1391" t="s">
        <v>702</v>
      </c>
      <c r="K1391" t="s">
        <v>701</v>
      </c>
      <c r="L1391" s="166">
        <f>I1391*B$1396</f>
        <v>0.42686999999999997</v>
      </c>
      <c r="M1391" s="127" t="s">
        <v>3367</v>
      </c>
    </row>
    <row r="1392" spans="1:13" x14ac:dyDescent="0.2">
      <c r="A1392" s="1217"/>
      <c r="B1392" s="166">
        <v>20</v>
      </c>
      <c r="C1392" s="133" t="s">
        <v>10</v>
      </c>
      <c r="D1392" t="s">
        <v>3390</v>
      </c>
      <c r="E1392" s="83"/>
      <c r="F1392">
        <v>40</v>
      </c>
      <c r="G1392" t="s">
        <v>12</v>
      </c>
      <c r="H1392" t="s">
        <v>703</v>
      </c>
      <c r="I1392" s="33">
        <v>2.2291000000000001E-5</v>
      </c>
      <c r="J1392" t="s">
        <v>704</v>
      </c>
      <c r="K1392" t="s">
        <v>703</v>
      </c>
      <c r="L1392" s="166">
        <f t="shared" ref="L1392:L1400" si="108">I1392*B$1396</f>
        <v>6.6873000000000008E-5</v>
      </c>
      <c r="M1392" s="127" t="s">
        <v>3368</v>
      </c>
    </row>
    <row r="1393" spans="1:13" x14ac:dyDescent="0.2">
      <c r="A1393" s="1217"/>
      <c r="B1393" s="166">
        <v>0.7</v>
      </c>
      <c r="D1393" s="24" t="s">
        <v>3391</v>
      </c>
      <c r="E1393" s="83"/>
      <c r="H1393" t="s">
        <v>705</v>
      </c>
      <c r="I1393">
        <v>3203.5834399999999</v>
      </c>
      <c r="J1393" t="s">
        <v>706</v>
      </c>
      <c r="K1393" t="s">
        <v>705</v>
      </c>
      <c r="L1393" s="166">
        <f t="shared" si="108"/>
        <v>9610.7503199999992</v>
      </c>
      <c r="M1393" s="127" t="s">
        <v>3370</v>
      </c>
    </row>
    <row r="1394" spans="1:13" x14ac:dyDescent="0.2">
      <c r="A1394" s="1217"/>
      <c r="B1394" s="166">
        <f>B1391*B1392/B1393</f>
        <v>50.949026923817051</v>
      </c>
      <c r="C1394" s="133" t="s">
        <v>12</v>
      </c>
      <c r="D1394" s="6"/>
      <c r="E1394" s="83"/>
      <c r="H1394" t="s">
        <v>3372</v>
      </c>
      <c r="I1394">
        <v>1.278E-2</v>
      </c>
      <c r="J1394" t="s">
        <v>3373</v>
      </c>
      <c r="K1394" t="s">
        <v>3372</v>
      </c>
      <c r="L1394" s="166">
        <f t="shared" si="108"/>
        <v>3.8339999999999999E-2</v>
      </c>
      <c r="M1394" s="127" t="s">
        <v>3374</v>
      </c>
    </row>
    <row r="1395" spans="1:13" x14ac:dyDescent="0.2">
      <c r="A1395" s="1217"/>
      <c r="B1395" s="166">
        <f>B1394*D1390</f>
        <v>101.8980538476341</v>
      </c>
      <c r="C1395" s="133" t="s">
        <v>12</v>
      </c>
      <c r="E1395" s="83"/>
      <c r="H1395" t="s">
        <v>3375</v>
      </c>
      <c r="I1395">
        <v>3.7339999999999998E-2</v>
      </c>
      <c r="J1395" t="s">
        <v>707</v>
      </c>
      <c r="K1395" t="s">
        <v>3375</v>
      </c>
      <c r="L1395" s="166">
        <f t="shared" si="108"/>
        <v>0.11201999999999999</v>
      </c>
      <c r="M1395" s="127" t="s">
        <v>3376</v>
      </c>
    </row>
    <row r="1396" spans="1:13" x14ac:dyDescent="0.2">
      <c r="A1396" s="1217"/>
      <c r="B1396" s="1218">
        <f>ROUNDUP(B1395/F1392,0)</f>
        <v>3</v>
      </c>
      <c r="C1396" s="1114" t="s">
        <v>3392</v>
      </c>
      <c r="D1396" s="6" t="s">
        <v>577</v>
      </c>
      <c r="E1396" s="83"/>
      <c r="H1396" t="s">
        <v>708</v>
      </c>
      <c r="I1396">
        <v>9.0477000000000007</v>
      </c>
      <c r="J1396" t="s">
        <v>709</v>
      </c>
      <c r="K1396" t="s">
        <v>708</v>
      </c>
      <c r="L1396" s="166">
        <f t="shared" si="108"/>
        <v>27.143100000000004</v>
      </c>
      <c r="M1396" s="127" t="s">
        <v>3377</v>
      </c>
    </row>
    <row r="1397" spans="1:13" x14ac:dyDescent="0.2">
      <c r="A1397" s="1217"/>
      <c r="B1397" s="166"/>
      <c r="E1397" s="83"/>
      <c r="H1397" t="s">
        <v>3378</v>
      </c>
      <c r="I1397" s="33">
        <v>3.5905399999999997E-5</v>
      </c>
      <c r="J1397" t="s">
        <v>704</v>
      </c>
      <c r="K1397" t="s">
        <v>3378</v>
      </c>
      <c r="L1397" s="166">
        <f t="shared" si="108"/>
        <v>1.0771619999999998E-4</v>
      </c>
      <c r="M1397" s="127" t="s">
        <v>3368</v>
      </c>
    </row>
    <row r="1398" spans="1:13" x14ac:dyDescent="0.2">
      <c r="A1398" s="1217"/>
      <c r="B1398" s="166"/>
      <c r="E1398" s="83"/>
      <c r="H1398" t="s">
        <v>710</v>
      </c>
      <c r="I1398" s="33">
        <v>1.7364199999999999E-7</v>
      </c>
      <c r="J1398" t="s">
        <v>3379</v>
      </c>
      <c r="K1398" t="s">
        <v>710</v>
      </c>
      <c r="L1398" s="166">
        <f t="shared" si="108"/>
        <v>5.2092599999999994E-7</v>
      </c>
      <c r="M1398" s="127" t="s">
        <v>3380</v>
      </c>
    </row>
    <row r="1399" spans="1:13" x14ac:dyDescent="0.2">
      <c r="A1399" s="1217"/>
      <c r="B1399" s="166"/>
      <c r="E1399" s="83"/>
      <c r="H1399" t="s">
        <v>3381</v>
      </c>
      <c r="I1399">
        <v>2.9360000000000001E-2</v>
      </c>
      <c r="J1399" t="s">
        <v>3382</v>
      </c>
      <c r="K1399" t="s">
        <v>3381</v>
      </c>
      <c r="L1399" s="166">
        <f t="shared" si="108"/>
        <v>8.8080000000000006E-2</v>
      </c>
      <c r="M1399" s="127" t="s">
        <v>3383</v>
      </c>
    </row>
    <row r="1400" spans="1:13" x14ac:dyDescent="0.2">
      <c r="A1400" s="1217"/>
      <c r="B1400" s="166"/>
      <c r="E1400" s="83"/>
      <c r="H1400" t="s">
        <v>3384</v>
      </c>
      <c r="I1400">
        <v>0.84404000000000001</v>
      </c>
      <c r="J1400" t="s">
        <v>711</v>
      </c>
      <c r="K1400" t="s">
        <v>3384</v>
      </c>
      <c r="L1400" s="166">
        <f t="shared" si="108"/>
        <v>2.5321199999999999</v>
      </c>
      <c r="M1400" s="127" t="s">
        <v>3385</v>
      </c>
    </row>
    <row r="1401" spans="1:13" x14ac:dyDescent="0.2">
      <c r="A1401" s="1219"/>
      <c r="B1401" s="833"/>
      <c r="C1401" s="1102"/>
      <c r="D1401" s="118"/>
      <c r="E1401" s="1220"/>
      <c r="F1401" s="118"/>
      <c r="G1401" s="118"/>
      <c r="H1401" s="118"/>
      <c r="I1401" s="118"/>
      <c r="J1401" s="118"/>
      <c r="K1401" s="118"/>
      <c r="L1401" s="833"/>
      <c r="M1401" s="120"/>
    </row>
    <row r="1402" spans="1:13" ht="16" x14ac:dyDescent="0.2">
      <c r="A1402" s="486" t="s">
        <v>2375</v>
      </c>
      <c r="B1402" s="845">
        <v>21356.728370429853</v>
      </c>
      <c r="C1402" s="1159" t="s">
        <v>267</v>
      </c>
      <c r="D1402" s="1229">
        <v>2</v>
      </c>
      <c r="E1402" s="1216" t="s">
        <v>3388</v>
      </c>
      <c r="F1402" s="110"/>
      <c r="G1402" s="110"/>
      <c r="H1402" s="110"/>
      <c r="I1402" s="110"/>
      <c r="J1402" s="110"/>
      <c r="K1402" s="110"/>
      <c r="L1402" s="845"/>
      <c r="M1402" s="112"/>
    </row>
    <row r="1403" spans="1:13" x14ac:dyDescent="0.2">
      <c r="A1403" s="1217"/>
      <c r="B1403" s="166">
        <f>B1402/1000</f>
        <v>21.356728370429853</v>
      </c>
      <c r="C1403" s="133" t="s">
        <v>444</v>
      </c>
      <c r="F1403">
        <v>1</v>
      </c>
      <c r="G1403" t="s">
        <v>713</v>
      </c>
      <c r="H1403" t="s">
        <v>701</v>
      </c>
      <c r="I1403">
        <v>0.14229</v>
      </c>
      <c r="J1403" t="s">
        <v>702</v>
      </c>
      <c r="K1403" t="s">
        <v>701</v>
      </c>
      <c r="L1403" s="166">
        <f>I1403*B$1408</f>
        <v>4.41099</v>
      </c>
      <c r="M1403" s="127" t="s">
        <v>3367</v>
      </c>
    </row>
    <row r="1404" spans="1:13" x14ac:dyDescent="0.2">
      <c r="A1404" s="1217"/>
      <c r="B1404" s="166">
        <v>20</v>
      </c>
      <c r="C1404" s="133" t="s">
        <v>10</v>
      </c>
      <c r="D1404" t="s">
        <v>3390</v>
      </c>
      <c r="E1404" s="83"/>
      <c r="F1404">
        <v>40</v>
      </c>
      <c r="G1404" t="s">
        <v>12</v>
      </c>
      <c r="H1404" t="s">
        <v>703</v>
      </c>
      <c r="I1404" s="33">
        <v>2.2291000000000001E-5</v>
      </c>
      <c r="J1404" t="s">
        <v>704</v>
      </c>
      <c r="K1404" t="s">
        <v>703</v>
      </c>
      <c r="L1404" s="166">
        <f t="shared" ref="L1404:L1412" si="109">I1404*B$1408</f>
        <v>6.91021E-4</v>
      </c>
      <c r="M1404" s="127" t="s">
        <v>3368</v>
      </c>
    </row>
    <row r="1405" spans="1:13" x14ac:dyDescent="0.2">
      <c r="A1405" s="1217"/>
      <c r="B1405" s="166">
        <v>0.7</v>
      </c>
      <c r="D1405" s="24" t="s">
        <v>3391</v>
      </c>
      <c r="E1405" s="83"/>
      <c r="H1405" t="s">
        <v>705</v>
      </c>
      <c r="I1405">
        <v>3203.5834399999999</v>
      </c>
      <c r="J1405" t="s">
        <v>706</v>
      </c>
      <c r="K1405" t="s">
        <v>705</v>
      </c>
      <c r="L1405" s="166">
        <f t="shared" si="109"/>
        <v>99311.086639999994</v>
      </c>
      <c r="M1405" s="127" t="s">
        <v>3370</v>
      </c>
    </row>
    <row r="1406" spans="1:13" x14ac:dyDescent="0.2">
      <c r="A1406" s="1217"/>
      <c r="B1406" s="166">
        <f>B1403*B1404/B1405</f>
        <v>610.19223915513862</v>
      </c>
      <c r="C1406" s="133" t="s">
        <v>12</v>
      </c>
      <c r="D1406" s="6"/>
      <c r="E1406" s="83"/>
      <c r="H1406" t="s">
        <v>3372</v>
      </c>
      <c r="I1406">
        <v>1.278E-2</v>
      </c>
      <c r="J1406" t="s">
        <v>3373</v>
      </c>
      <c r="K1406" t="s">
        <v>3372</v>
      </c>
      <c r="L1406" s="166">
        <f t="shared" si="109"/>
        <v>0.39617999999999998</v>
      </c>
      <c r="M1406" s="127" t="s">
        <v>3374</v>
      </c>
    </row>
    <row r="1407" spans="1:13" x14ac:dyDescent="0.2">
      <c r="A1407" s="1217"/>
      <c r="B1407" s="166">
        <f>B1406*D1402</f>
        <v>1220.3844783102772</v>
      </c>
      <c r="C1407" s="133" t="s">
        <v>12</v>
      </c>
      <c r="E1407" s="83"/>
      <c r="H1407" t="s">
        <v>3375</v>
      </c>
      <c r="I1407">
        <v>3.7339999999999998E-2</v>
      </c>
      <c r="J1407" t="s">
        <v>707</v>
      </c>
      <c r="K1407" t="s">
        <v>3375</v>
      </c>
      <c r="L1407" s="166">
        <f t="shared" si="109"/>
        <v>1.15754</v>
      </c>
      <c r="M1407" s="127" t="s">
        <v>3376</v>
      </c>
    </row>
    <row r="1408" spans="1:13" x14ac:dyDescent="0.2">
      <c r="A1408" s="1217"/>
      <c r="B1408" s="1218">
        <f>ROUNDUP(B1407/F1404,0)</f>
        <v>31</v>
      </c>
      <c r="C1408" s="1114" t="s">
        <v>3392</v>
      </c>
      <c r="D1408" s="6" t="s">
        <v>577</v>
      </c>
      <c r="E1408" s="83"/>
      <c r="H1408" t="s">
        <v>708</v>
      </c>
      <c r="I1408">
        <v>9.0477000000000007</v>
      </c>
      <c r="J1408" t="s">
        <v>709</v>
      </c>
      <c r="K1408" t="s">
        <v>708</v>
      </c>
      <c r="L1408" s="166">
        <f t="shared" si="109"/>
        <v>280.4787</v>
      </c>
      <c r="M1408" s="127" t="s">
        <v>3377</v>
      </c>
    </row>
    <row r="1409" spans="1:13" x14ac:dyDescent="0.2">
      <c r="A1409" s="1217"/>
      <c r="B1409" s="166"/>
      <c r="E1409" s="83"/>
      <c r="H1409" t="s">
        <v>3378</v>
      </c>
      <c r="I1409" s="33">
        <v>3.5905399999999997E-5</v>
      </c>
      <c r="J1409" t="s">
        <v>704</v>
      </c>
      <c r="K1409" t="s">
        <v>3378</v>
      </c>
      <c r="L1409" s="166">
        <f t="shared" si="109"/>
        <v>1.1130673999999998E-3</v>
      </c>
      <c r="M1409" s="127" t="s">
        <v>3368</v>
      </c>
    </row>
    <row r="1410" spans="1:13" x14ac:dyDescent="0.2">
      <c r="A1410" s="1217"/>
      <c r="B1410" s="166"/>
      <c r="E1410" s="83"/>
      <c r="H1410" t="s">
        <v>710</v>
      </c>
      <c r="I1410" s="33">
        <v>1.7364199999999999E-7</v>
      </c>
      <c r="J1410" t="s">
        <v>3379</v>
      </c>
      <c r="K1410" t="s">
        <v>710</v>
      </c>
      <c r="L1410" s="166">
        <f t="shared" si="109"/>
        <v>5.3829019999999994E-6</v>
      </c>
      <c r="M1410" s="127" t="s">
        <v>3380</v>
      </c>
    </row>
    <row r="1411" spans="1:13" x14ac:dyDescent="0.2">
      <c r="A1411" s="1217"/>
      <c r="B1411" s="166"/>
      <c r="E1411" s="83"/>
      <c r="H1411" t="s">
        <v>3381</v>
      </c>
      <c r="I1411">
        <v>2.9360000000000001E-2</v>
      </c>
      <c r="J1411" t="s">
        <v>3382</v>
      </c>
      <c r="K1411" t="s">
        <v>3381</v>
      </c>
      <c r="L1411" s="166">
        <f t="shared" si="109"/>
        <v>0.91015999999999997</v>
      </c>
      <c r="M1411" s="127" t="s">
        <v>3383</v>
      </c>
    </row>
    <row r="1412" spans="1:13" x14ac:dyDescent="0.2">
      <c r="A1412" s="1217"/>
      <c r="B1412" s="166"/>
      <c r="E1412" s="83"/>
      <c r="H1412" t="s">
        <v>3384</v>
      </c>
      <c r="I1412">
        <v>0.84404000000000001</v>
      </c>
      <c r="J1412" t="s">
        <v>711</v>
      </c>
      <c r="K1412" t="s">
        <v>3384</v>
      </c>
      <c r="L1412" s="166">
        <f t="shared" si="109"/>
        <v>26.165240000000001</v>
      </c>
      <c r="M1412" s="127" t="s">
        <v>3385</v>
      </c>
    </row>
    <row r="1413" spans="1:13" x14ac:dyDescent="0.2">
      <c r="A1413" s="1219"/>
      <c r="B1413" s="833"/>
      <c r="C1413" s="1102"/>
      <c r="D1413" s="118"/>
      <c r="E1413" s="1220"/>
      <c r="F1413" s="118"/>
      <c r="G1413" s="118"/>
      <c r="H1413" s="118"/>
      <c r="I1413" s="118"/>
      <c r="J1413" s="118"/>
      <c r="K1413" s="118"/>
      <c r="L1413" s="833"/>
      <c r="M1413" s="120"/>
    </row>
    <row r="1414" spans="1:13" ht="16" x14ac:dyDescent="0.2">
      <c r="A1414" s="486" t="s">
        <v>1025</v>
      </c>
      <c r="B1414" s="845">
        <v>22.738298261414045</v>
      </c>
      <c r="C1414" s="1159" t="s">
        <v>1</v>
      </c>
      <c r="D1414" s="1229">
        <v>2</v>
      </c>
      <c r="E1414" s="159" t="s">
        <v>3400</v>
      </c>
      <c r="F1414" s="110">
        <v>1</v>
      </c>
      <c r="G1414" s="110" t="s">
        <v>1</v>
      </c>
      <c r="H1414" s="110"/>
      <c r="I1414" s="110"/>
      <c r="J1414" s="110"/>
      <c r="K1414" s="110"/>
      <c r="L1414" s="845"/>
      <c r="M1414" s="112"/>
    </row>
    <row r="1415" spans="1:13" x14ac:dyDescent="0.2">
      <c r="A1415" s="1217"/>
      <c r="B1415" s="1218">
        <f>B1414*D1414</f>
        <v>45.476596522828089</v>
      </c>
      <c r="C1415" s="1114" t="s">
        <v>1</v>
      </c>
      <c r="D1415" s="6" t="s">
        <v>577</v>
      </c>
      <c r="E1415" s="83"/>
      <c r="H1415" t="s">
        <v>701</v>
      </c>
      <c r="I1415">
        <v>7.5000000000000002E-4</v>
      </c>
      <c r="J1415" t="s">
        <v>702</v>
      </c>
      <c r="K1415" t="s">
        <v>701</v>
      </c>
      <c r="L1415" s="166">
        <f>I1415*B$1415</f>
        <v>3.4107447392121071E-2</v>
      </c>
      <c r="M1415" s="127" t="s">
        <v>3367</v>
      </c>
    </row>
    <row r="1416" spans="1:13" x14ac:dyDescent="0.2">
      <c r="A1416" s="1217"/>
      <c r="B1416" s="166"/>
      <c r="E1416" s="83"/>
      <c r="H1416" t="s">
        <v>703</v>
      </c>
      <c r="I1416" s="33">
        <v>3.3111200000000002E-8</v>
      </c>
      <c r="J1416" t="s">
        <v>704</v>
      </c>
      <c r="K1416" t="s">
        <v>703</v>
      </c>
      <c r="L1416" s="166">
        <f t="shared" ref="L1416:L1424" si="110">I1416*B$1415</f>
        <v>1.5057846827866655E-6</v>
      </c>
      <c r="M1416" s="127" t="s">
        <v>3368</v>
      </c>
    </row>
    <row r="1417" spans="1:13" x14ac:dyDescent="0.2">
      <c r="A1417" s="1217"/>
      <c r="B1417" s="166"/>
      <c r="E1417" s="83"/>
      <c r="H1417" t="s">
        <v>705</v>
      </c>
      <c r="I1417">
        <v>4.1968100000000002</v>
      </c>
      <c r="J1417" t="s">
        <v>706</v>
      </c>
      <c r="K1417" t="s">
        <v>705</v>
      </c>
      <c r="L1417" s="166">
        <f t="shared" si="110"/>
        <v>190.85663505297015</v>
      </c>
      <c r="M1417" s="127" t="s">
        <v>3370</v>
      </c>
    </row>
    <row r="1418" spans="1:13" x14ac:dyDescent="0.2">
      <c r="A1418" s="1217"/>
      <c r="B1418" s="166"/>
      <c r="E1418" s="83"/>
      <c r="H1418" t="s">
        <v>3372</v>
      </c>
      <c r="I1418">
        <v>3.2000000000000003E-4</v>
      </c>
      <c r="J1418" t="s">
        <v>3373</v>
      </c>
      <c r="K1418" t="s">
        <v>3372</v>
      </c>
      <c r="L1418" s="166">
        <f t="shared" si="110"/>
        <v>1.4552510887304989E-2</v>
      </c>
      <c r="M1418" s="127" t="s">
        <v>3374</v>
      </c>
    </row>
    <row r="1419" spans="1:13" x14ac:dyDescent="0.2">
      <c r="A1419" s="1217"/>
      <c r="B1419" s="166"/>
      <c r="E1419" s="83"/>
      <c r="H1419" t="s">
        <v>3375</v>
      </c>
      <c r="I1419">
        <v>5.2999999999999998E-4</v>
      </c>
      <c r="J1419" t="s">
        <v>707</v>
      </c>
      <c r="K1419" t="s">
        <v>3375</v>
      </c>
      <c r="L1419" s="166">
        <f t="shared" si="110"/>
        <v>2.4102596157098886E-2</v>
      </c>
      <c r="M1419" s="127" t="s">
        <v>3376</v>
      </c>
    </row>
    <row r="1420" spans="1:13" x14ac:dyDescent="0.2">
      <c r="A1420" s="1217"/>
      <c r="B1420" s="166"/>
      <c r="E1420" s="83"/>
      <c r="H1420" t="s">
        <v>708</v>
      </c>
      <c r="I1420">
        <v>0.39150000000000001</v>
      </c>
      <c r="J1420" t="s">
        <v>709</v>
      </c>
      <c r="K1420" t="s">
        <v>708</v>
      </c>
      <c r="L1420" s="166">
        <f t="shared" si="110"/>
        <v>17.804087538687199</v>
      </c>
      <c r="M1420" s="127" t="s">
        <v>3377</v>
      </c>
    </row>
    <row r="1421" spans="1:13" x14ac:dyDescent="0.2">
      <c r="A1421" s="1217"/>
      <c r="B1421" s="166"/>
      <c r="E1421" s="83"/>
      <c r="H1421" t="s">
        <v>3378</v>
      </c>
      <c r="I1421" s="33">
        <v>9.8849699999999999E-8</v>
      </c>
      <c r="J1421" t="s">
        <v>704</v>
      </c>
      <c r="K1421" t="s">
        <v>3378</v>
      </c>
      <c r="L1421" s="166">
        <f t="shared" si="110"/>
        <v>4.4953479233025994E-6</v>
      </c>
      <c r="M1421" s="127" t="s">
        <v>3368</v>
      </c>
    </row>
    <row r="1422" spans="1:13" x14ac:dyDescent="0.2">
      <c r="A1422" s="1217"/>
      <c r="B1422" s="166"/>
      <c r="E1422" s="83"/>
      <c r="H1422" t="s">
        <v>710</v>
      </c>
      <c r="I1422" s="33">
        <v>1.51061E-9</v>
      </c>
      <c r="J1422" t="s">
        <v>3379</v>
      </c>
      <c r="K1422" t="s">
        <v>710</v>
      </c>
      <c r="L1422" s="166">
        <f t="shared" si="110"/>
        <v>6.8697401473349336E-8</v>
      </c>
      <c r="M1422" s="127" t="s">
        <v>3380</v>
      </c>
    </row>
    <row r="1423" spans="1:13" x14ac:dyDescent="0.2">
      <c r="A1423" s="1217"/>
      <c r="B1423" s="166"/>
      <c r="E1423" s="83"/>
      <c r="H1423" t="s">
        <v>3381</v>
      </c>
      <c r="I1423">
        <v>1.01E-3</v>
      </c>
      <c r="J1423" t="s">
        <v>3382</v>
      </c>
      <c r="K1423" t="s">
        <v>3381</v>
      </c>
      <c r="L1423" s="166">
        <f t="shared" si="110"/>
        <v>4.593136248805637E-2</v>
      </c>
      <c r="M1423" s="127" t="s">
        <v>3383</v>
      </c>
    </row>
    <row r="1424" spans="1:13" x14ac:dyDescent="0.2">
      <c r="A1424" s="1217"/>
      <c r="B1424" s="166"/>
      <c r="E1424" s="83"/>
      <c r="H1424" t="s">
        <v>3384</v>
      </c>
      <c r="I1424">
        <v>1.2200000000000001E-2</v>
      </c>
      <c r="J1424" t="s">
        <v>711</v>
      </c>
      <c r="K1424" t="s">
        <v>3384</v>
      </c>
      <c r="L1424" s="166">
        <f t="shared" si="110"/>
        <v>0.55481447757850277</v>
      </c>
      <c r="M1424" s="127" t="s">
        <v>3385</v>
      </c>
    </row>
    <row r="1425" spans="1:13" x14ac:dyDescent="0.2">
      <c r="A1425" s="1219"/>
      <c r="B1425" s="833"/>
      <c r="C1425" s="1102"/>
      <c r="D1425" s="118"/>
      <c r="E1425" s="1220"/>
      <c r="F1425" s="118"/>
      <c r="G1425" s="118"/>
      <c r="H1425" s="118"/>
      <c r="I1425" s="118"/>
      <c r="J1425" s="118"/>
      <c r="K1425" s="118"/>
      <c r="L1425" s="833"/>
      <c r="M1425" s="120"/>
    </row>
    <row r="1426" spans="1:13" x14ac:dyDescent="0.2">
      <c r="A1426" s="1215"/>
      <c r="B1426" s="845"/>
      <c r="C1426" s="1103"/>
      <c r="D1426" s="110"/>
      <c r="E1426" s="1216"/>
      <c r="F1426" s="110"/>
      <c r="G1426" s="110"/>
      <c r="H1426" s="110"/>
      <c r="I1426" s="110"/>
      <c r="J1426" s="110"/>
      <c r="K1426" s="110"/>
      <c r="L1426" s="845"/>
      <c r="M1426" s="112"/>
    </row>
    <row r="1427" spans="1:13" ht="16" x14ac:dyDescent="0.2">
      <c r="A1427" s="637" t="s">
        <v>841</v>
      </c>
      <c r="B1427" s="166">
        <v>0.41109045420022577</v>
      </c>
      <c r="C1427" s="901" t="s">
        <v>11</v>
      </c>
      <c r="D1427" s="1059">
        <v>2</v>
      </c>
      <c r="E1427" s="83" t="s">
        <v>3393</v>
      </c>
      <c r="F1427">
        <v>1</v>
      </c>
      <c r="G1427" t="s">
        <v>15</v>
      </c>
      <c r="H1427" t="s">
        <v>701</v>
      </c>
      <c r="I1427">
        <v>6.0200000000000002E-3</v>
      </c>
      <c r="J1427" t="s">
        <v>702</v>
      </c>
      <c r="K1427" t="s">
        <v>701</v>
      </c>
      <c r="L1427" s="166">
        <f>I1427*B$1430</f>
        <v>3.321777443789866E-2</v>
      </c>
      <c r="M1427" s="127" t="s">
        <v>3367</v>
      </c>
    </row>
    <row r="1428" spans="1:13" x14ac:dyDescent="0.2">
      <c r="A1428" s="1217"/>
      <c r="B1428" s="166">
        <v>0.30655015169710836</v>
      </c>
      <c r="C1428" s="133" t="s">
        <v>545</v>
      </c>
      <c r="E1428" s="83"/>
      <c r="H1428" t="s">
        <v>703</v>
      </c>
      <c r="I1428" s="33">
        <v>1.2843299999999999E-6</v>
      </c>
      <c r="J1428" t="s">
        <v>704</v>
      </c>
      <c r="K1428" t="s">
        <v>703</v>
      </c>
      <c r="L1428" s="166">
        <f t="shared" ref="L1428:L1436" si="111">I1428*B$1430</f>
        <v>7.0868080139246489E-6</v>
      </c>
      <c r="M1428" s="127" t="s">
        <v>3368</v>
      </c>
    </row>
    <row r="1429" spans="1:13" x14ac:dyDescent="0.2">
      <c r="A1429" s="1217"/>
      <c r="B1429" s="166">
        <f>1800/200</f>
        <v>9</v>
      </c>
      <c r="C1429" s="133" t="s">
        <v>3408</v>
      </c>
      <c r="E1429" s="83"/>
      <c r="H1429" t="s">
        <v>705</v>
      </c>
      <c r="I1429">
        <v>67.217029999999994</v>
      </c>
      <c r="J1429" t="s">
        <v>706</v>
      </c>
      <c r="K1429" t="s">
        <v>705</v>
      </c>
      <c r="L1429" s="166">
        <f t="shared" si="111"/>
        <v>370.89703337632346</v>
      </c>
      <c r="M1429" s="127" t="s">
        <v>3370</v>
      </c>
    </row>
    <row r="1430" spans="1:13" x14ac:dyDescent="0.2">
      <c r="A1430" s="1217"/>
      <c r="B1430" s="1218">
        <f>B1429*B1428*D1427</f>
        <v>5.5179027305479504</v>
      </c>
      <c r="C1430" s="1114" t="s">
        <v>15</v>
      </c>
      <c r="D1430" s="6" t="s">
        <v>577</v>
      </c>
      <c r="E1430" s="83"/>
      <c r="H1430" t="s">
        <v>3372</v>
      </c>
      <c r="I1430">
        <v>7.6999999999999996E-4</v>
      </c>
      <c r="J1430" t="s">
        <v>3373</v>
      </c>
      <c r="K1430" t="s">
        <v>3372</v>
      </c>
      <c r="L1430" s="166">
        <f t="shared" si="111"/>
        <v>4.2487851025219212E-3</v>
      </c>
      <c r="M1430" s="127" t="s">
        <v>3374</v>
      </c>
    </row>
    <row r="1431" spans="1:13" x14ac:dyDescent="0.2">
      <c r="A1431" s="1217"/>
      <c r="B1431" s="166"/>
      <c r="E1431" s="83"/>
      <c r="H1431" t="s">
        <v>3375</v>
      </c>
      <c r="I1431">
        <v>4.1700000000000001E-3</v>
      </c>
      <c r="J1431" t="s">
        <v>707</v>
      </c>
      <c r="K1431" t="s">
        <v>3375</v>
      </c>
      <c r="L1431" s="166">
        <f t="shared" si="111"/>
        <v>2.3009654386384953E-2</v>
      </c>
      <c r="M1431" s="127" t="s">
        <v>3376</v>
      </c>
    </row>
    <row r="1432" spans="1:13" x14ac:dyDescent="0.2">
      <c r="A1432" s="1217"/>
      <c r="B1432" s="166"/>
      <c r="E1432" s="83"/>
      <c r="H1432" t="s">
        <v>708</v>
      </c>
      <c r="I1432">
        <v>1.7658199999999999</v>
      </c>
      <c r="J1432" t="s">
        <v>709</v>
      </c>
      <c r="K1432" t="s">
        <v>708</v>
      </c>
      <c r="L1432" s="166">
        <f t="shared" si="111"/>
        <v>9.7436229996561821</v>
      </c>
      <c r="M1432" s="127" t="s">
        <v>3377</v>
      </c>
    </row>
    <row r="1433" spans="1:13" x14ac:dyDescent="0.2">
      <c r="A1433" s="1217"/>
      <c r="B1433" s="166"/>
      <c r="E1433" s="83"/>
      <c r="H1433" t="s">
        <v>3378</v>
      </c>
      <c r="I1433" s="33">
        <v>3.4665800000000001E-7</v>
      </c>
      <c r="J1433" t="s">
        <v>704</v>
      </c>
      <c r="K1433" t="s">
        <v>3378</v>
      </c>
      <c r="L1433" s="166">
        <f t="shared" si="111"/>
        <v>1.9128251247662914E-6</v>
      </c>
      <c r="M1433" s="127" t="s">
        <v>3368</v>
      </c>
    </row>
    <row r="1434" spans="1:13" x14ac:dyDescent="0.2">
      <c r="A1434" s="1217"/>
      <c r="B1434" s="166"/>
      <c r="E1434" s="83"/>
      <c r="H1434" t="s">
        <v>710</v>
      </c>
      <c r="I1434" s="33">
        <v>5.15501E-8</v>
      </c>
      <c r="J1434" t="s">
        <v>3379</v>
      </c>
      <c r="K1434" t="s">
        <v>710</v>
      </c>
      <c r="L1434" s="166">
        <f t="shared" si="111"/>
        <v>2.8444843755001992E-7</v>
      </c>
      <c r="M1434" s="127" t="s">
        <v>3380</v>
      </c>
    </row>
    <row r="1435" spans="1:13" x14ac:dyDescent="0.2">
      <c r="A1435" s="1217"/>
      <c r="B1435" s="166"/>
      <c r="E1435" s="83"/>
      <c r="H1435" t="s">
        <v>3381</v>
      </c>
      <c r="I1435">
        <v>2.7299999999999998E-3</v>
      </c>
      <c r="J1435" t="s">
        <v>3382</v>
      </c>
      <c r="K1435" t="s">
        <v>3381</v>
      </c>
      <c r="L1435" s="166">
        <f t="shared" si="111"/>
        <v>1.5063874454395904E-2</v>
      </c>
      <c r="M1435" s="127" t="s">
        <v>3383</v>
      </c>
    </row>
    <row r="1436" spans="1:13" x14ac:dyDescent="0.2">
      <c r="A1436" s="1217"/>
      <c r="B1436" s="166"/>
      <c r="E1436" s="83"/>
      <c r="H1436" t="s">
        <v>3384</v>
      </c>
      <c r="I1436">
        <v>0.10051</v>
      </c>
      <c r="J1436" t="s">
        <v>711</v>
      </c>
      <c r="K1436" t="s">
        <v>3384</v>
      </c>
      <c r="L1436" s="166">
        <f t="shared" si="111"/>
        <v>0.55460440344737449</v>
      </c>
      <c r="M1436" s="127" t="s">
        <v>3385</v>
      </c>
    </row>
    <row r="1437" spans="1:13" x14ac:dyDescent="0.2">
      <c r="A1437" s="1219"/>
      <c r="B1437" s="833"/>
      <c r="C1437" s="1102"/>
      <c r="D1437" s="118"/>
      <c r="E1437" s="1235"/>
      <c r="F1437" s="118"/>
      <c r="G1437" s="118"/>
      <c r="H1437" s="118"/>
      <c r="I1437" s="118"/>
      <c r="J1437" s="118"/>
      <c r="K1437" s="118"/>
      <c r="L1437" s="833"/>
      <c r="M1437" s="120"/>
    </row>
    <row r="1438" spans="1:13" ht="16" x14ac:dyDescent="0.2">
      <c r="A1438" s="486" t="s">
        <v>2376</v>
      </c>
      <c r="B1438" s="845">
        <v>23139.944312763451</v>
      </c>
      <c r="C1438" s="1159" t="s">
        <v>267</v>
      </c>
      <c r="D1438" s="1229">
        <v>2</v>
      </c>
      <c r="E1438" s="1216" t="s">
        <v>3393</v>
      </c>
      <c r="F1438" s="110"/>
      <c r="G1438" s="110"/>
      <c r="H1438" s="110"/>
      <c r="I1438" s="110"/>
      <c r="J1438" s="110"/>
      <c r="K1438" s="110"/>
      <c r="L1438" s="845"/>
      <c r="M1438" s="112"/>
    </row>
    <row r="1439" spans="1:13" x14ac:dyDescent="0.2">
      <c r="A1439" s="1217"/>
      <c r="B1439" s="166">
        <f>B1438/1000</f>
        <v>23.139944312763451</v>
      </c>
      <c r="C1439" s="133" t="s">
        <v>444</v>
      </c>
      <c r="F1439">
        <v>1</v>
      </c>
      <c r="G1439" t="s">
        <v>15</v>
      </c>
      <c r="H1439" t="s">
        <v>701</v>
      </c>
      <c r="I1439">
        <v>6.0200000000000002E-3</v>
      </c>
      <c r="J1439" t="s">
        <v>702</v>
      </c>
      <c r="K1439" t="s">
        <v>701</v>
      </c>
      <c r="L1439" s="166">
        <f>I1439*B$1443</f>
        <v>60.2</v>
      </c>
      <c r="M1439" s="127" t="s">
        <v>3367</v>
      </c>
    </row>
    <row r="1440" spans="1:13" x14ac:dyDescent="0.2">
      <c r="A1440" s="1217"/>
      <c r="B1440" s="166">
        <v>30</v>
      </c>
      <c r="C1440" s="133" t="s">
        <v>444</v>
      </c>
      <c r="E1440" s="83"/>
      <c r="H1440" t="s">
        <v>703</v>
      </c>
      <c r="I1440" s="33">
        <v>1.2843299999999999E-6</v>
      </c>
      <c r="J1440" t="s">
        <v>704</v>
      </c>
      <c r="K1440" t="s">
        <v>703</v>
      </c>
      <c r="L1440" s="166">
        <f t="shared" ref="L1440:L1448" si="112">I1440*B$1443</f>
        <v>1.2843299999999998E-2</v>
      </c>
      <c r="M1440" s="127" t="s">
        <v>3368</v>
      </c>
    </row>
    <row r="1441" spans="1:13" x14ac:dyDescent="0.2">
      <c r="A1441" s="1217"/>
      <c r="B1441" s="166">
        <f>ROUNDUP(B1439/B1440,0)*D1438</f>
        <v>2</v>
      </c>
      <c r="C1441" s="133" t="s">
        <v>3409</v>
      </c>
      <c r="E1441" s="83"/>
      <c r="H1441" t="s">
        <v>705</v>
      </c>
      <c r="I1441">
        <v>67.217029999999994</v>
      </c>
      <c r="J1441" t="s">
        <v>706</v>
      </c>
      <c r="K1441" t="s">
        <v>705</v>
      </c>
      <c r="L1441" s="166">
        <f t="shared" si="112"/>
        <v>672170.29999999993</v>
      </c>
      <c r="M1441" s="127" t="s">
        <v>3370</v>
      </c>
    </row>
    <row r="1442" spans="1:13" x14ac:dyDescent="0.2">
      <c r="A1442" s="1217"/>
      <c r="B1442" s="166">
        <v>5000</v>
      </c>
      <c r="C1442" s="133" t="s">
        <v>3410</v>
      </c>
      <c r="E1442" s="83"/>
      <c r="H1442" t="s">
        <v>3372</v>
      </c>
      <c r="I1442">
        <v>7.6999999999999996E-4</v>
      </c>
      <c r="J1442" t="s">
        <v>3373</v>
      </c>
      <c r="K1442" t="s">
        <v>3372</v>
      </c>
      <c r="L1442" s="166">
        <f t="shared" si="112"/>
        <v>7.6999999999999993</v>
      </c>
      <c r="M1442" s="127" t="s">
        <v>3374</v>
      </c>
    </row>
    <row r="1443" spans="1:13" x14ac:dyDescent="0.2">
      <c r="A1443" s="1217"/>
      <c r="B1443" s="1218">
        <f>B1441*B1442</f>
        <v>10000</v>
      </c>
      <c r="C1443" s="1114" t="s">
        <v>3411</v>
      </c>
      <c r="D1443" s="6" t="s">
        <v>577</v>
      </c>
      <c r="E1443" s="83"/>
      <c r="H1443" t="s">
        <v>3375</v>
      </c>
      <c r="I1443">
        <v>4.1700000000000001E-3</v>
      </c>
      <c r="J1443" t="s">
        <v>707</v>
      </c>
      <c r="K1443" t="s">
        <v>3375</v>
      </c>
      <c r="L1443" s="166">
        <f t="shared" si="112"/>
        <v>41.7</v>
      </c>
      <c r="M1443" s="127" t="s">
        <v>3376</v>
      </c>
    </row>
    <row r="1444" spans="1:13" x14ac:dyDescent="0.2">
      <c r="A1444" s="1217"/>
      <c r="B1444" s="166"/>
      <c r="E1444" s="83"/>
      <c r="H1444" t="s">
        <v>708</v>
      </c>
      <c r="I1444">
        <v>1.7658199999999999</v>
      </c>
      <c r="J1444" t="s">
        <v>709</v>
      </c>
      <c r="K1444" t="s">
        <v>708</v>
      </c>
      <c r="L1444" s="166">
        <f t="shared" si="112"/>
        <v>17658.2</v>
      </c>
      <c r="M1444" s="127" t="s">
        <v>3377</v>
      </c>
    </row>
    <row r="1445" spans="1:13" x14ac:dyDescent="0.2">
      <c r="A1445" s="1217"/>
      <c r="B1445" s="166"/>
      <c r="E1445" s="83"/>
      <c r="H1445" t="s">
        <v>3378</v>
      </c>
      <c r="I1445" s="33">
        <v>3.4665800000000001E-7</v>
      </c>
      <c r="J1445" t="s">
        <v>704</v>
      </c>
      <c r="K1445" t="s">
        <v>3378</v>
      </c>
      <c r="L1445" s="166">
        <f t="shared" si="112"/>
        <v>3.4665799999999999E-3</v>
      </c>
      <c r="M1445" s="127" t="s">
        <v>3368</v>
      </c>
    </row>
    <row r="1446" spans="1:13" x14ac:dyDescent="0.2">
      <c r="A1446" s="1217"/>
      <c r="B1446" s="166"/>
      <c r="E1446" s="83"/>
      <c r="H1446" t="s">
        <v>710</v>
      </c>
      <c r="I1446" s="33">
        <v>5.15501E-8</v>
      </c>
      <c r="J1446" t="s">
        <v>3379</v>
      </c>
      <c r="K1446" t="s">
        <v>710</v>
      </c>
      <c r="L1446" s="166">
        <f t="shared" si="112"/>
        <v>5.1550100000000002E-4</v>
      </c>
      <c r="M1446" s="127" t="s">
        <v>3380</v>
      </c>
    </row>
    <row r="1447" spans="1:13" x14ac:dyDescent="0.2">
      <c r="A1447" s="1217"/>
      <c r="B1447" s="166"/>
      <c r="E1447" s="83"/>
      <c r="H1447" t="s">
        <v>3381</v>
      </c>
      <c r="I1447">
        <v>2.7299999999999998E-3</v>
      </c>
      <c r="J1447" t="s">
        <v>3382</v>
      </c>
      <c r="K1447" t="s">
        <v>3381</v>
      </c>
      <c r="L1447" s="166">
        <f t="shared" si="112"/>
        <v>27.299999999999997</v>
      </c>
      <c r="M1447" s="127" t="s">
        <v>3383</v>
      </c>
    </row>
    <row r="1448" spans="1:13" x14ac:dyDescent="0.2">
      <c r="A1448" s="1217"/>
      <c r="B1448" s="166"/>
      <c r="E1448" s="83"/>
      <c r="H1448" t="s">
        <v>3384</v>
      </c>
      <c r="I1448">
        <v>0.10051</v>
      </c>
      <c r="J1448" t="s">
        <v>711</v>
      </c>
      <c r="K1448" t="s">
        <v>3384</v>
      </c>
      <c r="L1448" s="166">
        <f t="shared" si="112"/>
        <v>1005.1</v>
      </c>
      <c r="M1448" s="127" t="s">
        <v>3385</v>
      </c>
    </row>
    <row r="1449" spans="1:13" x14ac:dyDescent="0.2">
      <c r="A1449" s="1219"/>
      <c r="B1449" s="833"/>
      <c r="C1449" s="1102"/>
      <c r="D1449" s="118"/>
      <c r="E1449" s="1220"/>
      <c r="F1449" s="118"/>
      <c r="G1449" s="118"/>
      <c r="H1449" s="118"/>
      <c r="I1449" s="118"/>
      <c r="J1449" s="118"/>
      <c r="K1449" s="118"/>
      <c r="L1449" s="833"/>
      <c r="M1449" s="120"/>
    </row>
    <row r="1450" spans="1:13" ht="16" x14ac:dyDescent="0.2">
      <c r="A1450" s="486" t="s">
        <v>1026</v>
      </c>
      <c r="B1450" s="845">
        <v>1880.8825686554187</v>
      </c>
      <c r="C1450" s="1159" t="s">
        <v>267</v>
      </c>
      <c r="D1450" s="1229">
        <v>2</v>
      </c>
      <c r="E1450" s="1216" t="s">
        <v>3393</v>
      </c>
      <c r="F1450" s="110"/>
      <c r="G1450" s="110"/>
      <c r="H1450" s="110"/>
      <c r="I1450" s="110"/>
      <c r="J1450" s="110"/>
      <c r="K1450" s="110"/>
      <c r="L1450" s="845"/>
      <c r="M1450" s="112"/>
    </row>
    <row r="1451" spans="1:13" x14ac:dyDescent="0.2">
      <c r="A1451" s="1217"/>
      <c r="B1451" s="166">
        <f>B1450/1000</f>
        <v>1.8808825686554187</v>
      </c>
      <c r="C1451" s="133" t="s">
        <v>444</v>
      </c>
      <c r="F1451">
        <v>1</v>
      </c>
      <c r="G1451" t="s">
        <v>15</v>
      </c>
      <c r="H1451" t="s">
        <v>701</v>
      </c>
      <c r="I1451">
        <v>6.0200000000000002E-3</v>
      </c>
      <c r="J1451" t="s">
        <v>702</v>
      </c>
      <c r="K1451" t="s">
        <v>701</v>
      </c>
      <c r="L1451" s="166">
        <f>I1451*B$1455</f>
        <v>60.2</v>
      </c>
      <c r="M1451" s="127" t="s">
        <v>3367</v>
      </c>
    </row>
    <row r="1452" spans="1:13" x14ac:dyDescent="0.2">
      <c r="A1452" s="1217"/>
      <c r="B1452" s="166">
        <v>30</v>
      </c>
      <c r="C1452" s="133" t="s">
        <v>444</v>
      </c>
      <c r="E1452" s="83"/>
      <c r="H1452" t="s">
        <v>703</v>
      </c>
      <c r="I1452" s="33">
        <v>1.2843299999999999E-6</v>
      </c>
      <c r="J1452" t="s">
        <v>704</v>
      </c>
      <c r="K1452" t="s">
        <v>703</v>
      </c>
      <c r="L1452" s="166">
        <f t="shared" ref="L1452:L1460" si="113">I1452*B$1455</f>
        <v>1.2843299999999998E-2</v>
      </c>
      <c r="M1452" s="127" t="s">
        <v>3368</v>
      </c>
    </row>
    <row r="1453" spans="1:13" x14ac:dyDescent="0.2">
      <c r="A1453" s="1217"/>
      <c r="B1453" s="166">
        <f>ROUNDUP(B1451/B1452,0)*D1450</f>
        <v>2</v>
      </c>
      <c r="C1453" s="133" t="s">
        <v>3409</v>
      </c>
      <c r="E1453" s="83"/>
      <c r="H1453" t="s">
        <v>705</v>
      </c>
      <c r="I1453">
        <v>67.217029999999994</v>
      </c>
      <c r="J1453" t="s">
        <v>706</v>
      </c>
      <c r="K1453" t="s">
        <v>705</v>
      </c>
      <c r="L1453" s="166">
        <f t="shared" si="113"/>
        <v>672170.29999999993</v>
      </c>
      <c r="M1453" s="127" t="s">
        <v>3370</v>
      </c>
    </row>
    <row r="1454" spans="1:13" x14ac:dyDescent="0.2">
      <c r="A1454" s="1217"/>
      <c r="B1454" s="166">
        <v>5000</v>
      </c>
      <c r="C1454" s="133" t="s">
        <v>3410</v>
      </c>
      <c r="E1454" s="83"/>
      <c r="H1454" t="s">
        <v>3372</v>
      </c>
      <c r="I1454">
        <v>7.6999999999999996E-4</v>
      </c>
      <c r="J1454" t="s">
        <v>3373</v>
      </c>
      <c r="K1454" t="s">
        <v>3372</v>
      </c>
      <c r="L1454" s="166">
        <f t="shared" si="113"/>
        <v>7.6999999999999993</v>
      </c>
      <c r="M1454" s="127" t="s">
        <v>3374</v>
      </c>
    </row>
    <row r="1455" spans="1:13" x14ac:dyDescent="0.2">
      <c r="A1455" s="1217"/>
      <c r="B1455" s="1218">
        <f>B1453*B1454</f>
        <v>10000</v>
      </c>
      <c r="C1455" s="1114" t="s">
        <v>3411</v>
      </c>
      <c r="D1455" s="6" t="s">
        <v>577</v>
      </c>
      <c r="E1455" s="83"/>
      <c r="H1455" t="s">
        <v>3375</v>
      </c>
      <c r="I1455">
        <v>4.1700000000000001E-3</v>
      </c>
      <c r="J1455" t="s">
        <v>707</v>
      </c>
      <c r="K1455" t="s">
        <v>3375</v>
      </c>
      <c r="L1455" s="166">
        <f t="shared" si="113"/>
        <v>41.7</v>
      </c>
      <c r="M1455" s="127" t="s">
        <v>3376</v>
      </c>
    </row>
    <row r="1456" spans="1:13" x14ac:dyDescent="0.2">
      <c r="A1456" s="1217"/>
      <c r="B1456" s="166"/>
      <c r="E1456" s="83"/>
      <c r="H1456" t="s">
        <v>708</v>
      </c>
      <c r="I1456">
        <v>1.7658199999999999</v>
      </c>
      <c r="J1456" t="s">
        <v>709</v>
      </c>
      <c r="K1456" t="s">
        <v>708</v>
      </c>
      <c r="L1456" s="166">
        <f t="shared" si="113"/>
        <v>17658.2</v>
      </c>
      <c r="M1456" s="127" t="s">
        <v>3377</v>
      </c>
    </row>
    <row r="1457" spans="1:13" x14ac:dyDescent="0.2">
      <c r="A1457" s="1217"/>
      <c r="B1457" s="166"/>
      <c r="E1457" s="83"/>
      <c r="H1457" t="s">
        <v>3378</v>
      </c>
      <c r="I1457" s="33">
        <v>3.4665800000000001E-7</v>
      </c>
      <c r="J1457" t="s">
        <v>704</v>
      </c>
      <c r="K1457" t="s">
        <v>3378</v>
      </c>
      <c r="L1457" s="166">
        <f t="shared" si="113"/>
        <v>3.4665799999999999E-3</v>
      </c>
      <c r="M1457" s="127" t="s">
        <v>3368</v>
      </c>
    </row>
    <row r="1458" spans="1:13" x14ac:dyDescent="0.2">
      <c r="A1458" s="1217"/>
      <c r="B1458" s="166"/>
      <c r="E1458" s="83"/>
      <c r="H1458" t="s">
        <v>710</v>
      </c>
      <c r="I1458" s="33">
        <v>5.15501E-8</v>
      </c>
      <c r="J1458" t="s">
        <v>3379</v>
      </c>
      <c r="K1458" t="s">
        <v>710</v>
      </c>
      <c r="L1458" s="166">
        <f t="shared" si="113"/>
        <v>5.1550100000000002E-4</v>
      </c>
      <c r="M1458" s="127" t="s">
        <v>3380</v>
      </c>
    </row>
    <row r="1459" spans="1:13" x14ac:dyDescent="0.2">
      <c r="A1459" s="1217"/>
      <c r="B1459" s="166"/>
      <c r="E1459" s="83"/>
      <c r="H1459" t="s">
        <v>3381</v>
      </c>
      <c r="I1459">
        <v>2.7299999999999998E-3</v>
      </c>
      <c r="J1459" t="s">
        <v>3382</v>
      </c>
      <c r="K1459" t="s">
        <v>3381</v>
      </c>
      <c r="L1459" s="166">
        <f t="shared" si="113"/>
        <v>27.299999999999997</v>
      </c>
      <c r="M1459" s="127" t="s">
        <v>3383</v>
      </c>
    </row>
    <row r="1460" spans="1:13" x14ac:dyDescent="0.2">
      <c r="A1460" s="1217"/>
      <c r="B1460" s="166"/>
      <c r="E1460" s="83"/>
      <c r="H1460" t="s">
        <v>3384</v>
      </c>
      <c r="I1460">
        <v>0.10051</v>
      </c>
      <c r="J1460" t="s">
        <v>711</v>
      </c>
      <c r="K1460" t="s">
        <v>3384</v>
      </c>
      <c r="L1460" s="166">
        <f t="shared" si="113"/>
        <v>1005.1</v>
      </c>
      <c r="M1460" s="127" t="s">
        <v>3385</v>
      </c>
    </row>
    <row r="1461" spans="1:13" x14ac:dyDescent="0.2">
      <c r="A1461" s="1219"/>
      <c r="B1461" s="833"/>
      <c r="C1461" s="1102"/>
      <c r="D1461" s="118"/>
      <c r="E1461" s="1220"/>
      <c r="F1461" s="118"/>
      <c r="G1461" s="118"/>
      <c r="H1461" s="118"/>
      <c r="I1461" s="118"/>
      <c r="J1461" s="118"/>
      <c r="K1461" s="118"/>
      <c r="L1461" s="833"/>
      <c r="M1461" s="120"/>
    </row>
    <row r="1462" spans="1:13" ht="16" x14ac:dyDescent="0.2">
      <c r="A1462" s="486" t="s">
        <v>1027</v>
      </c>
      <c r="B1462" s="845">
        <v>1880.8825686554187</v>
      </c>
      <c r="C1462" s="1159" t="s">
        <v>267</v>
      </c>
      <c r="D1462" s="1229">
        <v>2</v>
      </c>
      <c r="E1462" s="1216" t="s">
        <v>3388</v>
      </c>
      <c r="F1462" s="110"/>
      <c r="G1462" s="110"/>
      <c r="H1462" s="110"/>
      <c r="I1462" s="110"/>
      <c r="J1462" s="110"/>
      <c r="K1462" s="110"/>
      <c r="L1462" s="845"/>
      <c r="M1462" s="112"/>
    </row>
    <row r="1463" spans="1:13" x14ac:dyDescent="0.2">
      <c r="A1463" s="1217"/>
      <c r="B1463" s="166">
        <f>B1462/1000</f>
        <v>1.8808825686554187</v>
      </c>
      <c r="C1463" s="133" t="s">
        <v>444</v>
      </c>
      <c r="F1463">
        <v>1</v>
      </c>
      <c r="G1463" t="s">
        <v>713</v>
      </c>
      <c r="H1463" t="s">
        <v>701</v>
      </c>
      <c r="I1463">
        <v>0.14229</v>
      </c>
      <c r="J1463" t="s">
        <v>702</v>
      </c>
      <c r="K1463" t="s">
        <v>701</v>
      </c>
      <c r="L1463" s="166">
        <f>I1463*B$1468</f>
        <v>0.42686999999999997</v>
      </c>
      <c r="M1463" s="127" t="s">
        <v>3367</v>
      </c>
    </row>
    <row r="1464" spans="1:13" x14ac:dyDescent="0.2">
      <c r="A1464" s="1217"/>
      <c r="B1464" s="166">
        <v>20</v>
      </c>
      <c r="C1464" s="133" t="s">
        <v>10</v>
      </c>
      <c r="D1464" t="s">
        <v>3390</v>
      </c>
      <c r="E1464" s="83"/>
      <c r="F1464">
        <v>40</v>
      </c>
      <c r="G1464" t="s">
        <v>12</v>
      </c>
      <c r="H1464" t="s">
        <v>703</v>
      </c>
      <c r="I1464" s="33">
        <v>2.2291000000000001E-5</v>
      </c>
      <c r="J1464" t="s">
        <v>704</v>
      </c>
      <c r="K1464" t="s">
        <v>703</v>
      </c>
      <c r="L1464" s="166">
        <f t="shared" ref="L1464:L1472" si="114">I1464*B$1468</f>
        <v>6.6873000000000008E-5</v>
      </c>
      <c r="M1464" s="127" t="s">
        <v>3368</v>
      </c>
    </row>
    <row r="1465" spans="1:13" x14ac:dyDescent="0.2">
      <c r="A1465" s="1217"/>
      <c r="B1465" s="166">
        <v>0.7</v>
      </c>
      <c r="D1465" s="24" t="s">
        <v>3391</v>
      </c>
      <c r="E1465" s="83"/>
      <c r="H1465" t="s">
        <v>705</v>
      </c>
      <c r="I1465">
        <v>3203.5834399999999</v>
      </c>
      <c r="J1465" t="s">
        <v>706</v>
      </c>
      <c r="K1465" t="s">
        <v>705</v>
      </c>
      <c r="L1465" s="166">
        <f t="shared" si="114"/>
        <v>9610.7503199999992</v>
      </c>
      <c r="M1465" s="127" t="s">
        <v>3370</v>
      </c>
    </row>
    <row r="1466" spans="1:13" x14ac:dyDescent="0.2">
      <c r="A1466" s="1217"/>
      <c r="B1466" s="166">
        <f>B1463*B1464/B1465</f>
        <v>53.739501961583393</v>
      </c>
      <c r="C1466" s="133" t="s">
        <v>12</v>
      </c>
      <c r="D1466" s="6"/>
      <c r="E1466" s="83"/>
      <c r="H1466" t="s">
        <v>3372</v>
      </c>
      <c r="I1466">
        <v>1.278E-2</v>
      </c>
      <c r="J1466" t="s">
        <v>3373</v>
      </c>
      <c r="K1466" t="s">
        <v>3372</v>
      </c>
      <c r="L1466" s="166">
        <f t="shared" si="114"/>
        <v>3.8339999999999999E-2</v>
      </c>
      <c r="M1466" s="127" t="s">
        <v>3374</v>
      </c>
    </row>
    <row r="1467" spans="1:13" x14ac:dyDescent="0.2">
      <c r="A1467" s="1217"/>
      <c r="B1467" s="166">
        <f>B1466*D1462</f>
        <v>107.47900392316679</v>
      </c>
      <c r="C1467" s="133" t="s">
        <v>12</v>
      </c>
      <c r="E1467" s="83"/>
      <c r="H1467" t="s">
        <v>3375</v>
      </c>
      <c r="I1467">
        <v>3.7339999999999998E-2</v>
      </c>
      <c r="J1467" t="s">
        <v>707</v>
      </c>
      <c r="K1467" t="s">
        <v>3375</v>
      </c>
      <c r="L1467" s="166">
        <f t="shared" si="114"/>
        <v>0.11201999999999999</v>
      </c>
      <c r="M1467" s="127" t="s">
        <v>3376</v>
      </c>
    </row>
    <row r="1468" spans="1:13" x14ac:dyDescent="0.2">
      <c r="A1468" s="1217"/>
      <c r="B1468" s="1218">
        <f>ROUNDUP(B1467/F1464,0)</f>
        <v>3</v>
      </c>
      <c r="C1468" s="1114" t="s">
        <v>3392</v>
      </c>
      <c r="D1468" s="6" t="s">
        <v>577</v>
      </c>
      <c r="E1468" s="83"/>
      <c r="H1468" t="s">
        <v>708</v>
      </c>
      <c r="I1468">
        <v>9.0477000000000007</v>
      </c>
      <c r="J1468" t="s">
        <v>709</v>
      </c>
      <c r="K1468" t="s">
        <v>708</v>
      </c>
      <c r="L1468" s="166">
        <f t="shared" si="114"/>
        <v>27.143100000000004</v>
      </c>
      <c r="M1468" s="127" t="s">
        <v>3377</v>
      </c>
    </row>
    <row r="1469" spans="1:13" x14ac:dyDescent="0.2">
      <c r="A1469" s="1217"/>
      <c r="B1469" s="166"/>
      <c r="E1469" s="83"/>
      <c r="H1469" t="s">
        <v>3378</v>
      </c>
      <c r="I1469" s="33">
        <v>3.5905399999999997E-5</v>
      </c>
      <c r="J1469" t="s">
        <v>704</v>
      </c>
      <c r="K1469" t="s">
        <v>3378</v>
      </c>
      <c r="L1469" s="166">
        <f t="shared" si="114"/>
        <v>1.0771619999999998E-4</v>
      </c>
      <c r="M1469" s="127" t="s">
        <v>3368</v>
      </c>
    </row>
    <row r="1470" spans="1:13" x14ac:dyDescent="0.2">
      <c r="A1470" s="1217"/>
      <c r="B1470" s="166"/>
      <c r="E1470" s="83"/>
      <c r="H1470" t="s">
        <v>710</v>
      </c>
      <c r="I1470" s="33">
        <v>1.7364199999999999E-7</v>
      </c>
      <c r="J1470" t="s">
        <v>3379</v>
      </c>
      <c r="K1470" t="s">
        <v>710</v>
      </c>
      <c r="L1470" s="166">
        <f t="shared" si="114"/>
        <v>5.2092599999999994E-7</v>
      </c>
      <c r="M1470" s="127" t="s">
        <v>3380</v>
      </c>
    </row>
    <row r="1471" spans="1:13" x14ac:dyDescent="0.2">
      <c r="A1471" s="1217"/>
      <c r="B1471" s="166"/>
      <c r="E1471" s="83"/>
      <c r="H1471" t="s">
        <v>3381</v>
      </c>
      <c r="I1471">
        <v>2.9360000000000001E-2</v>
      </c>
      <c r="J1471" t="s">
        <v>3382</v>
      </c>
      <c r="K1471" t="s">
        <v>3381</v>
      </c>
      <c r="L1471" s="166">
        <f t="shared" si="114"/>
        <v>8.8080000000000006E-2</v>
      </c>
      <c r="M1471" s="127" t="s">
        <v>3383</v>
      </c>
    </row>
    <row r="1472" spans="1:13" x14ac:dyDescent="0.2">
      <c r="A1472" s="1217"/>
      <c r="B1472" s="166"/>
      <c r="E1472" s="83"/>
      <c r="H1472" t="s">
        <v>3384</v>
      </c>
      <c r="I1472">
        <v>0.84404000000000001</v>
      </c>
      <c r="J1472" t="s">
        <v>711</v>
      </c>
      <c r="K1472" t="s">
        <v>3384</v>
      </c>
      <c r="L1472" s="166">
        <f t="shared" si="114"/>
        <v>2.5321199999999999</v>
      </c>
      <c r="M1472" s="127" t="s">
        <v>3385</v>
      </c>
    </row>
    <row r="1473" spans="1:13" x14ac:dyDescent="0.2">
      <c r="A1473" s="1219"/>
      <c r="B1473" s="833"/>
      <c r="C1473" s="1102"/>
      <c r="D1473" s="118"/>
      <c r="E1473" s="1220"/>
      <c r="F1473" s="118"/>
      <c r="G1473" s="118"/>
      <c r="H1473" s="118"/>
      <c r="I1473" s="118"/>
      <c r="J1473" s="118"/>
      <c r="K1473" s="118"/>
      <c r="L1473" s="833"/>
      <c r="M1473" s="120"/>
    </row>
    <row r="1474" spans="1:13" ht="32" x14ac:dyDescent="0.2">
      <c r="A1474" s="486" t="s">
        <v>3020</v>
      </c>
      <c r="B1474" s="1227">
        <v>5.5222424127251252E-4</v>
      </c>
      <c r="C1474" s="1159" t="s">
        <v>999</v>
      </c>
      <c r="D1474" s="1229">
        <v>2</v>
      </c>
      <c r="E1474" s="1230" t="s">
        <v>3427</v>
      </c>
      <c r="F1474" s="110">
        <v>1</v>
      </c>
      <c r="G1474" s="110" t="s">
        <v>3428</v>
      </c>
      <c r="H1474" s="110"/>
      <c r="I1474" s="110"/>
      <c r="J1474" s="110"/>
      <c r="K1474" s="110"/>
      <c r="L1474" s="845"/>
      <c r="M1474" s="112"/>
    </row>
    <row r="1475" spans="1:13" x14ac:dyDescent="0.2">
      <c r="A1475" s="1217"/>
      <c r="B1475" s="1218">
        <f>B1487</f>
        <v>105</v>
      </c>
      <c r="C1475" s="1218" t="str">
        <f t="shared" ref="C1475:D1475" si="115">C1487</f>
        <v>item</v>
      </c>
      <c r="D1475" s="1218" t="str">
        <f t="shared" si="115"/>
        <v>TOTAL</v>
      </c>
      <c r="E1475" s="83"/>
      <c r="F1475">
        <v>2500</v>
      </c>
      <c r="G1475" t="s">
        <v>3421</v>
      </c>
      <c r="H1475" t="s">
        <v>701</v>
      </c>
      <c r="I1475">
        <v>131.79313999999999</v>
      </c>
      <c r="J1475" t="s">
        <v>702</v>
      </c>
      <c r="K1475" t="s">
        <v>701</v>
      </c>
      <c r="L1475" s="166">
        <f>I1475*B$1475</f>
        <v>13838.279699999999</v>
      </c>
      <c r="M1475" s="127" t="s">
        <v>3367</v>
      </c>
    </row>
    <row r="1476" spans="1:13" x14ac:dyDescent="0.2">
      <c r="A1476" s="1217"/>
      <c r="B1476" s="166"/>
      <c r="E1476" s="83"/>
      <c r="H1476" t="s">
        <v>703</v>
      </c>
      <c r="I1476">
        <v>1.6650000000000002E-2</v>
      </c>
      <c r="J1476" t="s">
        <v>704</v>
      </c>
      <c r="K1476" t="s">
        <v>703</v>
      </c>
      <c r="L1476" s="166">
        <f t="shared" ref="L1476:L1484" si="116">I1476*B$1475</f>
        <v>1.7482500000000001</v>
      </c>
      <c r="M1476" s="127" t="s">
        <v>3368</v>
      </c>
    </row>
    <row r="1477" spans="1:13" x14ac:dyDescent="0.2">
      <c r="A1477" s="1217"/>
      <c r="B1477" s="166"/>
      <c r="E1477" s="83"/>
      <c r="H1477" t="s">
        <v>705</v>
      </c>
      <c r="I1477" s="33">
        <v>3506090</v>
      </c>
      <c r="J1477" t="s">
        <v>706</v>
      </c>
      <c r="K1477" t="s">
        <v>705</v>
      </c>
      <c r="L1477" s="166">
        <f t="shared" si="116"/>
        <v>368139450</v>
      </c>
      <c r="M1477" s="127" t="s">
        <v>3370</v>
      </c>
    </row>
    <row r="1478" spans="1:13" x14ac:dyDescent="0.2">
      <c r="A1478" s="1217"/>
      <c r="B1478" s="166"/>
      <c r="E1478" s="83"/>
      <c r="H1478" t="s">
        <v>3372</v>
      </c>
      <c r="I1478">
        <v>23.977810000000002</v>
      </c>
      <c r="J1478" t="s">
        <v>3373</v>
      </c>
      <c r="K1478" t="s">
        <v>3372</v>
      </c>
      <c r="L1478" s="166">
        <f t="shared" si="116"/>
        <v>2517.6700500000002</v>
      </c>
      <c r="M1478" s="127" t="s">
        <v>3374</v>
      </c>
    </row>
    <row r="1479" spans="1:13" x14ac:dyDescent="0.2">
      <c r="A1479" s="1217"/>
      <c r="B1479" s="166"/>
      <c r="E1479" s="83"/>
      <c r="H1479" t="s">
        <v>3375</v>
      </c>
      <c r="I1479">
        <v>72.539479999999998</v>
      </c>
      <c r="J1479" t="s">
        <v>707</v>
      </c>
      <c r="K1479" t="s">
        <v>3375</v>
      </c>
      <c r="L1479" s="166">
        <f t="shared" si="116"/>
        <v>7616.6453999999994</v>
      </c>
      <c r="M1479" s="127" t="s">
        <v>3376</v>
      </c>
    </row>
    <row r="1480" spans="1:13" x14ac:dyDescent="0.2">
      <c r="A1480" s="1217"/>
      <c r="B1480" s="166"/>
      <c r="E1480" s="83"/>
      <c r="H1480" t="s">
        <v>708</v>
      </c>
      <c r="I1480" s="33">
        <v>22858.9</v>
      </c>
      <c r="J1480" t="s">
        <v>709</v>
      </c>
      <c r="K1480" t="s">
        <v>708</v>
      </c>
      <c r="L1480" s="166">
        <f t="shared" si="116"/>
        <v>2400184.5</v>
      </c>
      <c r="M1480" s="127" t="s">
        <v>3377</v>
      </c>
    </row>
    <row r="1481" spans="1:13" x14ac:dyDescent="0.2">
      <c r="A1481" s="1217"/>
      <c r="B1481" s="166"/>
      <c r="E1481" s="83"/>
      <c r="H1481" t="s">
        <v>3378</v>
      </c>
      <c r="I1481">
        <v>3.8490000000000003E-2</v>
      </c>
      <c r="J1481" t="s">
        <v>704</v>
      </c>
      <c r="K1481" t="s">
        <v>3378</v>
      </c>
      <c r="L1481" s="166">
        <f t="shared" si="116"/>
        <v>4.0414500000000002</v>
      </c>
      <c r="M1481" s="127" t="s">
        <v>3368</v>
      </c>
    </row>
    <row r="1482" spans="1:13" x14ac:dyDescent="0.2">
      <c r="A1482" s="1217"/>
      <c r="B1482" s="166"/>
      <c r="E1482" s="83"/>
      <c r="H1482" t="s">
        <v>710</v>
      </c>
      <c r="I1482">
        <v>1.14E-3</v>
      </c>
      <c r="J1482" t="s">
        <v>3379</v>
      </c>
      <c r="K1482" t="s">
        <v>710</v>
      </c>
      <c r="L1482" s="166">
        <f t="shared" si="116"/>
        <v>0.1197</v>
      </c>
      <c r="M1482" s="127" t="s">
        <v>3380</v>
      </c>
    </row>
    <row r="1483" spans="1:13" x14ac:dyDescent="0.2">
      <c r="A1483" s="1217"/>
      <c r="B1483" s="166"/>
      <c r="E1483" s="83"/>
      <c r="H1483" t="s">
        <v>3381</v>
      </c>
      <c r="I1483">
        <v>34.951729999999998</v>
      </c>
      <c r="J1483" t="s">
        <v>3382</v>
      </c>
      <c r="K1483" t="s">
        <v>3381</v>
      </c>
      <c r="L1483" s="166">
        <f t="shared" si="116"/>
        <v>3669.9316499999995</v>
      </c>
      <c r="M1483" s="127" t="s">
        <v>3383</v>
      </c>
    </row>
    <row r="1484" spans="1:13" x14ac:dyDescent="0.2">
      <c r="A1484" s="1217"/>
      <c r="B1484" s="166"/>
      <c r="E1484" s="83"/>
      <c r="H1484" t="s">
        <v>3384</v>
      </c>
      <c r="I1484">
        <v>1697.46082</v>
      </c>
      <c r="J1484" t="s">
        <v>711</v>
      </c>
      <c r="K1484" t="s">
        <v>3384</v>
      </c>
      <c r="L1484" s="166">
        <f t="shared" si="116"/>
        <v>178233.3861</v>
      </c>
      <c r="M1484" s="127" t="s">
        <v>3385</v>
      </c>
    </row>
    <row r="1485" spans="1:13" x14ac:dyDescent="0.2">
      <c r="A1485" s="1219"/>
      <c r="B1485" s="833"/>
      <c r="C1485" s="1102"/>
      <c r="D1485" s="118"/>
      <c r="E1485" s="1220"/>
      <c r="F1485" s="118"/>
      <c r="G1485" s="118"/>
      <c r="H1485" s="118"/>
      <c r="I1485" s="118"/>
      <c r="J1485" s="118"/>
      <c r="K1485" s="118"/>
      <c r="L1485" s="833"/>
      <c r="M1485" s="120"/>
    </row>
    <row r="1486" spans="1:13" ht="16" x14ac:dyDescent="0.2">
      <c r="A1486" s="486" t="s">
        <v>538</v>
      </c>
      <c r="B1486" s="1227">
        <v>5.5222424127251252E-4</v>
      </c>
      <c r="C1486" s="1159" t="s">
        <v>999</v>
      </c>
      <c r="D1486" s="1229">
        <v>2</v>
      </c>
      <c r="E1486" s="1230" t="s">
        <v>3439</v>
      </c>
      <c r="F1486" s="110">
        <v>1</v>
      </c>
      <c r="G1486" s="110" t="s">
        <v>3429</v>
      </c>
      <c r="H1486" s="110"/>
      <c r="I1486" s="110"/>
      <c r="J1486" s="110"/>
      <c r="K1486" s="110"/>
      <c r="L1486" s="845"/>
      <c r="M1486" s="112"/>
    </row>
    <row r="1487" spans="1:13" x14ac:dyDescent="0.2">
      <c r="A1487" s="1217"/>
      <c r="B1487" s="1218">
        <v>105</v>
      </c>
      <c r="C1487" s="1114" t="s">
        <v>3429</v>
      </c>
      <c r="D1487" s="6" t="s">
        <v>577</v>
      </c>
      <c r="E1487" s="83"/>
      <c r="F1487">
        <v>10</v>
      </c>
      <c r="G1487" t="s">
        <v>545</v>
      </c>
      <c r="H1487" t="s">
        <v>701</v>
      </c>
      <c r="I1487">
        <v>4.3418599999999996</v>
      </c>
      <c r="J1487" t="s">
        <v>702</v>
      </c>
      <c r="K1487" t="s">
        <v>701</v>
      </c>
      <c r="L1487" s="166">
        <f>I1487*B$1487</f>
        <v>455.89529999999996</v>
      </c>
      <c r="M1487" s="127" t="s">
        <v>3367</v>
      </c>
    </row>
    <row r="1488" spans="1:13" x14ac:dyDescent="0.2">
      <c r="A1488" s="1217"/>
      <c r="B1488" s="166"/>
      <c r="E1488" s="83"/>
      <c r="H1488" t="s">
        <v>703</v>
      </c>
      <c r="I1488">
        <v>6.0999999999999997E-4</v>
      </c>
      <c r="J1488" t="s">
        <v>704</v>
      </c>
      <c r="K1488" t="s">
        <v>703</v>
      </c>
      <c r="L1488" s="166">
        <f t="shared" ref="L1488:L1496" si="117">I1488*B$1487</f>
        <v>6.4049999999999996E-2</v>
      </c>
      <c r="M1488" s="127" t="s">
        <v>3368</v>
      </c>
    </row>
    <row r="1489" spans="1:13" x14ac:dyDescent="0.2">
      <c r="A1489" s="1217"/>
      <c r="B1489" s="166"/>
      <c r="E1489" s="83"/>
      <c r="H1489" t="s">
        <v>705</v>
      </c>
      <c r="I1489" s="33">
        <v>86927.7</v>
      </c>
      <c r="J1489" t="s">
        <v>706</v>
      </c>
      <c r="K1489" t="s">
        <v>705</v>
      </c>
      <c r="L1489" s="166">
        <f t="shared" si="117"/>
        <v>9127408.5</v>
      </c>
      <c r="M1489" s="127" t="s">
        <v>3370</v>
      </c>
    </row>
    <row r="1490" spans="1:13" x14ac:dyDescent="0.2">
      <c r="A1490" s="1217"/>
      <c r="B1490" s="166"/>
      <c r="E1490" s="83"/>
      <c r="H1490" t="s">
        <v>3372</v>
      </c>
      <c r="I1490">
        <v>0.40986</v>
      </c>
      <c r="J1490" t="s">
        <v>3373</v>
      </c>
      <c r="K1490" t="s">
        <v>3372</v>
      </c>
      <c r="L1490" s="166">
        <f t="shared" si="117"/>
        <v>43.035299999999999</v>
      </c>
      <c r="M1490" s="127" t="s">
        <v>3374</v>
      </c>
    </row>
    <row r="1491" spans="1:13" x14ac:dyDescent="0.2">
      <c r="A1491" s="1217"/>
      <c r="B1491" s="166"/>
      <c r="E1491" s="83"/>
      <c r="H1491" t="s">
        <v>3375</v>
      </c>
      <c r="I1491">
        <v>1.53471</v>
      </c>
      <c r="J1491" t="s">
        <v>707</v>
      </c>
      <c r="K1491" t="s">
        <v>3375</v>
      </c>
      <c r="L1491" s="166">
        <f t="shared" si="117"/>
        <v>161.14455000000001</v>
      </c>
      <c r="M1491" s="127" t="s">
        <v>3376</v>
      </c>
    </row>
    <row r="1492" spans="1:13" x14ac:dyDescent="0.2">
      <c r="A1492" s="1217"/>
      <c r="B1492" s="166"/>
      <c r="E1492" s="83"/>
      <c r="H1492" t="s">
        <v>708</v>
      </c>
      <c r="I1492">
        <v>5000.6099599999998</v>
      </c>
      <c r="J1492" t="s">
        <v>709</v>
      </c>
      <c r="K1492" t="s">
        <v>708</v>
      </c>
      <c r="L1492" s="166">
        <f t="shared" si="117"/>
        <v>525064.04579999996</v>
      </c>
      <c r="M1492" s="127" t="s">
        <v>3377</v>
      </c>
    </row>
    <row r="1493" spans="1:13" x14ac:dyDescent="0.2">
      <c r="A1493" s="1217"/>
      <c r="B1493" s="166"/>
      <c r="E1493" s="83"/>
      <c r="H1493" t="s">
        <v>3378</v>
      </c>
      <c r="I1493">
        <v>8.8000000000000003E-4</v>
      </c>
      <c r="J1493" t="s">
        <v>704</v>
      </c>
      <c r="K1493" t="s">
        <v>3378</v>
      </c>
      <c r="L1493" s="166">
        <f t="shared" si="117"/>
        <v>9.240000000000001E-2</v>
      </c>
      <c r="M1493" s="127" t="s">
        <v>3368</v>
      </c>
    </row>
    <row r="1494" spans="1:13" x14ac:dyDescent="0.2">
      <c r="A1494" s="1217"/>
      <c r="B1494" s="166"/>
      <c r="E1494" s="83"/>
      <c r="H1494" t="s">
        <v>710</v>
      </c>
      <c r="I1494" s="33">
        <v>9.7167100000000004E-6</v>
      </c>
      <c r="J1494" t="s">
        <v>3379</v>
      </c>
      <c r="K1494" t="s">
        <v>710</v>
      </c>
      <c r="L1494" s="166">
        <f t="shared" si="117"/>
        <v>1.0202545500000001E-3</v>
      </c>
      <c r="M1494" s="127" t="s">
        <v>3380</v>
      </c>
    </row>
    <row r="1495" spans="1:13" x14ac:dyDescent="0.2">
      <c r="A1495" s="1217"/>
      <c r="B1495" s="166"/>
      <c r="E1495" s="83"/>
      <c r="H1495" t="s">
        <v>3381</v>
      </c>
      <c r="I1495">
        <v>0.88400999999999996</v>
      </c>
      <c r="J1495" t="s">
        <v>3382</v>
      </c>
      <c r="K1495" t="s">
        <v>3381</v>
      </c>
      <c r="L1495" s="166">
        <f t="shared" si="117"/>
        <v>92.82105</v>
      </c>
      <c r="M1495" s="127" t="s">
        <v>3383</v>
      </c>
    </row>
    <row r="1496" spans="1:13" x14ac:dyDescent="0.2">
      <c r="A1496" s="1217"/>
      <c r="B1496" s="166"/>
      <c r="E1496" s="83"/>
      <c r="H1496" t="s">
        <v>3384</v>
      </c>
      <c r="I1496">
        <v>35.439450000000001</v>
      </c>
      <c r="J1496" t="s">
        <v>711</v>
      </c>
      <c r="K1496" t="s">
        <v>3384</v>
      </c>
      <c r="L1496" s="166">
        <f t="shared" si="117"/>
        <v>3721.1422499999999</v>
      </c>
      <c r="M1496" s="127" t="s">
        <v>3385</v>
      </c>
    </row>
    <row r="1497" spans="1:13" x14ac:dyDescent="0.2">
      <c r="A1497" s="1219"/>
      <c r="B1497" s="833"/>
      <c r="C1497" s="1102"/>
      <c r="D1497" s="118"/>
      <c r="E1497" s="1220"/>
      <c r="F1497" s="118"/>
      <c r="G1497" s="118"/>
      <c r="H1497" s="118"/>
      <c r="I1497" s="118"/>
      <c r="J1497" s="118"/>
      <c r="K1497" s="118"/>
      <c r="L1497" s="833"/>
      <c r="M1497" s="120"/>
    </row>
    <row r="1498" spans="1:13" ht="32" x14ac:dyDescent="0.2">
      <c r="A1498" s="1215" t="s">
        <v>714</v>
      </c>
      <c r="B1498" s="1231">
        <v>43007335.020506084</v>
      </c>
      <c r="C1498" s="1232" t="s">
        <v>3446</v>
      </c>
      <c r="D1498" s="179" t="s">
        <v>577</v>
      </c>
      <c r="E1498" s="1216" t="s">
        <v>3404</v>
      </c>
      <c r="F1498" s="110">
        <v>1</v>
      </c>
      <c r="G1498" s="110" t="s">
        <v>378</v>
      </c>
      <c r="H1498" s="110"/>
      <c r="I1498" s="110"/>
      <c r="J1498" s="110"/>
      <c r="K1498" s="110"/>
      <c r="L1498" s="845"/>
      <c r="M1498" s="112"/>
    </row>
    <row r="1499" spans="1:13" x14ac:dyDescent="0.2">
      <c r="A1499" s="637"/>
      <c r="B1499" s="166"/>
      <c r="E1499" s="83"/>
      <c r="H1499" t="s">
        <v>701</v>
      </c>
      <c r="I1499">
        <v>7.5000000000000002E-4</v>
      </c>
      <c r="J1499" t="s">
        <v>702</v>
      </c>
      <c r="K1499" t="s">
        <v>701</v>
      </c>
      <c r="L1499" s="166">
        <f>I1499*B$1498</f>
        <v>32255.501265379564</v>
      </c>
      <c r="M1499" s="127" t="s">
        <v>3367</v>
      </c>
    </row>
    <row r="1500" spans="1:13" x14ac:dyDescent="0.2">
      <c r="A1500" s="1217"/>
      <c r="B1500" s="166"/>
      <c r="E1500" s="83"/>
      <c r="H1500" t="s">
        <v>703</v>
      </c>
      <c r="I1500" s="33">
        <v>3.3111200000000002E-8</v>
      </c>
      <c r="J1500" t="s">
        <v>704</v>
      </c>
      <c r="K1500" t="s">
        <v>703</v>
      </c>
      <c r="L1500" s="166">
        <f t="shared" ref="L1500:L1508" si="118">I1500*B$1498</f>
        <v>1.4240244713309811</v>
      </c>
      <c r="M1500" s="127" t="s">
        <v>3368</v>
      </c>
    </row>
    <row r="1501" spans="1:13" x14ac:dyDescent="0.2">
      <c r="A1501" s="1217"/>
      <c r="B1501" s="166"/>
      <c r="E1501" s="83"/>
      <c r="H1501" t="s">
        <v>705</v>
      </c>
      <c r="I1501">
        <v>4.1968100000000002</v>
      </c>
      <c r="J1501" t="s">
        <v>706</v>
      </c>
      <c r="K1501" t="s">
        <v>705</v>
      </c>
      <c r="L1501" s="166">
        <f t="shared" si="118"/>
        <v>180493613.68741015</v>
      </c>
      <c r="M1501" s="127" t="s">
        <v>3370</v>
      </c>
    </row>
    <row r="1502" spans="1:13" x14ac:dyDescent="0.2">
      <c r="A1502" s="1217"/>
      <c r="B1502" s="166"/>
      <c r="E1502" s="83"/>
      <c r="H1502" t="s">
        <v>3372</v>
      </c>
      <c r="I1502">
        <v>3.2000000000000003E-4</v>
      </c>
      <c r="J1502" t="s">
        <v>3373</v>
      </c>
      <c r="K1502" t="s">
        <v>3372</v>
      </c>
      <c r="L1502" s="166">
        <f t="shared" si="118"/>
        <v>13762.347206561948</v>
      </c>
      <c r="M1502" s="127" t="s">
        <v>3374</v>
      </c>
    </row>
    <row r="1503" spans="1:13" x14ac:dyDescent="0.2">
      <c r="A1503" s="1217"/>
      <c r="B1503" s="166"/>
      <c r="E1503" s="83"/>
      <c r="H1503" t="s">
        <v>3375</v>
      </c>
      <c r="I1503">
        <v>5.2999999999999998E-4</v>
      </c>
      <c r="J1503" t="s">
        <v>707</v>
      </c>
      <c r="K1503" t="s">
        <v>3375</v>
      </c>
      <c r="L1503" s="166">
        <f t="shared" si="118"/>
        <v>22793.887560868225</v>
      </c>
      <c r="M1503" s="127" t="s">
        <v>3376</v>
      </c>
    </row>
    <row r="1504" spans="1:13" x14ac:dyDescent="0.2">
      <c r="A1504" s="1217"/>
      <c r="B1504" s="166"/>
      <c r="E1504" s="83"/>
      <c r="H1504" t="s">
        <v>708</v>
      </c>
      <c r="I1504">
        <v>0.39150000000000001</v>
      </c>
      <c r="J1504" t="s">
        <v>709</v>
      </c>
      <c r="K1504" t="s">
        <v>708</v>
      </c>
      <c r="L1504" s="166">
        <f t="shared" si="118"/>
        <v>16837371.660528131</v>
      </c>
      <c r="M1504" s="127" t="s">
        <v>3377</v>
      </c>
    </row>
    <row r="1505" spans="1:13" x14ac:dyDescent="0.2">
      <c r="A1505" s="1217"/>
      <c r="B1505" s="166"/>
      <c r="E1505" s="83"/>
      <c r="H1505" t="s">
        <v>3378</v>
      </c>
      <c r="I1505" s="33">
        <v>9.8849699999999999E-8</v>
      </c>
      <c r="J1505" t="s">
        <v>704</v>
      </c>
      <c r="K1505" t="s">
        <v>3378</v>
      </c>
      <c r="L1505" s="166">
        <f t="shared" si="118"/>
        <v>4.2512621645765201</v>
      </c>
      <c r="M1505" s="127" t="s">
        <v>3368</v>
      </c>
    </row>
    <row r="1506" spans="1:13" x14ac:dyDescent="0.2">
      <c r="A1506" s="1217"/>
      <c r="B1506" s="166"/>
      <c r="E1506" s="83"/>
      <c r="H1506" t="s">
        <v>710</v>
      </c>
      <c r="I1506" s="33">
        <v>1.51061E-9</v>
      </c>
      <c r="J1506" t="s">
        <v>3379</v>
      </c>
      <c r="K1506" t="s">
        <v>710</v>
      </c>
      <c r="L1506" s="166">
        <f t="shared" si="118"/>
        <v>6.4967310355326699E-2</v>
      </c>
      <c r="M1506" s="127" t="s">
        <v>3380</v>
      </c>
    </row>
    <row r="1507" spans="1:13" x14ac:dyDescent="0.2">
      <c r="A1507" s="1217"/>
      <c r="B1507" s="166"/>
      <c r="E1507" s="83"/>
      <c r="H1507" t="s">
        <v>3381</v>
      </c>
      <c r="I1507">
        <v>1.01E-3</v>
      </c>
      <c r="J1507" t="s">
        <v>3382</v>
      </c>
      <c r="K1507" t="s">
        <v>3381</v>
      </c>
      <c r="L1507" s="166">
        <f t="shared" si="118"/>
        <v>43437.408370711149</v>
      </c>
      <c r="M1507" s="127" t="s">
        <v>3383</v>
      </c>
    </row>
    <row r="1508" spans="1:13" x14ac:dyDescent="0.2">
      <c r="A1508" s="1217"/>
      <c r="B1508" s="166"/>
      <c r="E1508" s="83"/>
      <c r="H1508" t="s">
        <v>3384</v>
      </c>
      <c r="I1508">
        <v>1.2200000000000001E-2</v>
      </c>
      <c r="J1508" t="s">
        <v>711</v>
      </c>
      <c r="K1508" t="s">
        <v>3384</v>
      </c>
      <c r="L1508" s="166">
        <f t="shared" si="118"/>
        <v>524689.48725017428</v>
      </c>
      <c r="M1508" s="127" t="s">
        <v>3385</v>
      </c>
    </row>
    <row r="1509" spans="1:13" x14ac:dyDescent="0.2">
      <c r="A1509" s="1219"/>
      <c r="B1509" s="833"/>
      <c r="C1509" s="1102"/>
      <c r="D1509" s="118"/>
      <c r="E1509" s="1220"/>
      <c r="F1509" s="118"/>
      <c r="G1509" s="118"/>
      <c r="H1509" s="118"/>
      <c r="I1509" s="118"/>
      <c r="J1509" s="118"/>
      <c r="K1509" s="118"/>
      <c r="L1509" s="833"/>
      <c r="M1509" s="120"/>
    </row>
    <row r="1510" spans="1:13" ht="32" x14ac:dyDescent="0.2">
      <c r="A1510" s="1215" t="s">
        <v>2433</v>
      </c>
      <c r="B1510" s="845">
        <v>34816902.437547229</v>
      </c>
      <c r="C1510" s="1103">
        <v>0</v>
      </c>
      <c r="D1510" s="110"/>
      <c r="E1510" s="1216" t="s">
        <v>3444</v>
      </c>
      <c r="F1510" s="110">
        <v>1</v>
      </c>
      <c r="G1510" s="110" t="s">
        <v>1</v>
      </c>
      <c r="H1510" s="110"/>
      <c r="I1510" s="110"/>
      <c r="J1510" s="110"/>
      <c r="K1510" s="110"/>
      <c r="L1510" s="845"/>
      <c r="M1510" s="112"/>
    </row>
    <row r="1511" spans="1:13" x14ac:dyDescent="0.2">
      <c r="A1511" s="1217"/>
      <c r="B1511" s="166">
        <v>157955.55164835224</v>
      </c>
      <c r="C1511" s="133" t="s">
        <v>3225</v>
      </c>
      <c r="E1511" s="83"/>
      <c r="H1511" t="s">
        <v>701</v>
      </c>
      <c r="I1511">
        <v>1.14E-3</v>
      </c>
      <c r="J1511" t="s">
        <v>702</v>
      </c>
      <c r="K1511" t="s">
        <v>701</v>
      </c>
      <c r="L1511" s="166">
        <f>I1511*B$1512</f>
        <v>5402.0798663736459</v>
      </c>
      <c r="M1511" s="127" t="s">
        <v>3367</v>
      </c>
    </row>
    <row r="1512" spans="1:13" x14ac:dyDescent="0.2">
      <c r="A1512" s="1217"/>
      <c r="B1512" s="1218">
        <f>B1511*30</f>
        <v>4738666.549450567</v>
      </c>
      <c r="C1512" s="1114" t="s">
        <v>3445</v>
      </c>
      <c r="D1512" s="6" t="s">
        <v>577</v>
      </c>
      <c r="E1512" s="83"/>
      <c r="H1512" t="s">
        <v>703</v>
      </c>
      <c r="I1512" s="33">
        <v>5.4967900000000001E-8</v>
      </c>
      <c r="J1512" t="s">
        <v>704</v>
      </c>
      <c r="K1512" t="s">
        <v>703</v>
      </c>
      <c r="L1512" s="166">
        <f t="shared" ref="L1512:L1520" si="119">I1512*B$1512</f>
        <v>0.26047454902354383</v>
      </c>
      <c r="M1512" s="127" t="s">
        <v>3368</v>
      </c>
    </row>
    <row r="1513" spans="1:13" x14ac:dyDescent="0.2">
      <c r="A1513" s="1217"/>
      <c r="B1513" s="166"/>
      <c r="E1513" s="83"/>
      <c r="H1513" t="s">
        <v>705</v>
      </c>
      <c r="I1513">
        <v>9.5996699999999997</v>
      </c>
      <c r="J1513" t="s">
        <v>706</v>
      </c>
      <c r="K1513" t="s">
        <v>705</v>
      </c>
      <c r="L1513" s="166">
        <f t="shared" si="119"/>
        <v>45489635.114764124</v>
      </c>
      <c r="M1513" s="127" t="s">
        <v>3370</v>
      </c>
    </row>
    <row r="1514" spans="1:13" x14ac:dyDescent="0.2">
      <c r="A1514" s="1217"/>
      <c r="B1514" s="166"/>
      <c r="E1514" s="83"/>
      <c r="H1514" t="s">
        <v>3372</v>
      </c>
      <c r="I1514">
        <v>2.3600000000000001E-3</v>
      </c>
      <c r="J1514" t="s">
        <v>3373</v>
      </c>
      <c r="K1514" t="s">
        <v>3372</v>
      </c>
      <c r="L1514" s="166">
        <f t="shared" si="119"/>
        <v>11183.253056703339</v>
      </c>
      <c r="M1514" s="127" t="s">
        <v>3374</v>
      </c>
    </row>
    <row r="1515" spans="1:13" x14ac:dyDescent="0.2">
      <c r="A1515" s="1217"/>
      <c r="B1515" s="166"/>
      <c r="E1515" s="83"/>
      <c r="H1515" t="s">
        <v>3375</v>
      </c>
      <c r="I1515">
        <v>7.0000000000000001E-3</v>
      </c>
      <c r="J1515" t="s">
        <v>707</v>
      </c>
      <c r="K1515" t="s">
        <v>3375</v>
      </c>
      <c r="L1515" s="166">
        <f t="shared" si="119"/>
        <v>33170.66584615397</v>
      </c>
      <c r="M1515" s="127" t="s">
        <v>3376</v>
      </c>
    </row>
    <row r="1516" spans="1:13" x14ac:dyDescent="0.2">
      <c r="A1516" s="1217"/>
      <c r="B1516" s="166"/>
      <c r="E1516" s="83"/>
      <c r="H1516" t="s">
        <v>708</v>
      </c>
      <c r="I1516">
        <v>0.20222999999999999</v>
      </c>
      <c r="J1516" t="s">
        <v>709</v>
      </c>
      <c r="K1516" t="s">
        <v>708</v>
      </c>
      <c r="L1516" s="166">
        <f t="shared" si="119"/>
        <v>958300.53629538813</v>
      </c>
      <c r="M1516" s="127" t="s">
        <v>3377</v>
      </c>
    </row>
    <row r="1517" spans="1:13" x14ac:dyDescent="0.2">
      <c r="A1517" s="1217"/>
      <c r="B1517" s="166"/>
      <c r="E1517" s="83"/>
      <c r="H1517" t="s">
        <v>3378</v>
      </c>
      <c r="I1517" s="33">
        <v>5.2573200000000002E-6</v>
      </c>
      <c r="J1517" t="s">
        <v>704</v>
      </c>
      <c r="K1517" t="s">
        <v>3378</v>
      </c>
      <c r="L1517" s="166">
        <f t="shared" si="119"/>
        <v>24.912686423757457</v>
      </c>
      <c r="M1517" s="127" t="s">
        <v>3368</v>
      </c>
    </row>
    <row r="1518" spans="1:13" x14ac:dyDescent="0.2">
      <c r="A1518" s="1217"/>
      <c r="B1518" s="166"/>
      <c r="E1518" s="83"/>
      <c r="H1518" t="s">
        <v>710</v>
      </c>
      <c r="I1518" s="33">
        <v>1.8080899999999999E-9</v>
      </c>
      <c r="J1518" t="s">
        <v>3379</v>
      </c>
      <c r="K1518" t="s">
        <v>710</v>
      </c>
      <c r="L1518" s="166">
        <f t="shared" si="119"/>
        <v>8.5679356013960758E-3</v>
      </c>
      <c r="M1518" s="127" t="s">
        <v>3380</v>
      </c>
    </row>
    <row r="1519" spans="1:13" x14ac:dyDescent="0.2">
      <c r="A1519" s="1217"/>
      <c r="B1519" s="166"/>
      <c r="E1519" s="83"/>
      <c r="H1519" t="s">
        <v>3381</v>
      </c>
      <c r="I1519">
        <v>1.4999999999999999E-4</v>
      </c>
      <c r="J1519" t="s">
        <v>3382</v>
      </c>
      <c r="K1519" t="s">
        <v>3381</v>
      </c>
      <c r="L1519" s="166">
        <f t="shared" si="119"/>
        <v>710.79998241758494</v>
      </c>
      <c r="M1519" s="127" t="s">
        <v>3383</v>
      </c>
    </row>
    <row r="1520" spans="1:13" x14ac:dyDescent="0.2">
      <c r="A1520" s="1217"/>
      <c r="B1520" s="166"/>
      <c r="E1520" s="83"/>
      <c r="H1520" t="s">
        <v>3384</v>
      </c>
      <c r="I1520">
        <v>1.456E-2</v>
      </c>
      <c r="J1520" t="s">
        <v>711</v>
      </c>
      <c r="K1520" t="s">
        <v>3384</v>
      </c>
      <c r="L1520" s="166">
        <f t="shared" si="119"/>
        <v>68994.984960000249</v>
      </c>
      <c r="M1520" s="127" t="s">
        <v>3385</v>
      </c>
    </row>
    <row r="1521" spans="1:13" x14ac:dyDescent="0.2">
      <c r="A1521" s="1219"/>
      <c r="B1521" s="833"/>
      <c r="C1521" s="1102"/>
      <c r="D1521" s="118"/>
      <c r="E1521" s="1220"/>
      <c r="F1521" s="118"/>
      <c r="G1521" s="118"/>
      <c r="H1521" s="118"/>
      <c r="I1521" s="118"/>
      <c r="J1521" s="118"/>
      <c r="K1521" s="118"/>
      <c r="L1521" s="833"/>
      <c r="M1521" s="120"/>
    </row>
    <row r="1522" spans="1:13" ht="16" x14ac:dyDescent="0.2">
      <c r="A1522" s="1215" t="s">
        <v>1567</v>
      </c>
      <c r="B1522" s="845">
        <v>713286.3769334387</v>
      </c>
      <c r="C1522" s="845" t="s">
        <v>566</v>
      </c>
      <c r="D1522" s="110"/>
      <c r="E1522" s="1216" t="s">
        <v>3447</v>
      </c>
      <c r="F1522" s="110">
        <v>1</v>
      </c>
      <c r="G1522" s="110" t="s">
        <v>15</v>
      </c>
      <c r="H1522" s="110"/>
      <c r="I1522" s="110"/>
      <c r="J1522" s="110"/>
      <c r="K1522" s="110"/>
      <c r="L1522" s="845"/>
      <c r="M1522" s="112"/>
    </row>
    <row r="1523" spans="1:13" ht="16" x14ac:dyDescent="0.2">
      <c r="A1523" s="1217"/>
      <c r="B1523" s="1218">
        <f>B1522*30</f>
        <v>21398591.308003161</v>
      </c>
      <c r="C1523" s="1114" t="s">
        <v>715</v>
      </c>
      <c r="D1523" s="6" t="s">
        <v>577</v>
      </c>
      <c r="E1523" s="83" t="s">
        <v>712</v>
      </c>
      <c r="H1523" t="s">
        <v>701</v>
      </c>
      <c r="I1523">
        <v>1.949E-2</v>
      </c>
      <c r="J1523" t="s">
        <v>702</v>
      </c>
      <c r="K1523" t="s">
        <v>701</v>
      </c>
      <c r="L1523" s="166">
        <f>I1523*B$1523</f>
        <v>417058.54459298163</v>
      </c>
      <c r="M1523" s="127" t="s">
        <v>3367</v>
      </c>
    </row>
    <row r="1524" spans="1:13" x14ac:dyDescent="0.2">
      <c r="A1524" s="1217"/>
      <c r="B1524" s="166"/>
      <c r="E1524" s="83"/>
      <c r="H1524" t="s">
        <v>703</v>
      </c>
      <c r="I1524" s="33">
        <v>3.1389299999999999E-7</v>
      </c>
      <c r="J1524" t="s">
        <v>704</v>
      </c>
      <c r="K1524" t="s">
        <v>703</v>
      </c>
      <c r="L1524" s="166">
        <f t="shared" ref="L1524:L1532" si="120">I1524*B$1523</f>
        <v>6.7168680214430356</v>
      </c>
      <c r="M1524" s="127" t="s">
        <v>3368</v>
      </c>
    </row>
    <row r="1525" spans="1:13" x14ac:dyDescent="0.2">
      <c r="A1525" s="1217"/>
      <c r="B1525" s="166"/>
      <c r="E1525" s="83"/>
      <c r="H1525" t="s">
        <v>705</v>
      </c>
      <c r="I1525">
        <v>49.286259999999999</v>
      </c>
      <c r="J1525" t="s">
        <v>706</v>
      </c>
      <c r="K1525" t="s">
        <v>705</v>
      </c>
      <c r="L1525" s="166">
        <f t="shared" si="120"/>
        <v>1054656534.8399838</v>
      </c>
      <c r="M1525" s="127" t="s">
        <v>3370</v>
      </c>
    </row>
    <row r="1526" spans="1:13" x14ac:dyDescent="0.2">
      <c r="A1526" s="1217"/>
      <c r="B1526" s="166"/>
      <c r="E1526" s="83"/>
      <c r="H1526" t="s">
        <v>3372</v>
      </c>
      <c r="I1526">
        <v>1.32E-3</v>
      </c>
      <c r="J1526" t="s">
        <v>3373</v>
      </c>
      <c r="K1526" t="s">
        <v>3372</v>
      </c>
      <c r="L1526" s="166">
        <f t="shared" si="120"/>
        <v>28246.140526564173</v>
      </c>
      <c r="M1526" s="127" t="s">
        <v>3374</v>
      </c>
    </row>
    <row r="1527" spans="1:13" x14ac:dyDescent="0.2">
      <c r="A1527" s="1217"/>
      <c r="B1527" s="166"/>
      <c r="E1527" s="83"/>
      <c r="H1527" t="s">
        <v>3375</v>
      </c>
      <c r="I1527">
        <v>9.6100000000000005E-3</v>
      </c>
      <c r="J1527" t="s">
        <v>707</v>
      </c>
      <c r="K1527" t="s">
        <v>3375</v>
      </c>
      <c r="L1527" s="166">
        <f t="shared" si="120"/>
        <v>205640.46246991039</v>
      </c>
      <c r="M1527" s="127" t="s">
        <v>3376</v>
      </c>
    </row>
    <row r="1528" spans="1:13" x14ac:dyDescent="0.2">
      <c r="A1528" s="1217"/>
      <c r="B1528" s="166"/>
      <c r="E1528" s="83"/>
      <c r="H1528" t="s">
        <v>708</v>
      </c>
      <c r="I1528">
        <v>4.2835599999999996</v>
      </c>
      <c r="J1528" t="s">
        <v>709</v>
      </c>
      <c r="K1528" t="s">
        <v>708</v>
      </c>
      <c r="L1528" s="166">
        <f t="shared" si="120"/>
        <v>91662149.783310011</v>
      </c>
      <c r="M1528" s="127" t="s">
        <v>3377</v>
      </c>
    </row>
    <row r="1529" spans="1:13" x14ac:dyDescent="0.2">
      <c r="A1529" s="1217"/>
      <c r="B1529" s="166"/>
      <c r="E1529" s="83"/>
      <c r="H1529" t="s">
        <v>3378</v>
      </c>
      <c r="I1529" s="33">
        <v>9.1881099999999998E-7</v>
      </c>
      <c r="J1529" t="s">
        <v>704</v>
      </c>
      <c r="K1529" t="s">
        <v>3378</v>
      </c>
      <c r="L1529" s="166">
        <f t="shared" si="120"/>
        <v>19.661261078297692</v>
      </c>
      <c r="M1529" s="127" t="s">
        <v>3368</v>
      </c>
    </row>
    <row r="1530" spans="1:13" x14ac:dyDescent="0.2">
      <c r="A1530" s="1217"/>
      <c r="B1530" s="166"/>
      <c r="E1530" s="83"/>
      <c r="H1530" t="s">
        <v>710</v>
      </c>
      <c r="I1530" s="33">
        <v>7.7615100000000003E-8</v>
      </c>
      <c r="J1530" t="s">
        <v>3379</v>
      </c>
      <c r="K1530" t="s">
        <v>710</v>
      </c>
      <c r="L1530" s="166">
        <f t="shared" si="120"/>
        <v>1.6608538042297962</v>
      </c>
      <c r="M1530" s="127" t="s">
        <v>3380</v>
      </c>
    </row>
    <row r="1531" spans="1:13" x14ac:dyDescent="0.2">
      <c r="A1531" s="1217"/>
      <c r="B1531" s="166"/>
      <c r="E1531" s="83"/>
      <c r="H1531" t="s">
        <v>3381</v>
      </c>
      <c r="I1531">
        <v>3.1700000000000001E-3</v>
      </c>
      <c r="J1531" t="s">
        <v>3382</v>
      </c>
      <c r="K1531" t="s">
        <v>3381</v>
      </c>
      <c r="L1531" s="166">
        <f t="shared" si="120"/>
        <v>67833.534446370017</v>
      </c>
      <c r="M1531" s="127" t="s">
        <v>3383</v>
      </c>
    </row>
    <row r="1532" spans="1:13" x14ac:dyDescent="0.2">
      <c r="A1532" s="1217"/>
      <c r="B1532" s="166"/>
      <c r="E1532" s="83"/>
      <c r="H1532" t="s">
        <v>3384</v>
      </c>
      <c r="I1532">
        <v>0.24757000000000001</v>
      </c>
      <c r="J1532" t="s">
        <v>711</v>
      </c>
      <c r="K1532" t="s">
        <v>3384</v>
      </c>
      <c r="L1532" s="166">
        <f t="shared" si="120"/>
        <v>5297649.2501223432</v>
      </c>
      <c r="M1532" s="127" t="s">
        <v>3385</v>
      </c>
    </row>
    <row r="1533" spans="1:13" x14ac:dyDescent="0.2">
      <c r="A1533" s="1219"/>
      <c r="B1533" s="833"/>
      <c r="C1533" s="1102"/>
      <c r="D1533" s="118"/>
      <c r="E1533" s="1220"/>
      <c r="F1533" s="118"/>
      <c r="G1533" s="118"/>
      <c r="H1533" s="118"/>
      <c r="I1533" s="118"/>
      <c r="J1533" s="118"/>
      <c r="K1533" s="118"/>
      <c r="L1533" s="833"/>
      <c r="M1533" s="120"/>
    </row>
    <row r="1534" spans="1:13" x14ac:dyDescent="0.2">
      <c r="A1534" s="1222"/>
      <c r="B1534" s="166"/>
      <c r="E1534" s="83"/>
      <c r="L1534" s="166"/>
    </row>
    <row r="1535" spans="1:13" x14ac:dyDescent="0.2">
      <c r="A1535" s="1222"/>
      <c r="B1535" s="166"/>
      <c r="E1535" s="83"/>
      <c r="L1535" s="166"/>
    </row>
    <row r="1536" spans="1:13" x14ac:dyDescent="0.2">
      <c r="A1536" s="1222"/>
      <c r="E1536" s="83"/>
    </row>
    <row r="1537" spans="1:15" x14ac:dyDescent="0.2">
      <c r="A1537" s="1222"/>
      <c r="E1537" s="83"/>
    </row>
    <row r="1539" spans="1:15" ht="16" thickBot="1" x14ac:dyDescent="0.25"/>
    <row r="1540" spans="1:15" ht="14.5" customHeight="1" x14ac:dyDescent="0.2">
      <c r="A1540" s="1789" t="s">
        <v>1416</v>
      </c>
      <c r="B1540" s="1790"/>
      <c r="C1540" s="1790"/>
      <c r="D1540" s="1790"/>
      <c r="E1540" s="1790"/>
      <c r="F1540" s="1790"/>
      <c r="G1540" s="1790"/>
      <c r="H1540" s="1790"/>
      <c r="I1540" s="1790"/>
      <c r="J1540" s="1790"/>
      <c r="K1540" s="1790"/>
      <c r="L1540" s="1790"/>
      <c r="M1540" s="1790"/>
      <c r="N1540" s="1790"/>
      <c r="O1540" s="1791"/>
    </row>
    <row r="1541" spans="1:15" ht="15" customHeight="1" thickBot="1" x14ac:dyDescent="0.25">
      <c r="A1541" s="1792"/>
      <c r="B1541" s="1793"/>
      <c r="C1541" s="1793"/>
      <c r="D1541" s="1793"/>
      <c r="E1541" s="1793"/>
      <c r="F1541" s="1793"/>
      <c r="G1541" s="1793"/>
      <c r="H1541" s="1793"/>
      <c r="I1541" s="1793"/>
      <c r="J1541" s="1793"/>
      <c r="K1541" s="1793"/>
      <c r="L1541" s="1793"/>
      <c r="M1541" s="1793"/>
      <c r="N1541" s="1793"/>
      <c r="O1541" s="1794"/>
    </row>
    <row r="1542" spans="1:15" s="6" customFormat="1" x14ac:dyDescent="0.2">
      <c r="A1542" s="1929" t="s">
        <v>697</v>
      </c>
      <c r="B1542" s="1931" t="s">
        <v>698</v>
      </c>
      <c r="C1542" s="1932"/>
      <c r="D1542" s="1933"/>
      <c r="E1542" s="1921" t="s">
        <v>3362</v>
      </c>
      <c r="F1542" s="1931" t="s">
        <v>699</v>
      </c>
      <c r="G1542" s="1933"/>
      <c r="H1542" s="1931" t="s">
        <v>3363</v>
      </c>
      <c r="I1542" s="1932"/>
      <c r="J1542" s="1933"/>
      <c r="K1542" s="1931" t="s">
        <v>700</v>
      </c>
      <c r="L1542" s="1932"/>
      <c r="M1542" s="1933"/>
    </row>
    <row r="1543" spans="1:15" s="6" customFormat="1" ht="15.75" customHeight="1" x14ac:dyDescent="0.2">
      <c r="A1543" s="1930"/>
      <c r="B1543" s="1214" t="s">
        <v>515</v>
      </c>
      <c r="C1543" s="969" t="s">
        <v>372</v>
      </c>
      <c r="D1543" s="969" t="s">
        <v>583</v>
      </c>
      <c r="E1543" s="1922"/>
      <c r="F1543" s="969" t="s">
        <v>42</v>
      </c>
      <c r="G1543" s="969" t="s">
        <v>372</v>
      </c>
      <c r="H1543" s="29" t="s">
        <v>697</v>
      </c>
      <c r="I1543" s="969" t="s">
        <v>42</v>
      </c>
      <c r="J1543" s="969" t="s">
        <v>372</v>
      </c>
      <c r="K1543" s="969" t="s">
        <v>697</v>
      </c>
      <c r="L1543" s="1214" t="s">
        <v>42</v>
      </c>
      <c r="M1543" s="969" t="s">
        <v>372</v>
      </c>
    </row>
    <row r="1544" spans="1:15" ht="16" x14ac:dyDescent="0.2">
      <c r="A1544" s="486" t="s">
        <v>2379</v>
      </c>
      <c r="B1544" s="845">
        <v>1875.4740817837121</v>
      </c>
      <c r="C1544" s="1159" t="s">
        <v>267</v>
      </c>
      <c r="D1544" s="1229">
        <v>3</v>
      </c>
      <c r="E1544" s="159" t="s">
        <v>3400</v>
      </c>
      <c r="F1544" s="110">
        <v>1</v>
      </c>
      <c r="G1544" s="110" t="s">
        <v>1</v>
      </c>
      <c r="H1544" s="110"/>
      <c r="I1544" s="110"/>
      <c r="J1544" s="110"/>
      <c r="K1544" s="110"/>
      <c r="L1544" s="845"/>
      <c r="M1544" s="112"/>
    </row>
    <row r="1545" spans="1:15" x14ac:dyDescent="0.2">
      <c r="A1545" s="1217"/>
      <c r="B1545" s="166">
        <f>B1544*10/1000</f>
        <v>18.754740817837124</v>
      </c>
      <c r="C1545" s="133" t="s">
        <v>1</v>
      </c>
      <c r="E1545" s="83"/>
      <c r="H1545" t="s">
        <v>701</v>
      </c>
      <c r="I1545">
        <v>7.5000000000000002E-4</v>
      </c>
      <c r="J1545" t="s">
        <v>702</v>
      </c>
      <c r="K1545" t="s">
        <v>701</v>
      </c>
      <c r="L1545" s="166">
        <f>I1545*B$1546</f>
        <v>4.2198166840133527E-2</v>
      </c>
      <c r="M1545" s="127" t="s">
        <v>3367</v>
      </c>
    </row>
    <row r="1546" spans="1:15" x14ac:dyDescent="0.2">
      <c r="A1546" s="1217"/>
      <c r="B1546" s="1218">
        <f>B1545*D1544</f>
        <v>56.264222453511373</v>
      </c>
      <c r="C1546" s="1114" t="s">
        <v>1</v>
      </c>
      <c r="D1546" s="6" t="s">
        <v>577</v>
      </c>
      <c r="E1546" s="83"/>
      <c r="H1546" t="s">
        <v>703</v>
      </c>
      <c r="I1546" s="33">
        <v>3.3111200000000002E-8</v>
      </c>
      <c r="J1546" t="s">
        <v>704</v>
      </c>
      <c r="K1546" t="s">
        <v>703</v>
      </c>
      <c r="L1546" s="166">
        <f t="shared" ref="L1546:L1554" si="121">I1546*B$1546</f>
        <v>1.8629759225027059E-6</v>
      </c>
      <c r="M1546" s="127" t="s">
        <v>3368</v>
      </c>
    </row>
    <row r="1547" spans="1:15" x14ac:dyDescent="0.2">
      <c r="A1547" s="1217"/>
      <c r="B1547" s="166"/>
      <c r="E1547" s="83"/>
      <c r="H1547" t="s">
        <v>705</v>
      </c>
      <c r="I1547">
        <v>4.1968100000000002</v>
      </c>
      <c r="J1547" t="s">
        <v>706</v>
      </c>
      <c r="K1547" t="s">
        <v>705</v>
      </c>
      <c r="L1547" s="166">
        <f t="shared" si="121"/>
        <v>236.13025143512107</v>
      </c>
      <c r="M1547" s="127" t="s">
        <v>3370</v>
      </c>
    </row>
    <row r="1548" spans="1:15" x14ac:dyDescent="0.2">
      <c r="A1548" s="1217"/>
      <c r="B1548" s="166"/>
      <c r="E1548" s="83"/>
      <c r="H1548" t="s">
        <v>3372</v>
      </c>
      <c r="I1548">
        <v>3.2000000000000003E-4</v>
      </c>
      <c r="J1548" t="s">
        <v>3373</v>
      </c>
      <c r="K1548" t="s">
        <v>3372</v>
      </c>
      <c r="L1548" s="166">
        <f t="shared" si="121"/>
        <v>1.8004551185123639E-2</v>
      </c>
      <c r="M1548" s="127" t="s">
        <v>3374</v>
      </c>
    </row>
    <row r="1549" spans="1:15" x14ac:dyDescent="0.2">
      <c r="A1549" s="1217"/>
      <c r="B1549" s="166"/>
      <c r="E1549" s="83"/>
      <c r="H1549" t="s">
        <v>3375</v>
      </c>
      <c r="I1549">
        <v>5.2999999999999998E-4</v>
      </c>
      <c r="J1549" t="s">
        <v>707</v>
      </c>
      <c r="K1549" t="s">
        <v>3375</v>
      </c>
      <c r="L1549" s="166">
        <f t="shared" si="121"/>
        <v>2.9820037900361026E-2</v>
      </c>
      <c r="M1549" s="127" t="s">
        <v>3376</v>
      </c>
    </row>
    <row r="1550" spans="1:15" x14ac:dyDescent="0.2">
      <c r="A1550" s="1217"/>
      <c r="B1550" s="166"/>
      <c r="E1550" s="83"/>
      <c r="H1550" t="s">
        <v>708</v>
      </c>
      <c r="I1550">
        <v>0.39150000000000001</v>
      </c>
      <c r="J1550" t="s">
        <v>709</v>
      </c>
      <c r="K1550" t="s">
        <v>708</v>
      </c>
      <c r="L1550" s="166">
        <f t="shared" si="121"/>
        <v>22.027443090549703</v>
      </c>
      <c r="M1550" s="127" t="s">
        <v>3377</v>
      </c>
    </row>
    <row r="1551" spans="1:15" x14ac:dyDescent="0.2">
      <c r="A1551" s="1217"/>
      <c r="B1551" s="166"/>
      <c r="E1551" s="83"/>
      <c r="H1551" t="s">
        <v>3378</v>
      </c>
      <c r="I1551" s="33">
        <v>9.8849699999999999E-8</v>
      </c>
      <c r="J1551" t="s">
        <v>704</v>
      </c>
      <c r="K1551" t="s">
        <v>3378</v>
      </c>
      <c r="L1551" s="166">
        <f t="shared" si="121"/>
        <v>5.5617015102628634E-6</v>
      </c>
      <c r="M1551" s="127" t="s">
        <v>3368</v>
      </c>
    </row>
    <row r="1552" spans="1:15" x14ac:dyDescent="0.2">
      <c r="A1552" s="1217"/>
      <c r="B1552" s="166"/>
      <c r="E1552" s="83"/>
      <c r="H1552" t="s">
        <v>710</v>
      </c>
      <c r="I1552" s="33">
        <v>1.51061E-9</v>
      </c>
      <c r="J1552" t="s">
        <v>3379</v>
      </c>
      <c r="K1552" t="s">
        <v>710</v>
      </c>
      <c r="L1552" s="166">
        <f t="shared" si="121"/>
        <v>8.4993297080498813E-8</v>
      </c>
      <c r="M1552" s="127" t="s">
        <v>3380</v>
      </c>
    </row>
    <row r="1553" spans="1:13" x14ac:dyDescent="0.2">
      <c r="A1553" s="1217"/>
      <c r="B1553" s="166"/>
      <c r="E1553" s="83"/>
      <c r="H1553" t="s">
        <v>3381</v>
      </c>
      <c r="I1553">
        <v>1.01E-3</v>
      </c>
      <c r="J1553" t="s">
        <v>3382</v>
      </c>
      <c r="K1553" t="s">
        <v>3381</v>
      </c>
      <c r="L1553" s="166">
        <f t="shared" si="121"/>
        <v>5.6826864678046492E-2</v>
      </c>
      <c r="M1553" s="127" t="s">
        <v>3383</v>
      </c>
    </row>
    <row r="1554" spans="1:13" x14ac:dyDescent="0.2">
      <c r="A1554" s="1217"/>
      <c r="B1554" s="166"/>
      <c r="E1554" s="83"/>
      <c r="H1554" t="s">
        <v>3384</v>
      </c>
      <c r="I1554">
        <v>1.2200000000000001E-2</v>
      </c>
      <c r="J1554" t="s">
        <v>711</v>
      </c>
      <c r="K1554" t="s">
        <v>3384</v>
      </c>
      <c r="L1554" s="166">
        <f t="shared" si="121"/>
        <v>0.68642351393283874</v>
      </c>
      <c r="M1554" s="127" t="s">
        <v>3385</v>
      </c>
    </row>
    <row r="1555" spans="1:13" x14ac:dyDescent="0.2">
      <c r="A1555" s="1219"/>
      <c r="B1555" s="833"/>
      <c r="C1555" s="1102"/>
      <c r="D1555" s="118"/>
      <c r="E1555" s="1220"/>
      <c r="F1555" s="118"/>
      <c r="G1555" s="118"/>
      <c r="H1555" s="118"/>
      <c r="I1555" s="118"/>
      <c r="J1555" s="118"/>
      <c r="K1555" s="118"/>
      <c r="L1555" s="833"/>
      <c r="M1555" s="120"/>
    </row>
    <row r="1556" spans="1:13" ht="16" x14ac:dyDescent="0.2">
      <c r="A1556" s="486" t="s">
        <v>1027</v>
      </c>
      <c r="B1556" s="845">
        <v>118.31115665918918</v>
      </c>
      <c r="C1556" s="1159" t="s">
        <v>1091</v>
      </c>
      <c r="D1556" s="1229">
        <v>3</v>
      </c>
      <c r="E1556" s="1216" t="s">
        <v>3388</v>
      </c>
      <c r="F1556" s="110"/>
      <c r="G1556" s="110"/>
      <c r="H1556" s="110"/>
      <c r="I1556" s="110"/>
      <c r="J1556" s="110"/>
      <c r="K1556" s="110"/>
      <c r="L1556" s="845"/>
      <c r="M1556" s="112"/>
    </row>
    <row r="1557" spans="1:13" x14ac:dyDescent="0.2">
      <c r="A1557" s="1217"/>
      <c r="B1557" s="166">
        <f>B1556/1000</f>
        <v>0.11831115665918918</v>
      </c>
      <c r="C1557" s="133" t="s">
        <v>444</v>
      </c>
      <c r="F1557">
        <v>1</v>
      </c>
      <c r="G1557" t="s">
        <v>713</v>
      </c>
      <c r="H1557" t="s">
        <v>701</v>
      </c>
      <c r="I1557">
        <v>0.14229</v>
      </c>
      <c r="J1557" t="s">
        <v>702</v>
      </c>
      <c r="K1557" t="s">
        <v>701</v>
      </c>
      <c r="L1557" s="166">
        <f>I1557*B$1562</f>
        <v>0.14229</v>
      </c>
      <c r="M1557" s="127" t="s">
        <v>3367</v>
      </c>
    </row>
    <row r="1558" spans="1:13" x14ac:dyDescent="0.2">
      <c r="A1558" s="1217"/>
      <c r="B1558" s="166">
        <v>20</v>
      </c>
      <c r="C1558" s="133" t="s">
        <v>10</v>
      </c>
      <c r="D1558" t="s">
        <v>3390</v>
      </c>
      <c r="E1558" s="83"/>
      <c r="F1558">
        <v>40</v>
      </c>
      <c r="G1558" t="s">
        <v>12</v>
      </c>
      <c r="H1558" t="s">
        <v>703</v>
      </c>
      <c r="I1558" s="33">
        <v>2.2291000000000001E-5</v>
      </c>
      <c r="J1558" t="s">
        <v>704</v>
      </c>
      <c r="K1558" t="s">
        <v>703</v>
      </c>
      <c r="L1558" s="166">
        <f t="shared" ref="L1558:L1566" si="122">I1558*B$1562</f>
        <v>2.2291000000000001E-5</v>
      </c>
      <c r="M1558" s="127" t="s">
        <v>3368</v>
      </c>
    </row>
    <row r="1559" spans="1:13" x14ac:dyDescent="0.2">
      <c r="A1559" s="1217"/>
      <c r="B1559" s="166">
        <v>0.7</v>
      </c>
      <c r="D1559" s="24" t="s">
        <v>3391</v>
      </c>
      <c r="E1559" s="83"/>
      <c r="H1559" t="s">
        <v>705</v>
      </c>
      <c r="I1559">
        <v>3203.5834399999999</v>
      </c>
      <c r="J1559" t="s">
        <v>706</v>
      </c>
      <c r="K1559" t="s">
        <v>705</v>
      </c>
      <c r="L1559" s="166">
        <f t="shared" si="122"/>
        <v>3203.5834399999999</v>
      </c>
      <c r="M1559" s="127" t="s">
        <v>3370</v>
      </c>
    </row>
    <row r="1560" spans="1:13" x14ac:dyDescent="0.2">
      <c r="A1560" s="1217"/>
      <c r="B1560" s="166">
        <f>B1557*B1558/B1559</f>
        <v>3.3803187616911199</v>
      </c>
      <c r="C1560" s="133" t="s">
        <v>12</v>
      </c>
      <c r="D1560" s="6"/>
      <c r="E1560" s="83"/>
      <c r="H1560" t="s">
        <v>3372</v>
      </c>
      <c r="I1560">
        <v>1.278E-2</v>
      </c>
      <c r="J1560" t="s">
        <v>3373</v>
      </c>
      <c r="K1560" t="s">
        <v>3372</v>
      </c>
      <c r="L1560" s="166">
        <f t="shared" si="122"/>
        <v>1.278E-2</v>
      </c>
      <c r="M1560" s="127" t="s">
        <v>3374</v>
      </c>
    </row>
    <row r="1561" spans="1:13" x14ac:dyDescent="0.2">
      <c r="A1561" s="1217"/>
      <c r="B1561" s="166">
        <f>B1560*D1556</f>
        <v>10.14095628507336</v>
      </c>
      <c r="C1561" s="133" t="s">
        <v>12</v>
      </c>
      <c r="E1561" s="83"/>
      <c r="H1561" t="s">
        <v>3375</v>
      </c>
      <c r="I1561">
        <v>3.7339999999999998E-2</v>
      </c>
      <c r="J1561" t="s">
        <v>707</v>
      </c>
      <c r="K1561" t="s">
        <v>3375</v>
      </c>
      <c r="L1561" s="166">
        <f t="shared" si="122"/>
        <v>3.7339999999999998E-2</v>
      </c>
      <c r="M1561" s="127" t="s">
        <v>3376</v>
      </c>
    </row>
    <row r="1562" spans="1:13" x14ac:dyDescent="0.2">
      <c r="A1562" s="1217"/>
      <c r="B1562" s="1218">
        <f>ROUNDUP(B1561/F1558,0)</f>
        <v>1</v>
      </c>
      <c r="C1562" s="1114" t="s">
        <v>3392</v>
      </c>
      <c r="D1562" s="6" t="s">
        <v>577</v>
      </c>
      <c r="E1562" s="83"/>
      <c r="H1562" t="s">
        <v>708</v>
      </c>
      <c r="I1562">
        <v>9.0477000000000007</v>
      </c>
      <c r="J1562" t="s">
        <v>709</v>
      </c>
      <c r="K1562" t="s">
        <v>708</v>
      </c>
      <c r="L1562" s="166">
        <f t="shared" si="122"/>
        <v>9.0477000000000007</v>
      </c>
      <c r="M1562" s="127" t="s">
        <v>3377</v>
      </c>
    </row>
    <row r="1563" spans="1:13" x14ac:dyDescent="0.2">
      <c r="A1563" s="1217"/>
      <c r="B1563" s="166"/>
      <c r="E1563" s="83"/>
      <c r="H1563" t="s">
        <v>3378</v>
      </c>
      <c r="I1563" s="33">
        <v>3.5905399999999997E-5</v>
      </c>
      <c r="J1563" t="s">
        <v>704</v>
      </c>
      <c r="K1563" t="s">
        <v>3378</v>
      </c>
      <c r="L1563" s="166">
        <f t="shared" si="122"/>
        <v>3.5905399999999997E-5</v>
      </c>
      <c r="M1563" s="127" t="s">
        <v>3368</v>
      </c>
    </row>
    <row r="1564" spans="1:13" x14ac:dyDescent="0.2">
      <c r="A1564" s="1217"/>
      <c r="B1564" s="166"/>
      <c r="E1564" s="83"/>
      <c r="H1564" t="s">
        <v>710</v>
      </c>
      <c r="I1564" s="33">
        <v>1.7364199999999999E-7</v>
      </c>
      <c r="J1564" t="s">
        <v>3379</v>
      </c>
      <c r="K1564" t="s">
        <v>710</v>
      </c>
      <c r="L1564" s="166">
        <f t="shared" si="122"/>
        <v>1.7364199999999999E-7</v>
      </c>
      <c r="M1564" s="127" t="s">
        <v>3380</v>
      </c>
    </row>
    <row r="1565" spans="1:13" x14ac:dyDescent="0.2">
      <c r="A1565" s="1217"/>
      <c r="B1565" s="166"/>
      <c r="E1565" s="83"/>
      <c r="H1565" t="s">
        <v>3381</v>
      </c>
      <c r="I1565">
        <v>2.9360000000000001E-2</v>
      </c>
      <c r="J1565" t="s">
        <v>3382</v>
      </c>
      <c r="K1565" t="s">
        <v>3381</v>
      </c>
      <c r="L1565" s="166">
        <f t="shared" si="122"/>
        <v>2.9360000000000001E-2</v>
      </c>
      <c r="M1565" s="127" t="s">
        <v>3383</v>
      </c>
    </row>
    <row r="1566" spans="1:13" x14ac:dyDescent="0.2">
      <c r="A1566" s="1217"/>
      <c r="B1566" s="166"/>
      <c r="E1566" s="83"/>
      <c r="H1566" t="s">
        <v>3384</v>
      </c>
      <c r="I1566">
        <v>0.84404000000000001</v>
      </c>
      <c r="J1566" t="s">
        <v>711</v>
      </c>
      <c r="K1566" t="s">
        <v>3384</v>
      </c>
      <c r="L1566" s="166">
        <f t="shared" si="122"/>
        <v>0.84404000000000001</v>
      </c>
      <c r="M1566" s="127" t="s">
        <v>3385</v>
      </c>
    </row>
    <row r="1567" spans="1:13" x14ac:dyDescent="0.2">
      <c r="A1567" s="1219"/>
      <c r="B1567" s="833"/>
      <c r="C1567" s="1102"/>
      <c r="D1567" s="118"/>
      <c r="E1567" s="1220"/>
      <c r="F1567" s="118"/>
      <c r="G1567" s="118"/>
      <c r="H1567" s="118"/>
      <c r="I1567" s="118"/>
      <c r="J1567" s="118"/>
      <c r="K1567" s="118"/>
      <c r="L1567" s="833"/>
      <c r="M1567" s="120"/>
    </row>
    <row r="1568" spans="1:13" ht="48" x14ac:dyDescent="0.2">
      <c r="A1568" s="486" t="s">
        <v>1201</v>
      </c>
      <c r="B1568" s="845">
        <v>1875.4740817837121</v>
      </c>
      <c r="C1568" s="1159" t="s">
        <v>267</v>
      </c>
      <c r="D1568" s="1229">
        <v>3</v>
      </c>
      <c r="E1568" s="159" t="s">
        <v>3423</v>
      </c>
      <c r="F1568" s="110">
        <v>1</v>
      </c>
      <c r="G1568" s="110" t="s">
        <v>3424</v>
      </c>
      <c r="H1568" s="110"/>
      <c r="I1568" s="110"/>
      <c r="J1568" s="110"/>
      <c r="K1568" s="110"/>
      <c r="L1568" s="845"/>
      <c r="M1568" s="112"/>
    </row>
    <row r="1569" spans="1:13" x14ac:dyDescent="0.2">
      <c r="A1569" s="1217"/>
      <c r="B1569" s="166">
        <f>B1568*10/1000*D1568</f>
        <v>56.264222453511373</v>
      </c>
      <c r="C1569" s="133" t="s">
        <v>1</v>
      </c>
      <c r="E1569" s="83"/>
      <c r="F1569">
        <v>500</v>
      </c>
      <c r="G1569" t="s">
        <v>3425</v>
      </c>
      <c r="H1569" t="s">
        <v>701</v>
      </c>
      <c r="I1569">
        <v>500.29457000000002</v>
      </c>
      <c r="J1569" t="s">
        <v>702</v>
      </c>
      <c r="K1569" t="s">
        <v>701</v>
      </c>
      <c r="L1569" s="166">
        <f>I1569*B$1570</f>
        <v>56.297369957527636</v>
      </c>
      <c r="M1569" s="127" t="s">
        <v>3367</v>
      </c>
    </row>
    <row r="1570" spans="1:13" x14ac:dyDescent="0.2">
      <c r="A1570" s="1217"/>
      <c r="B1570" s="1218">
        <f>B1569/F1569</f>
        <v>0.11252844490702274</v>
      </c>
      <c r="C1570" s="1114" t="s">
        <v>3429</v>
      </c>
      <c r="D1570" s="6" t="s">
        <v>577</v>
      </c>
      <c r="E1570" s="83"/>
      <c r="H1570" t="s">
        <v>703</v>
      </c>
      <c r="I1570" s="33">
        <v>5.0630000000000001E-2</v>
      </c>
      <c r="J1570" t="s">
        <v>704</v>
      </c>
      <c r="K1570" t="s">
        <v>703</v>
      </c>
      <c r="L1570" s="166">
        <f t="shared" ref="L1570:L1578" si="123">I1570*B$1570</f>
        <v>5.6973151656425618E-3</v>
      </c>
      <c r="M1570" s="127" t="s">
        <v>3368</v>
      </c>
    </row>
    <row r="1571" spans="1:13" x14ac:dyDescent="0.2">
      <c r="A1571" s="1217"/>
      <c r="B1571" s="166"/>
      <c r="E1571" s="83"/>
      <c r="H1571" t="s">
        <v>705</v>
      </c>
      <c r="I1571" s="33">
        <v>4.7383300000000004E-6</v>
      </c>
      <c r="J1571" t="s">
        <v>706</v>
      </c>
      <c r="K1571" t="s">
        <v>705</v>
      </c>
      <c r="L1571" s="166">
        <f t="shared" si="123"/>
        <v>5.3319690635629312E-7</v>
      </c>
      <c r="M1571" s="127" t="s">
        <v>3370</v>
      </c>
    </row>
    <row r="1572" spans="1:13" x14ac:dyDescent="0.2">
      <c r="A1572" s="1217"/>
      <c r="B1572" s="166"/>
      <c r="E1572" s="83"/>
      <c r="H1572" t="s">
        <v>3372</v>
      </c>
      <c r="I1572">
        <v>32.336289999999998</v>
      </c>
      <c r="J1572" t="s">
        <v>3373</v>
      </c>
      <c r="K1572" t="s">
        <v>3372</v>
      </c>
      <c r="L1572" s="166">
        <f t="shared" si="123"/>
        <v>3.6387524277625101</v>
      </c>
      <c r="M1572" s="127" t="s">
        <v>3374</v>
      </c>
    </row>
    <row r="1573" spans="1:13" x14ac:dyDescent="0.2">
      <c r="A1573" s="1217"/>
      <c r="B1573" s="166"/>
      <c r="E1573" s="83"/>
      <c r="H1573" t="s">
        <v>3375</v>
      </c>
      <c r="I1573">
        <v>330.76024999999998</v>
      </c>
      <c r="J1573" t="s">
        <v>707</v>
      </c>
      <c r="K1573" t="s">
        <v>3375</v>
      </c>
      <c r="L1573" s="166">
        <f t="shared" si="123"/>
        <v>37.219936569558065</v>
      </c>
      <c r="M1573" s="127" t="s">
        <v>3376</v>
      </c>
    </row>
    <row r="1574" spans="1:13" x14ac:dyDescent="0.2">
      <c r="A1574" s="1217"/>
      <c r="B1574" s="166"/>
      <c r="E1574" s="83"/>
      <c r="H1574" t="s">
        <v>708</v>
      </c>
      <c r="I1574" s="33">
        <v>96090.3</v>
      </c>
      <c r="J1574" t="s">
        <v>709</v>
      </c>
      <c r="K1574" t="s">
        <v>708</v>
      </c>
      <c r="L1574" s="166">
        <f t="shared" si="123"/>
        <v>10812.892029649287</v>
      </c>
      <c r="M1574" s="127" t="s">
        <v>3377</v>
      </c>
    </row>
    <row r="1575" spans="1:13" x14ac:dyDescent="0.2">
      <c r="A1575" s="1217"/>
      <c r="B1575" s="166"/>
      <c r="E1575" s="83"/>
      <c r="H1575" t="s">
        <v>3378</v>
      </c>
      <c r="I1575" s="33">
        <v>5.6300000000000003E-2</v>
      </c>
      <c r="J1575" t="s">
        <v>704</v>
      </c>
      <c r="K1575" t="s">
        <v>3378</v>
      </c>
      <c r="L1575" s="166">
        <f t="shared" si="123"/>
        <v>6.3353514482653809E-3</v>
      </c>
      <c r="M1575" s="127" t="s">
        <v>3368</v>
      </c>
    </row>
    <row r="1576" spans="1:13" x14ac:dyDescent="0.2">
      <c r="A1576" s="1217"/>
      <c r="B1576" s="166"/>
      <c r="E1576" s="83"/>
      <c r="H1576" t="s">
        <v>710</v>
      </c>
      <c r="I1576" s="33">
        <v>1.3699999999999999E-3</v>
      </c>
      <c r="J1576" t="s">
        <v>3379</v>
      </c>
      <c r="K1576" t="s">
        <v>710</v>
      </c>
      <c r="L1576" s="166">
        <f t="shared" si="123"/>
        <v>1.5416396952262114E-4</v>
      </c>
      <c r="M1576" s="127" t="s">
        <v>3380</v>
      </c>
    </row>
    <row r="1577" spans="1:13" x14ac:dyDescent="0.2">
      <c r="A1577" s="1217"/>
      <c r="B1577" s="166"/>
      <c r="E1577" s="83"/>
      <c r="H1577" t="s">
        <v>3381</v>
      </c>
      <c r="I1577">
        <v>145.08896999999999</v>
      </c>
      <c r="J1577" t="s">
        <v>3382</v>
      </c>
      <c r="K1577" t="s">
        <v>3381</v>
      </c>
      <c r="L1577" s="166">
        <f t="shared" si="123"/>
        <v>16.326636167261675</v>
      </c>
      <c r="M1577" s="127" t="s">
        <v>3383</v>
      </c>
    </row>
    <row r="1578" spans="1:13" x14ac:dyDescent="0.2">
      <c r="A1578" s="1217"/>
      <c r="B1578" s="166"/>
      <c r="E1578" s="83"/>
      <c r="H1578" t="s">
        <v>3384</v>
      </c>
      <c r="I1578">
        <v>7926.5570900000002</v>
      </c>
      <c r="J1578" t="s">
        <v>711</v>
      </c>
      <c r="K1578" t="s">
        <v>3384</v>
      </c>
      <c r="L1578" s="166">
        <f t="shared" si="123"/>
        <v>891.96314280443551</v>
      </c>
      <c r="M1578" s="127" t="s">
        <v>3385</v>
      </c>
    </row>
    <row r="1579" spans="1:13" x14ac:dyDescent="0.2">
      <c r="A1579" s="1219"/>
      <c r="B1579" s="833"/>
      <c r="C1579" s="1102"/>
      <c r="D1579" s="118"/>
      <c r="E1579" s="1220"/>
      <c r="F1579" s="118"/>
      <c r="G1579" s="118"/>
      <c r="H1579" s="118"/>
      <c r="I1579" s="118"/>
      <c r="J1579" s="118"/>
      <c r="K1579" s="118"/>
      <c r="L1579" s="833"/>
      <c r="M1579" s="120"/>
    </row>
    <row r="1580" spans="1:13" ht="48" x14ac:dyDescent="0.2">
      <c r="A1580" s="486" t="s">
        <v>1088</v>
      </c>
      <c r="B1580" s="1227">
        <v>1.9346681436601908E-3</v>
      </c>
      <c r="C1580" s="1159" t="s">
        <v>999</v>
      </c>
      <c r="D1580" s="1229">
        <v>3</v>
      </c>
      <c r="E1580" s="1230" t="s">
        <v>3437</v>
      </c>
      <c r="F1580" s="110">
        <v>1</v>
      </c>
      <c r="G1580" s="110" t="s">
        <v>3429</v>
      </c>
      <c r="H1580" s="110"/>
      <c r="I1580" s="110"/>
      <c r="J1580" s="110"/>
      <c r="K1580" s="110"/>
      <c r="L1580" s="845"/>
      <c r="M1580" s="112"/>
    </row>
    <row r="1581" spans="1:13" x14ac:dyDescent="0.2">
      <c r="A1581" s="1217"/>
      <c r="B1581" s="1218">
        <f>B1487</f>
        <v>105</v>
      </c>
      <c r="C1581" s="1114" t="s">
        <v>3429</v>
      </c>
      <c r="D1581" s="6" t="s">
        <v>577</v>
      </c>
      <c r="E1581" s="83"/>
      <c r="F1581" t="s">
        <v>3448</v>
      </c>
      <c r="G1581" t="s">
        <v>3438</v>
      </c>
      <c r="H1581" t="s">
        <v>701</v>
      </c>
      <c r="I1581">
        <v>12.44168</v>
      </c>
      <c r="J1581" t="s">
        <v>702</v>
      </c>
      <c r="K1581" t="s">
        <v>701</v>
      </c>
      <c r="L1581" s="166">
        <f>I1581*B$1581</f>
        <v>1306.3763999999999</v>
      </c>
      <c r="M1581" s="127" t="s">
        <v>3367</v>
      </c>
    </row>
    <row r="1582" spans="1:13" x14ac:dyDescent="0.2">
      <c r="A1582" s="1217"/>
      <c r="B1582" s="166"/>
      <c r="E1582" s="83"/>
      <c r="H1582" t="s">
        <v>703</v>
      </c>
      <c r="I1582">
        <v>4.8000000000000001E-4</v>
      </c>
      <c r="J1582" t="s">
        <v>704</v>
      </c>
      <c r="K1582" t="s">
        <v>703</v>
      </c>
      <c r="L1582" s="166">
        <f t="shared" ref="L1582:L1590" si="124">I1582*B$1581</f>
        <v>5.04E-2</v>
      </c>
      <c r="M1582" s="127" t="s">
        <v>3368</v>
      </c>
    </row>
    <row r="1583" spans="1:13" x14ac:dyDescent="0.2">
      <c r="A1583" s="1217"/>
      <c r="B1583" s="166"/>
      <c r="E1583" s="83"/>
      <c r="H1583" t="s">
        <v>705</v>
      </c>
      <c r="I1583" s="33">
        <v>71800.399999999994</v>
      </c>
      <c r="J1583" t="s">
        <v>706</v>
      </c>
      <c r="K1583" t="s">
        <v>705</v>
      </c>
      <c r="L1583" s="166">
        <f t="shared" si="124"/>
        <v>7539041.9999999991</v>
      </c>
      <c r="M1583" s="127" t="s">
        <v>3370</v>
      </c>
    </row>
    <row r="1584" spans="1:13" x14ac:dyDescent="0.2">
      <c r="A1584" s="1217"/>
      <c r="B1584" s="166"/>
      <c r="E1584" s="83"/>
      <c r="H1584" t="s">
        <v>3372</v>
      </c>
      <c r="I1584">
        <v>0.48496</v>
      </c>
      <c r="J1584" t="s">
        <v>3373</v>
      </c>
      <c r="K1584" t="s">
        <v>3372</v>
      </c>
      <c r="L1584" s="166">
        <f t="shared" si="124"/>
        <v>50.9208</v>
      </c>
      <c r="M1584" s="127" t="s">
        <v>3374</v>
      </c>
    </row>
    <row r="1585" spans="1:13" x14ac:dyDescent="0.2">
      <c r="A1585" s="1217"/>
      <c r="B1585" s="166"/>
      <c r="E1585" s="83"/>
      <c r="H1585" t="s">
        <v>3375</v>
      </c>
      <c r="I1585">
        <v>5.6584000000000003</v>
      </c>
      <c r="J1585" t="s">
        <v>707</v>
      </c>
      <c r="K1585" t="s">
        <v>3375</v>
      </c>
      <c r="L1585" s="166">
        <f t="shared" si="124"/>
        <v>594.13200000000006</v>
      </c>
      <c r="M1585" s="127" t="s">
        <v>3376</v>
      </c>
    </row>
    <row r="1586" spans="1:13" x14ac:dyDescent="0.2">
      <c r="A1586" s="1217"/>
      <c r="B1586" s="166"/>
      <c r="E1586" s="83"/>
      <c r="H1586" t="s">
        <v>708</v>
      </c>
      <c r="I1586">
        <v>950.53150000000005</v>
      </c>
      <c r="J1586" t="s">
        <v>709</v>
      </c>
      <c r="K1586" t="s">
        <v>708</v>
      </c>
      <c r="L1586" s="166">
        <f t="shared" si="124"/>
        <v>99805.80750000001</v>
      </c>
      <c r="M1586" s="127" t="s">
        <v>3377</v>
      </c>
    </row>
    <row r="1587" spans="1:13" x14ac:dyDescent="0.2">
      <c r="A1587" s="1217"/>
      <c r="B1587" s="166"/>
      <c r="E1587" s="83"/>
      <c r="H1587" t="s">
        <v>3378</v>
      </c>
      <c r="I1587">
        <v>9.6000000000000002E-4</v>
      </c>
      <c r="J1587" t="s">
        <v>704</v>
      </c>
      <c r="K1587" t="s">
        <v>3378</v>
      </c>
      <c r="L1587" s="166">
        <f t="shared" si="124"/>
        <v>0.1008</v>
      </c>
      <c r="M1587" s="127" t="s">
        <v>3368</v>
      </c>
    </row>
    <row r="1588" spans="1:13" x14ac:dyDescent="0.2">
      <c r="A1588" s="1217"/>
      <c r="B1588" s="166"/>
      <c r="E1588" s="83"/>
      <c r="H1588" t="s">
        <v>710</v>
      </c>
      <c r="I1588" s="33">
        <v>1.9998899999999999E-5</v>
      </c>
      <c r="J1588" t="s">
        <v>3379</v>
      </c>
      <c r="K1588" t="s">
        <v>710</v>
      </c>
      <c r="L1588" s="166">
        <f t="shared" si="124"/>
        <v>2.0998844999999999E-3</v>
      </c>
      <c r="M1588" s="127" t="s">
        <v>3380</v>
      </c>
    </row>
    <row r="1589" spans="1:13" x14ac:dyDescent="0.2">
      <c r="A1589" s="1217"/>
      <c r="B1589" s="166"/>
      <c r="E1589" s="83"/>
      <c r="H1589" t="s">
        <v>3381</v>
      </c>
      <c r="I1589">
        <v>1.43174</v>
      </c>
      <c r="J1589" t="s">
        <v>3382</v>
      </c>
      <c r="K1589" t="s">
        <v>3381</v>
      </c>
      <c r="L1589" s="166">
        <f t="shared" si="124"/>
        <v>150.33269999999999</v>
      </c>
      <c r="M1589" s="127" t="s">
        <v>3383</v>
      </c>
    </row>
    <row r="1590" spans="1:13" x14ac:dyDescent="0.2">
      <c r="A1590" s="1217"/>
      <c r="B1590" s="166"/>
      <c r="E1590" s="83"/>
      <c r="H1590" t="s">
        <v>3384</v>
      </c>
      <c r="I1590">
        <v>65.748800000000003</v>
      </c>
      <c r="J1590" t="s">
        <v>711</v>
      </c>
      <c r="K1590" t="s">
        <v>3384</v>
      </c>
      <c r="L1590" s="166">
        <f t="shared" si="124"/>
        <v>6903.6240000000007</v>
      </c>
      <c r="M1590" s="127" t="s">
        <v>3385</v>
      </c>
    </row>
    <row r="1591" spans="1:13" x14ac:dyDescent="0.2">
      <c r="A1591" s="1219"/>
      <c r="B1591" s="833"/>
      <c r="C1591" s="1102"/>
      <c r="D1591" s="118"/>
      <c r="E1591" s="1220"/>
      <c r="F1591" s="118"/>
      <c r="G1591" s="118"/>
      <c r="H1591" s="118"/>
      <c r="I1591" s="118"/>
      <c r="J1591" s="118"/>
      <c r="K1591" s="118"/>
      <c r="L1591" s="833"/>
      <c r="M1591" s="120"/>
    </row>
    <row r="1592" spans="1:13" ht="16" x14ac:dyDescent="0.2">
      <c r="A1592" s="486" t="s">
        <v>1089</v>
      </c>
      <c r="B1592" s="845">
        <v>188.26584758794687</v>
      </c>
      <c r="C1592" s="1159" t="s">
        <v>267</v>
      </c>
      <c r="D1592" s="1229">
        <v>3</v>
      </c>
      <c r="E1592" s="1216" t="s">
        <v>3393</v>
      </c>
      <c r="F1592" s="110"/>
      <c r="G1592" s="110"/>
      <c r="H1592" s="110"/>
      <c r="I1592" s="110"/>
      <c r="J1592" s="110"/>
      <c r="K1592" s="110"/>
      <c r="L1592" s="845"/>
      <c r="M1592" s="112"/>
    </row>
    <row r="1593" spans="1:13" x14ac:dyDescent="0.2">
      <c r="A1593" s="1217"/>
      <c r="B1593" s="1218">
        <f>B1592*100*D1592</f>
        <v>56479.754276384061</v>
      </c>
      <c r="C1593" s="1114" t="s">
        <v>15</v>
      </c>
      <c r="D1593" s="6" t="s">
        <v>577</v>
      </c>
      <c r="F1593">
        <v>1</v>
      </c>
      <c r="G1593" t="s">
        <v>15</v>
      </c>
      <c r="H1593" t="s">
        <v>701</v>
      </c>
      <c r="I1593">
        <v>6.0200000000000002E-3</v>
      </c>
      <c r="J1593" t="s">
        <v>702</v>
      </c>
      <c r="K1593" t="s">
        <v>701</v>
      </c>
      <c r="L1593" s="166">
        <f>I1593*B$1593</f>
        <v>340.00812074383208</v>
      </c>
      <c r="M1593" s="127" t="s">
        <v>3367</v>
      </c>
    </row>
    <row r="1594" spans="1:13" x14ac:dyDescent="0.2">
      <c r="A1594" s="1217"/>
      <c r="B1594" s="166"/>
      <c r="E1594" s="83"/>
      <c r="H1594" t="s">
        <v>703</v>
      </c>
      <c r="I1594" s="33">
        <v>1.2843299999999999E-6</v>
      </c>
      <c r="J1594" t="s">
        <v>704</v>
      </c>
      <c r="K1594" t="s">
        <v>703</v>
      </c>
      <c r="L1594" s="166">
        <f t="shared" ref="L1594:L1602" si="125">I1594*B$1593</f>
        <v>7.2538642809788334E-2</v>
      </c>
      <c r="M1594" s="127" t="s">
        <v>3368</v>
      </c>
    </row>
    <row r="1595" spans="1:13" x14ac:dyDescent="0.2">
      <c r="A1595" s="1217"/>
      <c r="B1595" s="166"/>
      <c r="E1595" s="83"/>
      <c r="H1595" t="s">
        <v>705</v>
      </c>
      <c r="I1595">
        <v>67.217029999999994</v>
      </c>
      <c r="J1595" t="s">
        <v>706</v>
      </c>
      <c r="K1595" t="s">
        <v>705</v>
      </c>
      <c r="L1595" s="166">
        <f t="shared" si="125"/>
        <v>3796401.3375883354</v>
      </c>
      <c r="M1595" s="127" t="s">
        <v>3370</v>
      </c>
    </row>
    <row r="1596" spans="1:13" x14ac:dyDescent="0.2">
      <c r="A1596" s="1217"/>
      <c r="B1596" s="166"/>
      <c r="E1596" s="83"/>
      <c r="H1596" t="s">
        <v>3372</v>
      </c>
      <c r="I1596">
        <v>7.6999999999999996E-4</v>
      </c>
      <c r="J1596" t="s">
        <v>3373</v>
      </c>
      <c r="K1596" t="s">
        <v>3372</v>
      </c>
      <c r="L1596" s="166">
        <f t="shared" si="125"/>
        <v>43.489410792815725</v>
      </c>
      <c r="M1596" s="127" t="s">
        <v>3374</v>
      </c>
    </row>
    <row r="1597" spans="1:13" x14ac:dyDescent="0.2">
      <c r="A1597" s="1217"/>
      <c r="B1597" s="166"/>
      <c r="E1597" s="83"/>
      <c r="H1597" t="s">
        <v>3375</v>
      </c>
      <c r="I1597">
        <v>4.1700000000000001E-3</v>
      </c>
      <c r="J1597" t="s">
        <v>707</v>
      </c>
      <c r="K1597" t="s">
        <v>3375</v>
      </c>
      <c r="L1597" s="166">
        <f t="shared" si="125"/>
        <v>235.52057533252153</v>
      </c>
      <c r="M1597" s="127" t="s">
        <v>3376</v>
      </c>
    </row>
    <row r="1598" spans="1:13" x14ac:dyDescent="0.2">
      <c r="A1598" s="1217"/>
      <c r="B1598" s="166"/>
      <c r="E1598" s="83"/>
      <c r="H1598" t="s">
        <v>708</v>
      </c>
      <c r="I1598">
        <v>1.7658199999999999</v>
      </c>
      <c r="J1598" t="s">
        <v>709</v>
      </c>
      <c r="K1598" t="s">
        <v>708</v>
      </c>
      <c r="L1598" s="166">
        <f t="shared" si="125"/>
        <v>99733.079696324494</v>
      </c>
      <c r="M1598" s="127" t="s">
        <v>3377</v>
      </c>
    </row>
    <row r="1599" spans="1:13" x14ac:dyDescent="0.2">
      <c r="A1599" s="1217"/>
      <c r="B1599" s="166"/>
      <c r="E1599" s="83"/>
      <c r="H1599" t="s">
        <v>3378</v>
      </c>
      <c r="I1599" s="33">
        <v>3.4665800000000001E-7</v>
      </c>
      <c r="J1599" t="s">
        <v>704</v>
      </c>
      <c r="K1599" t="s">
        <v>3378</v>
      </c>
      <c r="L1599" s="166">
        <f t="shared" si="125"/>
        <v>1.9579158657942745E-2</v>
      </c>
      <c r="M1599" s="127" t="s">
        <v>3368</v>
      </c>
    </row>
    <row r="1600" spans="1:13" x14ac:dyDescent="0.2">
      <c r="A1600" s="1217"/>
      <c r="B1600" s="166"/>
      <c r="E1600" s="83"/>
      <c r="H1600" t="s">
        <v>710</v>
      </c>
      <c r="I1600" s="33">
        <v>5.15501E-8</v>
      </c>
      <c r="J1600" t="s">
        <v>3379</v>
      </c>
      <c r="K1600" t="s">
        <v>710</v>
      </c>
      <c r="L1600" s="166">
        <f t="shared" si="125"/>
        <v>2.9115369809230261E-3</v>
      </c>
      <c r="M1600" s="127" t="s">
        <v>3380</v>
      </c>
    </row>
    <row r="1601" spans="1:13" x14ac:dyDescent="0.2">
      <c r="A1601" s="1217"/>
      <c r="B1601" s="166"/>
      <c r="E1601" s="83"/>
      <c r="H1601" t="s">
        <v>3381</v>
      </c>
      <c r="I1601">
        <v>2.7299999999999998E-3</v>
      </c>
      <c r="J1601" t="s">
        <v>3382</v>
      </c>
      <c r="K1601" t="s">
        <v>3381</v>
      </c>
      <c r="L1601" s="166">
        <f t="shared" si="125"/>
        <v>154.18972917452848</v>
      </c>
      <c r="M1601" s="127" t="s">
        <v>3383</v>
      </c>
    </row>
    <row r="1602" spans="1:13" x14ac:dyDescent="0.2">
      <c r="A1602" s="1217"/>
      <c r="B1602" s="166"/>
      <c r="E1602" s="83"/>
      <c r="H1602" t="s">
        <v>3384</v>
      </c>
      <c r="I1602">
        <v>0.10051</v>
      </c>
      <c r="J1602" t="s">
        <v>711</v>
      </c>
      <c r="K1602" t="s">
        <v>3384</v>
      </c>
      <c r="L1602" s="166">
        <f t="shared" si="125"/>
        <v>5676.7801023193624</v>
      </c>
      <c r="M1602" s="127" t="s">
        <v>3385</v>
      </c>
    </row>
    <row r="1603" spans="1:13" x14ac:dyDescent="0.2">
      <c r="A1603" s="1219"/>
      <c r="B1603" s="833"/>
      <c r="C1603" s="1102"/>
      <c r="D1603" s="118"/>
      <c r="E1603" s="1220"/>
      <c r="F1603" s="118"/>
      <c r="G1603" s="118"/>
      <c r="H1603" s="118"/>
      <c r="I1603" s="118"/>
      <c r="J1603" s="118"/>
      <c r="K1603" s="118"/>
      <c r="L1603" s="833"/>
      <c r="M1603" s="120"/>
    </row>
    <row r="1604" spans="1:13" ht="16" x14ac:dyDescent="0.2">
      <c r="A1604" s="486" t="s">
        <v>1090</v>
      </c>
      <c r="B1604" s="845">
        <v>118.31115665918918</v>
      </c>
      <c r="C1604" s="1159" t="s">
        <v>1091</v>
      </c>
      <c r="D1604" s="1229">
        <v>3</v>
      </c>
      <c r="E1604" s="1216" t="s">
        <v>3388</v>
      </c>
      <c r="F1604" s="110"/>
      <c r="G1604" s="110"/>
      <c r="H1604" s="110"/>
      <c r="I1604" s="110"/>
      <c r="J1604" s="110"/>
      <c r="K1604" s="110"/>
      <c r="L1604" s="845"/>
      <c r="M1604" s="112"/>
    </row>
    <row r="1605" spans="1:13" x14ac:dyDescent="0.2">
      <c r="A1605" s="1217"/>
      <c r="B1605" s="166">
        <v>3.2199017798821163</v>
      </c>
      <c r="C1605" s="133" t="s">
        <v>444</v>
      </c>
      <c r="D1605" s="1059">
        <v>3</v>
      </c>
      <c r="F1605">
        <v>1</v>
      </c>
      <c r="G1605" t="s">
        <v>713</v>
      </c>
      <c r="H1605" t="s">
        <v>701</v>
      </c>
      <c r="I1605">
        <v>0.14229</v>
      </c>
      <c r="J1605" t="s">
        <v>702</v>
      </c>
      <c r="K1605" t="s">
        <v>701</v>
      </c>
      <c r="L1605" s="166">
        <f>I1605*B$1610</f>
        <v>0.99602999999999997</v>
      </c>
      <c r="M1605" s="127" t="s">
        <v>3367</v>
      </c>
    </row>
    <row r="1606" spans="1:13" x14ac:dyDescent="0.2">
      <c r="A1606" s="1217"/>
      <c r="B1606" s="166">
        <v>20</v>
      </c>
      <c r="C1606" s="133" t="s">
        <v>10</v>
      </c>
      <c r="D1606" t="s">
        <v>3390</v>
      </c>
      <c r="E1606" s="83"/>
      <c r="F1606">
        <v>40</v>
      </c>
      <c r="G1606" t="s">
        <v>12</v>
      </c>
      <c r="H1606" t="s">
        <v>703</v>
      </c>
      <c r="I1606" s="33">
        <v>2.2291000000000001E-5</v>
      </c>
      <c r="J1606" t="s">
        <v>704</v>
      </c>
      <c r="K1606" t="s">
        <v>703</v>
      </c>
      <c r="L1606" s="166">
        <f t="shared" ref="L1606:L1614" si="126">I1606*B$1610</f>
        <v>1.5603700000000001E-4</v>
      </c>
      <c r="M1606" s="127" t="s">
        <v>3368</v>
      </c>
    </row>
    <row r="1607" spans="1:13" x14ac:dyDescent="0.2">
      <c r="A1607" s="1217"/>
      <c r="B1607" s="166">
        <v>0.7</v>
      </c>
      <c r="D1607" t="s">
        <v>3391</v>
      </c>
      <c r="E1607" s="83"/>
      <c r="H1607" t="s">
        <v>705</v>
      </c>
      <c r="I1607">
        <v>3203.5834399999999</v>
      </c>
      <c r="J1607" t="s">
        <v>706</v>
      </c>
      <c r="K1607" t="s">
        <v>705</v>
      </c>
      <c r="L1607" s="166">
        <f t="shared" si="126"/>
        <v>22425.084080000001</v>
      </c>
      <c r="M1607" s="127" t="s">
        <v>3370</v>
      </c>
    </row>
    <row r="1608" spans="1:13" x14ac:dyDescent="0.2">
      <c r="A1608" s="1217"/>
      <c r="B1608" s="166">
        <f>B1605*B1606/B1607</f>
        <v>91.9971937109176</v>
      </c>
      <c r="C1608" s="133" t="s">
        <v>12</v>
      </c>
      <c r="E1608" s="83"/>
      <c r="H1608" t="s">
        <v>3372</v>
      </c>
      <c r="I1608">
        <v>1.278E-2</v>
      </c>
      <c r="J1608" t="s">
        <v>3373</v>
      </c>
      <c r="K1608" t="s">
        <v>3372</v>
      </c>
      <c r="L1608" s="166">
        <f t="shared" si="126"/>
        <v>8.9459999999999998E-2</v>
      </c>
      <c r="M1608" s="127" t="s">
        <v>3374</v>
      </c>
    </row>
    <row r="1609" spans="1:13" x14ac:dyDescent="0.2">
      <c r="A1609" s="1217"/>
      <c r="B1609" s="166">
        <f>B1608*D1605</f>
        <v>275.9915811327528</v>
      </c>
      <c r="C1609" s="133" t="s">
        <v>12</v>
      </c>
      <c r="E1609" s="83"/>
      <c r="H1609" t="s">
        <v>3375</v>
      </c>
      <c r="I1609">
        <v>3.7339999999999998E-2</v>
      </c>
      <c r="J1609" t="s">
        <v>707</v>
      </c>
      <c r="K1609" t="s">
        <v>3375</v>
      </c>
      <c r="L1609" s="166">
        <f t="shared" si="126"/>
        <v>0.26138</v>
      </c>
      <c r="M1609" s="127" t="s">
        <v>3376</v>
      </c>
    </row>
    <row r="1610" spans="1:13" x14ac:dyDescent="0.2">
      <c r="A1610" s="1217"/>
      <c r="B1610" s="1218">
        <f>ROUNDUP(B1609/F1606,0)</f>
        <v>7</v>
      </c>
      <c r="C1610" s="1114" t="s">
        <v>3392</v>
      </c>
      <c r="D1610" s="6" t="s">
        <v>577</v>
      </c>
      <c r="E1610" s="83"/>
      <c r="H1610" t="s">
        <v>708</v>
      </c>
      <c r="I1610">
        <v>9.0477000000000007</v>
      </c>
      <c r="J1610" t="s">
        <v>709</v>
      </c>
      <c r="K1610" t="s">
        <v>708</v>
      </c>
      <c r="L1610" s="166">
        <f t="shared" si="126"/>
        <v>63.333900000000007</v>
      </c>
      <c r="M1610" s="127" t="s">
        <v>3377</v>
      </c>
    </row>
    <row r="1611" spans="1:13" x14ac:dyDescent="0.2">
      <c r="A1611" s="1217"/>
      <c r="B1611" s="166"/>
      <c r="E1611" s="83"/>
      <c r="H1611" t="s">
        <v>3378</v>
      </c>
      <c r="I1611" s="33">
        <v>3.5905399999999997E-5</v>
      </c>
      <c r="J1611" t="s">
        <v>704</v>
      </c>
      <c r="K1611" t="s">
        <v>3378</v>
      </c>
      <c r="L1611" s="166">
        <f t="shared" si="126"/>
        <v>2.5133779999999997E-4</v>
      </c>
      <c r="M1611" s="127" t="s">
        <v>3368</v>
      </c>
    </row>
    <row r="1612" spans="1:13" x14ac:dyDescent="0.2">
      <c r="A1612" s="1217"/>
      <c r="B1612" s="166"/>
      <c r="E1612" s="83"/>
      <c r="H1612" t="s">
        <v>710</v>
      </c>
      <c r="I1612" s="33">
        <v>1.7364199999999999E-7</v>
      </c>
      <c r="J1612" t="s">
        <v>3379</v>
      </c>
      <c r="K1612" t="s">
        <v>710</v>
      </c>
      <c r="L1612" s="166">
        <f t="shared" si="126"/>
        <v>1.2154939999999999E-6</v>
      </c>
      <c r="M1612" s="127" t="s">
        <v>3380</v>
      </c>
    </row>
    <row r="1613" spans="1:13" x14ac:dyDescent="0.2">
      <c r="A1613" s="1217"/>
      <c r="B1613" s="166"/>
      <c r="E1613" s="83"/>
      <c r="H1613" t="s">
        <v>3381</v>
      </c>
      <c r="I1613">
        <v>2.9360000000000001E-2</v>
      </c>
      <c r="J1613" t="s">
        <v>3382</v>
      </c>
      <c r="K1613" t="s">
        <v>3381</v>
      </c>
      <c r="L1613" s="166">
        <f t="shared" si="126"/>
        <v>0.20552000000000001</v>
      </c>
      <c r="M1613" s="127" t="s">
        <v>3383</v>
      </c>
    </row>
    <row r="1614" spans="1:13" x14ac:dyDescent="0.2">
      <c r="A1614" s="1217"/>
      <c r="B1614" s="166"/>
      <c r="E1614" s="83"/>
      <c r="H1614" t="s">
        <v>3384</v>
      </c>
      <c r="I1614">
        <v>0.84404000000000001</v>
      </c>
      <c r="J1614" t="s">
        <v>711</v>
      </c>
      <c r="K1614" t="s">
        <v>3384</v>
      </c>
      <c r="L1614" s="166">
        <f t="shared" si="126"/>
        <v>5.9082800000000004</v>
      </c>
      <c r="M1614" s="127" t="s">
        <v>3385</v>
      </c>
    </row>
    <row r="1615" spans="1:13" x14ac:dyDescent="0.2">
      <c r="A1615" s="1219"/>
      <c r="B1615" s="833"/>
      <c r="C1615" s="1102"/>
      <c r="D1615" s="118"/>
      <c r="E1615" s="1220"/>
      <c r="F1615" s="118"/>
      <c r="G1615" s="118"/>
      <c r="H1615" s="118"/>
      <c r="I1615" s="118"/>
      <c r="J1615" s="118"/>
      <c r="K1615" s="118"/>
      <c r="L1615" s="833"/>
      <c r="M1615" s="120"/>
    </row>
    <row r="1616" spans="1:13" ht="32" x14ac:dyDescent="0.2">
      <c r="A1616" s="1215" t="s">
        <v>714</v>
      </c>
      <c r="B1616" s="1231">
        <v>385315.63066688663</v>
      </c>
      <c r="C1616" s="1232" t="s">
        <v>717</v>
      </c>
      <c r="D1616" s="179" t="s">
        <v>577</v>
      </c>
      <c r="E1616" s="1216" t="s">
        <v>3404</v>
      </c>
      <c r="F1616" s="110">
        <v>1</v>
      </c>
      <c r="G1616" s="110" t="s">
        <v>378</v>
      </c>
      <c r="H1616" s="110"/>
      <c r="I1616" s="110"/>
      <c r="J1616" s="110"/>
      <c r="K1616" s="110"/>
      <c r="L1616" s="845"/>
      <c r="M1616" s="112"/>
    </row>
    <row r="1617" spans="1:13" x14ac:dyDescent="0.2">
      <c r="A1617" s="637"/>
      <c r="B1617" s="166"/>
      <c r="E1617" s="83"/>
      <c r="H1617" t="s">
        <v>701</v>
      </c>
      <c r="I1617">
        <v>7.5000000000000002E-4</v>
      </c>
      <c r="J1617" t="s">
        <v>702</v>
      </c>
      <c r="K1617" t="s">
        <v>701</v>
      </c>
      <c r="L1617" s="166">
        <f>I1617*B$1616</f>
        <v>288.986723000165</v>
      </c>
      <c r="M1617" s="127" t="s">
        <v>3367</v>
      </c>
    </row>
    <row r="1618" spans="1:13" x14ac:dyDescent="0.2">
      <c r="A1618" s="1217"/>
      <c r="B1618" s="166"/>
      <c r="E1618" s="83"/>
      <c r="H1618" t="s">
        <v>703</v>
      </c>
      <c r="I1618" s="33">
        <v>3.3111200000000002E-8</v>
      </c>
      <c r="J1618" t="s">
        <v>704</v>
      </c>
      <c r="K1618" t="s">
        <v>703</v>
      </c>
      <c r="L1618" s="166">
        <f t="shared" ref="L1618:L1626" si="127">I1618*B$1616</f>
        <v>1.2758262910137418E-2</v>
      </c>
      <c r="M1618" s="127" t="s">
        <v>3368</v>
      </c>
    </row>
    <row r="1619" spans="1:13" x14ac:dyDescent="0.2">
      <c r="A1619" s="1217"/>
      <c r="B1619" s="166"/>
      <c r="E1619" s="83"/>
      <c r="H1619" t="s">
        <v>705</v>
      </c>
      <c r="I1619">
        <v>4.1968100000000002</v>
      </c>
      <c r="J1619" t="s">
        <v>706</v>
      </c>
      <c r="K1619" t="s">
        <v>705</v>
      </c>
      <c r="L1619" s="166">
        <f t="shared" si="127"/>
        <v>1617096.4919390965</v>
      </c>
      <c r="M1619" s="127" t="s">
        <v>3370</v>
      </c>
    </row>
    <row r="1620" spans="1:13" x14ac:dyDescent="0.2">
      <c r="A1620" s="1217"/>
      <c r="B1620" s="166"/>
      <c r="E1620" s="83"/>
      <c r="H1620" t="s">
        <v>3372</v>
      </c>
      <c r="I1620">
        <v>3.2000000000000003E-4</v>
      </c>
      <c r="J1620" t="s">
        <v>3373</v>
      </c>
      <c r="K1620" t="s">
        <v>3372</v>
      </c>
      <c r="L1620" s="166">
        <f t="shared" si="127"/>
        <v>123.30100181340373</v>
      </c>
      <c r="M1620" s="127" t="s">
        <v>3374</v>
      </c>
    </row>
    <row r="1621" spans="1:13" x14ac:dyDescent="0.2">
      <c r="A1621" s="1217"/>
      <c r="B1621" s="166"/>
      <c r="E1621" s="83"/>
      <c r="H1621" t="s">
        <v>3375</v>
      </c>
      <c r="I1621">
        <v>5.2999999999999998E-4</v>
      </c>
      <c r="J1621" t="s">
        <v>707</v>
      </c>
      <c r="K1621" t="s">
        <v>3375</v>
      </c>
      <c r="L1621" s="166">
        <f t="shared" si="127"/>
        <v>204.21728425344992</v>
      </c>
      <c r="M1621" s="127" t="s">
        <v>3376</v>
      </c>
    </row>
    <row r="1622" spans="1:13" x14ac:dyDescent="0.2">
      <c r="A1622" s="1217"/>
      <c r="B1622" s="166"/>
      <c r="E1622" s="83"/>
      <c r="H1622" t="s">
        <v>708</v>
      </c>
      <c r="I1622">
        <v>0.39150000000000001</v>
      </c>
      <c r="J1622" t="s">
        <v>709</v>
      </c>
      <c r="K1622" t="s">
        <v>708</v>
      </c>
      <c r="L1622" s="166">
        <f t="shared" si="127"/>
        <v>150851.06940608611</v>
      </c>
      <c r="M1622" s="127" t="s">
        <v>3377</v>
      </c>
    </row>
    <row r="1623" spans="1:13" x14ac:dyDescent="0.2">
      <c r="A1623" s="1217"/>
      <c r="B1623" s="166"/>
      <c r="E1623" s="83"/>
      <c r="H1623" t="s">
        <v>3378</v>
      </c>
      <c r="I1623" s="33">
        <v>9.8849699999999999E-8</v>
      </c>
      <c r="J1623" t="s">
        <v>704</v>
      </c>
      <c r="K1623" t="s">
        <v>3378</v>
      </c>
      <c r="L1623" s="166">
        <f t="shared" si="127"/>
        <v>3.8088334496732545E-2</v>
      </c>
      <c r="M1623" s="127" t="s">
        <v>3368</v>
      </c>
    </row>
    <row r="1624" spans="1:13" x14ac:dyDescent="0.2">
      <c r="A1624" s="1217"/>
      <c r="B1624" s="166"/>
      <c r="E1624" s="83"/>
      <c r="H1624" t="s">
        <v>710</v>
      </c>
      <c r="I1624" s="33">
        <v>1.51061E-9</v>
      </c>
      <c r="J1624" t="s">
        <v>3379</v>
      </c>
      <c r="K1624" t="s">
        <v>710</v>
      </c>
      <c r="L1624" s="166">
        <f t="shared" si="127"/>
        <v>5.8206164484170557E-4</v>
      </c>
      <c r="M1624" s="127" t="s">
        <v>3380</v>
      </c>
    </row>
    <row r="1625" spans="1:13" x14ac:dyDescent="0.2">
      <c r="A1625" s="1217"/>
      <c r="B1625" s="166"/>
      <c r="E1625" s="83"/>
      <c r="H1625" t="s">
        <v>3381</v>
      </c>
      <c r="I1625">
        <v>1.01E-3</v>
      </c>
      <c r="J1625" t="s">
        <v>3382</v>
      </c>
      <c r="K1625" t="s">
        <v>3381</v>
      </c>
      <c r="L1625" s="166">
        <f t="shared" si="127"/>
        <v>389.16878697355554</v>
      </c>
      <c r="M1625" s="127" t="s">
        <v>3383</v>
      </c>
    </row>
    <row r="1626" spans="1:13" x14ac:dyDescent="0.2">
      <c r="A1626" s="1217"/>
      <c r="B1626" s="166"/>
      <c r="E1626" s="83"/>
      <c r="H1626" t="s">
        <v>3384</v>
      </c>
      <c r="I1626">
        <v>1.2200000000000001E-2</v>
      </c>
      <c r="J1626" t="s">
        <v>711</v>
      </c>
      <c r="K1626" t="s">
        <v>3384</v>
      </c>
      <c r="L1626" s="166">
        <f t="shared" si="127"/>
        <v>4700.8506941360174</v>
      </c>
      <c r="M1626" s="127" t="s">
        <v>3385</v>
      </c>
    </row>
    <row r="1627" spans="1:13" x14ac:dyDescent="0.2">
      <c r="A1627" s="1219"/>
      <c r="B1627" s="833"/>
      <c r="C1627" s="1102"/>
      <c r="D1627" s="118"/>
      <c r="E1627" s="1220"/>
      <c r="F1627" s="118"/>
      <c r="G1627" s="118"/>
      <c r="H1627" s="118"/>
      <c r="I1627" s="118"/>
      <c r="J1627" s="118"/>
      <c r="K1627" s="118"/>
      <c r="L1627" s="833"/>
      <c r="M1627" s="120"/>
    </row>
    <row r="1628" spans="1:13" ht="32" x14ac:dyDescent="0.2">
      <c r="A1628" s="1215" t="s">
        <v>2433</v>
      </c>
      <c r="B1628" s="845">
        <v>683167.51055093016</v>
      </c>
      <c r="C1628" s="1103" t="s">
        <v>2959</v>
      </c>
      <c r="D1628" s="110"/>
      <c r="E1628" s="1216" t="s">
        <v>3444</v>
      </c>
      <c r="F1628" s="110">
        <v>1</v>
      </c>
      <c r="G1628" s="110" t="s">
        <v>1</v>
      </c>
      <c r="H1628" s="110"/>
      <c r="I1628" s="110"/>
      <c r="J1628" s="110"/>
      <c r="K1628" s="110"/>
      <c r="L1628" s="845"/>
      <c r="M1628" s="112"/>
    </row>
    <row r="1629" spans="1:13" x14ac:dyDescent="0.2">
      <c r="A1629" s="1217"/>
      <c r="B1629" s="166">
        <v>309.88274995506225</v>
      </c>
      <c r="C1629" s="133" t="s">
        <v>3225</v>
      </c>
      <c r="E1629" s="83"/>
      <c r="H1629" t="s">
        <v>701</v>
      </c>
      <c r="I1629">
        <v>1.14E-3</v>
      </c>
      <c r="J1629" t="s">
        <v>702</v>
      </c>
      <c r="K1629" t="s">
        <v>701</v>
      </c>
      <c r="L1629" s="166">
        <f>I1629*B$1512</f>
        <v>5402.0798663736459</v>
      </c>
      <c r="M1629" s="127" t="s">
        <v>3367</v>
      </c>
    </row>
    <row r="1630" spans="1:13" x14ac:dyDescent="0.2">
      <c r="A1630" s="1217"/>
      <c r="B1630" s="1218">
        <f>B1629*30</f>
        <v>9296.482498651867</v>
      </c>
      <c r="C1630" s="1114" t="s">
        <v>3445</v>
      </c>
      <c r="D1630" s="6" t="s">
        <v>577</v>
      </c>
      <c r="E1630" s="83"/>
      <c r="H1630" t="s">
        <v>703</v>
      </c>
      <c r="I1630" s="33">
        <v>5.4967900000000001E-8</v>
      </c>
      <c r="J1630" t="s">
        <v>704</v>
      </c>
      <c r="K1630" t="s">
        <v>703</v>
      </c>
      <c r="L1630" s="166">
        <f t="shared" ref="L1630:L1638" si="128">I1630*B$1512</f>
        <v>0.26047454902354383</v>
      </c>
      <c r="M1630" s="127" t="s">
        <v>3368</v>
      </c>
    </row>
    <row r="1631" spans="1:13" x14ac:dyDescent="0.2">
      <c r="A1631" s="1217"/>
      <c r="B1631" s="166"/>
      <c r="E1631" s="83"/>
      <c r="H1631" t="s">
        <v>705</v>
      </c>
      <c r="I1631">
        <v>9.5996699999999997</v>
      </c>
      <c r="J1631" t="s">
        <v>706</v>
      </c>
      <c r="K1631" t="s">
        <v>705</v>
      </c>
      <c r="L1631" s="166">
        <f t="shared" si="128"/>
        <v>45489635.114764124</v>
      </c>
      <c r="M1631" s="127" t="s">
        <v>3370</v>
      </c>
    </row>
    <row r="1632" spans="1:13" x14ac:dyDescent="0.2">
      <c r="A1632" s="1217"/>
      <c r="B1632" s="166"/>
      <c r="E1632" s="83"/>
      <c r="H1632" t="s">
        <v>3372</v>
      </c>
      <c r="I1632">
        <v>2.3600000000000001E-3</v>
      </c>
      <c r="J1632" t="s">
        <v>3373</v>
      </c>
      <c r="K1632" t="s">
        <v>3372</v>
      </c>
      <c r="L1632" s="166">
        <f t="shared" si="128"/>
        <v>11183.253056703339</v>
      </c>
      <c r="M1632" s="127" t="s">
        <v>3374</v>
      </c>
    </row>
    <row r="1633" spans="1:13" x14ac:dyDescent="0.2">
      <c r="A1633" s="1217"/>
      <c r="B1633" s="166"/>
      <c r="E1633" s="83"/>
      <c r="H1633" t="s">
        <v>3375</v>
      </c>
      <c r="I1633">
        <v>7.0000000000000001E-3</v>
      </c>
      <c r="J1633" t="s">
        <v>707</v>
      </c>
      <c r="K1633" t="s">
        <v>3375</v>
      </c>
      <c r="L1633" s="166">
        <f t="shared" si="128"/>
        <v>33170.66584615397</v>
      </c>
      <c r="M1633" s="127" t="s">
        <v>3376</v>
      </c>
    </row>
    <row r="1634" spans="1:13" x14ac:dyDescent="0.2">
      <c r="A1634" s="1217"/>
      <c r="B1634" s="166"/>
      <c r="E1634" s="83"/>
      <c r="H1634" t="s">
        <v>708</v>
      </c>
      <c r="I1634">
        <v>0.20222999999999999</v>
      </c>
      <c r="J1634" t="s">
        <v>709</v>
      </c>
      <c r="K1634" t="s">
        <v>708</v>
      </c>
      <c r="L1634" s="166">
        <f t="shared" si="128"/>
        <v>958300.53629538813</v>
      </c>
      <c r="M1634" s="127" t="s">
        <v>3377</v>
      </c>
    </row>
    <row r="1635" spans="1:13" x14ac:dyDescent="0.2">
      <c r="A1635" s="1217"/>
      <c r="B1635" s="166"/>
      <c r="E1635" s="83"/>
      <c r="H1635" t="s">
        <v>3378</v>
      </c>
      <c r="I1635" s="33">
        <v>5.2573200000000002E-6</v>
      </c>
      <c r="J1635" t="s">
        <v>704</v>
      </c>
      <c r="K1635" t="s">
        <v>3378</v>
      </c>
      <c r="L1635" s="166">
        <f t="shared" si="128"/>
        <v>24.912686423757457</v>
      </c>
      <c r="M1635" s="127" t="s">
        <v>3368</v>
      </c>
    </row>
    <row r="1636" spans="1:13" x14ac:dyDescent="0.2">
      <c r="A1636" s="1217"/>
      <c r="B1636" s="166"/>
      <c r="E1636" s="83"/>
      <c r="H1636" t="s">
        <v>710</v>
      </c>
      <c r="I1636" s="33">
        <v>1.8080899999999999E-9</v>
      </c>
      <c r="J1636" t="s">
        <v>3379</v>
      </c>
      <c r="K1636" t="s">
        <v>710</v>
      </c>
      <c r="L1636" s="166">
        <f t="shared" si="128"/>
        <v>8.5679356013960758E-3</v>
      </c>
      <c r="M1636" s="127" t="s">
        <v>3380</v>
      </c>
    </row>
    <row r="1637" spans="1:13" x14ac:dyDescent="0.2">
      <c r="A1637" s="1217"/>
      <c r="B1637" s="166"/>
      <c r="E1637" s="83"/>
      <c r="H1637" t="s">
        <v>3381</v>
      </c>
      <c r="I1637">
        <v>1.4999999999999999E-4</v>
      </c>
      <c r="J1637" t="s">
        <v>3382</v>
      </c>
      <c r="K1637" t="s">
        <v>3381</v>
      </c>
      <c r="L1637" s="166">
        <f t="shared" si="128"/>
        <v>710.79998241758494</v>
      </c>
      <c r="M1637" s="127" t="s">
        <v>3383</v>
      </c>
    </row>
    <row r="1638" spans="1:13" x14ac:dyDescent="0.2">
      <c r="A1638" s="1217"/>
      <c r="B1638" s="166"/>
      <c r="E1638" s="83"/>
      <c r="H1638" t="s">
        <v>3384</v>
      </c>
      <c r="I1638">
        <v>1.456E-2</v>
      </c>
      <c r="J1638" t="s">
        <v>711</v>
      </c>
      <c r="K1638" t="s">
        <v>3384</v>
      </c>
      <c r="L1638" s="166">
        <f t="shared" si="128"/>
        <v>68994.984960000249</v>
      </c>
      <c r="M1638" s="127" t="s">
        <v>3385</v>
      </c>
    </row>
    <row r="1639" spans="1:13" x14ac:dyDescent="0.2">
      <c r="A1639" s="1219"/>
      <c r="B1639" s="833"/>
      <c r="C1639" s="1102"/>
      <c r="D1639" s="118"/>
      <c r="E1639" s="1220"/>
      <c r="F1639" s="118"/>
      <c r="G1639" s="118"/>
      <c r="H1639" s="118"/>
      <c r="I1639" s="118"/>
      <c r="J1639" s="118"/>
      <c r="K1639" s="118"/>
      <c r="L1639" s="833"/>
      <c r="M1639" s="120"/>
    </row>
    <row r="1640" spans="1:13" ht="16" x14ac:dyDescent="0.2">
      <c r="A1640" s="1215" t="s">
        <v>3449</v>
      </c>
      <c r="B1640" s="1231">
        <v>1.1552920343787667</v>
      </c>
      <c r="C1640" s="1232" t="s">
        <v>3414</v>
      </c>
      <c r="D1640" s="179" t="s">
        <v>577</v>
      </c>
      <c r="E1640" s="1216" t="s">
        <v>3450</v>
      </c>
      <c r="F1640" s="110">
        <v>1</v>
      </c>
      <c r="G1640" s="110" t="s">
        <v>15</v>
      </c>
      <c r="H1640" s="110"/>
      <c r="I1640" s="110"/>
      <c r="J1640" s="110"/>
      <c r="K1640" s="110"/>
      <c r="L1640" s="845"/>
      <c r="M1640" s="112"/>
    </row>
    <row r="1641" spans="1:13" ht="16" x14ac:dyDescent="0.2">
      <c r="A1641" s="1217"/>
      <c r="B1641" s="166"/>
      <c r="E1641" s="83" t="s">
        <v>3451</v>
      </c>
      <c r="H1641" t="s">
        <v>701</v>
      </c>
      <c r="I1641">
        <v>2.5499999999999998E-2</v>
      </c>
      <c r="J1641" t="s">
        <v>702</v>
      </c>
      <c r="K1641" t="s">
        <v>701</v>
      </c>
      <c r="L1641" s="166">
        <f>I1641*B$1640</f>
        <v>2.9459946876658549E-2</v>
      </c>
      <c r="M1641" s="127" t="s">
        <v>3367</v>
      </c>
    </row>
    <row r="1642" spans="1:13" x14ac:dyDescent="0.2">
      <c r="A1642" s="1217"/>
      <c r="B1642" s="166"/>
      <c r="E1642" s="83"/>
      <c r="H1642" t="s">
        <v>703</v>
      </c>
      <c r="I1642" s="33">
        <v>4.2864299999999998E-7</v>
      </c>
      <c r="J1642" t="s">
        <v>704</v>
      </c>
      <c r="K1642" t="s">
        <v>703</v>
      </c>
      <c r="L1642" s="166">
        <f t="shared" ref="L1642:L1650" si="129">I1642*B$1640</f>
        <v>4.9520784349221763E-7</v>
      </c>
      <c r="M1642" s="127" t="s">
        <v>3368</v>
      </c>
    </row>
    <row r="1643" spans="1:13" x14ac:dyDescent="0.2">
      <c r="A1643" s="1217"/>
      <c r="B1643" s="166"/>
      <c r="E1643" s="83"/>
      <c r="H1643" t="s">
        <v>705</v>
      </c>
      <c r="I1643">
        <v>70.106470000000002</v>
      </c>
      <c r="J1643" t="s">
        <v>706</v>
      </c>
      <c r="K1643" t="s">
        <v>705</v>
      </c>
      <c r="L1643" s="166">
        <f t="shared" si="129"/>
        <v>80.993446349413972</v>
      </c>
      <c r="M1643" s="127" t="s">
        <v>3370</v>
      </c>
    </row>
    <row r="1644" spans="1:13" x14ac:dyDescent="0.2">
      <c r="A1644" s="1217"/>
      <c r="B1644" s="166"/>
      <c r="E1644" s="83"/>
      <c r="H1644" t="s">
        <v>3372</v>
      </c>
      <c r="I1644">
        <v>2.0699999999999998E-3</v>
      </c>
      <c r="J1644" t="s">
        <v>3373</v>
      </c>
      <c r="K1644" t="s">
        <v>3372</v>
      </c>
      <c r="L1644" s="166">
        <f t="shared" si="129"/>
        <v>2.3914545111640467E-3</v>
      </c>
      <c r="M1644" s="127" t="s">
        <v>3374</v>
      </c>
    </row>
    <row r="1645" spans="1:13" x14ac:dyDescent="0.2">
      <c r="A1645" s="1217"/>
      <c r="B1645" s="166"/>
      <c r="E1645" s="83"/>
      <c r="H1645" t="s">
        <v>3375</v>
      </c>
      <c r="I1645">
        <v>1.5100000000000001E-2</v>
      </c>
      <c r="J1645" t="s">
        <v>707</v>
      </c>
      <c r="K1645" t="s">
        <v>3375</v>
      </c>
      <c r="L1645" s="166">
        <f t="shared" si="129"/>
        <v>1.7444909719119377E-2</v>
      </c>
      <c r="M1645" s="127" t="s">
        <v>3376</v>
      </c>
    </row>
    <row r="1646" spans="1:13" x14ac:dyDescent="0.2">
      <c r="A1646" s="1217"/>
      <c r="B1646" s="166"/>
      <c r="E1646" s="83"/>
      <c r="H1646" t="s">
        <v>708</v>
      </c>
      <c r="I1646">
        <v>4.0893300000000004</v>
      </c>
      <c r="J1646" t="s">
        <v>709</v>
      </c>
      <c r="K1646" t="s">
        <v>708</v>
      </c>
      <c r="L1646" s="166">
        <f t="shared" si="129"/>
        <v>4.7243703749461226</v>
      </c>
      <c r="M1646" s="127" t="s">
        <v>3377</v>
      </c>
    </row>
    <row r="1647" spans="1:13" x14ac:dyDescent="0.2">
      <c r="A1647" s="1217"/>
      <c r="B1647" s="166"/>
      <c r="E1647" s="83"/>
      <c r="H1647" t="s">
        <v>3378</v>
      </c>
      <c r="I1647" s="33">
        <v>1.37386E-6</v>
      </c>
      <c r="J1647" t="s">
        <v>704</v>
      </c>
      <c r="K1647" t="s">
        <v>3378</v>
      </c>
      <c r="L1647" s="166">
        <f t="shared" si="129"/>
        <v>1.5872095143516125E-6</v>
      </c>
      <c r="M1647" s="127" t="s">
        <v>3368</v>
      </c>
    </row>
    <row r="1648" spans="1:13" x14ac:dyDescent="0.2">
      <c r="A1648" s="1217"/>
      <c r="B1648" s="166"/>
      <c r="E1648" s="83"/>
      <c r="H1648" t="s">
        <v>710</v>
      </c>
      <c r="I1648" s="33">
        <v>1.10259E-6</v>
      </c>
      <c r="J1648" t="s">
        <v>3379</v>
      </c>
      <c r="K1648" t="s">
        <v>710</v>
      </c>
      <c r="L1648" s="166">
        <f t="shared" si="129"/>
        <v>1.2738134441856843E-6</v>
      </c>
      <c r="M1648" s="127" t="s">
        <v>3380</v>
      </c>
    </row>
    <row r="1649" spans="1:15" x14ac:dyDescent="0.2">
      <c r="A1649" s="1217"/>
      <c r="B1649" s="166"/>
      <c r="E1649" s="83"/>
      <c r="H1649" t="s">
        <v>3381</v>
      </c>
      <c r="I1649">
        <v>4.2599999999999999E-3</v>
      </c>
      <c r="J1649" t="s">
        <v>3382</v>
      </c>
      <c r="K1649" t="s">
        <v>3381</v>
      </c>
      <c r="L1649" s="166">
        <f t="shared" si="129"/>
        <v>4.9215440664535457E-3</v>
      </c>
      <c r="M1649" s="127" t="s">
        <v>3383</v>
      </c>
    </row>
    <row r="1650" spans="1:15" x14ac:dyDescent="0.2">
      <c r="A1650" s="1217"/>
      <c r="B1650" s="166"/>
      <c r="E1650" s="83"/>
      <c r="H1650" t="s">
        <v>3384</v>
      </c>
      <c r="I1650">
        <v>0.36064000000000002</v>
      </c>
      <c r="J1650" t="s">
        <v>711</v>
      </c>
      <c r="K1650" t="s">
        <v>3384</v>
      </c>
      <c r="L1650" s="166">
        <f t="shared" si="129"/>
        <v>0.41664451927835844</v>
      </c>
      <c r="M1650" s="127" t="s">
        <v>3385</v>
      </c>
    </row>
    <row r="1651" spans="1:15" x14ac:dyDescent="0.2">
      <c r="A1651" s="1219"/>
      <c r="B1651" s="833"/>
      <c r="C1651" s="1102"/>
      <c r="D1651" s="118"/>
      <c r="E1651" s="1220"/>
      <c r="F1651" s="118"/>
      <c r="G1651" s="118"/>
      <c r="H1651" s="118"/>
      <c r="I1651" s="118"/>
      <c r="J1651" s="118"/>
      <c r="K1651" s="118"/>
      <c r="L1651" s="833"/>
      <c r="M1651" s="120"/>
    </row>
    <row r="1654" spans="1:15" ht="16" thickBot="1" x14ac:dyDescent="0.25"/>
    <row r="1655" spans="1:15" x14ac:dyDescent="0.2">
      <c r="A1655" s="1783" t="s">
        <v>1417</v>
      </c>
      <c r="B1655" s="1784"/>
      <c r="C1655" s="1784"/>
      <c r="D1655" s="1784"/>
      <c r="E1655" s="1784"/>
      <c r="F1655" s="1784"/>
      <c r="G1655" s="1784"/>
      <c r="H1655" s="1784"/>
      <c r="I1655" s="1784"/>
      <c r="J1655" s="1784"/>
      <c r="K1655" s="1784"/>
      <c r="L1655" s="1784"/>
      <c r="M1655" s="1784"/>
      <c r="N1655" s="1784"/>
      <c r="O1655" s="1785"/>
    </row>
    <row r="1656" spans="1:15" ht="16" thickBot="1" x14ac:dyDescent="0.25">
      <c r="A1656" s="1786"/>
      <c r="B1656" s="1787"/>
      <c r="C1656" s="1787"/>
      <c r="D1656" s="1787"/>
      <c r="E1656" s="1787"/>
      <c r="F1656" s="1787"/>
      <c r="G1656" s="1787"/>
      <c r="H1656" s="1787"/>
      <c r="I1656" s="1787"/>
      <c r="J1656" s="1787"/>
      <c r="K1656" s="1787"/>
      <c r="L1656" s="1787"/>
      <c r="M1656" s="1787"/>
      <c r="N1656" s="1787"/>
      <c r="O1656" s="1788"/>
    </row>
    <row r="1657" spans="1:15" s="6" customFormat="1" x14ac:dyDescent="0.2">
      <c r="A1657" s="1920" t="s">
        <v>697</v>
      </c>
      <c r="B1657" s="1515" t="s">
        <v>698</v>
      </c>
      <c r="C1657" s="1515"/>
      <c r="D1657" s="1515"/>
      <c r="E1657" s="1921" t="s">
        <v>3362</v>
      </c>
      <c r="F1657" s="1515" t="s">
        <v>699</v>
      </c>
      <c r="G1657" s="1515"/>
      <c r="H1657" s="1515" t="s">
        <v>3363</v>
      </c>
      <c r="I1657" s="1515"/>
      <c r="J1657" s="1515"/>
      <c r="K1657" s="1515" t="s">
        <v>700</v>
      </c>
      <c r="L1657" s="1515"/>
      <c r="M1657" s="1515"/>
    </row>
    <row r="1658" spans="1:15" s="6" customFormat="1" ht="15.75" customHeight="1" x14ac:dyDescent="0.2">
      <c r="A1658" s="1520"/>
      <c r="B1658" s="1214" t="s">
        <v>515</v>
      </c>
      <c r="C1658" s="969" t="s">
        <v>372</v>
      </c>
      <c r="D1658" s="969" t="s">
        <v>583</v>
      </c>
      <c r="E1658" s="1922"/>
      <c r="F1658" s="969" t="s">
        <v>42</v>
      </c>
      <c r="G1658" s="969" t="s">
        <v>372</v>
      </c>
      <c r="H1658" s="29" t="s">
        <v>697</v>
      </c>
      <c r="I1658" s="969" t="s">
        <v>42</v>
      </c>
      <c r="J1658" s="969" t="s">
        <v>372</v>
      </c>
      <c r="K1658" s="969" t="s">
        <v>697</v>
      </c>
      <c r="L1658" s="1214" t="s">
        <v>42</v>
      </c>
      <c r="M1658" s="969" t="s">
        <v>372</v>
      </c>
    </row>
    <row r="1659" spans="1:15" ht="16" x14ac:dyDescent="0.2">
      <c r="A1659" s="486" t="s">
        <v>2379</v>
      </c>
      <c r="B1659" s="845">
        <v>1875.4740817837121</v>
      </c>
      <c r="C1659" s="1159" t="s">
        <v>267</v>
      </c>
      <c r="D1659" s="1229">
        <v>3</v>
      </c>
      <c r="E1659" s="159" t="s">
        <v>3400</v>
      </c>
      <c r="F1659" s="110">
        <v>1</v>
      </c>
      <c r="G1659" s="110" t="s">
        <v>1</v>
      </c>
      <c r="H1659" s="110"/>
      <c r="I1659" s="110"/>
      <c r="J1659" s="110"/>
      <c r="K1659" s="110"/>
      <c r="L1659" s="845"/>
      <c r="M1659" s="112"/>
    </row>
    <row r="1660" spans="1:15" x14ac:dyDescent="0.2">
      <c r="A1660" s="1217"/>
      <c r="B1660" s="166">
        <f>B1659*10/1000</f>
        <v>18.754740817837124</v>
      </c>
      <c r="C1660" s="133" t="s">
        <v>1</v>
      </c>
      <c r="E1660" s="83"/>
      <c r="H1660" t="s">
        <v>701</v>
      </c>
      <c r="I1660">
        <v>7.5000000000000002E-4</v>
      </c>
      <c r="J1660" t="s">
        <v>702</v>
      </c>
      <c r="K1660" t="s">
        <v>701</v>
      </c>
      <c r="L1660" s="166">
        <f>I1660*B$1661</f>
        <v>4.2198166840133527E-2</v>
      </c>
      <c r="M1660" s="127" t="s">
        <v>3367</v>
      </c>
    </row>
    <row r="1661" spans="1:15" x14ac:dyDescent="0.2">
      <c r="A1661" s="1217"/>
      <c r="B1661" s="1218">
        <f>B1660*D1659</f>
        <v>56.264222453511373</v>
      </c>
      <c r="C1661" s="1114" t="s">
        <v>1</v>
      </c>
      <c r="D1661" s="6" t="s">
        <v>577</v>
      </c>
      <c r="E1661" s="83"/>
      <c r="H1661" t="s">
        <v>703</v>
      </c>
      <c r="I1661" s="33">
        <v>3.3111200000000002E-8</v>
      </c>
      <c r="J1661" t="s">
        <v>704</v>
      </c>
      <c r="K1661" t="s">
        <v>703</v>
      </c>
      <c r="L1661" s="166">
        <f t="shared" ref="L1661:L1669" si="130">I1661*B$1661</f>
        <v>1.8629759225027059E-6</v>
      </c>
      <c r="M1661" s="127" t="s">
        <v>3368</v>
      </c>
    </row>
    <row r="1662" spans="1:15" x14ac:dyDescent="0.2">
      <c r="A1662" s="1217"/>
      <c r="B1662" s="166"/>
      <c r="E1662" s="83"/>
      <c r="H1662" t="s">
        <v>705</v>
      </c>
      <c r="I1662">
        <v>4.1968100000000002</v>
      </c>
      <c r="J1662" t="s">
        <v>706</v>
      </c>
      <c r="K1662" t="s">
        <v>705</v>
      </c>
      <c r="L1662" s="166">
        <f t="shared" si="130"/>
        <v>236.13025143512107</v>
      </c>
      <c r="M1662" s="127" t="s">
        <v>3370</v>
      </c>
    </row>
    <row r="1663" spans="1:15" x14ac:dyDescent="0.2">
      <c r="A1663" s="1217"/>
      <c r="B1663" s="166"/>
      <c r="E1663" s="83"/>
      <c r="H1663" t="s">
        <v>3372</v>
      </c>
      <c r="I1663">
        <v>3.2000000000000003E-4</v>
      </c>
      <c r="J1663" t="s">
        <v>3373</v>
      </c>
      <c r="K1663" t="s">
        <v>3372</v>
      </c>
      <c r="L1663" s="166">
        <f t="shared" si="130"/>
        <v>1.8004551185123639E-2</v>
      </c>
      <c r="M1663" s="127" t="s">
        <v>3374</v>
      </c>
    </row>
    <row r="1664" spans="1:15" x14ac:dyDescent="0.2">
      <c r="A1664" s="1217"/>
      <c r="B1664" s="166"/>
      <c r="E1664" s="83"/>
      <c r="H1664" t="s">
        <v>3375</v>
      </c>
      <c r="I1664">
        <v>5.2999999999999998E-4</v>
      </c>
      <c r="J1664" t="s">
        <v>707</v>
      </c>
      <c r="K1664" t="s">
        <v>3375</v>
      </c>
      <c r="L1664" s="166">
        <f t="shared" si="130"/>
        <v>2.9820037900361026E-2</v>
      </c>
      <c r="M1664" s="127" t="s">
        <v>3376</v>
      </c>
    </row>
    <row r="1665" spans="1:13" x14ac:dyDescent="0.2">
      <c r="A1665" s="1217"/>
      <c r="B1665" s="166"/>
      <c r="E1665" s="83"/>
      <c r="H1665" t="s">
        <v>708</v>
      </c>
      <c r="I1665">
        <v>0.39150000000000001</v>
      </c>
      <c r="J1665" t="s">
        <v>709</v>
      </c>
      <c r="K1665" t="s">
        <v>708</v>
      </c>
      <c r="L1665" s="166">
        <f t="shared" si="130"/>
        <v>22.027443090549703</v>
      </c>
      <c r="M1665" s="127" t="s">
        <v>3377</v>
      </c>
    </row>
    <row r="1666" spans="1:13" x14ac:dyDescent="0.2">
      <c r="A1666" s="1217"/>
      <c r="B1666" s="166"/>
      <c r="E1666" s="83"/>
      <c r="H1666" t="s">
        <v>3378</v>
      </c>
      <c r="I1666" s="33">
        <v>9.8849699999999999E-8</v>
      </c>
      <c r="J1666" t="s">
        <v>704</v>
      </c>
      <c r="K1666" t="s">
        <v>3378</v>
      </c>
      <c r="L1666" s="166">
        <f t="shared" si="130"/>
        <v>5.5617015102628634E-6</v>
      </c>
      <c r="M1666" s="127" t="s">
        <v>3368</v>
      </c>
    </row>
    <row r="1667" spans="1:13" x14ac:dyDescent="0.2">
      <c r="A1667" s="1217"/>
      <c r="B1667" s="166"/>
      <c r="E1667" s="83"/>
      <c r="H1667" t="s">
        <v>710</v>
      </c>
      <c r="I1667" s="33">
        <v>1.51061E-9</v>
      </c>
      <c r="J1667" t="s">
        <v>3379</v>
      </c>
      <c r="K1667" t="s">
        <v>710</v>
      </c>
      <c r="L1667" s="166">
        <f t="shared" si="130"/>
        <v>8.4993297080498813E-8</v>
      </c>
      <c r="M1667" s="127" t="s">
        <v>3380</v>
      </c>
    </row>
    <row r="1668" spans="1:13" x14ac:dyDescent="0.2">
      <c r="A1668" s="1217"/>
      <c r="B1668" s="166"/>
      <c r="E1668" s="83"/>
      <c r="H1668" t="s">
        <v>3381</v>
      </c>
      <c r="I1668">
        <v>1.01E-3</v>
      </c>
      <c r="J1668" t="s">
        <v>3382</v>
      </c>
      <c r="K1668" t="s">
        <v>3381</v>
      </c>
      <c r="L1668" s="166">
        <f t="shared" si="130"/>
        <v>5.6826864678046492E-2</v>
      </c>
      <c r="M1668" s="127" t="s">
        <v>3383</v>
      </c>
    </row>
    <row r="1669" spans="1:13" x14ac:dyDescent="0.2">
      <c r="A1669" s="1217"/>
      <c r="B1669" s="166"/>
      <c r="E1669" s="83"/>
      <c r="H1669" t="s">
        <v>3384</v>
      </c>
      <c r="I1669">
        <v>1.2200000000000001E-2</v>
      </c>
      <c r="J1669" t="s">
        <v>711</v>
      </c>
      <c r="K1669" t="s">
        <v>3384</v>
      </c>
      <c r="L1669" s="166">
        <f t="shared" si="130"/>
        <v>0.68642351393283874</v>
      </c>
      <c r="M1669" s="127" t="s">
        <v>3385</v>
      </c>
    </row>
    <row r="1670" spans="1:13" x14ac:dyDescent="0.2">
      <c r="A1670" s="1219"/>
      <c r="B1670" s="833"/>
      <c r="C1670" s="1102"/>
      <c r="D1670" s="118"/>
      <c r="E1670" s="1220"/>
      <c r="F1670" s="118"/>
      <c r="G1670" s="118"/>
      <c r="H1670" s="118"/>
      <c r="I1670" s="118"/>
      <c r="J1670" s="118"/>
      <c r="K1670" s="118"/>
      <c r="L1670" s="833"/>
      <c r="M1670" s="120"/>
    </row>
    <row r="1671" spans="1:13" ht="16" x14ac:dyDescent="0.2">
      <c r="A1671" s="486" t="s">
        <v>1223</v>
      </c>
      <c r="B1671" s="845">
        <v>1875.4740817837121</v>
      </c>
      <c r="C1671" s="1159" t="s">
        <v>267</v>
      </c>
      <c r="D1671" s="1229">
        <v>3</v>
      </c>
      <c r="E1671" s="1216" t="s">
        <v>3388</v>
      </c>
      <c r="F1671" s="110"/>
      <c r="G1671" s="110"/>
      <c r="H1671" s="110"/>
      <c r="I1671" s="110"/>
      <c r="J1671" s="110"/>
      <c r="K1671" s="110"/>
      <c r="L1671" s="845"/>
      <c r="M1671" s="112"/>
    </row>
    <row r="1672" spans="1:13" x14ac:dyDescent="0.2">
      <c r="A1672" s="1217"/>
      <c r="B1672" s="166">
        <f>B1671/1000</f>
        <v>1.8754740817837121</v>
      </c>
      <c r="C1672" s="133" t="s">
        <v>444</v>
      </c>
      <c r="F1672">
        <v>1</v>
      </c>
      <c r="G1672" t="s">
        <v>713</v>
      </c>
      <c r="H1672" t="s">
        <v>701</v>
      </c>
      <c r="I1672">
        <v>0.14229</v>
      </c>
      <c r="J1672" t="s">
        <v>702</v>
      </c>
      <c r="K1672" t="s">
        <v>701</v>
      </c>
      <c r="L1672" s="166">
        <f>I1672*B$1677</f>
        <v>0.71145000000000003</v>
      </c>
      <c r="M1672" s="127" t="s">
        <v>3367</v>
      </c>
    </row>
    <row r="1673" spans="1:13" x14ac:dyDescent="0.2">
      <c r="A1673" s="1217"/>
      <c r="B1673" s="166">
        <v>20</v>
      </c>
      <c r="C1673" s="133" t="s">
        <v>10</v>
      </c>
      <c r="D1673" t="s">
        <v>3390</v>
      </c>
      <c r="E1673" s="83"/>
      <c r="F1673">
        <v>40</v>
      </c>
      <c r="G1673" t="s">
        <v>12</v>
      </c>
      <c r="H1673" t="s">
        <v>703</v>
      </c>
      <c r="I1673" s="33">
        <v>2.2291000000000001E-5</v>
      </c>
      <c r="J1673" t="s">
        <v>704</v>
      </c>
      <c r="K1673" t="s">
        <v>703</v>
      </c>
      <c r="L1673" s="166">
        <f t="shared" ref="L1673:L1681" si="131">I1673*B$1677</f>
        <v>1.11455E-4</v>
      </c>
      <c r="M1673" s="127" t="s">
        <v>3368</v>
      </c>
    </row>
    <row r="1674" spans="1:13" x14ac:dyDescent="0.2">
      <c r="A1674" s="1217"/>
      <c r="B1674" s="166">
        <v>0.7</v>
      </c>
      <c r="D1674" s="24" t="s">
        <v>3391</v>
      </c>
      <c r="E1674" s="83"/>
      <c r="H1674" t="s">
        <v>705</v>
      </c>
      <c r="I1674">
        <v>3203.5834399999999</v>
      </c>
      <c r="J1674" t="s">
        <v>706</v>
      </c>
      <c r="K1674" t="s">
        <v>705</v>
      </c>
      <c r="L1674" s="166">
        <f t="shared" si="131"/>
        <v>16017.9172</v>
      </c>
      <c r="M1674" s="127" t="s">
        <v>3370</v>
      </c>
    </row>
    <row r="1675" spans="1:13" x14ac:dyDescent="0.2">
      <c r="A1675" s="1217"/>
      <c r="B1675" s="166">
        <f>B1672*B1673/B1674</f>
        <v>53.584973765248918</v>
      </c>
      <c r="C1675" s="133" t="s">
        <v>12</v>
      </c>
      <c r="D1675" s="6"/>
      <c r="E1675" s="83"/>
      <c r="H1675" t="s">
        <v>3372</v>
      </c>
      <c r="I1675">
        <v>1.278E-2</v>
      </c>
      <c r="J1675" t="s">
        <v>3373</v>
      </c>
      <c r="K1675" t="s">
        <v>3372</v>
      </c>
      <c r="L1675" s="166">
        <f t="shared" si="131"/>
        <v>6.3899999999999998E-2</v>
      </c>
      <c r="M1675" s="127" t="s">
        <v>3374</v>
      </c>
    </row>
    <row r="1676" spans="1:13" x14ac:dyDescent="0.2">
      <c r="A1676" s="1217"/>
      <c r="B1676" s="166">
        <f>B1675*D1671</f>
        <v>160.75492129574675</v>
      </c>
      <c r="C1676" s="133" t="s">
        <v>12</v>
      </c>
      <c r="E1676" s="83"/>
      <c r="H1676" t="s">
        <v>3375</v>
      </c>
      <c r="I1676">
        <v>3.7339999999999998E-2</v>
      </c>
      <c r="J1676" t="s">
        <v>707</v>
      </c>
      <c r="K1676" t="s">
        <v>3375</v>
      </c>
      <c r="L1676" s="166">
        <f t="shared" si="131"/>
        <v>0.18669999999999998</v>
      </c>
      <c r="M1676" s="127" t="s">
        <v>3376</v>
      </c>
    </row>
    <row r="1677" spans="1:13" x14ac:dyDescent="0.2">
      <c r="A1677" s="1217"/>
      <c r="B1677" s="1218">
        <f>ROUNDUP(B1676/F1673,0)</f>
        <v>5</v>
      </c>
      <c r="C1677" s="1114" t="s">
        <v>3392</v>
      </c>
      <c r="D1677" s="6" t="s">
        <v>577</v>
      </c>
      <c r="E1677" s="83"/>
      <c r="H1677" t="s">
        <v>708</v>
      </c>
      <c r="I1677">
        <v>9.0477000000000007</v>
      </c>
      <c r="J1677" t="s">
        <v>709</v>
      </c>
      <c r="K1677" t="s">
        <v>708</v>
      </c>
      <c r="L1677" s="166">
        <f t="shared" si="131"/>
        <v>45.238500000000002</v>
      </c>
      <c r="M1677" s="127" t="s">
        <v>3377</v>
      </c>
    </row>
    <row r="1678" spans="1:13" x14ac:dyDescent="0.2">
      <c r="A1678" s="1217"/>
      <c r="B1678" s="166"/>
      <c r="E1678" s="83"/>
      <c r="H1678" t="s">
        <v>3378</v>
      </c>
      <c r="I1678" s="33">
        <v>3.5905399999999997E-5</v>
      </c>
      <c r="J1678" t="s">
        <v>704</v>
      </c>
      <c r="K1678" t="s">
        <v>3378</v>
      </c>
      <c r="L1678" s="166">
        <f t="shared" si="131"/>
        <v>1.7952699999999999E-4</v>
      </c>
      <c r="M1678" s="127" t="s">
        <v>3368</v>
      </c>
    </row>
    <row r="1679" spans="1:13" x14ac:dyDescent="0.2">
      <c r="A1679" s="1217"/>
      <c r="B1679" s="166"/>
      <c r="E1679" s="83"/>
      <c r="H1679" t="s">
        <v>710</v>
      </c>
      <c r="I1679" s="33">
        <v>1.7364199999999999E-7</v>
      </c>
      <c r="J1679" t="s">
        <v>3379</v>
      </c>
      <c r="K1679" t="s">
        <v>710</v>
      </c>
      <c r="L1679" s="166">
        <f t="shared" si="131"/>
        <v>8.6820999999999996E-7</v>
      </c>
      <c r="M1679" s="127" t="s">
        <v>3380</v>
      </c>
    </row>
    <row r="1680" spans="1:13" x14ac:dyDescent="0.2">
      <c r="A1680" s="1217"/>
      <c r="B1680" s="166"/>
      <c r="E1680" s="83"/>
      <c r="H1680" t="s">
        <v>3381</v>
      </c>
      <c r="I1680">
        <v>2.9360000000000001E-2</v>
      </c>
      <c r="J1680" t="s">
        <v>3382</v>
      </c>
      <c r="K1680" t="s">
        <v>3381</v>
      </c>
      <c r="L1680" s="166">
        <f t="shared" si="131"/>
        <v>0.14680000000000001</v>
      </c>
      <c r="M1680" s="127" t="s">
        <v>3383</v>
      </c>
    </row>
    <row r="1681" spans="1:13" x14ac:dyDescent="0.2">
      <c r="A1681" s="1217"/>
      <c r="B1681" s="166"/>
      <c r="E1681" s="83"/>
      <c r="H1681" t="s">
        <v>3384</v>
      </c>
      <c r="I1681">
        <v>0.84404000000000001</v>
      </c>
      <c r="J1681" t="s">
        <v>711</v>
      </c>
      <c r="K1681" t="s">
        <v>3384</v>
      </c>
      <c r="L1681" s="166">
        <f t="shared" si="131"/>
        <v>4.2202000000000002</v>
      </c>
      <c r="M1681" s="127" t="s">
        <v>3385</v>
      </c>
    </row>
    <row r="1682" spans="1:13" x14ac:dyDescent="0.2">
      <c r="A1682" s="1219"/>
      <c r="B1682" s="833"/>
      <c r="C1682" s="1102"/>
      <c r="D1682" s="118"/>
      <c r="E1682" s="1220"/>
      <c r="F1682" s="118"/>
      <c r="G1682" s="118"/>
      <c r="H1682" s="118"/>
      <c r="I1682" s="118"/>
      <c r="J1682" s="118"/>
      <c r="K1682" s="118"/>
      <c r="L1682" s="833"/>
      <c r="M1682" s="120"/>
    </row>
    <row r="1683" spans="1:13" ht="48" x14ac:dyDescent="0.2">
      <c r="A1683" s="486" t="s">
        <v>1201</v>
      </c>
      <c r="B1683" s="845">
        <v>1875.4740817837121</v>
      </c>
      <c r="C1683" s="1159" t="s">
        <v>391</v>
      </c>
      <c r="D1683" s="1229">
        <v>3</v>
      </c>
      <c r="E1683" s="159" t="s">
        <v>3423</v>
      </c>
      <c r="F1683" s="110">
        <v>1</v>
      </c>
      <c r="G1683" s="110" t="s">
        <v>3424</v>
      </c>
      <c r="H1683" s="110"/>
      <c r="I1683" s="110"/>
      <c r="J1683" s="110"/>
      <c r="K1683" s="110"/>
      <c r="L1683" s="845"/>
      <c r="M1683" s="112"/>
    </row>
    <row r="1684" spans="1:13" x14ac:dyDescent="0.2">
      <c r="A1684" s="1217"/>
      <c r="B1684" s="166">
        <f>B1683*10/1000*D1683</f>
        <v>56.264222453511373</v>
      </c>
      <c r="C1684" s="133" t="s">
        <v>1</v>
      </c>
      <c r="E1684" s="83"/>
      <c r="F1684">
        <v>500</v>
      </c>
      <c r="G1684" t="s">
        <v>3425</v>
      </c>
      <c r="H1684" t="s">
        <v>701</v>
      </c>
      <c r="I1684">
        <v>500.29457000000002</v>
      </c>
      <c r="J1684" t="s">
        <v>702</v>
      </c>
      <c r="K1684" t="s">
        <v>701</v>
      </c>
      <c r="L1684" s="166">
        <f>I1684*B$1685</f>
        <v>56.297369957527636</v>
      </c>
      <c r="M1684" s="127" t="s">
        <v>3367</v>
      </c>
    </row>
    <row r="1685" spans="1:13" x14ac:dyDescent="0.2">
      <c r="A1685" s="1217"/>
      <c r="B1685" s="1218">
        <f>B1684/F1684</f>
        <v>0.11252844490702274</v>
      </c>
      <c r="C1685" s="1114" t="s">
        <v>3429</v>
      </c>
      <c r="D1685" s="6" t="s">
        <v>577</v>
      </c>
      <c r="E1685" s="83"/>
      <c r="H1685" t="s">
        <v>703</v>
      </c>
      <c r="I1685" s="33">
        <v>5.0630000000000001E-2</v>
      </c>
      <c r="J1685" t="s">
        <v>704</v>
      </c>
      <c r="K1685" t="s">
        <v>703</v>
      </c>
      <c r="L1685" s="166">
        <f t="shared" ref="L1685:L1693" si="132">I1685*B$1685</f>
        <v>5.6973151656425618E-3</v>
      </c>
      <c r="M1685" s="127" t="s">
        <v>3368</v>
      </c>
    </row>
    <row r="1686" spans="1:13" x14ac:dyDescent="0.2">
      <c r="A1686" s="1217"/>
      <c r="B1686" s="166"/>
      <c r="E1686" s="83"/>
      <c r="H1686" t="s">
        <v>705</v>
      </c>
      <c r="I1686" s="33">
        <v>4.7383300000000004E-6</v>
      </c>
      <c r="J1686" t="s">
        <v>706</v>
      </c>
      <c r="K1686" t="s">
        <v>705</v>
      </c>
      <c r="L1686" s="166">
        <f t="shared" si="132"/>
        <v>5.3319690635629312E-7</v>
      </c>
      <c r="M1686" s="127" t="s">
        <v>3370</v>
      </c>
    </row>
    <row r="1687" spans="1:13" x14ac:dyDescent="0.2">
      <c r="A1687" s="1217"/>
      <c r="B1687" s="166"/>
      <c r="E1687" s="83"/>
      <c r="H1687" t="s">
        <v>3372</v>
      </c>
      <c r="I1687">
        <v>32.336289999999998</v>
      </c>
      <c r="J1687" t="s">
        <v>3373</v>
      </c>
      <c r="K1687" t="s">
        <v>3372</v>
      </c>
      <c r="L1687" s="166">
        <f t="shared" si="132"/>
        <v>3.6387524277625101</v>
      </c>
      <c r="M1687" s="127" t="s">
        <v>3374</v>
      </c>
    </row>
    <row r="1688" spans="1:13" x14ac:dyDescent="0.2">
      <c r="A1688" s="1217"/>
      <c r="B1688" s="166"/>
      <c r="E1688" s="83"/>
      <c r="H1688" t="s">
        <v>3375</v>
      </c>
      <c r="I1688">
        <v>330.76024999999998</v>
      </c>
      <c r="J1688" t="s">
        <v>707</v>
      </c>
      <c r="K1688" t="s">
        <v>3375</v>
      </c>
      <c r="L1688" s="166">
        <f t="shared" si="132"/>
        <v>37.219936569558065</v>
      </c>
      <c r="M1688" s="127" t="s">
        <v>3376</v>
      </c>
    </row>
    <row r="1689" spans="1:13" x14ac:dyDescent="0.2">
      <c r="A1689" s="1217"/>
      <c r="B1689" s="166"/>
      <c r="E1689" s="83"/>
      <c r="H1689" t="s">
        <v>708</v>
      </c>
      <c r="I1689" s="33">
        <v>96090.3</v>
      </c>
      <c r="J1689" t="s">
        <v>709</v>
      </c>
      <c r="K1689" t="s">
        <v>708</v>
      </c>
      <c r="L1689" s="166">
        <f t="shared" si="132"/>
        <v>10812.892029649287</v>
      </c>
      <c r="M1689" s="127" t="s">
        <v>3377</v>
      </c>
    </row>
    <row r="1690" spans="1:13" x14ac:dyDescent="0.2">
      <c r="A1690" s="1217"/>
      <c r="B1690" s="166"/>
      <c r="E1690" s="83"/>
      <c r="H1690" t="s">
        <v>3378</v>
      </c>
      <c r="I1690" s="33">
        <v>5.6300000000000003E-2</v>
      </c>
      <c r="J1690" t="s">
        <v>704</v>
      </c>
      <c r="K1690" t="s">
        <v>3378</v>
      </c>
      <c r="L1690" s="166">
        <f t="shared" si="132"/>
        <v>6.3353514482653809E-3</v>
      </c>
      <c r="M1690" s="127" t="s">
        <v>3368</v>
      </c>
    </row>
    <row r="1691" spans="1:13" x14ac:dyDescent="0.2">
      <c r="A1691" s="1217"/>
      <c r="B1691" s="166"/>
      <c r="E1691" s="83"/>
      <c r="H1691" t="s">
        <v>710</v>
      </c>
      <c r="I1691" s="33">
        <v>1.3699999999999999E-3</v>
      </c>
      <c r="J1691" t="s">
        <v>3379</v>
      </c>
      <c r="K1691" t="s">
        <v>710</v>
      </c>
      <c r="L1691" s="166">
        <f t="shared" si="132"/>
        <v>1.5416396952262114E-4</v>
      </c>
      <c r="M1691" s="127" t="s">
        <v>3380</v>
      </c>
    </row>
    <row r="1692" spans="1:13" x14ac:dyDescent="0.2">
      <c r="A1692" s="1217"/>
      <c r="B1692" s="166"/>
      <c r="E1692" s="83"/>
      <c r="H1692" t="s">
        <v>3381</v>
      </c>
      <c r="I1692">
        <v>145.08896999999999</v>
      </c>
      <c r="J1692" t="s">
        <v>3382</v>
      </c>
      <c r="K1692" t="s">
        <v>3381</v>
      </c>
      <c r="L1692" s="166">
        <f t="shared" si="132"/>
        <v>16.326636167261675</v>
      </c>
      <c r="M1692" s="127" t="s">
        <v>3383</v>
      </c>
    </row>
    <row r="1693" spans="1:13" x14ac:dyDescent="0.2">
      <c r="A1693" s="1217"/>
      <c r="B1693" s="166"/>
      <c r="E1693" s="83"/>
      <c r="H1693" t="s">
        <v>3384</v>
      </c>
      <c r="I1693">
        <v>7926.5570900000002</v>
      </c>
      <c r="J1693" t="s">
        <v>711</v>
      </c>
      <c r="K1693" t="s">
        <v>3384</v>
      </c>
      <c r="L1693" s="166">
        <f t="shared" si="132"/>
        <v>891.96314280443551</v>
      </c>
      <c r="M1693" s="127" t="s">
        <v>3385</v>
      </c>
    </row>
    <row r="1694" spans="1:13" x14ac:dyDescent="0.2">
      <c r="A1694" s="1219"/>
      <c r="B1694" s="833"/>
      <c r="C1694" s="1102"/>
      <c r="D1694" s="118"/>
      <c r="E1694" s="1220"/>
      <c r="F1694" s="118"/>
      <c r="G1694" s="118"/>
      <c r="H1694" s="118"/>
      <c r="I1694" s="118"/>
      <c r="J1694" s="118"/>
      <c r="K1694" s="118"/>
      <c r="L1694" s="833"/>
      <c r="M1694" s="120"/>
    </row>
    <row r="1695" spans="1:13" ht="48" x14ac:dyDescent="0.2">
      <c r="A1695" s="486" t="s">
        <v>1088</v>
      </c>
      <c r="B1695" s="1227">
        <v>1.9346681436601908E-3</v>
      </c>
      <c r="C1695" s="1159" t="s">
        <v>999</v>
      </c>
      <c r="D1695" s="1229">
        <v>3</v>
      </c>
      <c r="E1695" s="1230" t="s">
        <v>3437</v>
      </c>
      <c r="F1695" s="110">
        <v>1</v>
      </c>
      <c r="G1695" s="110" t="s">
        <v>3429</v>
      </c>
      <c r="H1695" s="110"/>
      <c r="I1695" s="110"/>
      <c r="J1695" s="110"/>
      <c r="K1695" s="110"/>
      <c r="L1695" s="845"/>
      <c r="M1695" s="112"/>
    </row>
    <row r="1696" spans="1:13" x14ac:dyDescent="0.2">
      <c r="A1696" s="1217"/>
      <c r="B1696" s="1218">
        <f>ROUNDUP(B1695*1000000/600*D1695,0)</f>
        <v>10</v>
      </c>
      <c r="C1696" s="1114" t="s">
        <v>3429</v>
      </c>
      <c r="D1696" s="6" t="s">
        <v>577</v>
      </c>
      <c r="E1696" s="83"/>
      <c r="F1696" t="s">
        <v>3448</v>
      </c>
      <c r="G1696" t="s">
        <v>3438</v>
      </c>
      <c r="H1696" t="s">
        <v>701</v>
      </c>
      <c r="I1696">
        <v>12.44168</v>
      </c>
      <c r="J1696" t="s">
        <v>702</v>
      </c>
      <c r="K1696" t="s">
        <v>701</v>
      </c>
      <c r="L1696" s="166">
        <f>I1696*B$1696</f>
        <v>124.41679999999999</v>
      </c>
      <c r="M1696" s="127" t="s">
        <v>3367</v>
      </c>
    </row>
    <row r="1697" spans="1:13" x14ac:dyDescent="0.2">
      <c r="A1697" s="1217"/>
      <c r="B1697" s="166"/>
      <c r="E1697" s="83"/>
      <c r="H1697" t="s">
        <v>703</v>
      </c>
      <c r="I1697">
        <v>4.8000000000000001E-4</v>
      </c>
      <c r="J1697" t="s">
        <v>704</v>
      </c>
      <c r="K1697" t="s">
        <v>703</v>
      </c>
      <c r="L1697" s="166">
        <f t="shared" ref="L1697:L1705" si="133">I1697*B$1696</f>
        <v>4.8000000000000004E-3</v>
      </c>
      <c r="M1697" s="127" t="s">
        <v>3368</v>
      </c>
    </row>
    <row r="1698" spans="1:13" x14ac:dyDescent="0.2">
      <c r="A1698" s="1217"/>
      <c r="B1698" s="166"/>
      <c r="E1698" s="83"/>
      <c r="H1698" t="s">
        <v>705</v>
      </c>
      <c r="I1698" s="33">
        <v>71800.399999999994</v>
      </c>
      <c r="J1698" t="s">
        <v>706</v>
      </c>
      <c r="K1698" t="s">
        <v>705</v>
      </c>
      <c r="L1698" s="166">
        <f t="shared" si="133"/>
        <v>718004</v>
      </c>
      <c r="M1698" s="127" t="s">
        <v>3370</v>
      </c>
    </row>
    <row r="1699" spans="1:13" x14ac:dyDescent="0.2">
      <c r="A1699" s="1217"/>
      <c r="B1699" s="166"/>
      <c r="E1699" s="83"/>
      <c r="H1699" t="s">
        <v>3372</v>
      </c>
      <c r="I1699">
        <v>0.48496</v>
      </c>
      <c r="J1699" t="s">
        <v>3373</v>
      </c>
      <c r="K1699" t="s">
        <v>3372</v>
      </c>
      <c r="L1699" s="166">
        <f t="shared" si="133"/>
        <v>4.8495999999999997</v>
      </c>
      <c r="M1699" s="127" t="s">
        <v>3374</v>
      </c>
    </row>
    <row r="1700" spans="1:13" x14ac:dyDescent="0.2">
      <c r="A1700" s="1217"/>
      <c r="B1700" s="166"/>
      <c r="E1700" s="83"/>
      <c r="H1700" t="s">
        <v>3375</v>
      </c>
      <c r="I1700">
        <v>5.6584000000000003</v>
      </c>
      <c r="J1700" t="s">
        <v>707</v>
      </c>
      <c r="K1700" t="s">
        <v>3375</v>
      </c>
      <c r="L1700" s="166">
        <f t="shared" si="133"/>
        <v>56.584000000000003</v>
      </c>
      <c r="M1700" s="127" t="s">
        <v>3376</v>
      </c>
    </row>
    <row r="1701" spans="1:13" x14ac:dyDescent="0.2">
      <c r="A1701" s="1217"/>
      <c r="B1701" s="166"/>
      <c r="E1701" s="83"/>
      <c r="H1701" t="s">
        <v>708</v>
      </c>
      <c r="I1701">
        <v>950.53150000000005</v>
      </c>
      <c r="J1701" t="s">
        <v>709</v>
      </c>
      <c r="K1701" t="s">
        <v>708</v>
      </c>
      <c r="L1701" s="166">
        <f t="shared" si="133"/>
        <v>9505.3150000000005</v>
      </c>
      <c r="M1701" s="127" t="s">
        <v>3377</v>
      </c>
    </row>
    <row r="1702" spans="1:13" x14ac:dyDescent="0.2">
      <c r="A1702" s="1217"/>
      <c r="B1702" s="166"/>
      <c r="E1702" s="83"/>
      <c r="H1702" t="s">
        <v>3378</v>
      </c>
      <c r="I1702">
        <v>9.6000000000000002E-4</v>
      </c>
      <c r="J1702" t="s">
        <v>704</v>
      </c>
      <c r="K1702" t="s">
        <v>3378</v>
      </c>
      <c r="L1702" s="166">
        <f t="shared" si="133"/>
        <v>9.6000000000000009E-3</v>
      </c>
      <c r="M1702" s="127" t="s">
        <v>3368</v>
      </c>
    </row>
    <row r="1703" spans="1:13" x14ac:dyDescent="0.2">
      <c r="A1703" s="1217"/>
      <c r="B1703" s="166"/>
      <c r="E1703" s="83"/>
      <c r="H1703" t="s">
        <v>710</v>
      </c>
      <c r="I1703" s="33">
        <v>1.9998899999999999E-5</v>
      </c>
      <c r="J1703" t="s">
        <v>3379</v>
      </c>
      <c r="K1703" t="s">
        <v>710</v>
      </c>
      <c r="L1703" s="166">
        <f t="shared" si="133"/>
        <v>1.99989E-4</v>
      </c>
      <c r="M1703" s="127" t="s">
        <v>3380</v>
      </c>
    </row>
    <row r="1704" spans="1:13" x14ac:dyDescent="0.2">
      <c r="A1704" s="1217"/>
      <c r="B1704" s="166"/>
      <c r="E1704" s="83"/>
      <c r="H1704" t="s">
        <v>3381</v>
      </c>
      <c r="I1704">
        <v>1.43174</v>
      </c>
      <c r="J1704" t="s">
        <v>3382</v>
      </c>
      <c r="K1704" t="s">
        <v>3381</v>
      </c>
      <c r="L1704" s="166">
        <f t="shared" si="133"/>
        <v>14.317399999999999</v>
      </c>
      <c r="M1704" s="127" t="s">
        <v>3383</v>
      </c>
    </row>
    <row r="1705" spans="1:13" x14ac:dyDescent="0.2">
      <c r="A1705" s="1217"/>
      <c r="B1705" s="166"/>
      <c r="E1705" s="83"/>
      <c r="H1705" t="s">
        <v>3384</v>
      </c>
      <c r="I1705">
        <v>65.748800000000003</v>
      </c>
      <c r="J1705" t="s">
        <v>711</v>
      </c>
      <c r="K1705" t="s">
        <v>3384</v>
      </c>
      <c r="L1705" s="166">
        <f t="shared" si="133"/>
        <v>657.48800000000006</v>
      </c>
      <c r="M1705" s="127" t="s">
        <v>3385</v>
      </c>
    </row>
    <row r="1706" spans="1:13" x14ac:dyDescent="0.2">
      <c r="A1706" s="1219"/>
      <c r="B1706" s="833"/>
      <c r="C1706" s="1102"/>
      <c r="D1706" s="118"/>
      <c r="E1706" s="1220"/>
      <c r="F1706" s="118"/>
      <c r="G1706" s="118"/>
      <c r="H1706" s="118"/>
      <c r="I1706" s="118"/>
      <c r="J1706" s="118"/>
      <c r="K1706" s="118"/>
      <c r="L1706" s="833"/>
      <c r="M1706" s="120"/>
    </row>
    <row r="1707" spans="1:13" ht="48" x14ac:dyDescent="0.2">
      <c r="A1707" s="486" t="s">
        <v>1226</v>
      </c>
      <c r="B1707" s="845">
        <v>1.9346681436601908E-3</v>
      </c>
      <c r="C1707" s="1159" t="s">
        <v>1095</v>
      </c>
      <c r="D1707" s="1229">
        <v>3</v>
      </c>
      <c r="E1707" s="1230" t="s">
        <v>3437</v>
      </c>
      <c r="F1707" s="110">
        <v>1</v>
      </c>
      <c r="G1707" s="110" t="s">
        <v>3429</v>
      </c>
      <c r="H1707" s="110"/>
      <c r="I1707" s="110"/>
      <c r="J1707" s="110"/>
      <c r="K1707" s="110"/>
      <c r="L1707" s="845"/>
      <c r="M1707" s="112"/>
    </row>
    <row r="1708" spans="1:13" x14ac:dyDescent="0.2">
      <c r="A1708" s="1217"/>
      <c r="B1708" s="1218">
        <f>ROUNDUP(B1707*1000000/600*D1707,0)</f>
        <v>10</v>
      </c>
      <c r="C1708" s="1114" t="s">
        <v>3429</v>
      </c>
      <c r="D1708" s="6" t="s">
        <v>577</v>
      </c>
      <c r="E1708" s="83"/>
      <c r="F1708" t="s">
        <v>3448</v>
      </c>
      <c r="G1708" t="s">
        <v>3438</v>
      </c>
      <c r="H1708" t="s">
        <v>701</v>
      </c>
      <c r="I1708">
        <v>12.44168</v>
      </c>
      <c r="J1708" t="s">
        <v>702</v>
      </c>
      <c r="K1708" t="s">
        <v>701</v>
      </c>
      <c r="L1708" s="166">
        <f>I1708*B$1708</f>
        <v>124.41679999999999</v>
      </c>
      <c r="M1708" s="127" t="s">
        <v>3367</v>
      </c>
    </row>
    <row r="1709" spans="1:13" x14ac:dyDescent="0.2">
      <c r="A1709" s="1217"/>
      <c r="B1709" s="166"/>
      <c r="E1709" s="83"/>
      <c r="H1709" t="s">
        <v>703</v>
      </c>
      <c r="I1709">
        <v>4.8000000000000001E-4</v>
      </c>
      <c r="J1709" t="s">
        <v>704</v>
      </c>
      <c r="K1709" t="s">
        <v>703</v>
      </c>
      <c r="L1709" s="166">
        <f t="shared" ref="L1709:L1717" si="134">I1709*B$1708</f>
        <v>4.8000000000000004E-3</v>
      </c>
      <c r="M1709" s="127" t="s">
        <v>3368</v>
      </c>
    </row>
    <row r="1710" spans="1:13" x14ac:dyDescent="0.2">
      <c r="A1710" s="1217"/>
      <c r="B1710" s="166"/>
      <c r="E1710" s="83"/>
      <c r="H1710" t="s">
        <v>705</v>
      </c>
      <c r="I1710" s="33">
        <v>71800.399999999994</v>
      </c>
      <c r="J1710" t="s">
        <v>706</v>
      </c>
      <c r="K1710" t="s">
        <v>705</v>
      </c>
      <c r="L1710" s="166">
        <f t="shared" si="134"/>
        <v>718004</v>
      </c>
      <c r="M1710" s="127" t="s">
        <v>3370</v>
      </c>
    </row>
    <row r="1711" spans="1:13" x14ac:dyDescent="0.2">
      <c r="A1711" s="1217"/>
      <c r="B1711" s="166"/>
      <c r="E1711" s="83"/>
      <c r="H1711" t="s">
        <v>3372</v>
      </c>
      <c r="I1711">
        <v>0.48496</v>
      </c>
      <c r="J1711" t="s">
        <v>3373</v>
      </c>
      <c r="K1711" t="s">
        <v>3372</v>
      </c>
      <c r="L1711" s="166">
        <f t="shared" si="134"/>
        <v>4.8495999999999997</v>
      </c>
      <c r="M1711" s="127" t="s">
        <v>3374</v>
      </c>
    </row>
    <row r="1712" spans="1:13" x14ac:dyDescent="0.2">
      <c r="A1712" s="1217"/>
      <c r="B1712" s="166"/>
      <c r="E1712" s="83"/>
      <c r="H1712" t="s">
        <v>3375</v>
      </c>
      <c r="I1712">
        <v>5.6584000000000003</v>
      </c>
      <c r="J1712" t="s">
        <v>707</v>
      </c>
      <c r="K1712" t="s">
        <v>3375</v>
      </c>
      <c r="L1712" s="166">
        <f t="shared" si="134"/>
        <v>56.584000000000003</v>
      </c>
      <c r="M1712" s="127" t="s">
        <v>3376</v>
      </c>
    </row>
    <row r="1713" spans="1:13" x14ac:dyDescent="0.2">
      <c r="A1713" s="1217"/>
      <c r="B1713" s="166"/>
      <c r="E1713" s="83"/>
      <c r="H1713" t="s">
        <v>708</v>
      </c>
      <c r="I1713">
        <v>950.53150000000005</v>
      </c>
      <c r="J1713" t="s">
        <v>709</v>
      </c>
      <c r="K1713" t="s">
        <v>708</v>
      </c>
      <c r="L1713" s="166">
        <f t="shared" si="134"/>
        <v>9505.3150000000005</v>
      </c>
      <c r="M1713" s="127" t="s">
        <v>3377</v>
      </c>
    </row>
    <row r="1714" spans="1:13" x14ac:dyDescent="0.2">
      <c r="A1714" s="1217"/>
      <c r="B1714" s="166"/>
      <c r="E1714" s="83"/>
      <c r="H1714" t="s">
        <v>3378</v>
      </c>
      <c r="I1714">
        <v>9.6000000000000002E-4</v>
      </c>
      <c r="J1714" t="s">
        <v>704</v>
      </c>
      <c r="K1714" t="s">
        <v>3378</v>
      </c>
      <c r="L1714" s="166">
        <f t="shared" si="134"/>
        <v>9.6000000000000009E-3</v>
      </c>
      <c r="M1714" s="127" t="s">
        <v>3368</v>
      </c>
    </row>
    <row r="1715" spans="1:13" x14ac:dyDescent="0.2">
      <c r="A1715" s="1217"/>
      <c r="B1715" s="166"/>
      <c r="E1715" s="83"/>
      <c r="H1715" t="s">
        <v>710</v>
      </c>
      <c r="I1715" s="33">
        <v>1.9998899999999999E-5</v>
      </c>
      <c r="J1715" t="s">
        <v>3379</v>
      </c>
      <c r="K1715" t="s">
        <v>710</v>
      </c>
      <c r="L1715" s="166">
        <f t="shared" si="134"/>
        <v>1.99989E-4</v>
      </c>
      <c r="M1715" s="127" t="s">
        <v>3380</v>
      </c>
    </row>
    <row r="1716" spans="1:13" x14ac:dyDescent="0.2">
      <c r="A1716" s="1217"/>
      <c r="B1716" s="166"/>
      <c r="E1716" s="83"/>
      <c r="H1716" t="s">
        <v>3381</v>
      </c>
      <c r="I1716">
        <v>1.43174</v>
      </c>
      <c r="J1716" t="s">
        <v>3382</v>
      </c>
      <c r="K1716" t="s">
        <v>3381</v>
      </c>
      <c r="L1716" s="166">
        <f t="shared" si="134"/>
        <v>14.317399999999999</v>
      </c>
      <c r="M1716" s="127" t="s">
        <v>3383</v>
      </c>
    </row>
    <row r="1717" spans="1:13" x14ac:dyDescent="0.2">
      <c r="A1717" s="1217"/>
      <c r="B1717" s="166"/>
      <c r="E1717" s="83"/>
      <c r="H1717" t="s">
        <v>3384</v>
      </c>
      <c r="I1717">
        <v>65.748800000000003</v>
      </c>
      <c r="J1717" t="s">
        <v>711</v>
      </c>
      <c r="K1717" t="s">
        <v>3384</v>
      </c>
      <c r="L1717" s="166">
        <f t="shared" si="134"/>
        <v>657.48800000000006</v>
      </c>
      <c r="M1717" s="127" t="s">
        <v>3385</v>
      </c>
    </row>
    <row r="1718" spans="1:13" x14ac:dyDescent="0.2">
      <c r="A1718" s="1219"/>
      <c r="B1718" s="833"/>
      <c r="C1718" s="1102"/>
      <c r="D1718" s="118"/>
      <c r="E1718" s="1220"/>
      <c r="F1718" s="118"/>
      <c r="G1718" s="118"/>
      <c r="H1718" s="118"/>
      <c r="I1718" s="118"/>
      <c r="J1718" s="118"/>
      <c r="K1718" s="118"/>
      <c r="L1718" s="833"/>
      <c r="M1718" s="120"/>
    </row>
    <row r="1719" spans="1:13" ht="48" x14ac:dyDescent="0.2">
      <c r="A1719" s="486" t="s">
        <v>1092</v>
      </c>
      <c r="B1719" s="845">
        <v>42.135734485387509</v>
      </c>
      <c r="C1719" s="1159" t="s">
        <v>267</v>
      </c>
      <c r="D1719" s="1229">
        <v>3</v>
      </c>
      <c r="E1719" s="1230" t="s">
        <v>3433</v>
      </c>
      <c r="F1719" s="110">
        <v>1</v>
      </c>
      <c r="G1719" s="110" t="s">
        <v>3429</v>
      </c>
      <c r="H1719" s="110"/>
      <c r="I1719" s="110"/>
      <c r="J1719" s="110"/>
      <c r="K1719" s="110"/>
      <c r="L1719" s="845"/>
      <c r="M1719" s="112"/>
    </row>
    <row r="1720" spans="1:13" x14ac:dyDescent="0.2">
      <c r="A1720" s="1217"/>
      <c r="B1720" s="1228">
        <v>1000</v>
      </c>
      <c r="C1720" s="133" t="s">
        <v>3434</v>
      </c>
      <c r="E1720" s="83"/>
      <c r="F1720">
        <v>300</v>
      </c>
      <c r="G1720" t="s">
        <v>545</v>
      </c>
      <c r="H1720" t="s">
        <v>701</v>
      </c>
      <c r="I1720">
        <v>189.73783</v>
      </c>
      <c r="J1720" t="s">
        <v>702</v>
      </c>
      <c r="K1720" t="s">
        <v>701</v>
      </c>
      <c r="L1720" s="166">
        <f>I1720*B$1721</f>
        <v>189.73783</v>
      </c>
      <c r="M1720" s="127" t="s">
        <v>3367</v>
      </c>
    </row>
    <row r="1721" spans="1:13" x14ac:dyDescent="0.2">
      <c r="A1721" s="1217"/>
      <c r="B1721" s="1218">
        <f>ROUNDUP(B1719/B1720*D1719,0)</f>
        <v>1</v>
      </c>
      <c r="C1721" s="1114" t="s">
        <v>3409</v>
      </c>
      <c r="D1721" s="6" t="s">
        <v>577</v>
      </c>
      <c r="E1721" s="83"/>
      <c r="F1721">
        <v>4600</v>
      </c>
      <c r="G1721" t="s">
        <v>15</v>
      </c>
      <c r="H1721" t="s">
        <v>703</v>
      </c>
      <c r="I1721">
        <v>2.7380000000000002E-2</v>
      </c>
      <c r="J1721" t="s">
        <v>704</v>
      </c>
      <c r="K1721" t="s">
        <v>703</v>
      </c>
      <c r="L1721" s="166">
        <f t="shared" ref="L1721:L1729" si="135">I1721*B$1721</f>
        <v>2.7380000000000002E-2</v>
      </c>
      <c r="M1721" s="127" t="s">
        <v>3368</v>
      </c>
    </row>
    <row r="1722" spans="1:13" x14ac:dyDescent="0.2">
      <c r="A1722" s="1217"/>
      <c r="B1722" s="166"/>
      <c r="E1722" s="83"/>
      <c r="H1722" t="s">
        <v>705</v>
      </c>
      <c r="I1722" s="33">
        <v>4212170</v>
      </c>
      <c r="J1722" t="s">
        <v>706</v>
      </c>
      <c r="K1722" t="s">
        <v>705</v>
      </c>
      <c r="L1722" s="166">
        <f t="shared" si="135"/>
        <v>4212170</v>
      </c>
      <c r="M1722" s="127" t="s">
        <v>3370</v>
      </c>
    </row>
    <row r="1723" spans="1:13" x14ac:dyDescent="0.2">
      <c r="A1723" s="1217"/>
      <c r="B1723" s="166"/>
      <c r="E1723" s="83"/>
      <c r="H1723" t="s">
        <v>3372</v>
      </c>
      <c r="I1723">
        <v>17.817489999999999</v>
      </c>
      <c r="J1723" t="s">
        <v>3373</v>
      </c>
      <c r="K1723" t="s">
        <v>3372</v>
      </c>
      <c r="L1723" s="166">
        <f t="shared" si="135"/>
        <v>17.817489999999999</v>
      </c>
      <c r="M1723" s="127" t="s">
        <v>3374</v>
      </c>
    </row>
    <row r="1724" spans="1:13" x14ac:dyDescent="0.2">
      <c r="A1724" s="1217"/>
      <c r="B1724" s="166"/>
      <c r="E1724" s="83"/>
      <c r="H1724" t="s">
        <v>3375</v>
      </c>
      <c r="I1724">
        <v>55.172849999999997</v>
      </c>
      <c r="J1724" t="s">
        <v>707</v>
      </c>
      <c r="K1724" t="s">
        <v>3375</v>
      </c>
      <c r="L1724" s="166">
        <f t="shared" si="135"/>
        <v>55.172849999999997</v>
      </c>
      <c r="M1724" s="127" t="s">
        <v>3376</v>
      </c>
    </row>
    <row r="1725" spans="1:13" x14ac:dyDescent="0.2">
      <c r="A1725" s="1217"/>
      <c r="B1725" s="166"/>
      <c r="E1725" s="83"/>
      <c r="H1725" t="s">
        <v>708</v>
      </c>
      <c r="I1725" s="33">
        <v>14861.5</v>
      </c>
      <c r="J1725" t="s">
        <v>709</v>
      </c>
      <c r="K1725" t="s">
        <v>708</v>
      </c>
      <c r="L1725" s="166">
        <f t="shared" si="135"/>
        <v>14861.5</v>
      </c>
      <c r="M1725" s="127" t="s">
        <v>3377</v>
      </c>
    </row>
    <row r="1726" spans="1:13" x14ac:dyDescent="0.2">
      <c r="A1726" s="1217"/>
      <c r="B1726" s="166"/>
      <c r="E1726" s="83"/>
      <c r="H1726" t="s">
        <v>3378</v>
      </c>
      <c r="I1726">
        <v>4.5699999999999998E-2</v>
      </c>
      <c r="J1726" t="s">
        <v>704</v>
      </c>
      <c r="K1726" t="s">
        <v>3378</v>
      </c>
      <c r="L1726" s="166">
        <f t="shared" si="135"/>
        <v>4.5699999999999998E-2</v>
      </c>
      <c r="M1726" s="127" t="s">
        <v>3368</v>
      </c>
    </row>
    <row r="1727" spans="1:13" x14ac:dyDescent="0.2">
      <c r="A1727" s="1217"/>
      <c r="B1727" s="166"/>
      <c r="E1727" s="83"/>
      <c r="H1727" t="s">
        <v>710</v>
      </c>
      <c r="I1727">
        <v>2.7999999999999998E-4</v>
      </c>
      <c r="J1727" t="s">
        <v>3379</v>
      </c>
      <c r="K1727" t="s">
        <v>710</v>
      </c>
      <c r="L1727" s="166">
        <f t="shared" si="135"/>
        <v>2.7999999999999998E-4</v>
      </c>
      <c r="M1727" s="127" t="s">
        <v>3380</v>
      </c>
    </row>
    <row r="1728" spans="1:13" x14ac:dyDescent="0.2">
      <c r="A1728" s="1217"/>
      <c r="B1728" s="166"/>
      <c r="E1728" s="83"/>
      <c r="H1728" t="s">
        <v>3381</v>
      </c>
      <c r="I1728">
        <v>33.561369999999997</v>
      </c>
      <c r="J1728" t="s">
        <v>3382</v>
      </c>
      <c r="K1728" t="s">
        <v>3381</v>
      </c>
      <c r="L1728" s="166">
        <f t="shared" si="135"/>
        <v>33.561369999999997</v>
      </c>
      <c r="M1728" s="127" t="s">
        <v>3383</v>
      </c>
    </row>
    <row r="1729" spans="1:13" x14ac:dyDescent="0.2">
      <c r="A1729" s="1217"/>
      <c r="B1729" s="166"/>
      <c r="E1729" s="83"/>
      <c r="H1729" t="s">
        <v>3384</v>
      </c>
      <c r="I1729">
        <v>1264.54721</v>
      </c>
      <c r="J1729" t="s">
        <v>711</v>
      </c>
      <c r="K1729" t="s">
        <v>3384</v>
      </c>
      <c r="L1729" s="166">
        <f t="shared" si="135"/>
        <v>1264.54721</v>
      </c>
      <c r="M1729" s="127" t="s">
        <v>3385</v>
      </c>
    </row>
    <row r="1730" spans="1:13" x14ac:dyDescent="0.2">
      <c r="A1730" s="1219"/>
      <c r="B1730" s="833"/>
      <c r="C1730" s="1102"/>
      <c r="D1730" s="118"/>
      <c r="E1730" s="1220"/>
      <c r="F1730" s="118"/>
      <c r="G1730" s="118"/>
      <c r="H1730" s="118"/>
      <c r="I1730" s="118"/>
      <c r="J1730" s="118"/>
      <c r="K1730" s="118"/>
      <c r="L1730" s="833"/>
      <c r="M1730" s="120"/>
    </row>
    <row r="1731" spans="1:13" ht="48" x14ac:dyDescent="0.2">
      <c r="A1731" s="486" t="s">
        <v>1093</v>
      </c>
      <c r="B1731" s="845">
        <v>42.135734485387509</v>
      </c>
      <c r="C1731" s="1159" t="s">
        <v>267</v>
      </c>
      <c r="D1731" s="1229">
        <v>3</v>
      </c>
      <c r="E1731" s="1230" t="s">
        <v>3433</v>
      </c>
      <c r="F1731" s="110">
        <v>1</v>
      </c>
      <c r="G1731" s="110" t="s">
        <v>3429</v>
      </c>
      <c r="H1731" s="110"/>
      <c r="I1731" s="110"/>
      <c r="J1731" s="110"/>
      <c r="K1731" s="110"/>
      <c r="L1731" s="845"/>
      <c r="M1731" s="112"/>
    </row>
    <row r="1732" spans="1:13" x14ac:dyDescent="0.2">
      <c r="A1732" s="1217"/>
      <c r="B1732" s="1228">
        <v>1000000</v>
      </c>
      <c r="C1732" s="133" t="s">
        <v>3434</v>
      </c>
      <c r="E1732" s="83"/>
      <c r="F1732">
        <v>300</v>
      </c>
      <c r="G1732" t="s">
        <v>545</v>
      </c>
      <c r="H1732" t="s">
        <v>701</v>
      </c>
      <c r="I1732">
        <v>189.73783</v>
      </c>
      <c r="J1732" t="s">
        <v>702</v>
      </c>
      <c r="K1732" t="s">
        <v>701</v>
      </c>
      <c r="L1732" s="166">
        <f>I1732*B$1733</f>
        <v>189.73783</v>
      </c>
      <c r="M1732" s="127" t="s">
        <v>3367</v>
      </c>
    </row>
    <row r="1733" spans="1:13" x14ac:dyDescent="0.2">
      <c r="A1733" s="1217"/>
      <c r="B1733" s="1218">
        <f>ROUNDUP(B1731/B1732*D1731,0)</f>
        <v>1</v>
      </c>
      <c r="C1733" s="1114" t="s">
        <v>3409</v>
      </c>
      <c r="D1733" s="6" t="s">
        <v>577</v>
      </c>
      <c r="E1733" s="83"/>
      <c r="F1733">
        <v>4600</v>
      </c>
      <c r="G1733" t="s">
        <v>15</v>
      </c>
      <c r="H1733" t="s">
        <v>703</v>
      </c>
      <c r="I1733">
        <v>2.7380000000000002E-2</v>
      </c>
      <c r="J1733" t="s">
        <v>704</v>
      </c>
      <c r="K1733" t="s">
        <v>703</v>
      </c>
      <c r="L1733" s="166">
        <f t="shared" ref="L1733:L1741" si="136">I1733*B$1733</f>
        <v>2.7380000000000002E-2</v>
      </c>
      <c r="M1733" s="127" t="s">
        <v>3368</v>
      </c>
    </row>
    <row r="1734" spans="1:13" x14ac:dyDescent="0.2">
      <c r="A1734" s="1217"/>
      <c r="B1734" s="166"/>
      <c r="E1734" s="83"/>
      <c r="H1734" t="s">
        <v>705</v>
      </c>
      <c r="I1734" s="33">
        <v>4212170</v>
      </c>
      <c r="J1734" t="s">
        <v>706</v>
      </c>
      <c r="K1734" t="s">
        <v>705</v>
      </c>
      <c r="L1734" s="166">
        <f t="shared" si="136"/>
        <v>4212170</v>
      </c>
      <c r="M1734" s="127" t="s">
        <v>3370</v>
      </c>
    </row>
    <row r="1735" spans="1:13" x14ac:dyDescent="0.2">
      <c r="A1735" s="1217"/>
      <c r="B1735" s="166"/>
      <c r="E1735" s="83"/>
      <c r="H1735" t="s">
        <v>3372</v>
      </c>
      <c r="I1735">
        <v>17.817489999999999</v>
      </c>
      <c r="J1735" t="s">
        <v>3373</v>
      </c>
      <c r="K1735" t="s">
        <v>3372</v>
      </c>
      <c r="L1735" s="166">
        <f t="shared" si="136"/>
        <v>17.817489999999999</v>
      </c>
      <c r="M1735" s="127" t="s">
        <v>3374</v>
      </c>
    </row>
    <row r="1736" spans="1:13" x14ac:dyDescent="0.2">
      <c r="A1736" s="1217"/>
      <c r="B1736" s="166"/>
      <c r="E1736" s="83"/>
      <c r="H1736" t="s">
        <v>3375</v>
      </c>
      <c r="I1736">
        <v>55.172849999999997</v>
      </c>
      <c r="J1736" t="s">
        <v>707</v>
      </c>
      <c r="K1736" t="s">
        <v>3375</v>
      </c>
      <c r="L1736" s="166">
        <f t="shared" si="136"/>
        <v>55.172849999999997</v>
      </c>
      <c r="M1736" s="127" t="s">
        <v>3376</v>
      </c>
    </row>
    <row r="1737" spans="1:13" x14ac:dyDescent="0.2">
      <c r="A1737" s="1217"/>
      <c r="B1737" s="166"/>
      <c r="E1737" s="83"/>
      <c r="H1737" t="s">
        <v>708</v>
      </c>
      <c r="I1737" s="33">
        <v>14861.5</v>
      </c>
      <c r="J1737" t="s">
        <v>709</v>
      </c>
      <c r="K1737" t="s">
        <v>708</v>
      </c>
      <c r="L1737" s="166">
        <f t="shared" si="136"/>
        <v>14861.5</v>
      </c>
      <c r="M1737" s="127" t="s">
        <v>3377</v>
      </c>
    </row>
    <row r="1738" spans="1:13" x14ac:dyDescent="0.2">
      <c r="A1738" s="1217"/>
      <c r="B1738" s="166"/>
      <c r="E1738" s="83"/>
      <c r="H1738" t="s">
        <v>3378</v>
      </c>
      <c r="I1738">
        <v>4.5699999999999998E-2</v>
      </c>
      <c r="J1738" t="s">
        <v>704</v>
      </c>
      <c r="K1738" t="s">
        <v>3378</v>
      </c>
      <c r="L1738" s="166">
        <f t="shared" si="136"/>
        <v>4.5699999999999998E-2</v>
      </c>
      <c r="M1738" s="127" t="s">
        <v>3368</v>
      </c>
    </row>
    <row r="1739" spans="1:13" x14ac:dyDescent="0.2">
      <c r="A1739" s="1217"/>
      <c r="B1739" s="166"/>
      <c r="E1739" s="83"/>
      <c r="H1739" t="s">
        <v>710</v>
      </c>
      <c r="I1739">
        <v>2.7999999999999998E-4</v>
      </c>
      <c r="J1739" t="s">
        <v>3379</v>
      </c>
      <c r="K1739" t="s">
        <v>710</v>
      </c>
      <c r="L1739" s="166">
        <f t="shared" si="136"/>
        <v>2.7999999999999998E-4</v>
      </c>
      <c r="M1739" s="127" t="s">
        <v>3380</v>
      </c>
    </row>
    <row r="1740" spans="1:13" x14ac:dyDescent="0.2">
      <c r="A1740" s="1217"/>
      <c r="B1740" s="166"/>
      <c r="E1740" s="83"/>
      <c r="H1740" t="s">
        <v>3381</v>
      </c>
      <c r="I1740">
        <v>33.561369999999997</v>
      </c>
      <c r="J1740" t="s">
        <v>3382</v>
      </c>
      <c r="K1740" t="s">
        <v>3381</v>
      </c>
      <c r="L1740" s="166">
        <f t="shared" si="136"/>
        <v>33.561369999999997</v>
      </c>
      <c r="M1740" s="127" t="s">
        <v>3383</v>
      </c>
    </row>
    <row r="1741" spans="1:13" x14ac:dyDescent="0.2">
      <c r="A1741" s="1217"/>
      <c r="B1741" s="166"/>
      <c r="E1741" s="83"/>
      <c r="H1741" t="s">
        <v>3384</v>
      </c>
      <c r="I1741">
        <v>1264.54721</v>
      </c>
      <c r="J1741" t="s">
        <v>711</v>
      </c>
      <c r="K1741" t="s">
        <v>3384</v>
      </c>
      <c r="L1741" s="166">
        <f t="shared" si="136"/>
        <v>1264.54721</v>
      </c>
      <c r="M1741" s="127" t="s">
        <v>3385</v>
      </c>
    </row>
    <row r="1742" spans="1:13" x14ac:dyDescent="0.2">
      <c r="A1742" s="1219"/>
      <c r="B1742" s="833"/>
      <c r="C1742" s="1102"/>
      <c r="D1742" s="118"/>
      <c r="E1742" s="1220"/>
      <c r="F1742" s="118"/>
      <c r="G1742" s="118"/>
      <c r="H1742" s="118"/>
      <c r="I1742" s="118"/>
      <c r="J1742" s="118"/>
      <c r="K1742" s="118"/>
      <c r="L1742" s="833"/>
      <c r="M1742" s="120"/>
    </row>
    <row r="1743" spans="1:13" ht="16" x14ac:dyDescent="0.2">
      <c r="A1743" s="486" t="s">
        <v>1094</v>
      </c>
      <c r="B1743" s="845">
        <v>1875.4740817837121</v>
      </c>
      <c r="C1743" s="1159" t="s">
        <v>267</v>
      </c>
      <c r="D1743" s="1229">
        <v>3</v>
      </c>
      <c r="E1743" s="1216" t="s">
        <v>3393</v>
      </c>
      <c r="F1743" s="110"/>
      <c r="G1743" s="110"/>
      <c r="H1743" s="110"/>
      <c r="I1743" s="110"/>
      <c r="J1743" s="110"/>
      <c r="K1743" s="110"/>
      <c r="L1743" s="845"/>
      <c r="M1743" s="112"/>
    </row>
    <row r="1744" spans="1:13" x14ac:dyDescent="0.2">
      <c r="A1744" s="1217"/>
      <c r="B1744" s="1218">
        <f>B1743*100*D1743</f>
        <v>562642.22453511367</v>
      </c>
      <c r="C1744" s="1114" t="s">
        <v>15</v>
      </c>
      <c r="D1744" s="6" t="s">
        <v>577</v>
      </c>
      <c r="F1744">
        <v>1</v>
      </c>
      <c r="G1744" t="s">
        <v>15</v>
      </c>
      <c r="H1744" t="s">
        <v>701</v>
      </c>
      <c r="I1744">
        <v>6.0200000000000002E-3</v>
      </c>
      <c r="J1744" t="s">
        <v>702</v>
      </c>
      <c r="K1744" t="s">
        <v>701</v>
      </c>
      <c r="L1744" s="166">
        <f>I1744*B$1744</f>
        <v>3387.1061917013844</v>
      </c>
      <c r="M1744" s="127" t="s">
        <v>3367</v>
      </c>
    </row>
    <row r="1745" spans="1:13" x14ac:dyDescent="0.2">
      <c r="A1745" s="1217"/>
      <c r="B1745" s="166"/>
      <c r="E1745" s="83"/>
      <c r="H1745" t="s">
        <v>703</v>
      </c>
      <c r="I1745" s="33">
        <v>1.2843299999999999E-6</v>
      </c>
      <c r="J1745" t="s">
        <v>704</v>
      </c>
      <c r="K1745" t="s">
        <v>703</v>
      </c>
      <c r="L1745" s="166">
        <f t="shared" ref="L1745:L1753" si="137">I1745*B$1744</f>
        <v>0.72261828823718244</v>
      </c>
      <c r="M1745" s="127" t="s">
        <v>3368</v>
      </c>
    </row>
    <row r="1746" spans="1:13" x14ac:dyDescent="0.2">
      <c r="A1746" s="1217"/>
      <c r="B1746" s="166"/>
      <c r="E1746" s="83"/>
      <c r="H1746" t="s">
        <v>705</v>
      </c>
      <c r="I1746">
        <v>67.217029999999994</v>
      </c>
      <c r="J1746" t="s">
        <v>706</v>
      </c>
      <c r="K1746" t="s">
        <v>705</v>
      </c>
      <c r="L1746" s="166">
        <f t="shared" si="137"/>
        <v>37819139.285843469</v>
      </c>
      <c r="M1746" s="127" t="s">
        <v>3370</v>
      </c>
    </row>
    <row r="1747" spans="1:13" x14ac:dyDescent="0.2">
      <c r="A1747" s="1217"/>
      <c r="B1747" s="166"/>
      <c r="E1747" s="83"/>
      <c r="H1747" t="s">
        <v>3372</v>
      </c>
      <c r="I1747">
        <v>7.6999999999999996E-4</v>
      </c>
      <c r="J1747" t="s">
        <v>3373</v>
      </c>
      <c r="K1747" t="s">
        <v>3372</v>
      </c>
      <c r="L1747" s="166">
        <f t="shared" si="137"/>
        <v>433.23451289203751</v>
      </c>
      <c r="M1747" s="127" t="s">
        <v>3374</v>
      </c>
    </row>
    <row r="1748" spans="1:13" x14ac:dyDescent="0.2">
      <c r="A1748" s="1217"/>
      <c r="B1748" s="166"/>
      <c r="E1748" s="83"/>
      <c r="H1748" t="s">
        <v>3375</v>
      </c>
      <c r="I1748">
        <v>4.1700000000000001E-3</v>
      </c>
      <c r="J1748" t="s">
        <v>707</v>
      </c>
      <c r="K1748" t="s">
        <v>3375</v>
      </c>
      <c r="L1748" s="166">
        <f t="shared" si="137"/>
        <v>2346.2180763114238</v>
      </c>
      <c r="M1748" s="127" t="s">
        <v>3376</v>
      </c>
    </row>
    <row r="1749" spans="1:13" x14ac:dyDescent="0.2">
      <c r="A1749" s="1217"/>
      <c r="B1749" s="166"/>
      <c r="E1749" s="83"/>
      <c r="H1749" t="s">
        <v>708</v>
      </c>
      <c r="I1749">
        <v>1.7658199999999999</v>
      </c>
      <c r="J1749" t="s">
        <v>709</v>
      </c>
      <c r="K1749" t="s">
        <v>708</v>
      </c>
      <c r="L1749" s="166">
        <f t="shared" si="137"/>
        <v>993524.89292859437</v>
      </c>
      <c r="M1749" s="127" t="s">
        <v>3377</v>
      </c>
    </row>
    <row r="1750" spans="1:13" x14ac:dyDescent="0.2">
      <c r="A1750" s="1217"/>
      <c r="B1750" s="166"/>
      <c r="E1750" s="83"/>
      <c r="H1750" t="s">
        <v>3378</v>
      </c>
      <c r="I1750" s="33">
        <v>3.4665800000000001E-7</v>
      </c>
      <c r="J1750" t="s">
        <v>704</v>
      </c>
      <c r="K1750" t="s">
        <v>3378</v>
      </c>
      <c r="L1750" s="166">
        <f t="shared" si="137"/>
        <v>0.19504442827289345</v>
      </c>
      <c r="M1750" s="127" t="s">
        <v>3368</v>
      </c>
    </row>
    <row r="1751" spans="1:13" x14ac:dyDescent="0.2">
      <c r="A1751" s="1217"/>
      <c r="B1751" s="166"/>
      <c r="E1751" s="83"/>
      <c r="H1751" t="s">
        <v>710</v>
      </c>
      <c r="I1751" s="33">
        <v>5.15501E-8</v>
      </c>
      <c r="J1751" t="s">
        <v>3379</v>
      </c>
      <c r="K1751" t="s">
        <v>710</v>
      </c>
      <c r="L1751" s="166">
        <f t="shared" si="137"/>
        <v>2.9004262939007562E-2</v>
      </c>
      <c r="M1751" s="127" t="s">
        <v>3380</v>
      </c>
    </row>
    <row r="1752" spans="1:13" x14ac:dyDescent="0.2">
      <c r="A1752" s="1217"/>
      <c r="B1752" s="166"/>
      <c r="E1752" s="83"/>
      <c r="H1752" t="s">
        <v>3381</v>
      </c>
      <c r="I1752">
        <v>2.7299999999999998E-3</v>
      </c>
      <c r="J1752" t="s">
        <v>3382</v>
      </c>
      <c r="K1752" t="s">
        <v>3381</v>
      </c>
      <c r="L1752" s="166">
        <f t="shared" si="137"/>
        <v>1536.0132729808602</v>
      </c>
      <c r="M1752" s="127" t="s">
        <v>3383</v>
      </c>
    </row>
    <row r="1753" spans="1:13" x14ac:dyDescent="0.2">
      <c r="A1753" s="1217"/>
      <c r="B1753" s="166"/>
      <c r="E1753" s="83"/>
      <c r="H1753" t="s">
        <v>3384</v>
      </c>
      <c r="I1753">
        <v>0.10051</v>
      </c>
      <c r="J1753" t="s">
        <v>711</v>
      </c>
      <c r="K1753" t="s">
        <v>3384</v>
      </c>
      <c r="L1753" s="166">
        <f t="shared" si="137"/>
        <v>56551.169988024274</v>
      </c>
      <c r="M1753" s="127" t="s">
        <v>3385</v>
      </c>
    </row>
    <row r="1754" spans="1:13" x14ac:dyDescent="0.2">
      <c r="A1754" s="1219"/>
      <c r="B1754" s="833"/>
      <c r="C1754" s="1102"/>
      <c r="D1754" s="118"/>
      <c r="E1754" s="1220"/>
      <c r="F1754" s="118"/>
      <c r="G1754" s="118"/>
      <c r="H1754" s="118"/>
      <c r="I1754" s="118"/>
      <c r="J1754" s="118"/>
      <c r="K1754" s="118"/>
      <c r="L1754" s="833"/>
      <c r="M1754" s="120"/>
    </row>
    <row r="1755" spans="1:13" ht="32" x14ac:dyDescent="0.2">
      <c r="A1755" s="1215" t="s">
        <v>714</v>
      </c>
      <c r="B1755" s="1231">
        <v>249236.24239858228</v>
      </c>
      <c r="C1755" s="1232" t="s">
        <v>3430</v>
      </c>
      <c r="D1755" s="179" t="s">
        <v>577</v>
      </c>
      <c r="E1755" s="1216" t="s">
        <v>3404</v>
      </c>
      <c r="F1755" s="110">
        <v>1</v>
      </c>
      <c r="G1755" s="110" t="s">
        <v>378</v>
      </c>
      <c r="H1755" s="110"/>
      <c r="I1755" s="110"/>
      <c r="J1755" s="110"/>
      <c r="K1755" s="110"/>
      <c r="L1755" s="845"/>
      <c r="M1755" s="112"/>
    </row>
    <row r="1756" spans="1:13" x14ac:dyDescent="0.2">
      <c r="A1756" s="637"/>
      <c r="B1756" s="166"/>
      <c r="E1756" s="83"/>
      <c r="H1756" t="s">
        <v>701</v>
      </c>
      <c r="I1756">
        <v>7.5000000000000002E-4</v>
      </c>
      <c r="J1756" t="s">
        <v>702</v>
      </c>
      <c r="K1756" t="s">
        <v>701</v>
      </c>
      <c r="L1756" s="166">
        <f>I1756*B$1755</f>
        <v>186.92718179893672</v>
      </c>
      <c r="M1756" s="127" t="s">
        <v>3367</v>
      </c>
    </row>
    <row r="1757" spans="1:13" x14ac:dyDescent="0.2">
      <c r="A1757" s="1217"/>
      <c r="B1757" s="166"/>
      <c r="E1757" s="83"/>
      <c r="H1757" t="s">
        <v>703</v>
      </c>
      <c r="I1757" s="33">
        <v>3.3111200000000002E-8</v>
      </c>
      <c r="J1757" t="s">
        <v>704</v>
      </c>
      <c r="K1757" t="s">
        <v>703</v>
      </c>
      <c r="L1757" s="166">
        <f t="shared" ref="L1757:L1765" si="138">I1757*B$1755</f>
        <v>8.2525110693079384E-3</v>
      </c>
      <c r="M1757" s="127" t="s">
        <v>3368</v>
      </c>
    </row>
    <row r="1758" spans="1:13" x14ac:dyDescent="0.2">
      <c r="A1758" s="1217"/>
      <c r="B1758" s="166"/>
      <c r="E1758" s="83"/>
      <c r="H1758" t="s">
        <v>705</v>
      </c>
      <c r="I1758">
        <v>4.1968100000000002</v>
      </c>
      <c r="J1758" t="s">
        <v>706</v>
      </c>
      <c r="K1758" t="s">
        <v>705</v>
      </c>
      <c r="L1758" s="166">
        <f t="shared" si="138"/>
        <v>1045997.1544607942</v>
      </c>
      <c r="M1758" s="127" t="s">
        <v>3370</v>
      </c>
    </row>
    <row r="1759" spans="1:13" x14ac:dyDescent="0.2">
      <c r="A1759" s="1217"/>
      <c r="B1759" s="166"/>
      <c r="E1759" s="83"/>
      <c r="H1759" t="s">
        <v>3372</v>
      </c>
      <c r="I1759">
        <v>3.2000000000000003E-4</v>
      </c>
      <c r="J1759" t="s">
        <v>3373</v>
      </c>
      <c r="K1759" t="s">
        <v>3372</v>
      </c>
      <c r="L1759" s="166">
        <f t="shared" si="138"/>
        <v>79.755597567546332</v>
      </c>
      <c r="M1759" s="127" t="s">
        <v>3374</v>
      </c>
    </row>
    <row r="1760" spans="1:13" x14ac:dyDescent="0.2">
      <c r="A1760" s="1217"/>
      <c r="B1760" s="166"/>
      <c r="E1760" s="83"/>
      <c r="H1760" t="s">
        <v>3375</v>
      </c>
      <c r="I1760">
        <v>5.2999999999999998E-4</v>
      </c>
      <c r="J1760" t="s">
        <v>707</v>
      </c>
      <c r="K1760" t="s">
        <v>3375</v>
      </c>
      <c r="L1760" s="166">
        <f t="shared" si="138"/>
        <v>132.09520847124861</v>
      </c>
      <c r="M1760" s="127" t="s">
        <v>3376</v>
      </c>
    </row>
    <row r="1761" spans="1:13" x14ac:dyDescent="0.2">
      <c r="A1761" s="1217"/>
      <c r="B1761" s="166"/>
      <c r="E1761" s="83"/>
      <c r="H1761" t="s">
        <v>708</v>
      </c>
      <c r="I1761">
        <v>0.39150000000000001</v>
      </c>
      <c r="J1761" t="s">
        <v>709</v>
      </c>
      <c r="K1761" t="s">
        <v>708</v>
      </c>
      <c r="L1761" s="166">
        <f t="shared" si="138"/>
        <v>97575.988899044969</v>
      </c>
      <c r="M1761" s="127" t="s">
        <v>3377</v>
      </c>
    </row>
    <row r="1762" spans="1:13" x14ac:dyDescent="0.2">
      <c r="A1762" s="1217"/>
      <c r="B1762" s="166"/>
      <c r="E1762" s="83"/>
      <c r="H1762" t="s">
        <v>3378</v>
      </c>
      <c r="I1762" s="33">
        <v>9.8849699999999999E-8</v>
      </c>
      <c r="J1762" t="s">
        <v>704</v>
      </c>
      <c r="K1762" t="s">
        <v>3378</v>
      </c>
      <c r="L1762" s="166">
        <f t="shared" si="138"/>
        <v>2.463692779022714E-2</v>
      </c>
      <c r="M1762" s="127" t="s">
        <v>3368</v>
      </c>
    </row>
    <row r="1763" spans="1:13" x14ac:dyDescent="0.2">
      <c r="A1763" s="1217"/>
      <c r="B1763" s="166"/>
      <c r="E1763" s="83"/>
      <c r="H1763" t="s">
        <v>710</v>
      </c>
      <c r="I1763" s="33">
        <v>1.51061E-9</v>
      </c>
      <c r="J1763" t="s">
        <v>3379</v>
      </c>
      <c r="K1763" t="s">
        <v>710</v>
      </c>
      <c r="L1763" s="166">
        <f t="shared" si="138"/>
        <v>3.7649876012972236E-4</v>
      </c>
      <c r="M1763" s="127" t="s">
        <v>3380</v>
      </c>
    </row>
    <row r="1764" spans="1:13" x14ac:dyDescent="0.2">
      <c r="A1764" s="1217"/>
      <c r="B1764" s="166"/>
      <c r="E1764" s="83"/>
      <c r="H1764" t="s">
        <v>3381</v>
      </c>
      <c r="I1764">
        <v>1.01E-3</v>
      </c>
      <c r="J1764" t="s">
        <v>3382</v>
      </c>
      <c r="K1764" t="s">
        <v>3381</v>
      </c>
      <c r="L1764" s="166">
        <f t="shared" si="138"/>
        <v>251.72860482256812</v>
      </c>
      <c r="M1764" s="127" t="s">
        <v>3383</v>
      </c>
    </row>
    <row r="1765" spans="1:13" x14ac:dyDescent="0.2">
      <c r="A1765" s="1217"/>
      <c r="B1765" s="166"/>
      <c r="E1765" s="83"/>
      <c r="H1765" t="s">
        <v>3384</v>
      </c>
      <c r="I1765">
        <v>1.2200000000000001E-2</v>
      </c>
      <c r="J1765" t="s">
        <v>711</v>
      </c>
      <c r="K1765" t="s">
        <v>3384</v>
      </c>
      <c r="L1765" s="166">
        <f t="shared" si="138"/>
        <v>3040.6821572627041</v>
      </c>
      <c r="M1765" s="127" t="s">
        <v>3385</v>
      </c>
    </row>
    <row r="1766" spans="1:13" x14ac:dyDescent="0.2">
      <c r="A1766" s="1219"/>
      <c r="B1766" s="833"/>
      <c r="C1766" s="1102"/>
      <c r="D1766" s="118"/>
      <c r="E1766" s="1220"/>
      <c r="F1766" s="118"/>
      <c r="G1766" s="118"/>
      <c r="H1766" s="118"/>
      <c r="I1766" s="118"/>
      <c r="J1766" s="118"/>
      <c r="K1766" s="118"/>
      <c r="L1766" s="833"/>
      <c r="M1766" s="120"/>
    </row>
    <row r="1767" spans="1:13" ht="32" x14ac:dyDescent="0.2">
      <c r="A1767" s="1215" t="s">
        <v>2433</v>
      </c>
      <c r="B1767" s="845">
        <v>6426480.1267534206</v>
      </c>
      <c r="C1767" s="1103" t="s">
        <v>2959</v>
      </c>
      <c r="D1767" s="110"/>
      <c r="E1767" s="1216" t="s">
        <v>3444</v>
      </c>
      <c r="F1767" s="110">
        <v>1</v>
      </c>
      <c r="G1767" s="110" t="s">
        <v>1</v>
      </c>
      <c r="H1767" s="110"/>
      <c r="I1767" s="110"/>
      <c r="J1767" s="110"/>
      <c r="K1767" s="110"/>
      <c r="L1767" s="845"/>
      <c r="M1767" s="112"/>
    </row>
    <row r="1768" spans="1:13" x14ac:dyDescent="0.2">
      <c r="A1768" s="1217"/>
      <c r="B1768" s="166">
        <v>2915.0322628837071</v>
      </c>
      <c r="C1768" s="133" t="s">
        <v>3225</v>
      </c>
      <c r="E1768" s="83"/>
      <c r="H1768" t="s">
        <v>701</v>
      </c>
      <c r="I1768">
        <v>1.14E-3</v>
      </c>
      <c r="J1768" t="s">
        <v>702</v>
      </c>
      <c r="K1768" t="s">
        <v>701</v>
      </c>
      <c r="L1768" s="166">
        <f>I1768*B$1769</f>
        <v>99.694103390622772</v>
      </c>
      <c r="M1768" s="127" t="s">
        <v>3367</v>
      </c>
    </row>
    <row r="1769" spans="1:13" x14ac:dyDescent="0.2">
      <c r="A1769" s="1217"/>
      <c r="B1769" s="1218">
        <f>B1768*30</f>
        <v>87450.967886511207</v>
      </c>
      <c r="C1769" s="1114" t="s">
        <v>3445</v>
      </c>
      <c r="D1769" s="6" t="s">
        <v>577</v>
      </c>
      <c r="E1769" s="83"/>
      <c r="H1769" t="s">
        <v>703</v>
      </c>
      <c r="I1769" s="33">
        <v>5.4967900000000001E-8</v>
      </c>
      <c r="J1769" t="s">
        <v>704</v>
      </c>
      <c r="K1769" t="s">
        <v>703</v>
      </c>
      <c r="L1769" s="166">
        <f t="shared" ref="L1769:L1776" si="139">I1769*B$1769</f>
        <v>4.8069960576889595E-3</v>
      </c>
      <c r="M1769" s="127" t="s">
        <v>3368</v>
      </c>
    </row>
    <row r="1770" spans="1:13" x14ac:dyDescent="0.2">
      <c r="A1770" s="1217"/>
      <c r="B1770" s="166"/>
      <c r="E1770" s="83"/>
      <c r="H1770" t="s">
        <v>705</v>
      </c>
      <c r="I1770">
        <v>9.5996699999999997</v>
      </c>
      <c r="J1770" t="s">
        <v>706</v>
      </c>
      <c r="K1770" t="s">
        <v>705</v>
      </c>
      <c r="L1770" s="166">
        <f t="shared" si="139"/>
        <v>839500.43289110507</v>
      </c>
      <c r="M1770" s="127" t="s">
        <v>3370</v>
      </c>
    </row>
    <row r="1771" spans="1:13" x14ac:dyDescent="0.2">
      <c r="A1771" s="1217"/>
      <c r="B1771" s="166"/>
      <c r="E1771" s="83"/>
      <c r="H1771" t="s">
        <v>3372</v>
      </c>
      <c r="I1771">
        <v>2.3600000000000001E-3</v>
      </c>
      <c r="J1771" t="s">
        <v>3373</v>
      </c>
      <c r="K1771" t="s">
        <v>3372</v>
      </c>
      <c r="L1771" s="166">
        <f t="shared" si="139"/>
        <v>206.38428421216645</v>
      </c>
      <c r="M1771" s="127" t="s">
        <v>3374</v>
      </c>
    </row>
    <row r="1772" spans="1:13" x14ac:dyDescent="0.2">
      <c r="A1772" s="1217"/>
      <c r="B1772" s="166"/>
      <c r="E1772" s="83"/>
      <c r="H1772" t="s">
        <v>3375</v>
      </c>
      <c r="I1772">
        <v>7.0000000000000001E-3</v>
      </c>
      <c r="J1772" t="s">
        <v>707</v>
      </c>
      <c r="K1772" t="s">
        <v>3375</v>
      </c>
      <c r="L1772" s="166">
        <f t="shared" si="139"/>
        <v>612.15677520557847</v>
      </c>
      <c r="M1772" s="127" t="s">
        <v>3376</v>
      </c>
    </row>
    <row r="1773" spans="1:13" x14ac:dyDescent="0.2">
      <c r="A1773" s="1217"/>
      <c r="B1773" s="166"/>
      <c r="E1773" s="83"/>
      <c r="H1773" t="s">
        <v>708</v>
      </c>
      <c r="I1773">
        <v>0.20222999999999999</v>
      </c>
      <c r="J1773" t="s">
        <v>709</v>
      </c>
      <c r="K1773" t="s">
        <v>708</v>
      </c>
      <c r="L1773" s="166">
        <f t="shared" si="139"/>
        <v>17685.209235689163</v>
      </c>
      <c r="M1773" s="127" t="s">
        <v>3377</v>
      </c>
    </row>
    <row r="1774" spans="1:13" x14ac:dyDescent="0.2">
      <c r="A1774" s="1217"/>
      <c r="B1774" s="166"/>
      <c r="E1774" s="83"/>
      <c r="H1774" t="s">
        <v>3378</v>
      </c>
      <c r="I1774" s="33">
        <v>5.2573200000000002E-6</v>
      </c>
      <c r="J1774" t="s">
        <v>704</v>
      </c>
      <c r="K1774" t="s">
        <v>3378</v>
      </c>
      <c r="L1774" s="166">
        <f t="shared" si="139"/>
        <v>0.45975772248911312</v>
      </c>
      <c r="M1774" s="127" t="s">
        <v>3368</v>
      </c>
    </row>
    <row r="1775" spans="1:13" x14ac:dyDescent="0.2">
      <c r="A1775" s="1217"/>
      <c r="B1775" s="166"/>
      <c r="E1775" s="83"/>
      <c r="H1775" t="s">
        <v>710</v>
      </c>
      <c r="I1775" s="33">
        <v>1.8080899999999999E-9</v>
      </c>
      <c r="J1775" t="s">
        <v>3379</v>
      </c>
      <c r="K1775" t="s">
        <v>710</v>
      </c>
      <c r="L1775" s="166">
        <f t="shared" si="139"/>
        <v>1.5811922052592204E-4</v>
      </c>
      <c r="M1775" s="127" t="s">
        <v>3380</v>
      </c>
    </row>
    <row r="1776" spans="1:13" x14ac:dyDescent="0.2">
      <c r="A1776" s="1217"/>
      <c r="B1776" s="166"/>
      <c r="E1776" s="83"/>
      <c r="H1776" t="s">
        <v>3381</v>
      </c>
      <c r="I1776">
        <v>1.4999999999999999E-4</v>
      </c>
      <c r="J1776" t="s">
        <v>3382</v>
      </c>
      <c r="K1776" t="s">
        <v>3381</v>
      </c>
      <c r="L1776" s="166">
        <f t="shared" si="139"/>
        <v>13.11764518297668</v>
      </c>
      <c r="M1776" s="127" t="s">
        <v>3383</v>
      </c>
    </row>
    <row r="1777" spans="1:13" x14ac:dyDescent="0.2">
      <c r="A1777" s="1217"/>
      <c r="B1777" s="166"/>
      <c r="E1777" s="83"/>
      <c r="H1777" t="s">
        <v>3384</v>
      </c>
      <c r="I1777">
        <v>1.456E-2</v>
      </c>
      <c r="J1777" t="s">
        <v>711</v>
      </c>
      <c r="K1777" t="s">
        <v>3384</v>
      </c>
      <c r="L1777" s="166">
        <f>I1777*B$1769</f>
        <v>1273.2860924276031</v>
      </c>
      <c r="M1777" s="127" t="s">
        <v>3385</v>
      </c>
    </row>
    <row r="1778" spans="1:13" x14ac:dyDescent="0.2">
      <c r="A1778" s="1219"/>
      <c r="B1778" s="833"/>
      <c r="C1778" s="1102"/>
      <c r="D1778" s="118"/>
      <c r="E1778" s="1220"/>
      <c r="F1778" s="118"/>
      <c r="G1778" s="118"/>
      <c r="H1778" s="118"/>
      <c r="I1778" s="118"/>
      <c r="J1778" s="118"/>
      <c r="K1778" s="118"/>
      <c r="L1778" s="833"/>
      <c r="M1778" s="120"/>
    </row>
    <row r="1779" spans="1:13" ht="16" x14ac:dyDescent="0.2">
      <c r="A1779" s="1215" t="s">
        <v>1569</v>
      </c>
      <c r="B1779" s="1231">
        <v>1.9820996027756688</v>
      </c>
      <c r="C1779" s="1232" t="s">
        <v>3414</v>
      </c>
      <c r="D1779" s="179" t="s">
        <v>577</v>
      </c>
      <c r="E1779" s="1216" t="s">
        <v>3452</v>
      </c>
      <c r="F1779" s="110">
        <v>1</v>
      </c>
      <c r="G1779" s="110" t="s">
        <v>15</v>
      </c>
      <c r="H1779" s="110"/>
      <c r="I1779" s="110"/>
      <c r="J1779" s="110"/>
      <c r="K1779" s="110"/>
      <c r="L1779" s="845"/>
      <c r="M1779" s="112"/>
    </row>
    <row r="1780" spans="1:13" ht="16" x14ac:dyDescent="0.2">
      <c r="A1780" s="1217"/>
      <c r="B1780" s="166"/>
      <c r="E1780" s="83" t="s">
        <v>3451</v>
      </c>
      <c r="H1780" t="s">
        <v>701</v>
      </c>
      <c r="I1780">
        <v>3916.8337000000001</v>
      </c>
      <c r="J1780" t="s">
        <v>702</v>
      </c>
      <c r="K1780" t="s">
        <v>701</v>
      </c>
      <c r="L1780" s="166">
        <f>I1780*B$1640</f>
        <v>4525.086773596312</v>
      </c>
      <c r="M1780" s="127" t="s">
        <v>3367</v>
      </c>
    </row>
    <row r="1781" spans="1:13" x14ac:dyDescent="0.2">
      <c r="A1781" s="1217"/>
      <c r="B1781" s="166"/>
      <c r="E1781" s="83"/>
      <c r="H1781" t="s">
        <v>703</v>
      </c>
      <c r="I1781" s="33">
        <v>1.265E-2</v>
      </c>
      <c r="J1781" t="s">
        <v>704</v>
      </c>
      <c r="K1781" t="s">
        <v>703</v>
      </c>
      <c r="L1781" s="166">
        <f t="shared" ref="L1781:L1789" si="140">I1781*B$1640</f>
        <v>1.4614444234891399E-2</v>
      </c>
      <c r="M1781" s="127" t="s">
        <v>3368</v>
      </c>
    </row>
    <row r="1782" spans="1:13" x14ac:dyDescent="0.2">
      <c r="A1782" s="1217"/>
      <c r="B1782" s="166"/>
      <c r="E1782" s="83"/>
      <c r="H1782" t="s">
        <v>705</v>
      </c>
      <c r="I1782" s="33">
        <v>11084000</v>
      </c>
      <c r="J1782" t="s">
        <v>706</v>
      </c>
      <c r="K1782" t="s">
        <v>705</v>
      </c>
      <c r="L1782" s="166">
        <f t="shared" si="140"/>
        <v>12805256.90905425</v>
      </c>
      <c r="M1782" s="127" t="s">
        <v>3370</v>
      </c>
    </row>
    <row r="1783" spans="1:13" x14ac:dyDescent="0.2">
      <c r="A1783" s="1217"/>
      <c r="B1783" s="166"/>
      <c r="E1783" s="83"/>
      <c r="H1783" t="s">
        <v>3372</v>
      </c>
      <c r="I1783">
        <v>82.389009999999999</v>
      </c>
      <c r="J1783" t="s">
        <v>3373</v>
      </c>
      <c r="K1783" t="s">
        <v>3372</v>
      </c>
      <c r="L1783" s="166">
        <f t="shared" si="140"/>
        <v>95.183366973352548</v>
      </c>
      <c r="M1783" s="127" t="s">
        <v>3374</v>
      </c>
    </row>
    <row r="1784" spans="1:13" x14ac:dyDescent="0.2">
      <c r="A1784" s="1217"/>
      <c r="B1784" s="166"/>
      <c r="E1784" s="83"/>
      <c r="H1784" t="s">
        <v>3375</v>
      </c>
      <c r="I1784">
        <v>1109.5744</v>
      </c>
      <c r="J1784" t="s">
        <v>707</v>
      </c>
      <c r="K1784" t="s">
        <v>3375</v>
      </c>
      <c r="L1784" s="166">
        <f t="shared" si="140"/>
        <v>1281.8824658705994</v>
      </c>
      <c r="M1784" s="127" t="s">
        <v>3376</v>
      </c>
    </row>
    <row r="1785" spans="1:13" x14ac:dyDescent="0.2">
      <c r="A1785" s="1217"/>
      <c r="B1785" s="166"/>
      <c r="E1785" s="83"/>
      <c r="H1785" t="s">
        <v>708</v>
      </c>
      <c r="I1785" s="33">
        <v>69500.5</v>
      </c>
      <c r="J1785" t="s">
        <v>709</v>
      </c>
      <c r="K1785" t="s">
        <v>708</v>
      </c>
      <c r="L1785" s="166">
        <f t="shared" si="140"/>
        <v>80293.374035341476</v>
      </c>
      <c r="M1785" s="127" t="s">
        <v>3377</v>
      </c>
    </row>
    <row r="1786" spans="1:13" x14ac:dyDescent="0.2">
      <c r="A1786" s="1217"/>
      <c r="B1786" s="166"/>
      <c r="E1786" s="83"/>
      <c r="H1786" t="s">
        <v>3378</v>
      </c>
      <c r="I1786" s="33">
        <v>0.40360000000000001</v>
      </c>
      <c r="J1786" t="s">
        <v>704</v>
      </c>
      <c r="K1786" t="s">
        <v>3378</v>
      </c>
      <c r="L1786" s="166">
        <f t="shared" si="140"/>
        <v>0.46627586507527025</v>
      </c>
      <c r="M1786" s="127" t="s">
        <v>3368</v>
      </c>
    </row>
    <row r="1787" spans="1:13" x14ac:dyDescent="0.2">
      <c r="A1787" s="1217"/>
      <c r="B1787" s="166"/>
      <c r="E1787" s="83"/>
      <c r="H1787" t="s">
        <v>710</v>
      </c>
      <c r="I1787" s="33">
        <v>5.5000000000000003E-4</v>
      </c>
      <c r="J1787" t="s">
        <v>3379</v>
      </c>
      <c r="K1787" t="s">
        <v>710</v>
      </c>
      <c r="L1787" s="166">
        <f t="shared" si="140"/>
        <v>6.3541061890832172E-4</v>
      </c>
      <c r="M1787" s="127" t="s">
        <v>3380</v>
      </c>
    </row>
    <row r="1788" spans="1:13" x14ac:dyDescent="0.2">
      <c r="A1788" s="1217"/>
      <c r="B1788" s="166"/>
      <c r="E1788" s="83"/>
      <c r="H1788" t="s">
        <v>3381</v>
      </c>
      <c r="I1788">
        <v>221.3785</v>
      </c>
      <c r="J1788" t="s">
        <v>3382</v>
      </c>
      <c r="K1788" t="s">
        <v>3381</v>
      </c>
      <c r="L1788" s="166">
        <f t="shared" si="140"/>
        <v>255.75681763271982</v>
      </c>
      <c r="M1788" s="127" t="s">
        <v>3383</v>
      </c>
    </row>
    <row r="1789" spans="1:13" x14ac:dyDescent="0.2">
      <c r="A1789" s="1217"/>
      <c r="B1789" s="166"/>
      <c r="E1789" s="83"/>
      <c r="H1789" t="s">
        <v>3384</v>
      </c>
      <c r="I1789" s="33">
        <v>23839.5</v>
      </c>
      <c r="J1789" t="s">
        <v>711</v>
      </c>
      <c r="K1789" t="s">
        <v>3384</v>
      </c>
      <c r="L1789" s="166">
        <f t="shared" si="140"/>
        <v>27541.58445357261</v>
      </c>
      <c r="M1789" s="127" t="s">
        <v>3385</v>
      </c>
    </row>
    <row r="1790" spans="1:13" x14ac:dyDescent="0.2">
      <c r="A1790" s="1219"/>
      <c r="B1790" s="833"/>
      <c r="C1790" s="1102"/>
      <c r="D1790" s="118"/>
      <c r="E1790" s="1220"/>
      <c r="F1790" s="118"/>
      <c r="G1790" s="118"/>
      <c r="H1790" s="118"/>
      <c r="I1790" s="118"/>
      <c r="J1790" s="118"/>
      <c r="K1790" s="118"/>
      <c r="L1790" s="833"/>
      <c r="M1790" s="120"/>
    </row>
    <row r="1791" spans="1:13" x14ac:dyDescent="0.2">
      <c r="A1791" s="1222"/>
      <c r="E1791" s="83"/>
    </row>
    <row r="1794" spans="1:15" ht="16" thickBot="1" x14ac:dyDescent="0.25"/>
    <row r="1795" spans="1:15" x14ac:dyDescent="0.2">
      <c r="A1795" s="1949" t="s">
        <v>1011</v>
      </c>
      <c r="B1795" s="1950"/>
      <c r="C1795" s="1950"/>
      <c r="D1795" s="1950"/>
      <c r="E1795" s="1950"/>
      <c r="F1795" s="1950"/>
      <c r="G1795" s="1950"/>
      <c r="H1795" s="1950"/>
      <c r="I1795" s="1950"/>
      <c r="J1795" s="1950"/>
      <c r="K1795" s="1950"/>
      <c r="L1795" s="1950"/>
      <c r="M1795" s="1950"/>
      <c r="N1795" s="1950"/>
      <c r="O1795" s="1951"/>
    </row>
    <row r="1796" spans="1:15" ht="16" thickBot="1" x14ac:dyDescent="0.25">
      <c r="A1796" s="1952"/>
      <c r="B1796" s="1953"/>
      <c r="C1796" s="1953"/>
      <c r="D1796" s="1953"/>
      <c r="E1796" s="1953"/>
      <c r="F1796" s="1953"/>
      <c r="G1796" s="1953"/>
      <c r="H1796" s="1953"/>
      <c r="I1796" s="1953"/>
      <c r="J1796" s="1953"/>
      <c r="K1796" s="1953"/>
      <c r="L1796" s="1953"/>
      <c r="M1796" s="1953"/>
      <c r="N1796" s="1953"/>
      <c r="O1796" s="1954"/>
    </row>
    <row r="1797" spans="1:15" s="6" customFormat="1" x14ac:dyDescent="0.2">
      <c r="A1797" s="1920" t="s">
        <v>697</v>
      </c>
      <c r="B1797" s="1515" t="s">
        <v>698</v>
      </c>
      <c r="C1797" s="1515"/>
      <c r="D1797" s="1515"/>
      <c r="E1797" s="1921" t="s">
        <v>3362</v>
      </c>
      <c r="F1797" s="1515" t="s">
        <v>699</v>
      </c>
      <c r="G1797" s="1515"/>
      <c r="H1797" s="1515" t="s">
        <v>3363</v>
      </c>
      <c r="I1797" s="1515"/>
      <c r="J1797" s="1515"/>
      <c r="K1797" s="1515" t="s">
        <v>700</v>
      </c>
      <c r="L1797" s="1515"/>
      <c r="M1797" s="1515"/>
    </row>
    <row r="1798" spans="1:15" s="6" customFormat="1" ht="15.75" customHeight="1" x14ac:dyDescent="0.2">
      <c r="A1798" s="1520"/>
      <c r="B1798" s="1214" t="s">
        <v>515</v>
      </c>
      <c r="C1798" s="969" t="s">
        <v>372</v>
      </c>
      <c r="D1798" s="969" t="s">
        <v>583</v>
      </c>
      <c r="E1798" s="1922"/>
      <c r="F1798" s="969" t="s">
        <v>42</v>
      </c>
      <c r="G1798" s="969" t="s">
        <v>372</v>
      </c>
      <c r="H1798" s="29" t="s">
        <v>697</v>
      </c>
      <c r="I1798" s="969" t="s">
        <v>42</v>
      </c>
      <c r="J1798" s="969" t="s">
        <v>372</v>
      </c>
      <c r="K1798" s="969" t="s">
        <v>697</v>
      </c>
      <c r="L1798" s="1214" t="s">
        <v>42</v>
      </c>
      <c r="M1798" s="969" t="s">
        <v>372</v>
      </c>
    </row>
    <row r="1799" spans="1:15" ht="16" x14ac:dyDescent="0.2">
      <c r="A1799" s="486" t="s">
        <v>2379</v>
      </c>
      <c r="B1799" s="845">
        <v>1875.4740817837121</v>
      </c>
      <c r="C1799" s="1159" t="s">
        <v>267</v>
      </c>
      <c r="D1799" s="1229">
        <v>2</v>
      </c>
      <c r="E1799" s="159" t="s">
        <v>3400</v>
      </c>
      <c r="F1799" s="110">
        <v>1</v>
      </c>
      <c r="G1799" s="110" t="s">
        <v>1</v>
      </c>
      <c r="H1799" s="110"/>
      <c r="I1799" s="110"/>
      <c r="J1799" s="110"/>
      <c r="K1799" s="110"/>
      <c r="L1799" s="845"/>
      <c r="M1799" s="112"/>
    </row>
    <row r="1800" spans="1:15" x14ac:dyDescent="0.2">
      <c r="A1800" s="1217"/>
      <c r="B1800" s="166">
        <f>B1799*10/1000</f>
        <v>18.754740817837124</v>
      </c>
      <c r="C1800" s="133" t="s">
        <v>1</v>
      </c>
      <c r="E1800" s="83"/>
      <c r="H1800" t="s">
        <v>701</v>
      </c>
      <c r="I1800">
        <v>7.5000000000000002E-4</v>
      </c>
      <c r="J1800" t="s">
        <v>702</v>
      </c>
      <c r="K1800" t="s">
        <v>701</v>
      </c>
      <c r="L1800" s="166">
        <f>I1800*B$1801</f>
        <v>2.8132111226755688E-2</v>
      </c>
      <c r="M1800" s="127" t="s">
        <v>3367</v>
      </c>
    </row>
    <row r="1801" spans="1:15" x14ac:dyDescent="0.2">
      <c r="A1801" s="1217"/>
      <c r="B1801" s="1218">
        <f>B1800*D1799</f>
        <v>37.509481635674248</v>
      </c>
      <c r="C1801" s="1114" t="s">
        <v>1</v>
      </c>
      <c r="D1801" s="6" t="s">
        <v>577</v>
      </c>
      <c r="E1801" s="83"/>
      <c r="H1801" t="s">
        <v>703</v>
      </c>
      <c r="I1801" s="33">
        <v>3.3111200000000002E-8</v>
      </c>
      <c r="J1801" t="s">
        <v>704</v>
      </c>
      <c r="K1801" t="s">
        <v>703</v>
      </c>
      <c r="L1801" s="166">
        <f t="shared" ref="L1801:L1809" si="141">I1801*B$1801</f>
        <v>1.2419839483351372E-6</v>
      </c>
      <c r="M1801" s="127" t="s">
        <v>3368</v>
      </c>
    </row>
    <row r="1802" spans="1:15" x14ac:dyDescent="0.2">
      <c r="A1802" s="1217"/>
      <c r="B1802" s="166"/>
      <c r="E1802" s="83"/>
      <c r="H1802" t="s">
        <v>705</v>
      </c>
      <c r="I1802">
        <v>4.1968100000000002</v>
      </c>
      <c r="J1802" t="s">
        <v>706</v>
      </c>
      <c r="K1802" t="s">
        <v>705</v>
      </c>
      <c r="L1802" s="166">
        <f t="shared" si="141"/>
        <v>157.42016762341405</v>
      </c>
      <c r="M1802" s="127" t="s">
        <v>3370</v>
      </c>
    </row>
    <row r="1803" spans="1:15" x14ac:dyDescent="0.2">
      <c r="A1803" s="1217"/>
      <c r="B1803" s="166"/>
      <c r="E1803" s="83"/>
      <c r="H1803" t="s">
        <v>3372</v>
      </c>
      <c r="I1803">
        <v>3.2000000000000003E-4</v>
      </c>
      <c r="J1803" t="s">
        <v>3373</v>
      </c>
      <c r="K1803" t="s">
        <v>3372</v>
      </c>
      <c r="L1803" s="166">
        <f t="shared" si="141"/>
        <v>1.2003034123415761E-2</v>
      </c>
      <c r="M1803" s="127" t="s">
        <v>3374</v>
      </c>
    </row>
    <row r="1804" spans="1:15" x14ac:dyDescent="0.2">
      <c r="A1804" s="1217"/>
      <c r="B1804" s="166"/>
      <c r="E1804" s="83"/>
      <c r="H1804" t="s">
        <v>3375</v>
      </c>
      <c r="I1804">
        <v>5.2999999999999998E-4</v>
      </c>
      <c r="J1804" t="s">
        <v>707</v>
      </c>
      <c r="K1804" t="s">
        <v>3375</v>
      </c>
      <c r="L1804" s="166">
        <f t="shared" si="141"/>
        <v>1.9880025266907349E-2</v>
      </c>
      <c r="M1804" s="127" t="s">
        <v>3376</v>
      </c>
    </row>
    <row r="1805" spans="1:15" x14ac:dyDescent="0.2">
      <c r="A1805" s="1217"/>
      <c r="B1805" s="166"/>
      <c r="E1805" s="83"/>
      <c r="H1805" t="s">
        <v>708</v>
      </c>
      <c r="I1805">
        <v>0.39150000000000001</v>
      </c>
      <c r="J1805" t="s">
        <v>709</v>
      </c>
      <c r="K1805" t="s">
        <v>708</v>
      </c>
      <c r="L1805" s="166">
        <f t="shared" si="141"/>
        <v>14.68496206036647</v>
      </c>
      <c r="M1805" s="127" t="s">
        <v>3377</v>
      </c>
    </row>
    <row r="1806" spans="1:15" x14ac:dyDescent="0.2">
      <c r="A1806" s="1217"/>
      <c r="B1806" s="166"/>
      <c r="E1806" s="83"/>
      <c r="H1806" t="s">
        <v>3378</v>
      </c>
      <c r="I1806" s="33">
        <v>9.8849699999999999E-8</v>
      </c>
      <c r="J1806" t="s">
        <v>704</v>
      </c>
      <c r="K1806" t="s">
        <v>3378</v>
      </c>
      <c r="L1806" s="166">
        <f t="shared" si="141"/>
        <v>3.7078010068419088E-6</v>
      </c>
      <c r="M1806" s="127" t="s">
        <v>3368</v>
      </c>
    </row>
    <row r="1807" spans="1:15" x14ac:dyDescent="0.2">
      <c r="A1807" s="1217"/>
      <c r="B1807" s="166"/>
      <c r="E1807" s="83"/>
      <c r="H1807" t="s">
        <v>710</v>
      </c>
      <c r="I1807" s="33">
        <v>1.51061E-9</v>
      </c>
      <c r="J1807" t="s">
        <v>3379</v>
      </c>
      <c r="K1807" t="s">
        <v>710</v>
      </c>
      <c r="L1807" s="166">
        <f t="shared" si="141"/>
        <v>5.6662198053665875E-8</v>
      </c>
      <c r="M1807" s="127" t="s">
        <v>3380</v>
      </c>
    </row>
    <row r="1808" spans="1:15" x14ac:dyDescent="0.2">
      <c r="A1808" s="1217"/>
      <c r="B1808" s="166"/>
      <c r="E1808" s="83"/>
      <c r="H1808" t="s">
        <v>3381</v>
      </c>
      <c r="I1808">
        <v>1.01E-3</v>
      </c>
      <c r="J1808" t="s">
        <v>3382</v>
      </c>
      <c r="K1808" t="s">
        <v>3381</v>
      </c>
      <c r="L1808" s="166">
        <f t="shared" si="141"/>
        <v>3.7884576452030992E-2</v>
      </c>
      <c r="M1808" s="127" t="s">
        <v>3383</v>
      </c>
    </row>
    <row r="1809" spans="1:13" x14ac:dyDescent="0.2">
      <c r="A1809" s="1217"/>
      <c r="B1809" s="166"/>
      <c r="E1809" s="83"/>
      <c r="H1809" t="s">
        <v>3384</v>
      </c>
      <c r="I1809">
        <v>1.2200000000000001E-2</v>
      </c>
      <c r="J1809" t="s">
        <v>711</v>
      </c>
      <c r="K1809" t="s">
        <v>3384</v>
      </c>
      <c r="L1809" s="166">
        <f t="shared" si="141"/>
        <v>0.45761567595522584</v>
      </c>
      <c r="M1809" s="127" t="s">
        <v>3385</v>
      </c>
    </row>
    <row r="1810" spans="1:13" x14ac:dyDescent="0.2">
      <c r="A1810" s="1219"/>
      <c r="B1810" s="833"/>
      <c r="C1810" s="1102"/>
      <c r="D1810" s="118"/>
      <c r="E1810" s="1220"/>
      <c r="F1810" s="118"/>
      <c r="G1810" s="118"/>
      <c r="H1810" s="118"/>
      <c r="I1810" s="118"/>
      <c r="J1810" s="118"/>
      <c r="K1810" s="118"/>
      <c r="L1810" s="833"/>
      <c r="M1810" s="120"/>
    </row>
    <row r="1811" spans="1:13" ht="16" x14ac:dyDescent="0.2">
      <c r="A1811" s="486" t="s">
        <v>1026</v>
      </c>
      <c r="B1811" s="845">
        <v>1875.4740817837121</v>
      </c>
      <c r="C1811" s="1159" t="s">
        <v>267</v>
      </c>
      <c r="D1811" s="1229">
        <v>2</v>
      </c>
      <c r="E1811" s="1216" t="s">
        <v>3393</v>
      </c>
      <c r="F1811" s="110"/>
      <c r="G1811" s="110"/>
      <c r="H1811" s="110"/>
      <c r="I1811" s="110"/>
      <c r="J1811" s="110"/>
      <c r="K1811" s="110"/>
      <c r="L1811" s="845"/>
      <c r="M1811" s="112"/>
    </row>
    <row r="1812" spans="1:13" x14ac:dyDescent="0.2">
      <c r="A1812" s="1217"/>
      <c r="B1812" s="166">
        <f>B1811/1000</f>
        <v>1.8754740817837121</v>
      </c>
      <c r="C1812" s="133" t="s">
        <v>444</v>
      </c>
      <c r="F1812">
        <v>1</v>
      </c>
      <c r="G1812" t="s">
        <v>15</v>
      </c>
      <c r="H1812" t="s">
        <v>701</v>
      </c>
      <c r="I1812">
        <v>6.0200000000000002E-3</v>
      </c>
      <c r="J1812" t="s">
        <v>702</v>
      </c>
      <c r="K1812" t="s">
        <v>701</v>
      </c>
      <c r="L1812" s="166">
        <f>I1812*B$1816</f>
        <v>60.2</v>
      </c>
      <c r="M1812" s="127" t="s">
        <v>3367</v>
      </c>
    </row>
    <row r="1813" spans="1:13" x14ac:dyDescent="0.2">
      <c r="A1813" s="1217"/>
      <c r="B1813" s="166">
        <v>30</v>
      </c>
      <c r="C1813" s="133" t="s">
        <v>444</v>
      </c>
      <c r="E1813" s="83"/>
      <c r="H1813" t="s">
        <v>703</v>
      </c>
      <c r="I1813" s="33">
        <v>1.2843299999999999E-6</v>
      </c>
      <c r="J1813" t="s">
        <v>704</v>
      </c>
      <c r="K1813" t="s">
        <v>703</v>
      </c>
      <c r="L1813" s="166">
        <f t="shared" ref="L1813:L1821" si="142">I1813*B$1816</f>
        <v>1.2843299999999998E-2</v>
      </c>
      <c r="M1813" s="127" t="s">
        <v>3368</v>
      </c>
    </row>
    <row r="1814" spans="1:13" x14ac:dyDescent="0.2">
      <c r="A1814" s="1217"/>
      <c r="B1814" s="166">
        <f>ROUNDUP(B1812/B1813,0)*D1811</f>
        <v>2</v>
      </c>
      <c r="C1814" s="133" t="s">
        <v>3409</v>
      </c>
      <c r="E1814" s="83"/>
      <c r="H1814" t="s">
        <v>705</v>
      </c>
      <c r="I1814">
        <v>67.217029999999994</v>
      </c>
      <c r="J1814" t="s">
        <v>706</v>
      </c>
      <c r="K1814" t="s">
        <v>705</v>
      </c>
      <c r="L1814" s="166">
        <f t="shared" si="142"/>
        <v>672170.29999999993</v>
      </c>
      <c r="M1814" s="127" t="s">
        <v>3370</v>
      </c>
    </row>
    <row r="1815" spans="1:13" x14ac:dyDescent="0.2">
      <c r="A1815" s="1217"/>
      <c r="B1815" s="166">
        <v>5000</v>
      </c>
      <c r="C1815" s="133" t="s">
        <v>3410</v>
      </c>
      <c r="E1815" s="83"/>
      <c r="H1815" t="s">
        <v>3372</v>
      </c>
      <c r="I1815">
        <v>7.6999999999999996E-4</v>
      </c>
      <c r="J1815" t="s">
        <v>3373</v>
      </c>
      <c r="K1815" t="s">
        <v>3372</v>
      </c>
      <c r="L1815" s="166">
        <f t="shared" si="142"/>
        <v>7.6999999999999993</v>
      </c>
      <c r="M1815" s="127" t="s">
        <v>3374</v>
      </c>
    </row>
    <row r="1816" spans="1:13" x14ac:dyDescent="0.2">
      <c r="A1816" s="1217"/>
      <c r="B1816" s="1218">
        <f>B1814*B1815</f>
        <v>10000</v>
      </c>
      <c r="C1816" s="1114" t="s">
        <v>3411</v>
      </c>
      <c r="D1816" s="6" t="s">
        <v>577</v>
      </c>
      <c r="E1816" s="83"/>
      <c r="H1816" t="s">
        <v>3375</v>
      </c>
      <c r="I1816">
        <v>4.1700000000000001E-3</v>
      </c>
      <c r="J1816" t="s">
        <v>707</v>
      </c>
      <c r="K1816" t="s">
        <v>3375</v>
      </c>
      <c r="L1816" s="166">
        <f t="shared" si="142"/>
        <v>41.7</v>
      </c>
      <c r="M1816" s="127" t="s">
        <v>3376</v>
      </c>
    </row>
    <row r="1817" spans="1:13" x14ac:dyDescent="0.2">
      <c r="A1817" s="1217"/>
      <c r="B1817" s="166"/>
      <c r="E1817" s="83"/>
      <c r="H1817" t="s">
        <v>708</v>
      </c>
      <c r="I1817">
        <v>1.7658199999999999</v>
      </c>
      <c r="J1817" t="s">
        <v>709</v>
      </c>
      <c r="K1817" t="s">
        <v>708</v>
      </c>
      <c r="L1817" s="166">
        <f t="shared" si="142"/>
        <v>17658.2</v>
      </c>
      <c r="M1817" s="127" t="s">
        <v>3377</v>
      </c>
    </row>
    <row r="1818" spans="1:13" x14ac:dyDescent="0.2">
      <c r="A1818" s="1217"/>
      <c r="B1818" s="166"/>
      <c r="E1818" s="83"/>
      <c r="H1818" t="s">
        <v>3378</v>
      </c>
      <c r="I1818" s="33">
        <v>3.4665800000000001E-7</v>
      </c>
      <c r="J1818" t="s">
        <v>704</v>
      </c>
      <c r="K1818" t="s">
        <v>3378</v>
      </c>
      <c r="L1818" s="166">
        <f t="shared" si="142"/>
        <v>3.4665799999999999E-3</v>
      </c>
      <c r="M1818" s="127" t="s">
        <v>3368</v>
      </c>
    </row>
    <row r="1819" spans="1:13" x14ac:dyDescent="0.2">
      <c r="A1819" s="1217"/>
      <c r="B1819" s="166"/>
      <c r="E1819" s="83"/>
      <c r="H1819" t="s">
        <v>710</v>
      </c>
      <c r="I1819" s="33">
        <v>5.15501E-8</v>
      </c>
      <c r="J1819" t="s">
        <v>3379</v>
      </c>
      <c r="K1819" t="s">
        <v>710</v>
      </c>
      <c r="L1819" s="166">
        <f t="shared" si="142"/>
        <v>5.1550100000000002E-4</v>
      </c>
      <c r="M1819" s="127" t="s">
        <v>3380</v>
      </c>
    </row>
    <row r="1820" spans="1:13" x14ac:dyDescent="0.2">
      <c r="A1820" s="1217"/>
      <c r="B1820" s="166"/>
      <c r="E1820" s="83"/>
      <c r="H1820" t="s">
        <v>3381</v>
      </c>
      <c r="I1820">
        <v>2.7299999999999998E-3</v>
      </c>
      <c r="J1820" t="s">
        <v>3382</v>
      </c>
      <c r="K1820" t="s">
        <v>3381</v>
      </c>
      <c r="L1820" s="166">
        <f t="shared" si="142"/>
        <v>27.299999999999997</v>
      </c>
      <c r="M1820" s="127" t="s">
        <v>3383</v>
      </c>
    </row>
    <row r="1821" spans="1:13" x14ac:dyDescent="0.2">
      <c r="A1821" s="1217"/>
      <c r="B1821" s="166"/>
      <c r="E1821" s="83"/>
      <c r="H1821" t="s">
        <v>3384</v>
      </c>
      <c r="I1821">
        <v>0.10051</v>
      </c>
      <c r="J1821" t="s">
        <v>711</v>
      </c>
      <c r="K1821" t="s">
        <v>3384</v>
      </c>
      <c r="L1821" s="166">
        <f t="shared" si="142"/>
        <v>1005.1</v>
      </c>
      <c r="M1821" s="127" t="s">
        <v>3385</v>
      </c>
    </row>
    <row r="1822" spans="1:13" x14ac:dyDescent="0.2">
      <c r="A1822" s="1219"/>
      <c r="B1822" s="833"/>
      <c r="C1822" s="1102"/>
      <c r="D1822" s="118"/>
      <c r="E1822" s="1220"/>
      <c r="F1822" s="118"/>
      <c r="G1822" s="118"/>
      <c r="H1822" s="118"/>
      <c r="I1822" s="118"/>
      <c r="J1822" s="118"/>
      <c r="K1822" s="118"/>
      <c r="L1822" s="833"/>
      <c r="M1822" s="120"/>
    </row>
    <row r="1823" spans="1:13" ht="16" x14ac:dyDescent="0.2">
      <c r="A1823" s="486" t="s">
        <v>1027</v>
      </c>
      <c r="B1823" s="845">
        <v>1875.4740817837121</v>
      </c>
      <c r="C1823" s="1159" t="s">
        <v>267</v>
      </c>
      <c r="D1823" s="1229">
        <v>2</v>
      </c>
      <c r="E1823" s="1216" t="s">
        <v>3388</v>
      </c>
      <c r="F1823" s="110"/>
      <c r="G1823" s="110"/>
      <c r="H1823" s="110"/>
      <c r="I1823" s="110"/>
      <c r="J1823" s="110"/>
      <c r="K1823" s="110"/>
      <c r="L1823" s="845"/>
      <c r="M1823" s="112"/>
    </row>
    <row r="1824" spans="1:13" x14ac:dyDescent="0.2">
      <c r="A1824" s="1217"/>
      <c r="B1824" s="166">
        <f>B1823/1000</f>
        <v>1.8754740817837121</v>
      </c>
      <c r="C1824" s="133" t="s">
        <v>444</v>
      </c>
      <c r="F1824">
        <v>1</v>
      </c>
      <c r="G1824" t="s">
        <v>713</v>
      </c>
      <c r="H1824" t="s">
        <v>701</v>
      </c>
      <c r="I1824">
        <v>0.14229</v>
      </c>
      <c r="J1824" t="s">
        <v>702</v>
      </c>
      <c r="K1824" t="s">
        <v>701</v>
      </c>
      <c r="L1824" s="166">
        <f>I1824*B$1829</f>
        <v>0.42686999999999997</v>
      </c>
      <c r="M1824" s="127" t="s">
        <v>3367</v>
      </c>
    </row>
    <row r="1825" spans="1:13" x14ac:dyDescent="0.2">
      <c r="A1825" s="1217"/>
      <c r="B1825" s="166">
        <v>20</v>
      </c>
      <c r="C1825" s="133" t="s">
        <v>10</v>
      </c>
      <c r="D1825" t="s">
        <v>3390</v>
      </c>
      <c r="E1825" s="83"/>
      <c r="F1825">
        <v>40</v>
      </c>
      <c r="G1825" t="s">
        <v>12</v>
      </c>
      <c r="H1825" t="s">
        <v>703</v>
      </c>
      <c r="I1825" s="33">
        <v>2.2291000000000001E-5</v>
      </c>
      <c r="J1825" t="s">
        <v>704</v>
      </c>
      <c r="K1825" t="s">
        <v>703</v>
      </c>
      <c r="L1825" s="166">
        <f t="shared" ref="L1825:L1833" si="143">I1825*B$1829</f>
        <v>6.6873000000000008E-5</v>
      </c>
      <c r="M1825" s="127" t="s">
        <v>3368</v>
      </c>
    </row>
    <row r="1826" spans="1:13" x14ac:dyDescent="0.2">
      <c r="A1826" s="1217"/>
      <c r="B1826" s="166">
        <v>0.7</v>
      </c>
      <c r="D1826" s="24" t="s">
        <v>3391</v>
      </c>
      <c r="E1826" s="83"/>
      <c r="H1826" t="s">
        <v>705</v>
      </c>
      <c r="I1826">
        <v>3203.5834399999999</v>
      </c>
      <c r="J1826" t="s">
        <v>706</v>
      </c>
      <c r="K1826" t="s">
        <v>705</v>
      </c>
      <c r="L1826" s="166">
        <f t="shared" si="143"/>
        <v>9610.7503199999992</v>
      </c>
      <c r="M1826" s="127" t="s">
        <v>3370</v>
      </c>
    </row>
    <row r="1827" spans="1:13" x14ac:dyDescent="0.2">
      <c r="A1827" s="1217"/>
      <c r="B1827" s="166">
        <f>B1824*B1825/B1826</f>
        <v>53.584973765248918</v>
      </c>
      <c r="C1827" s="133" t="s">
        <v>12</v>
      </c>
      <c r="D1827" s="6"/>
      <c r="E1827" s="83"/>
      <c r="H1827" t="s">
        <v>3372</v>
      </c>
      <c r="I1827">
        <v>1.278E-2</v>
      </c>
      <c r="J1827" t="s">
        <v>3373</v>
      </c>
      <c r="K1827" t="s">
        <v>3372</v>
      </c>
      <c r="L1827" s="166">
        <f t="shared" si="143"/>
        <v>3.8339999999999999E-2</v>
      </c>
      <c r="M1827" s="127" t="s">
        <v>3374</v>
      </c>
    </row>
    <row r="1828" spans="1:13" x14ac:dyDescent="0.2">
      <c r="A1828" s="1217"/>
      <c r="B1828" s="166">
        <f>B1827*D1823</f>
        <v>107.16994753049784</v>
      </c>
      <c r="C1828" s="133" t="s">
        <v>12</v>
      </c>
      <c r="E1828" s="83"/>
      <c r="H1828" t="s">
        <v>3375</v>
      </c>
      <c r="I1828">
        <v>3.7339999999999998E-2</v>
      </c>
      <c r="J1828" t="s">
        <v>707</v>
      </c>
      <c r="K1828" t="s">
        <v>3375</v>
      </c>
      <c r="L1828" s="166">
        <f t="shared" si="143"/>
        <v>0.11201999999999999</v>
      </c>
      <c r="M1828" s="127" t="s">
        <v>3376</v>
      </c>
    </row>
    <row r="1829" spans="1:13" x14ac:dyDescent="0.2">
      <c r="A1829" s="1217"/>
      <c r="B1829" s="1218">
        <f>ROUNDUP(B1828/F1825,0)</f>
        <v>3</v>
      </c>
      <c r="C1829" s="1114" t="s">
        <v>3392</v>
      </c>
      <c r="D1829" s="6" t="s">
        <v>577</v>
      </c>
      <c r="E1829" s="83"/>
      <c r="H1829" t="s">
        <v>708</v>
      </c>
      <c r="I1829">
        <v>9.0477000000000007</v>
      </c>
      <c r="J1829" t="s">
        <v>709</v>
      </c>
      <c r="K1829" t="s">
        <v>708</v>
      </c>
      <c r="L1829" s="166">
        <f t="shared" si="143"/>
        <v>27.143100000000004</v>
      </c>
      <c r="M1829" s="127" t="s">
        <v>3377</v>
      </c>
    </row>
    <row r="1830" spans="1:13" x14ac:dyDescent="0.2">
      <c r="A1830" s="1217"/>
      <c r="B1830" s="166"/>
      <c r="E1830" s="83"/>
      <c r="H1830" t="s">
        <v>3378</v>
      </c>
      <c r="I1830" s="33">
        <v>3.5905399999999997E-5</v>
      </c>
      <c r="J1830" t="s">
        <v>704</v>
      </c>
      <c r="K1830" t="s">
        <v>3378</v>
      </c>
      <c r="L1830" s="166">
        <f t="shared" si="143"/>
        <v>1.0771619999999998E-4</v>
      </c>
      <c r="M1830" s="127" t="s">
        <v>3368</v>
      </c>
    </row>
    <row r="1831" spans="1:13" x14ac:dyDescent="0.2">
      <c r="A1831" s="1217"/>
      <c r="B1831" s="166"/>
      <c r="E1831" s="83"/>
      <c r="H1831" t="s">
        <v>710</v>
      </c>
      <c r="I1831" s="33">
        <v>1.7364199999999999E-7</v>
      </c>
      <c r="J1831" t="s">
        <v>3379</v>
      </c>
      <c r="K1831" t="s">
        <v>710</v>
      </c>
      <c r="L1831" s="166">
        <f t="shared" si="143"/>
        <v>5.2092599999999994E-7</v>
      </c>
      <c r="M1831" s="127" t="s">
        <v>3380</v>
      </c>
    </row>
    <row r="1832" spans="1:13" x14ac:dyDescent="0.2">
      <c r="A1832" s="1217"/>
      <c r="B1832" s="166"/>
      <c r="E1832" s="83"/>
      <c r="H1832" t="s">
        <v>3381</v>
      </c>
      <c r="I1832">
        <v>2.9360000000000001E-2</v>
      </c>
      <c r="J1832" t="s">
        <v>3382</v>
      </c>
      <c r="K1832" t="s">
        <v>3381</v>
      </c>
      <c r="L1832" s="166">
        <f t="shared" si="143"/>
        <v>8.8080000000000006E-2</v>
      </c>
      <c r="M1832" s="127" t="s">
        <v>3383</v>
      </c>
    </row>
    <row r="1833" spans="1:13" x14ac:dyDescent="0.2">
      <c r="A1833" s="1217"/>
      <c r="B1833" s="166"/>
      <c r="E1833" s="83"/>
      <c r="H1833" t="s">
        <v>3384</v>
      </c>
      <c r="I1833">
        <v>0.84404000000000001</v>
      </c>
      <c r="J1833" t="s">
        <v>711</v>
      </c>
      <c r="K1833" t="s">
        <v>3384</v>
      </c>
      <c r="L1833" s="166">
        <f t="shared" si="143"/>
        <v>2.5321199999999999</v>
      </c>
      <c r="M1833" s="127" t="s">
        <v>3385</v>
      </c>
    </row>
    <row r="1834" spans="1:13" x14ac:dyDescent="0.2">
      <c r="A1834" s="1219"/>
      <c r="B1834" s="833"/>
      <c r="C1834" s="1102"/>
      <c r="D1834" s="118"/>
      <c r="E1834" s="1220"/>
      <c r="F1834" s="118"/>
      <c r="G1834" s="118"/>
      <c r="H1834" s="118"/>
      <c r="I1834" s="118"/>
      <c r="J1834" s="118"/>
      <c r="K1834" s="118"/>
      <c r="L1834" s="833"/>
      <c r="M1834" s="120"/>
    </row>
    <row r="1835" spans="1:13" ht="32" x14ac:dyDescent="0.2">
      <c r="A1835" s="486" t="s">
        <v>901</v>
      </c>
      <c r="B1835" s="845">
        <v>0.5</v>
      </c>
      <c r="C1835" s="1159" t="s">
        <v>999</v>
      </c>
      <c r="D1835" s="1229">
        <v>2</v>
      </c>
      <c r="E1835" s="1230" t="s">
        <v>3427</v>
      </c>
      <c r="F1835" s="110">
        <v>1</v>
      </c>
      <c r="G1835" s="110" t="s">
        <v>3428</v>
      </c>
      <c r="H1835" s="110"/>
      <c r="I1835" s="110"/>
      <c r="J1835" s="110"/>
      <c r="K1835" s="110"/>
      <c r="L1835" s="845"/>
      <c r="M1835" s="112"/>
    </row>
    <row r="1836" spans="1:13" x14ac:dyDescent="0.2">
      <c r="A1836" s="1217"/>
      <c r="B1836" s="1218">
        <f>B1848/100</f>
        <v>947.82</v>
      </c>
      <c r="C1836" s="1114" t="s">
        <v>3429</v>
      </c>
      <c r="D1836" s="6" t="s">
        <v>577</v>
      </c>
      <c r="E1836" s="83"/>
      <c r="F1836">
        <v>2500</v>
      </c>
      <c r="G1836" t="s">
        <v>3421</v>
      </c>
      <c r="H1836" t="s">
        <v>701</v>
      </c>
      <c r="I1836">
        <v>131.79313999999999</v>
      </c>
      <c r="J1836" t="s">
        <v>702</v>
      </c>
      <c r="K1836" t="s">
        <v>701</v>
      </c>
      <c r="L1836" s="166">
        <f>I1836*B$1836</f>
        <v>124916.1739548</v>
      </c>
      <c r="M1836" s="127" t="s">
        <v>3367</v>
      </c>
    </row>
    <row r="1837" spans="1:13" x14ac:dyDescent="0.2">
      <c r="A1837" s="1217"/>
      <c r="B1837" s="166"/>
      <c r="E1837" s="83"/>
      <c r="H1837" t="s">
        <v>703</v>
      </c>
      <c r="I1837">
        <v>1.6650000000000002E-2</v>
      </c>
      <c r="J1837" t="s">
        <v>704</v>
      </c>
      <c r="K1837" t="s">
        <v>703</v>
      </c>
      <c r="L1837" s="166">
        <f t="shared" ref="L1837:L1845" si="144">I1837*B$1836</f>
        <v>15.781203000000003</v>
      </c>
      <c r="M1837" s="127" t="s">
        <v>3368</v>
      </c>
    </row>
    <row r="1838" spans="1:13" x14ac:dyDescent="0.2">
      <c r="A1838" s="1217"/>
      <c r="B1838" s="166"/>
      <c r="E1838" s="83"/>
      <c r="H1838" t="s">
        <v>705</v>
      </c>
      <c r="I1838" s="33">
        <v>3506090</v>
      </c>
      <c r="J1838" t="s">
        <v>706</v>
      </c>
      <c r="K1838" t="s">
        <v>705</v>
      </c>
      <c r="L1838" s="166">
        <f t="shared" si="144"/>
        <v>3323142223.8000002</v>
      </c>
      <c r="M1838" s="127" t="s">
        <v>3370</v>
      </c>
    </row>
    <row r="1839" spans="1:13" x14ac:dyDescent="0.2">
      <c r="A1839" s="1217"/>
      <c r="B1839" s="166"/>
      <c r="E1839" s="83"/>
      <c r="H1839" t="s">
        <v>3372</v>
      </c>
      <c r="I1839">
        <v>23.977810000000002</v>
      </c>
      <c r="J1839" t="s">
        <v>3373</v>
      </c>
      <c r="K1839" t="s">
        <v>3372</v>
      </c>
      <c r="L1839" s="166">
        <f t="shared" si="144"/>
        <v>22726.647874200004</v>
      </c>
      <c r="M1839" s="127" t="s">
        <v>3374</v>
      </c>
    </row>
    <row r="1840" spans="1:13" x14ac:dyDescent="0.2">
      <c r="A1840" s="1217"/>
      <c r="B1840" s="166"/>
      <c r="E1840" s="83"/>
      <c r="H1840" t="s">
        <v>3375</v>
      </c>
      <c r="I1840">
        <v>72.539479999999998</v>
      </c>
      <c r="J1840" t="s">
        <v>707</v>
      </c>
      <c r="K1840" t="s">
        <v>3375</v>
      </c>
      <c r="L1840" s="166">
        <f t="shared" si="144"/>
        <v>68754.369933599999</v>
      </c>
      <c r="M1840" s="127" t="s">
        <v>3376</v>
      </c>
    </row>
    <row r="1841" spans="1:13" x14ac:dyDescent="0.2">
      <c r="A1841" s="1217"/>
      <c r="B1841" s="166"/>
      <c r="E1841" s="83"/>
      <c r="H1841" t="s">
        <v>708</v>
      </c>
      <c r="I1841" s="33">
        <v>22858.9</v>
      </c>
      <c r="J1841" t="s">
        <v>709</v>
      </c>
      <c r="K1841" t="s">
        <v>708</v>
      </c>
      <c r="L1841" s="166">
        <f t="shared" si="144"/>
        <v>21666122.598000001</v>
      </c>
      <c r="M1841" s="127" t="s">
        <v>3377</v>
      </c>
    </row>
    <row r="1842" spans="1:13" x14ac:dyDescent="0.2">
      <c r="A1842" s="1217"/>
      <c r="B1842" s="166"/>
      <c r="E1842" s="83"/>
      <c r="H1842" t="s">
        <v>3378</v>
      </c>
      <c r="I1842">
        <v>3.8490000000000003E-2</v>
      </c>
      <c r="J1842" t="s">
        <v>704</v>
      </c>
      <c r="K1842" t="s">
        <v>3378</v>
      </c>
      <c r="L1842" s="166">
        <f t="shared" si="144"/>
        <v>36.481591800000004</v>
      </c>
      <c r="M1842" s="127" t="s">
        <v>3368</v>
      </c>
    </row>
    <row r="1843" spans="1:13" x14ac:dyDescent="0.2">
      <c r="A1843" s="1217"/>
      <c r="B1843" s="166"/>
      <c r="E1843" s="83"/>
      <c r="H1843" t="s">
        <v>710</v>
      </c>
      <c r="I1843">
        <v>1.14E-3</v>
      </c>
      <c r="J1843" t="s">
        <v>3379</v>
      </c>
      <c r="K1843" t="s">
        <v>710</v>
      </c>
      <c r="L1843" s="166">
        <f t="shared" si="144"/>
        <v>1.0805148</v>
      </c>
      <c r="M1843" s="127" t="s">
        <v>3380</v>
      </c>
    </row>
    <row r="1844" spans="1:13" x14ac:dyDescent="0.2">
      <c r="A1844" s="1217"/>
      <c r="B1844" s="166"/>
      <c r="E1844" s="83"/>
      <c r="H1844" t="s">
        <v>3381</v>
      </c>
      <c r="I1844">
        <v>34.951729999999998</v>
      </c>
      <c r="J1844" t="s">
        <v>3382</v>
      </c>
      <c r="K1844" t="s">
        <v>3381</v>
      </c>
      <c r="L1844" s="166">
        <f t="shared" si="144"/>
        <v>33127.9487286</v>
      </c>
      <c r="M1844" s="127" t="s">
        <v>3383</v>
      </c>
    </row>
    <row r="1845" spans="1:13" x14ac:dyDescent="0.2">
      <c r="A1845" s="1217"/>
      <c r="B1845" s="166"/>
      <c r="E1845" s="83"/>
      <c r="H1845" t="s">
        <v>3384</v>
      </c>
      <c r="I1845">
        <v>1697.46082</v>
      </c>
      <c r="J1845" t="s">
        <v>711</v>
      </c>
      <c r="K1845" t="s">
        <v>3384</v>
      </c>
      <c r="L1845" s="166">
        <f t="shared" si="144"/>
        <v>1608887.3144124001</v>
      </c>
      <c r="M1845" s="127" t="s">
        <v>3385</v>
      </c>
    </row>
    <row r="1846" spans="1:13" x14ac:dyDescent="0.2">
      <c r="A1846" s="1219"/>
      <c r="B1846" s="833"/>
      <c r="C1846" s="1102"/>
      <c r="D1846" s="118"/>
      <c r="E1846" s="1220"/>
      <c r="F1846" s="118"/>
      <c r="G1846" s="118"/>
      <c r="H1846" s="118"/>
      <c r="I1846" s="118"/>
      <c r="J1846" s="118"/>
      <c r="K1846" s="118"/>
      <c r="L1846" s="833"/>
      <c r="M1846" s="120"/>
    </row>
    <row r="1847" spans="1:13" ht="16" x14ac:dyDescent="0.2">
      <c r="A1847" s="637" t="s">
        <v>538</v>
      </c>
      <c r="B1847" s="166">
        <v>0.5</v>
      </c>
      <c r="C1847" s="901" t="s">
        <v>999</v>
      </c>
      <c r="D1847" s="1059">
        <v>2</v>
      </c>
      <c r="E1847" s="1236" t="s">
        <v>3439</v>
      </c>
      <c r="F1847">
        <v>1</v>
      </c>
      <c r="G1847" t="s">
        <v>3429</v>
      </c>
      <c r="L1847" s="166"/>
      <c r="M1847" s="127"/>
    </row>
    <row r="1848" spans="1:13" x14ac:dyDescent="0.2">
      <c r="A1848" s="1217"/>
      <c r="B1848" s="1218">
        <v>94782</v>
      </c>
      <c r="C1848" s="1114" t="s">
        <v>3429</v>
      </c>
      <c r="D1848" s="6" t="s">
        <v>577</v>
      </c>
      <c r="E1848" s="83"/>
      <c r="F1848">
        <v>10</v>
      </c>
      <c r="G1848" t="s">
        <v>545</v>
      </c>
      <c r="H1848" t="s">
        <v>701</v>
      </c>
      <c r="I1848">
        <v>4.3418599999999996</v>
      </c>
      <c r="J1848" t="s">
        <v>702</v>
      </c>
      <c r="K1848" t="s">
        <v>701</v>
      </c>
      <c r="L1848" s="166">
        <f>I1848*B$1848</f>
        <v>411530.17451999994</v>
      </c>
      <c r="M1848" s="127" t="s">
        <v>3367</v>
      </c>
    </row>
    <row r="1849" spans="1:13" x14ac:dyDescent="0.2">
      <c r="A1849" s="1217"/>
      <c r="B1849" s="166"/>
      <c r="E1849" s="83"/>
      <c r="H1849" t="s">
        <v>703</v>
      </c>
      <c r="I1849">
        <v>6.0999999999999997E-4</v>
      </c>
      <c r="J1849" t="s">
        <v>704</v>
      </c>
      <c r="K1849" t="s">
        <v>703</v>
      </c>
      <c r="L1849" s="166">
        <f t="shared" ref="L1849:L1857" si="145">I1849*B$1848</f>
        <v>57.817019999999999</v>
      </c>
      <c r="M1849" s="127" t="s">
        <v>3368</v>
      </c>
    </row>
    <row r="1850" spans="1:13" x14ac:dyDescent="0.2">
      <c r="A1850" s="1217"/>
      <c r="B1850" s="166"/>
      <c r="E1850" s="83"/>
      <c r="H1850" t="s">
        <v>705</v>
      </c>
      <c r="I1850" s="33">
        <v>86927.7</v>
      </c>
      <c r="J1850" t="s">
        <v>706</v>
      </c>
      <c r="K1850" t="s">
        <v>705</v>
      </c>
      <c r="L1850" s="166">
        <f t="shared" si="145"/>
        <v>8239181261.3999996</v>
      </c>
      <c r="M1850" s="127" t="s">
        <v>3370</v>
      </c>
    </row>
    <row r="1851" spans="1:13" x14ac:dyDescent="0.2">
      <c r="A1851" s="1217"/>
      <c r="B1851" s="166"/>
      <c r="E1851" s="83"/>
      <c r="H1851" t="s">
        <v>3372</v>
      </c>
      <c r="I1851">
        <v>0.40986</v>
      </c>
      <c r="J1851" t="s">
        <v>3373</v>
      </c>
      <c r="K1851" t="s">
        <v>3372</v>
      </c>
      <c r="L1851" s="166">
        <f t="shared" si="145"/>
        <v>38847.35052</v>
      </c>
      <c r="M1851" s="127" t="s">
        <v>3374</v>
      </c>
    </row>
    <row r="1852" spans="1:13" x14ac:dyDescent="0.2">
      <c r="A1852" s="1217"/>
      <c r="B1852" s="166"/>
      <c r="E1852" s="83"/>
      <c r="H1852" t="s">
        <v>3375</v>
      </c>
      <c r="I1852">
        <v>1.53471</v>
      </c>
      <c r="J1852" t="s">
        <v>707</v>
      </c>
      <c r="K1852" t="s">
        <v>3375</v>
      </c>
      <c r="L1852" s="166">
        <f t="shared" si="145"/>
        <v>145462.88321999999</v>
      </c>
      <c r="M1852" s="127" t="s">
        <v>3376</v>
      </c>
    </row>
    <row r="1853" spans="1:13" x14ac:dyDescent="0.2">
      <c r="A1853" s="1217"/>
      <c r="B1853" s="166"/>
      <c r="E1853" s="83"/>
      <c r="H1853" t="s">
        <v>708</v>
      </c>
      <c r="I1853">
        <v>5000.6099599999998</v>
      </c>
      <c r="J1853" t="s">
        <v>709</v>
      </c>
      <c r="K1853" t="s">
        <v>708</v>
      </c>
      <c r="L1853" s="166">
        <f t="shared" si="145"/>
        <v>473967813.22871995</v>
      </c>
      <c r="M1853" s="127" t="s">
        <v>3377</v>
      </c>
    </row>
    <row r="1854" spans="1:13" x14ac:dyDescent="0.2">
      <c r="A1854" s="1217"/>
      <c r="B1854" s="166"/>
      <c r="E1854" s="83"/>
      <c r="H1854" t="s">
        <v>3378</v>
      </c>
      <c r="I1854">
        <v>8.8000000000000003E-4</v>
      </c>
      <c r="J1854" t="s">
        <v>704</v>
      </c>
      <c r="K1854" t="s">
        <v>3378</v>
      </c>
      <c r="L1854" s="166">
        <f t="shared" si="145"/>
        <v>83.408160000000009</v>
      </c>
      <c r="M1854" s="127" t="s">
        <v>3368</v>
      </c>
    </row>
    <row r="1855" spans="1:13" x14ac:dyDescent="0.2">
      <c r="A1855" s="1217"/>
      <c r="B1855" s="166"/>
      <c r="E1855" s="83"/>
      <c r="H1855" t="s">
        <v>710</v>
      </c>
      <c r="I1855" s="33">
        <v>9.7167100000000004E-6</v>
      </c>
      <c r="J1855" t="s">
        <v>3379</v>
      </c>
      <c r="K1855" t="s">
        <v>710</v>
      </c>
      <c r="L1855" s="166">
        <f t="shared" si="145"/>
        <v>0.92096920722000009</v>
      </c>
      <c r="M1855" s="127" t="s">
        <v>3380</v>
      </c>
    </row>
    <row r="1856" spans="1:13" x14ac:dyDescent="0.2">
      <c r="A1856" s="1217"/>
      <c r="B1856" s="166"/>
      <c r="E1856" s="83"/>
      <c r="H1856" t="s">
        <v>3381</v>
      </c>
      <c r="I1856">
        <v>0.88400999999999996</v>
      </c>
      <c r="J1856" t="s">
        <v>3382</v>
      </c>
      <c r="K1856" t="s">
        <v>3381</v>
      </c>
      <c r="L1856" s="166">
        <f t="shared" si="145"/>
        <v>83788.235820000002</v>
      </c>
      <c r="M1856" s="127" t="s">
        <v>3383</v>
      </c>
    </row>
    <row r="1857" spans="1:13" x14ac:dyDescent="0.2">
      <c r="A1857" s="1217"/>
      <c r="B1857" s="166"/>
      <c r="E1857" s="83"/>
      <c r="H1857" t="s">
        <v>3384</v>
      </c>
      <c r="I1857">
        <v>35.439450000000001</v>
      </c>
      <c r="J1857" t="s">
        <v>711</v>
      </c>
      <c r="K1857" t="s">
        <v>3384</v>
      </c>
      <c r="L1857" s="166">
        <f t="shared" si="145"/>
        <v>3359021.9498999999</v>
      </c>
      <c r="M1857" s="127" t="s">
        <v>3385</v>
      </c>
    </row>
    <row r="1858" spans="1:13" x14ac:dyDescent="0.2">
      <c r="A1858" s="1219"/>
      <c r="B1858" s="833"/>
      <c r="C1858" s="1102"/>
      <c r="D1858" s="118"/>
      <c r="E1858" s="1220"/>
      <c r="F1858" s="118"/>
      <c r="G1858" s="118"/>
      <c r="H1858" s="118"/>
      <c r="I1858" s="118"/>
      <c r="J1858" s="118"/>
      <c r="K1858" s="118"/>
      <c r="L1858" s="833"/>
      <c r="M1858" s="120"/>
    </row>
    <row r="1859" spans="1:13" ht="32" x14ac:dyDescent="0.2">
      <c r="A1859" s="1215" t="s">
        <v>714</v>
      </c>
      <c r="B1859" s="1231">
        <v>45850.89510162636</v>
      </c>
      <c r="C1859" s="1232" t="s">
        <v>3430</v>
      </c>
      <c r="D1859" s="110"/>
      <c r="E1859" s="1216" t="s">
        <v>3404</v>
      </c>
      <c r="F1859" s="110">
        <v>1</v>
      </c>
      <c r="G1859" s="110" t="s">
        <v>378</v>
      </c>
      <c r="H1859" s="110"/>
      <c r="I1859" s="110"/>
      <c r="J1859" s="110"/>
      <c r="K1859" s="110"/>
      <c r="L1859" s="845"/>
      <c r="M1859" s="112"/>
    </row>
    <row r="1860" spans="1:13" x14ac:dyDescent="0.2">
      <c r="A1860" s="637"/>
      <c r="B1860" s="166"/>
      <c r="E1860" s="83"/>
      <c r="H1860" t="s">
        <v>701</v>
      </c>
      <c r="I1860">
        <v>7.5000000000000002E-4</v>
      </c>
      <c r="J1860" t="s">
        <v>702</v>
      </c>
      <c r="K1860" t="s">
        <v>701</v>
      </c>
      <c r="L1860" s="166">
        <f>I1860*B$1859</f>
        <v>34.388171326219769</v>
      </c>
      <c r="M1860" s="127" t="s">
        <v>3367</v>
      </c>
    </row>
    <row r="1861" spans="1:13" x14ac:dyDescent="0.2">
      <c r="A1861" s="1217"/>
      <c r="B1861" s="166"/>
      <c r="E1861" s="83"/>
      <c r="H1861" t="s">
        <v>703</v>
      </c>
      <c r="I1861" s="33">
        <v>3.3111200000000002E-8</v>
      </c>
      <c r="J1861" t="s">
        <v>704</v>
      </c>
      <c r="K1861" t="s">
        <v>703</v>
      </c>
      <c r="L1861" s="166">
        <f t="shared" ref="L1861:L1869" si="146">I1861*B$1859</f>
        <v>1.5181781578889708E-3</v>
      </c>
      <c r="M1861" s="127" t="s">
        <v>3368</v>
      </c>
    </row>
    <row r="1862" spans="1:13" x14ac:dyDescent="0.2">
      <c r="A1862" s="1217"/>
      <c r="B1862" s="166"/>
      <c r="E1862" s="83"/>
      <c r="H1862" t="s">
        <v>705</v>
      </c>
      <c r="I1862">
        <v>4.1968100000000002</v>
      </c>
      <c r="J1862" t="s">
        <v>706</v>
      </c>
      <c r="K1862" t="s">
        <v>705</v>
      </c>
      <c r="L1862" s="166">
        <f t="shared" si="146"/>
        <v>192427.49507145653</v>
      </c>
      <c r="M1862" s="127" t="s">
        <v>3370</v>
      </c>
    </row>
    <row r="1863" spans="1:13" x14ac:dyDescent="0.2">
      <c r="A1863" s="1217"/>
      <c r="B1863" s="166"/>
      <c r="E1863" s="83"/>
      <c r="H1863" t="s">
        <v>3372</v>
      </c>
      <c r="I1863">
        <v>3.2000000000000003E-4</v>
      </c>
      <c r="J1863" t="s">
        <v>3373</v>
      </c>
      <c r="K1863" t="s">
        <v>3372</v>
      </c>
      <c r="L1863" s="166">
        <f t="shared" si="146"/>
        <v>14.672286432520437</v>
      </c>
      <c r="M1863" s="127" t="s">
        <v>3374</v>
      </c>
    </row>
    <row r="1864" spans="1:13" x14ac:dyDescent="0.2">
      <c r="A1864" s="1217"/>
      <c r="B1864" s="166"/>
      <c r="E1864" s="83"/>
      <c r="H1864" t="s">
        <v>3375</v>
      </c>
      <c r="I1864">
        <v>5.2999999999999998E-4</v>
      </c>
      <c r="J1864" t="s">
        <v>707</v>
      </c>
      <c r="K1864" t="s">
        <v>3375</v>
      </c>
      <c r="L1864" s="166">
        <f t="shared" si="146"/>
        <v>24.300974403861971</v>
      </c>
      <c r="M1864" s="127" t="s">
        <v>3376</v>
      </c>
    </row>
    <row r="1865" spans="1:13" x14ac:dyDescent="0.2">
      <c r="A1865" s="1217"/>
      <c r="B1865" s="166"/>
      <c r="E1865" s="83"/>
      <c r="H1865" t="s">
        <v>708</v>
      </c>
      <c r="I1865">
        <v>0.39150000000000001</v>
      </c>
      <c r="J1865" t="s">
        <v>709</v>
      </c>
      <c r="K1865" t="s">
        <v>708</v>
      </c>
      <c r="L1865" s="166">
        <f t="shared" si="146"/>
        <v>17950.625432286721</v>
      </c>
      <c r="M1865" s="127" t="s">
        <v>3377</v>
      </c>
    </row>
    <row r="1866" spans="1:13" x14ac:dyDescent="0.2">
      <c r="A1866" s="1217"/>
      <c r="B1866" s="166"/>
      <c r="E1866" s="83"/>
      <c r="H1866" t="s">
        <v>3378</v>
      </c>
      <c r="I1866" s="33">
        <v>9.8849699999999999E-8</v>
      </c>
      <c r="J1866" t="s">
        <v>704</v>
      </c>
      <c r="K1866" t="s">
        <v>3378</v>
      </c>
      <c r="L1866" s="166">
        <f t="shared" si="146"/>
        <v>4.5323472255272348E-3</v>
      </c>
      <c r="M1866" s="127" t="s">
        <v>3368</v>
      </c>
    </row>
    <row r="1867" spans="1:13" x14ac:dyDescent="0.2">
      <c r="A1867" s="1217"/>
      <c r="B1867" s="166"/>
      <c r="E1867" s="83"/>
      <c r="H1867" t="s">
        <v>710</v>
      </c>
      <c r="I1867" s="33">
        <v>1.51061E-9</v>
      </c>
      <c r="J1867" t="s">
        <v>3379</v>
      </c>
      <c r="K1867" t="s">
        <v>710</v>
      </c>
      <c r="L1867" s="166">
        <f t="shared" si="146"/>
        <v>6.9262820649467803E-5</v>
      </c>
      <c r="M1867" s="127" t="s">
        <v>3380</v>
      </c>
    </row>
    <row r="1868" spans="1:13" x14ac:dyDescent="0.2">
      <c r="A1868" s="1217"/>
      <c r="B1868" s="166"/>
      <c r="E1868" s="83"/>
      <c r="H1868" t="s">
        <v>3381</v>
      </c>
      <c r="I1868">
        <v>1.01E-3</v>
      </c>
      <c r="J1868" t="s">
        <v>3382</v>
      </c>
      <c r="K1868" t="s">
        <v>3381</v>
      </c>
      <c r="L1868" s="166">
        <f t="shared" si="146"/>
        <v>46.309404052642627</v>
      </c>
      <c r="M1868" s="127" t="s">
        <v>3383</v>
      </c>
    </row>
    <row r="1869" spans="1:13" x14ac:dyDescent="0.2">
      <c r="A1869" s="1217"/>
      <c r="B1869" s="166"/>
      <c r="E1869" s="83"/>
      <c r="H1869" t="s">
        <v>3384</v>
      </c>
      <c r="I1869">
        <v>1.2200000000000001E-2</v>
      </c>
      <c r="J1869" t="s">
        <v>711</v>
      </c>
      <c r="K1869" t="s">
        <v>3384</v>
      </c>
      <c r="L1869" s="166">
        <f t="shared" si="146"/>
        <v>559.38092023984166</v>
      </c>
      <c r="M1869" s="127" t="s">
        <v>3385</v>
      </c>
    </row>
    <row r="1870" spans="1:13" x14ac:dyDescent="0.2">
      <c r="A1870" s="1219"/>
      <c r="B1870" s="833"/>
      <c r="C1870" s="1102"/>
      <c r="D1870" s="118"/>
      <c r="E1870" s="1220"/>
      <c r="F1870" s="118"/>
      <c r="G1870" s="118"/>
      <c r="H1870" s="118"/>
      <c r="I1870" s="118"/>
      <c r="J1870" s="118"/>
      <c r="K1870" s="118"/>
      <c r="L1870" s="833"/>
      <c r="M1870" s="120"/>
    </row>
    <row r="1871" spans="1:13" x14ac:dyDescent="0.2">
      <c r="A1871" s="1222"/>
      <c r="B1871" s="166"/>
      <c r="E1871" s="83"/>
      <c r="L1871" s="166"/>
    </row>
    <row r="1872" spans="1:13" ht="14.5" customHeight="1" x14ac:dyDescent="0.2">
      <c r="A1872" s="1222"/>
      <c r="B1872" s="166"/>
      <c r="E1872" s="83"/>
      <c r="L1872" s="166"/>
    </row>
    <row r="1875" spans="1:15" x14ac:dyDescent="0.2">
      <c r="A1875" s="1948" t="s">
        <v>1419</v>
      </c>
      <c r="B1875" s="1948"/>
      <c r="C1875" s="1948"/>
      <c r="D1875" s="1948"/>
      <c r="E1875" s="1948"/>
      <c r="F1875" s="1948"/>
      <c r="G1875" s="1948"/>
      <c r="H1875" s="1948"/>
      <c r="I1875" s="1948"/>
      <c r="J1875" s="1948"/>
      <c r="K1875" s="1948"/>
      <c r="L1875" s="1948"/>
      <c r="M1875" s="1948"/>
      <c r="N1875" s="1948"/>
      <c r="O1875" s="1948"/>
    </row>
    <row r="1876" spans="1:15" x14ac:dyDescent="0.2">
      <c r="A1876" s="1948"/>
      <c r="B1876" s="1948"/>
      <c r="C1876" s="1948"/>
      <c r="D1876" s="1948"/>
      <c r="E1876" s="1948"/>
      <c r="F1876" s="1948"/>
      <c r="G1876" s="1948"/>
      <c r="H1876" s="1948"/>
      <c r="I1876" s="1948"/>
      <c r="J1876" s="1948"/>
      <c r="K1876" s="1948"/>
      <c r="L1876" s="1948"/>
      <c r="M1876" s="1948"/>
      <c r="N1876" s="1948"/>
      <c r="O1876" s="1948"/>
    </row>
    <row r="1878" spans="1:15" x14ac:dyDescent="0.2">
      <c r="A1878" s="208" t="s">
        <v>3453</v>
      </c>
    </row>
    <row r="1879" spans="1:15" ht="16" thickBot="1" x14ac:dyDescent="0.25"/>
    <row r="1880" spans="1:15" ht="14.5" customHeight="1" x14ac:dyDescent="0.2">
      <c r="A1880" s="1795" t="s">
        <v>2466</v>
      </c>
      <c r="B1880" s="1796"/>
      <c r="C1880" s="1796"/>
      <c r="D1880" s="1796"/>
      <c r="E1880" s="1796"/>
      <c r="F1880" s="1796"/>
      <c r="G1880" s="1796"/>
      <c r="H1880" s="1796"/>
      <c r="I1880" s="1796"/>
      <c r="J1880" s="1796"/>
      <c r="K1880" s="1796"/>
      <c r="L1880" s="1796"/>
      <c r="M1880" s="1796"/>
      <c r="N1880" s="1796"/>
      <c r="O1880" s="1797"/>
    </row>
    <row r="1881" spans="1:15" ht="15" customHeight="1" thickBot="1" x14ac:dyDescent="0.25">
      <c r="A1881" s="1798"/>
      <c r="B1881" s="1799"/>
      <c r="C1881" s="1799"/>
      <c r="D1881" s="1799"/>
      <c r="E1881" s="1799"/>
      <c r="F1881" s="1799"/>
      <c r="G1881" s="1799"/>
      <c r="H1881" s="1799"/>
      <c r="I1881" s="1799"/>
      <c r="J1881" s="1799"/>
      <c r="K1881" s="1799"/>
      <c r="L1881" s="1799"/>
      <c r="M1881" s="1799"/>
      <c r="N1881" s="1799"/>
      <c r="O1881" s="1800"/>
    </row>
    <row r="1882" spans="1:15" x14ac:dyDescent="0.2">
      <c r="A1882" s="1920" t="s">
        <v>697</v>
      </c>
      <c r="B1882" s="1515" t="s">
        <v>698</v>
      </c>
      <c r="C1882" s="1515"/>
      <c r="D1882" s="1515"/>
      <c r="E1882" s="1921" t="s">
        <v>3362</v>
      </c>
      <c r="F1882" s="1515" t="s">
        <v>699</v>
      </c>
      <c r="G1882" s="1515"/>
      <c r="H1882" s="1515" t="s">
        <v>3363</v>
      </c>
      <c r="I1882" s="1515"/>
      <c r="J1882" s="1515"/>
      <c r="K1882" s="1515" t="s">
        <v>700</v>
      </c>
      <c r="L1882" s="1515"/>
      <c r="M1882" s="1515"/>
      <c r="N1882" s="6"/>
      <c r="O1882" s="6"/>
    </row>
    <row r="1883" spans="1:15" x14ac:dyDescent="0.2">
      <c r="A1883" s="1520"/>
      <c r="B1883" s="1214" t="s">
        <v>515</v>
      </c>
      <c r="C1883" s="969" t="s">
        <v>372</v>
      </c>
      <c r="D1883" s="969" t="s">
        <v>583</v>
      </c>
      <c r="E1883" s="1922"/>
      <c r="F1883" s="969" t="s">
        <v>42</v>
      </c>
      <c r="G1883" s="969" t="s">
        <v>372</v>
      </c>
      <c r="H1883" s="29" t="s">
        <v>697</v>
      </c>
      <c r="I1883" s="969" t="s">
        <v>42</v>
      </c>
      <c r="J1883" s="969" t="s">
        <v>372</v>
      </c>
      <c r="K1883" s="969" t="s">
        <v>697</v>
      </c>
      <c r="L1883" s="1214" t="s">
        <v>42</v>
      </c>
      <c r="M1883" s="969" t="s">
        <v>372</v>
      </c>
      <c r="N1883" s="6"/>
      <c r="O1883" s="6"/>
    </row>
    <row r="1884" spans="1:15" ht="32" x14ac:dyDescent="0.2">
      <c r="A1884" s="486" t="s">
        <v>2355</v>
      </c>
      <c r="B1884" s="845">
        <v>118.65267887511074</v>
      </c>
      <c r="C1884" s="845" t="s">
        <v>608</v>
      </c>
      <c r="D1884" s="845">
        <v>2</v>
      </c>
      <c r="E1884" s="159" t="s">
        <v>718</v>
      </c>
      <c r="F1884" s="110">
        <v>1</v>
      </c>
      <c r="G1884" s="110" t="s">
        <v>3396</v>
      </c>
      <c r="H1884" s="110"/>
      <c r="I1884" s="110"/>
      <c r="J1884" s="110"/>
      <c r="K1884" s="110"/>
      <c r="L1884" s="845"/>
      <c r="M1884" s="112"/>
    </row>
    <row r="1885" spans="1:15" x14ac:dyDescent="0.2">
      <c r="A1885" s="637"/>
      <c r="B1885" s="166">
        <v>11.023194571641568</v>
      </c>
      <c r="C1885" s="133" t="s">
        <v>7</v>
      </c>
      <c r="F1885">
        <v>50</v>
      </c>
      <c r="G1885" t="s">
        <v>3397</v>
      </c>
      <c r="H1885" t="s">
        <v>701</v>
      </c>
      <c r="I1885">
        <v>0.82547999999999999</v>
      </c>
      <c r="J1885" t="s">
        <v>702</v>
      </c>
      <c r="K1885" t="s">
        <v>701</v>
      </c>
      <c r="L1885" s="166">
        <f>B$1887*I1885</f>
        <v>1.65096</v>
      </c>
      <c r="M1885" s="127" t="s">
        <v>3367</v>
      </c>
    </row>
    <row r="1886" spans="1:15" x14ac:dyDescent="0.2">
      <c r="A1886" s="637"/>
      <c r="B1886" s="166">
        <f>B1885*D1884</f>
        <v>22.046389143283136</v>
      </c>
      <c r="C1886" s="133" t="s">
        <v>3454</v>
      </c>
      <c r="D1886" t="s">
        <v>2279</v>
      </c>
      <c r="H1886" t="s">
        <v>703</v>
      </c>
      <c r="I1886" s="33">
        <v>1.3020000000000001E-5</v>
      </c>
      <c r="J1886" t="s">
        <v>704</v>
      </c>
      <c r="K1886" t="s">
        <v>703</v>
      </c>
      <c r="L1886" s="166">
        <f t="shared" ref="L1886:L1894" si="147">B$1887*I1886</f>
        <v>2.6040000000000001E-5</v>
      </c>
      <c r="M1886" s="127" t="s">
        <v>3368</v>
      </c>
    </row>
    <row r="1887" spans="1:15" x14ac:dyDescent="0.2">
      <c r="A1887" s="637"/>
      <c r="B1887" s="1218">
        <f>ROUNDUP(B1886/F1885,0)*D1884</f>
        <v>2</v>
      </c>
      <c r="C1887" s="1114" t="s">
        <v>3409</v>
      </c>
      <c r="D1887" s="6" t="s">
        <v>2279</v>
      </c>
      <c r="H1887" t="s">
        <v>705</v>
      </c>
      <c r="I1887">
        <v>3440.7478099999998</v>
      </c>
      <c r="J1887" t="s">
        <v>706</v>
      </c>
      <c r="K1887" t="s">
        <v>705</v>
      </c>
      <c r="L1887" s="166">
        <f t="shared" si="147"/>
        <v>6881.4956199999997</v>
      </c>
      <c r="M1887" s="127" t="s">
        <v>3370</v>
      </c>
    </row>
    <row r="1888" spans="1:15" x14ac:dyDescent="0.2">
      <c r="A1888" s="637"/>
      <c r="B1888" s="166"/>
      <c r="H1888" t="s">
        <v>3372</v>
      </c>
      <c r="I1888">
        <v>4.9140000000000003E-2</v>
      </c>
      <c r="J1888" t="s">
        <v>3373</v>
      </c>
      <c r="K1888" t="s">
        <v>3372</v>
      </c>
      <c r="L1888" s="166">
        <f t="shared" si="147"/>
        <v>9.8280000000000006E-2</v>
      </c>
      <c r="M1888" s="127" t="s">
        <v>3374</v>
      </c>
    </row>
    <row r="1889" spans="1:13" x14ac:dyDescent="0.2">
      <c r="A1889" s="637"/>
      <c r="B1889" s="166"/>
      <c r="H1889" t="s">
        <v>3375</v>
      </c>
      <c r="I1889">
        <v>0.37484000000000001</v>
      </c>
      <c r="J1889" t="s">
        <v>707</v>
      </c>
      <c r="K1889" t="s">
        <v>3375</v>
      </c>
      <c r="L1889" s="166">
        <f t="shared" si="147"/>
        <v>0.74968000000000001</v>
      </c>
      <c r="M1889" s="127" t="s">
        <v>3376</v>
      </c>
    </row>
    <row r="1890" spans="1:13" x14ac:dyDescent="0.2">
      <c r="A1890" s="637"/>
      <c r="B1890" s="166"/>
      <c r="H1890" t="s">
        <v>708</v>
      </c>
      <c r="I1890">
        <v>234.66023000000001</v>
      </c>
      <c r="J1890" t="s">
        <v>709</v>
      </c>
      <c r="K1890" t="s">
        <v>708</v>
      </c>
      <c r="L1890" s="166">
        <f t="shared" si="147"/>
        <v>469.32046000000003</v>
      </c>
      <c r="M1890" s="127" t="s">
        <v>3377</v>
      </c>
    </row>
    <row r="1891" spans="1:13" x14ac:dyDescent="0.2">
      <c r="A1891" s="637"/>
      <c r="B1891" s="166"/>
      <c r="H1891" t="s">
        <v>3378</v>
      </c>
      <c r="I1891" s="33">
        <v>5.7967699999999997E-5</v>
      </c>
      <c r="J1891" t="s">
        <v>704</v>
      </c>
      <c r="K1891" t="s">
        <v>3378</v>
      </c>
      <c r="L1891" s="166">
        <f t="shared" si="147"/>
        <v>1.1593539999999999E-4</v>
      </c>
      <c r="M1891" s="127" t="s">
        <v>3368</v>
      </c>
    </row>
    <row r="1892" spans="1:13" x14ac:dyDescent="0.2">
      <c r="A1892" s="637"/>
      <c r="B1892" s="166"/>
      <c r="H1892" t="s">
        <v>710</v>
      </c>
      <c r="I1892" s="33">
        <v>2.5430099999999999E-6</v>
      </c>
      <c r="J1892" t="s">
        <v>3379</v>
      </c>
      <c r="K1892" t="s">
        <v>710</v>
      </c>
      <c r="L1892" s="166">
        <f t="shared" si="147"/>
        <v>5.0860199999999998E-6</v>
      </c>
      <c r="M1892" s="127" t="s">
        <v>3380</v>
      </c>
    </row>
    <row r="1893" spans="1:13" x14ac:dyDescent="0.2">
      <c r="A1893" s="637"/>
      <c r="B1893" s="166"/>
      <c r="H1893" t="s">
        <v>3381</v>
      </c>
      <c r="I1893">
        <v>0.17479</v>
      </c>
      <c r="J1893" t="s">
        <v>3382</v>
      </c>
      <c r="K1893" t="s">
        <v>3381</v>
      </c>
      <c r="L1893" s="166">
        <f t="shared" si="147"/>
        <v>0.34958</v>
      </c>
      <c r="M1893" s="127" t="s">
        <v>3383</v>
      </c>
    </row>
    <row r="1894" spans="1:13" x14ac:dyDescent="0.2">
      <c r="A1894" s="637"/>
      <c r="B1894" s="166"/>
      <c r="H1894" t="s">
        <v>3384</v>
      </c>
      <c r="I1894">
        <v>8.8856599999999997</v>
      </c>
      <c r="J1894" t="s">
        <v>711</v>
      </c>
      <c r="K1894" t="s">
        <v>3384</v>
      </c>
      <c r="L1894" s="166">
        <f t="shared" si="147"/>
        <v>17.771319999999999</v>
      </c>
      <c r="M1894" s="127" t="s">
        <v>3385</v>
      </c>
    </row>
    <row r="1895" spans="1:13" x14ac:dyDescent="0.2">
      <c r="A1895" s="414"/>
      <c r="B1895" s="833"/>
      <c r="C1895" s="1102"/>
      <c r="D1895" s="118"/>
      <c r="E1895" s="1235"/>
      <c r="F1895" s="118"/>
      <c r="G1895" s="118"/>
      <c r="H1895" s="118"/>
      <c r="I1895" s="118"/>
      <c r="J1895" s="118"/>
      <c r="K1895" s="118"/>
      <c r="L1895" s="833"/>
      <c r="M1895" s="120"/>
    </row>
    <row r="1896" spans="1:13" ht="16" x14ac:dyDescent="0.2">
      <c r="A1896" s="486" t="s">
        <v>2359</v>
      </c>
      <c r="B1896" s="220">
        <v>9596.4153592322164</v>
      </c>
      <c r="C1896" s="220" t="s">
        <v>267</v>
      </c>
      <c r="D1896" s="220">
        <v>2</v>
      </c>
      <c r="E1896" s="1216" t="s">
        <v>3388</v>
      </c>
      <c r="F1896" s="110"/>
      <c r="G1896" s="110"/>
      <c r="H1896" s="110"/>
      <c r="I1896" s="110"/>
      <c r="J1896" s="110"/>
      <c r="K1896" s="110"/>
      <c r="L1896" s="845"/>
      <c r="M1896" s="112"/>
    </row>
    <row r="1897" spans="1:13" x14ac:dyDescent="0.2">
      <c r="A1897" s="637"/>
      <c r="B1897" s="166">
        <f>B1896/1000</f>
        <v>9.5964153592322159</v>
      </c>
      <c r="C1897" s="133" t="s">
        <v>444</v>
      </c>
      <c r="F1897">
        <v>1</v>
      </c>
      <c r="G1897" t="s">
        <v>713</v>
      </c>
      <c r="H1897" t="s">
        <v>701</v>
      </c>
      <c r="I1897">
        <v>0.14229</v>
      </c>
      <c r="J1897" t="s">
        <v>702</v>
      </c>
      <c r="K1897" t="s">
        <v>701</v>
      </c>
      <c r="L1897" s="166">
        <f>I1897*B$1902</f>
        <v>1.9920599999999999</v>
      </c>
      <c r="M1897" s="127" t="s">
        <v>3367</v>
      </c>
    </row>
    <row r="1898" spans="1:13" x14ac:dyDescent="0.2">
      <c r="A1898" s="637"/>
      <c r="B1898" s="166">
        <v>20</v>
      </c>
      <c r="C1898" s="133" t="s">
        <v>10</v>
      </c>
      <c r="D1898" t="s">
        <v>3390</v>
      </c>
      <c r="E1898" s="83"/>
      <c r="F1898">
        <v>40</v>
      </c>
      <c r="G1898" t="s">
        <v>12</v>
      </c>
      <c r="H1898" t="s">
        <v>703</v>
      </c>
      <c r="I1898" s="33">
        <v>2.2291000000000001E-5</v>
      </c>
      <c r="J1898" t="s">
        <v>704</v>
      </c>
      <c r="K1898" t="s">
        <v>703</v>
      </c>
      <c r="L1898" s="166">
        <f t="shared" ref="L1898:L1906" si="148">I1898*B$1902</f>
        <v>3.1207400000000002E-4</v>
      </c>
      <c r="M1898" s="127" t="s">
        <v>3368</v>
      </c>
    </row>
    <row r="1899" spans="1:13" x14ac:dyDescent="0.2">
      <c r="A1899" s="637"/>
      <c r="B1899" s="166">
        <v>0.7</v>
      </c>
      <c r="D1899" s="24" t="s">
        <v>3391</v>
      </c>
      <c r="E1899" s="83"/>
      <c r="H1899" t="s">
        <v>705</v>
      </c>
      <c r="I1899">
        <v>3203.5834399999999</v>
      </c>
      <c r="J1899" t="s">
        <v>706</v>
      </c>
      <c r="K1899" t="s">
        <v>705</v>
      </c>
      <c r="L1899" s="166">
        <f t="shared" si="148"/>
        <v>44850.168160000001</v>
      </c>
      <c r="M1899" s="127" t="s">
        <v>3370</v>
      </c>
    </row>
    <row r="1900" spans="1:13" x14ac:dyDescent="0.2">
      <c r="A1900" s="637"/>
      <c r="B1900" s="166">
        <f>B1897*B1898/B1899</f>
        <v>274.18329597806331</v>
      </c>
      <c r="C1900" s="133" t="s">
        <v>12</v>
      </c>
      <c r="D1900" s="6"/>
      <c r="E1900" s="83"/>
      <c r="H1900" t="s">
        <v>3372</v>
      </c>
      <c r="I1900">
        <v>1.278E-2</v>
      </c>
      <c r="J1900" t="s">
        <v>3373</v>
      </c>
      <c r="K1900" t="s">
        <v>3372</v>
      </c>
      <c r="L1900" s="166">
        <f t="shared" si="148"/>
        <v>0.17892</v>
      </c>
      <c r="M1900" s="127" t="s">
        <v>3374</v>
      </c>
    </row>
    <row r="1901" spans="1:13" x14ac:dyDescent="0.2">
      <c r="A1901" s="637"/>
      <c r="B1901" s="166">
        <f>B1900*D1896</f>
        <v>548.36659195612663</v>
      </c>
      <c r="C1901" s="133" t="s">
        <v>12</v>
      </c>
      <c r="E1901" s="83"/>
      <c r="H1901" t="s">
        <v>3375</v>
      </c>
      <c r="I1901">
        <v>3.7339999999999998E-2</v>
      </c>
      <c r="J1901" t="s">
        <v>707</v>
      </c>
      <c r="K1901" t="s">
        <v>3375</v>
      </c>
      <c r="L1901" s="166">
        <f t="shared" si="148"/>
        <v>0.52276</v>
      </c>
      <c r="M1901" s="127" t="s">
        <v>3376</v>
      </c>
    </row>
    <row r="1902" spans="1:13" x14ac:dyDescent="0.2">
      <c r="A1902" s="637"/>
      <c r="B1902" s="1218">
        <f>ROUNDUP(B1901/F1898,0)</f>
        <v>14</v>
      </c>
      <c r="C1902" s="1114" t="s">
        <v>3392</v>
      </c>
      <c r="D1902" s="6" t="s">
        <v>577</v>
      </c>
      <c r="E1902" s="83"/>
      <c r="H1902" t="s">
        <v>708</v>
      </c>
      <c r="I1902">
        <v>9.0477000000000007</v>
      </c>
      <c r="J1902" t="s">
        <v>709</v>
      </c>
      <c r="K1902" t="s">
        <v>708</v>
      </c>
      <c r="L1902" s="166">
        <f t="shared" si="148"/>
        <v>126.66780000000001</v>
      </c>
      <c r="M1902" s="127" t="s">
        <v>3377</v>
      </c>
    </row>
    <row r="1903" spans="1:13" x14ac:dyDescent="0.2">
      <c r="A1903" s="637"/>
      <c r="B1903" s="166"/>
      <c r="E1903" s="83"/>
      <c r="H1903" t="s">
        <v>3378</v>
      </c>
      <c r="I1903" s="33">
        <v>3.5905399999999997E-5</v>
      </c>
      <c r="J1903" t="s">
        <v>704</v>
      </c>
      <c r="K1903" t="s">
        <v>3378</v>
      </c>
      <c r="L1903" s="166">
        <f t="shared" si="148"/>
        <v>5.0267559999999994E-4</v>
      </c>
      <c r="M1903" s="127" t="s">
        <v>3368</v>
      </c>
    </row>
    <row r="1904" spans="1:13" x14ac:dyDescent="0.2">
      <c r="A1904" s="637"/>
      <c r="B1904" s="166"/>
      <c r="E1904" s="83"/>
      <c r="H1904" t="s">
        <v>710</v>
      </c>
      <c r="I1904" s="33">
        <v>1.7364199999999999E-7</v>
      </c>
      <c r="J1904" t="s">
        <v>3379</v>
      </c>
      <c r="K1904" t="s">
        <v>710</v>
      </c>
      <c r="L1904" s="166">
        <f t="shared" si="148"/>
        <v>2.4309879999999998E-6</v>
      </c>
      <c r="M1904" s="127" t="s">
        <v>3380</v>
      </c>
    </row>
    <row r="1905" spans="1:13" x14ac:dyDescent="0.2">
      <c r="A1905" s="637"/>
      <c r="B1905" s="166"/>
      <c r="E1905" s="83"/>
      <c r="H1905" t="s">
        <v>3381</v>
      </c>
      <c r="I1905">
        <v>2.9360000000000001E-2</v>
      </c>
      <c r="J1905" t="s">
        <v>3382</v>
      </c>
      <c r="K1905" t="s">
        <v>3381</v>
      </c>
      <c r="L1905" s="166">
        <f t="shared" si="148"/>
        <v>0.41104000000000002</v>
      </c>
      <c r="M1905" s="127" t="s">
        <v>3383</v>
      </c>
    </row>
    <row r="1906" spans="1:13" x14ac:dyDescent="0.2">
      <c r="A1906" s="637"/>
      <c r="B1906" s="166"/>
      <c r="E1906" s="83"/>
      <c r="H1906" t="s">
        <v>3384</v>
      </c>
      <c r="I1906">
        <v>0.84404000000000001</v>
      </c>
      <c r="J1906" t="s">
        <v>711</v>
      </c>
      <c r="K1906" t="s">
        <v>3384</v>
      </c>
      <c r="L1906" s="166">
        <f t="shared" si="148"/>
        <v>11.816560000000001</v>
      </c>
      <c r="M1906" s="127" t="s">
        <v>3385</v>
      </c>
    </row>
    <row r="1907" spans="1:13" x14ac:dyDescent="0.2">
      <c r="A1907" s="414"/>
      <c r="B1907" s="833"/>
      <c r="C1907" s="1102"/>
      <c r="D1907" s="118"/>
      <c r="E1907" s="1235"/>
      <c r="F1907" s="118"/>
      <c r="G1907" s="118"/>
      <c r="H1907" s="118"/>
      <c r="I1907" s="118"/>
      <c r="J1907" s="118"/>
      <c r="K1907" s="118"/>
      <c r="L1907" s="833"/>
      <c r="M1907" s="120"/>
    </row>
    <row r="1908" spans="1:13" ht="16" x14ac:dyDescent="0.2">
      <c r="A1908" s="486" t="s">
        <v>2359</v>
      </c>
      <c r="B1908" s="220">
        <v>2399.1038398080541</v>
      </c>
      <c r="C1908" s="220" t="s">
        <v>267</v>
      </c>
      <c r="D1908" s="220">
        <v>2</v>
      </c>
      <c r="E1908" s="1216" t="s">
        <v>3388</v>
      </c>
      <c r="F1908" s="110"/>
      <c r="G1908" s="110"/>
      <c r="H1908" s="110"/>
      <c r="I1908" s="110"/>
      <c r="J1908" s="110"/>
      <c r="K1908" s="110"/>
      <c r="L1908" s="845"/>
      <c r="M1908" s="112"/>
    </row>
    <row r="1909" spans="1:13" x14ac:dyDescent="0.2">
      <c r="A1909" s="637"/>
      <c r="B1909" s="166">
        <f>B1908/1000</f>
        <v>2.399103839808054</v>
      </c>
      <c r="C1909" s="133" t="s">
        <v>444</v>
      </c>
      <c r="F1909">
        <v>1</v>
      </c>
      <c r="G1909" t="s">
        <v>713</v>
      </c>
      <c r="H1909" t="s">
        <v>701</v>
      </c>
      <c r="I1909">
        <v>0.14229</v>
      </c>
      <c r="J1909" t="s">
        <v>702</v>
      </c>
      <c r="K1909" t="s">
        <v>701</v>
      </c>
      <c r="L1909" s="166">
        <f>I1909*B$1914</f>
        <v>0.56916</v>
      </c>
      <c r="M1909" s="127" t="s">
        <v>3367</v>
      </c>
    </row>
    <row r="1910" spans="1:13" x14ac:dyDescent="0.2">
      <c r="A1910" s="637"/>
      <c r="B1910" s="166">
        <v>20</v>
      </c>
      <c r="C1910" s="133" t="s">
        <v>10</v>
      </c>
      <c r="D1910" t="s">
        <v>3390</v>
      </c>
      <c r="E1910" s="83"/>
      <c r="F1910">
        <v>40</v>
      </c>
      <c r="G1910" t="s">
        <v>12</v>
      </c>
      <c r="H1910" t="s">
        <v>703</v>
      </c>
      <c r="I1910" s="33">
        <v>2.2291000000000001E-5</v>
      </c>
      <c r="J1910" t="s">
        <v>704</v>
      </c>
      <c r="K1910" t="s">
        <v>703</v>
      </c>
      <c r="L1910" s="166">
        <f t="shared" ref="L1910:L1918" si="149">I1910*B$1914</f>
        <v>8.9164000000000002E-5</v>
      </c>
      <c r="M1910" s="127" t="s">
        <v>3368</v>
      </c>
    </row>
    <row r="1911" spans="1:13" x14ac:dyDescent="0.2">
      <c r="A1911" s="637"/>
      <c r="B1911" s="166">
        <v>0.7</v>
      </c>
      <c r="D1911" s="24" t="s">
        <v>3391</v>
      </c>
      <c r="E1911" s="83"/>
      <c r="H1911" t="s">
        <v>705</v>
      </c>
      <c r="I1911">
        <v>3203.5834399999999</v>
      </c>
      <c r="J1911" t="s">
        <v>706</v>
      </c>
      <c r="K1911" t="s">
        <v>705</v>
      </c>
      <c r="L1911" s="166">
        <f t="shared" si="149"/>
        <v>12814.33376</v>
      </c>
      <c r="M1911" s="127" t="s">
        <v>3370</v>
      </c>
    </row>
    <row r="1912" spans="1:13" x14ac:dyDescent="0.2">
      <c r="A1912" s="637"/>
      <c r="B1912" s="166">
        <f>B1909*B1910/B1911</f>
        <v>68.545823994515828</v>
      </c>
      <c r="C1912" s="133" t="s">
        <v>12</v>
      </c>
      <c r="D1912" s="6"/>
      <c r="E1912" s="83"/>
      <c r="H1912" t="s">
        <v>3372</v>
      </c>
      <c r="I1912">
        <v>1.278E-2</v>
      </c>
      <c r="J1912" t="s">
        <v>3373</v>
      </c>
      <c r="K1912" t="s">
        <v>3372</v>
      </c>
      <c r="L1912" s="166">
        <f t="shared" si="149"/>
        <v>5.1119999999999999E-2</v>
      </c>
      <c r="M1912" s="127" t="s">
        <v>3374</v>
      </c>
    </row>
    <row r="1913" spans="1:13" x14ac:dyDescent="0.2">
      <c r="A1913" s="637"/>
      <c r="B1913" s="166">
        <f>B1912*D1908</f>
        <v>137.09164798903166</v>
      </c>
      <c r="C1913" s="133" t="s">
        <v>12</v>
      </c>
      <c r="E1913" s="83"/>
      <c r="H1913" t="s">
        <v>3375</v>
      </c>
      <c r="I1913">
        <v>3.7339999999999998E-2</v>
      </c>
      <c r="J1913" t="s">
        <v>707</v>
      </c>
      <c r="K1913" t="s">
        <v>3375</v>
      </c>
      <c r="L1913" s="166">
        <f t="shared" si="149"/>
        <v>0.14935999999999999</v>
      </c>
      <c r="M1913" s="127" t="s">
        <v>3376</v>
      </c>
    </row>
    <row r="1914" spans="1:13" x14ac:dyDescent="0.2">
      <c r="A1914" s="637"/>
      <c r="B1914" s="1218">
        <f>ROUNDUP(B1913/F1910,0)</f>
        <v>4</v>
      </c>
      <c r="C1914" s="1114" t="s">
        <v>3392</v>
      </c>
      <c r="D1914" s="6" t="s">
        <v>577</v>
      </c>
      <c r="E1914" s="83"/>
      <c r="H1914" t="s">
        <v>708</v>
      </c>
      <c r="I1914">
        <v>9.0477000000000007</v>
      </c>
      <c r="J1914" t="s">
        <v>709</v>
      </c>
      <c r="K1914" t="s">
        <v>708</v>
      </c>
      <c r="L1914" s="166">
        <f t="shared" si="149"/>
        <v>36.190800000000003</v>
      </c>
      <c r="M1914" s="127" t="s">
        <v>3377</v>
      </c>
    </row>
    <row r="1915" spans="1:13" x14ac:dyDescent="0.2">
      <c r="A1915" s="637"/>
      <c r="B1915" s="166"/>
      <c r="E1915" s="83"/>
      <c r="H1915" t="s">
        <v>3378</v>
      </c>
      <c r="I1915" s="33">
        <v>3.5905399999999997E-5</v>
      </c>
      <c r="J1915" t="s">
        <v>704</v>
      </c>
      <c r="K1915" t="s">
        <v>3378</v>
      </c>
      <c r="L1915" s="166">
        <f t="shared" si="149"/>
        <v>1.4362159999999999E-4</v>
      </c>
      <c r="M1915" s="127" t="s">
        <v>3368</v>
      </c>
    </row>
    <row r="1916" spans="1:13" x14ac:dyDescent="0.2">
      <c r="A1916" s="637"/>
      <c r="B1916" s="166"/>
      <c r="E1916" s="83"/>
      <c r="H1916" t="s">
        <v>710</v>
      </c>
      <c r="I1916" s="33">
        <v>1.7364199999999999E-7</v>
      </c>
      <c r="J1916" t="s">
        <v>3379</v>
      </c>
      <c r="K1916" t="s">
        <v>710</v>
      </c>
      <c r="L1916" s="166">
        <f t="shared" si="149"/>
        <v>6.9456799999999995E-7</v>
      </c>
      <c r="M1916" s="127" t="s">
        <v>3380</v>
      </c>
    </row>
    <row r="1917" spans="1:13" x14ac:dyDescent="0.2">
      <c r="A1917" s="637"/>
      <c r="B1917" s="166"/>
      <c r="E1917" s="83"/>
      <c r="H1917" t="s">
        <v>3381</v>
      </c>
      <c r="I1917">
        <v>2.9360000000000001E-2</v>
      </c>
      <c r="J1917" t="s">
        <v>3382</v>
      </c>
      <c r="K1917" t="s">
        <v>3381</v>
      </c>
      <c r="L1917" s="166">
        <f t="shared" si="149"/>
        <v>0.11744</v>
      </c>
      <c r="M1917" s="127" t="s">
        <v>3383</v>
      </c>
    </row>
    <row r="1918" spans="1:13" x14ac:dyDescent="0.2">
      <c r="A1918" s="637"/>
      <c r="B1918" s="166"/>
      <c r="E1918" s="83"/>
      <c r="H1918" t="s">
        <v>3384</v>
      </c>
      <c r="I1918">
        <v>0.84404000000000001</v>
      </c>
      <c r="J1918" t="s">
        <v>711</v>
      </c>
      <c r="K1918" t="s">
        <v>3384</v>
      </c>
      <c r="L1918" s="166">
        <f t="shared" si="149"/>
        <v>3.37616</v>
      </c>
      <c r="M1918" s="127" t="s">
        <v>3385</v>
      </c>
    </row>
    <row r="1919" spans="1:13" x14ac:dyDescent="0.2">
      <c r="A1919" s="414"/>
      <c r="B1919" s="833"/>
      <c r="C1919" s="1102"/>
      <c r="D1919" s="118"/>
      <c r="E1919" s="1235"/>
      <c r="F1919" s="118"/>
      <c r="G1919" s="118"/>
      <c r="H1919" s="118"/>
      <c r="I1919" s="118"/>
      <c r="J1919" s="118"/>
      <c r="K1919" s="118"/>
      <c r="L1919" s="833"/>
      <c r="M1919" s="120"/>
    </row>
    <row r="1920" spans="1:13" ht="48" x14ac:dyDescent="0.2">
      <c r="A1920" s="486" t="s">
        <v>2360</v>
      </c>
      <c r="B1920" s="220">
        <v>1103.1318210287252</v>
      </c>
      <c r="C1920" s="220" t="s">
        <v>1</v>
      </c>
      <c r="D1920" s="220">
        <v>2</v>
      </c>
      <c r="E1920" s="159" t="s">
        <v>3423</v>
      </c>
      <c r="F1920" s="110">
        <v>1</v>
      </c>
      <c r="G1920" s="110" t="s">
        <v>3424</v>
      </c>
      <c r="H1920" s="110"/>
      <c r="I1920" s="110"/>
      <c r="J1920" s="110"/>
      <c r="K1920" s="110"/>
      <c r="L1920" s="845"/>
      <c r="M1920" s="112"/>
    </row>
    <row r="1921" spans="1:13" x14ac:dyDescent="0.2">
      <c r="A1921" s="637" t="s">
        <v>906</v>
      </c>
      <c r="B1921" s="1237">
        <f>B1920*D1920</f>
        <v>2206.2636420574504</v>
      </c>
      <c r="C1921" s="133" t="s">
        <v>1</v>
      </c>
      <c r="D1921" t="s">
        <v>586</v>
      </c>
      <c r="E1921" s="83"/>
      <c r="F1921">
        <v>500</v>
      </c>
      <c r="G1921" t="s">
        <v>3425</v>
      </c>
      <c r="H1921" t="s">
        <v>701</v>
      </c>
      <c r="I1921">
        <v>500.29457000000002</v>
      </c>
      <c r="J1921" t="s">
        <v>702</v>
      </c>
      <c r="K1921" t="s">
        <v>701</v>
      </c>
      <c r="L1921" s="166">
        <f>I1921*B$1922</f>
        <v>22075.634402195319</v>
      </c>
      <c r="M1921" s="127" t="s">
        <v>3367</v>
      </c>
    </row>
    <row r="1922" spans="1:13" x14ac:dyDescent="0.2">
      <c r="A1922" s="637"/>
      <c r="B1922" s="1218">
        <f>B1921/F1921*10</f>
        <v>44.125272841149005</v>
      </c>
      <c r="C1922" s="1114" t="s">
        <v>3455</v>
      </c>
      <c r="D1922" s="6" t="s">
        <v>586</v>
      </c>
      <c r="E1922" s="83"/>
      <c r="H1922" t="s">
        <v>703</v>
      </c>
      <c r="I1922" s="33">
        <v>5.0630000000000001E-2</v>
      </c>
      <c r="J1922" t="s">
        <v>704</v>
      </c>
      <c r="K1922" t="s">
        <v>703</v>
      </c>
      <c r="L1922" s="166">
        <f t="shared" ref="L1922:L1930" si="150">I1922*B$1922</f>
        <v>2.2340625639473743</v>
      </c>
      <c r="M1922" s="127" t="s">
        <v>3368</v>
      </c>
    </row>
    <row r="1923" spans="1:13" x14ac:dyDescent="0.2">
      <c r="A1923" s="637"/>
      <c r="B1923" s="166"/>
      <c r="E1923" s="83"/>
      <c r="H1923" t="s">
        <v>705</v>
      </c>
      <c r="I1923" s="33">
        <v>4.7383300000000004E-6</v>
      </c>
      <c r="J1923" t="s">
        <v>706</v>
      </c>
      <c r="K1923" t="s">
        <v>705</v>
      </c>
      <c r="L1923" s="166">
        <f t="shared" si="150"/>
        <v>2.0908010406140158E-4</v>
      </c>
      <c r="M1923" s="127" t="s">
        <v>3370</v>
      </c>
    </row>
    <row r="1924" spans="1:13" x14ac:dyDescent="0.2">
      <c r="A1924" s="637"/>
      <c r="B1924" s="166"/>
      <c r="E1924" s="83"/>
      <c r="H1924" t="s">
        <v>3372</v>
      </c>
      <c r="I1924">
        <v>32.336289999999998</v>
      </c>
      <c r="J1924" t="s">
        <v>3373</v>
      </c>
      <c r="K1924" t="s">
        <v>3372</v>
      </c>
      <c r="L1924" s="166">
        <f t="shared" si="150"/>
        <v>1426.847618920518</v>
      </c>
      <c r="M1924" s="127" t="s">
        <v>3374</v>
      </c>
    </row>
    <row r="1925" spans="1:13" x14ac:dyDescent="0.2">
      <c r="A1925" s="637"/>
      <c r="B1925" s="166"/>
      <c r="E1925" s="83"/>
      <c r="H1925" t="s">
        <v>3375</v>
      </c>
      <c r="I1925">
        <v>330.76024999999998</v>
      </c>
      <c r="J1925" t="s">
        <v>707</v>
      </c>
      <c r="K1925" t="s">
        <v>3375</v>
      </c>
      <c r="L1925" s="166">
        <f t="shared" si="150"/>
        <v>14594.886276256655</v>
      </c>
      <c r="M1925" s="127" t="s">
        <v>3376</v>
      </c>
    </row>
    <row r="1926" spans="1:13" x14ac:dyDescent="0.2">
      <c r="A1926" s="637"/>
      <c r="B1926" s="166"/>
      <c r="E1926" s="83"/>
      <c r="H1926" t="s">
        <v>708</v>
      </c>
      <c r="I1926" s="33">
        <v>96090.3</v>
      </c>
      <c r="J1926" t="s">
        <v>709</v>
      </c>
      <c r="K1926" t="s">
        <v>708</v>
      </c>
      <c r="L1926" s="166">
        <f t="shared" si="150"/>
        <v>4240010.7048878605</v>
      </c>
      <c r="M1926" s="127" t="s">
        <v>3377</v>
      </c>
    </row>
    <row r="1927" spans="1:13" x14ac:dyDescent="0.2">
      <c r="A1927" s="637"/>
      <c r="B1927" s="166"/>
      <c r="E1927" s="83"/>
      <c r="H1927" t="s">
        <v>3378</v>
      </c>
      <c r="I1927" s="33">
        <v>5.6300000000000003E-2</v>
      </c>
      <c r="J1927" t="s">
        <v>704</v>
      </c>
      <c r="K1927" t="s">
        <v>3378</v>
      </c>
      <c r="L1927" s="166">
        <f t="shared" si="150"/>
        <v>2.4842528609566892</v>
      </c>
      <c r="M1927" s="127" t="s">
        <v>3368</v>
      </c>
    </row>
    <row r="1928" spans="1:13" x14ac:dyDescent="0.2">
      <c r="A1928" s="637"/>
      <c r="B1928" s="166"/>
      <c r="E1928" s="83"/>
      <c r="H1928" t="s">
        <v>710</v>
      </c>
      <c r="I1928" s="33">
        <v>1.3699999999999999E-3</v>
      </c>
      <c r="J1928" t="s">
        <v>3379</v>
      </c>
      <c r="K1928" t="s">
        <v>710</v>
      </c>
      <c r="L1928" s="166">
        <f t="shared" si="150"/>
        <v>6.0451623792374135E-2</v>
      </c>
      <c r="M1928" s="127" t="s">
        <v>3380</v>
      </c>
    </row>
    <row r="1929" spans="1:13" x14ac:dyDescent="0.2">
      <c r="A1929" s="637"/>
      <c r="B1929" s="166"/>
      <c r="E1929" s="83"/>
      <c r="H1929" t="s">
        <v>3381</v>
      </c>
      <c r="I1929">
        <v>145.08896999999999</v>
      </c>
      <c r="J1929" t="s">
        <v>3382</v>
      </c>
      <c r="K1929" t="s">
        <v>3381</v>
      </c>
      <c r="L1929" s="166">
        <f t="shared" si="150"/>
        <v>6402.0903874912819</v>
      </c>
      <c r="M1929" s="127" t="s">
        <v>3383</v>
      </c>
    </row>
    <row r="1930" spans="1:13" x14ac:dyDescent="0.2">
      <c r="A1930" s="637"/>
      <c r="B1930" s="166"/>
      <c r="E1930" s="83"/>
      <c r="H1930" t="s">
        <v>3384</v>
      </c>
      <c r="I1930">
        <v>7926.5570900000002</v>
      </c>
      <c r="J1930" t="s">
        <v>711</v>
      </c>
      <c r="K1930" t="s">
        <v>3384</v>
      </c>
      <c r="L1930" s="166">
        <f t="shared" si="150"/>
        <v>349761.4942871941</v>
      </c>
      <c r="M1930" s="127" t="s">
        <v>3385</v>
      </c>
    </row>
    <row r="1931" spans="1:13" x14ac:dyDescent="0.2">
      <c r="A1931" s="414"/>
      <c r="B1931" s="833"/>
      <c r="C1931" s="1102"/>
      <c r="D1931" s="118"/>
      <c r="E1931" s="1235"/>
      <c r="F1931" s="118"/>
      <c r="G1931" s="118"/>
      <c r="H1931" s="118"/>
      <c r="I1931" s="118"/>
      <c r="J1931" s="118"/>
      <c r="K1931" s="118"/>
      <c r="L1931" s="833"/>
      <c r="M1931" s="120"/>
    </row>
    <row r="1932" spans="1:13" ht="16" x14ac:dyDescent="0.2">
      <c r="A1932" s="486" t="s">
        <v>2362</v>
      </c>
      <c r="B1932" s="220">
        <v>9788.3436664168603</v>
      </c>
      <c r="C1932" s="220" t="s">
        <v>267</v>
      </c>
      <c r="D1932" s="220">
        <v>2</v>
      </c>
      <c r="E1932" s="1216" t="s">
        <v>3388</v>
      </c>
      <c r="F1932" s="110"/>
      <c r="G1932" s="110"/>
      <c r="H1932" s="110"/>
      <c r="I1932" s="110"/>
      <c r="J1932" s="110"/>
      <c r="K1932" s="110"/>
      <c r="L1932" s="845"/>
      <c r="M1932" s="112"/>
    </row>
    <row r="1933" spans="1:13" x14ac:dyDescent="0.2">
      <c r="A1933" s="637"/>
      <c r="B1933" s="166">
        <f>B1932/1000</f>
        <v>9.7883436664168606</v>
      </c>
      <c r="C1933" s="133" t="s">
        <v>444</v>
      </c>
      <c r="F1933">
        <v>1</v>
      </c>
      <c r="G1933" t="s">
        <v>713</v>
      </c>
      <c r="H1933" t="s">
        <v>701</v>
      </c>
      <c r="I1933">
        <v>0.14229</v>
      </c>
      <c r="J1933" t="s">
        <v>702</v>
      </c>
      <c r="K1933" t="s">
        <v>701</v>
      </c>
      <c r="L1933" s="166">
        <f>I1933*B$1938</f>
        <v>1.9920599999999999</v>
      </c>
      <c r="M1933" s="127" t="s">
        <v>3367</v>
      </c>
    </row>
    <row r="1934" spans="1:13" x14ac:dyDescent="0.2">
      <c r="A1934" s="637"/>
      <c r="B1934" s="166">
        <v>20</v>
      </c>
      <c r="C1934" s="133" t="s">
        <v>10</v>
      </c>
      <c r="D1934" t="s">
        <v>3390</v>
      </c>
      <c r="E1934" s="83"/>
      <c r="F1934">
        <v>40</v>
      </c>
      <c r="G1934" t="s">
        <v>12</v>
      </c>
      <c r="H1934" t="s">
        <v>703</v>
      </c>
      <c r="I1934" s="33">
        <v>2.2291000000000001E-5</v>
      </c>
      <c r="J1934" t="s">
        <v>704</v>
      </c>
      <c r="K1934" t="s">
        <v>703</v>
      </c>
      <c r="L1934" s="166">
        <f t="shared" ref="L1934:L1942" si="151">I1934*B$1938</f>
        <v>3.1207400000000002E-4</v>
      </c>
      <c r="M1934" s="127" t="s">
        <v>3368</v>
      </c>
    </row>
    <row r="1935" spans="1:13" x14ac:dyDescent="0.2">
      <c r="A1935" s="637"/>
      <c r="B1935" s="166">
        <v>0.7</v>
      </c>
      <c r="D1935" s="24" t="s">
        <v>3391</v>
      </c>
      <c r="E1935" s="83"/>
      <c r="H1935" t="s">
        <v>705</v>
      </c>
      <c r="I1935">
        <v>3203.5834399999999</v>
      </c>
      <c r="J1935" t="s">
        <v>706</v>
      </c>
      <c r="K1935" t="s">
        <v>705</v>
      </c>
      <c r="L1935" s="166">
        <f t="shared" si="151"/>
        <v>44850.168160000001</v>
      </c>
      <c r="M1935" s="127" t="s">
        <v>3370</v>
      </c>
    </row>
    <row r="1936" spans="1:13" x14ac:dyDescent="0.2">
      <c r="A1936" s="637"/>
      <c r="B1936" s="166">
        <f>B1933*B1934/B1935</f>
        <v>279.66696189762462</v>
      </c>
      <c r="C1936" s="133" t="s">
        <v>12</v>
      </c>
      <c r="D1936" s="6"/>
      <c r="E1936" s="83"/>
      <c r="H1936" t="s">
        <v>3372</v>
      </c>
      <c r="I1936">
        <v>1.278E-2</v>
      </c>
      <c r="J1936" t="s">
        <v>3373</v>
      </c>
      <c r="K1936" t="s">
        <v>3372</v>
      </c>
      <c r="L1936" s="166">
        <f t="shared" si="151"/>
        <v>0.17892</v>
      </c>
      <c r="M1936" s="127" t="s">
        <v>3374</v>
      </c>
    </row>
    <row r="1937" spans="1:13" x14ac:dyDescent="0.2">
      <c r="A1937" s="637"/>
      <c r="B1937" s="166">
        <f>B1936*D1932</f>
        <v>559.33392379524923</v>
      </c>
      <c r="C1937" s="133" t="s">
        <v>12</v>
      </c>
      <c r="E1937" s="83"/>
      <c r="H1937" t="s">
        <v>3375</v>
      </c>
      <c r="I1937">
        <v>3.7339999999999998E-2</v>
      </c>
      <c r="J1937" t="s">
        <v>707</v>
      </c>
      <c r="K1937" t="s">
        <v>3375</v>
      </c>
      <c r="L1937" s="166">
        <f t="shared" si="151"/>
        <v>0.52276</v>
      </c>
      <c r="M1937" s="127" t="s">
        <v>3376</v>
      </c>
    </row>
    <row r="1938" spans="1:13" x14ac:dyDescent="0.2">
      <c r="A1938" s="637"/>
      <c r="B1938" s="1218">
        <f>ROUNDUP(B1937/F1934,0)</f>
        <v>14</v>
      </c>
      <c r="C1938" s="1114" t="s">
        <v>3392</v>
      </c>
      <c r="D1938" s="6" t="s">
        <v>577</v>
      </c>
      <c r="E1938" s="83"/>
      <c r="H1938" t="s">
        <v>708</v>
      </c>
      <c r="I1938">
        <v>9.0477000000000007</v>
      </c>
      <c r="J1938" t="s">
        <v>709</v>
      </c>
      <c r="K1938" t="s">
        <v>708</v>
      </c>
      <c r="L1938" s="166">
        <f t="shared" si="151"/>
        <v>126.66780000000001</v>
      </c>
      <c r="M1938" s="127" t="s">
        <v>3377</v>
      </c>
    </row>
    <row r="1939" spans="1:13" x14ac:dyDescent="0.2">
      <c r="A1939" s="637"/>
      <c r="B1939" s="166"/>
      <c r="E1939" s="83"/>
      <c r="H1939" t="s">
        <v>3378</v>
      </c>
      <c r="I1939" s="33">
        <v>3.5905399999999997E-5</v>
      </c>
      <c r="J1939" t="s">
        <v>704</v>
      </c>
      <c r="K1939" t="s">
        <v>3378</v>
      </c>
      <c r="L1939" s="166">
        <f t="shared" si="151"/>
        <v>5.0267559999999994E-4</v>
      </c>
      <c r="M1939" s="127" t="s">
        <v>3368</v>
      </c>
    </row>
    <row r="1940" spans="1:13" x14ac:dyDescent="0.2">
      <c r="A1940" s="637"/>
      <c r="B1940" s="166"/>
      <c r="E1940" s="83"/>
      <c r="H1940" t="s">
        <v>710</v>
      </c>
      <c r="I1940" s="33">
        <v>1.7364199999999999E-7</v>
      </c>
      <c r="J1940" t="s">
        <v>3379</v>
      </c>
      <c r="K1940" t="s">
        <v>710</v>
      </c>
      <c r="L1940" s="166">
        <f t="shared" si="151"/>
        <v>2.4309879999999998E-6</v>
      </c>
      <c r="M1940" s="127" t="s">
        <v>3380</v>
      </c>
    </row>
    <row r="1941" spans="1:13" x14ac:dyDescent="0.2">
      <c r="A1941" s="637"/>
      <c r="B1941" s="166"/>
      <c r="E1941" s="83"/>
      <c r="H1941" t="s">
        <v>3381</v>
      </c>
      <c r="I1941">
        <v>2.9360000000000001E-2</v>
      </c>
      <c r="J1941" t="s">
        <v>3382</v>
      </c>
      <c r="K1941" t="s">
        <v>3381</v>
      </c>
      <c r="L1941" s="166">
        <f t="shared" si="151"/>
        <v>0.41104000000000002</v>
      </c>
      <c r="M1941" s="127" t="s">
        <v>3383</v>
      </c>
    </row>
    <row r="1942" spans="1:13" x14ac:dyDescent="0.2">
      <c r="A1942" s="637"/>
      <c r="B1942" s="166"/>
      <c r="E1942" s="83"/>
      <c r="H1942" t="s">
        <v>3384</v>
      </c>
      <c r="I1942">
        <v>0.84404000000000001</v>
      </c>
      <c r="J1942" t="s">
        <v>711</v>
      </c>
      <c r="K1942" t="s">
        <v>3384</v>
      </c>
      <c r="L1942" s="166">
        <f t="shared" si="151"/>
        <v>11.816560000000001</v>
      </c>
      <c r="M1942" s="127" t="s">
        <v>3385</v>
      </c>
    </row>
    <row r="1943" spans="1:13" x14ac:dyDescent="0.2">
      <c r="A1943" s="414"/>
      <c r="B1943" s="833"/>
      <c r="C1943" s="1102"/>
      <c r="D1943" s="118"/>
      <c r="E1943" s="1235"/>
      <c r="F1943" s="118"/>
      <c r="G1943" s="118"/>
      <c r="H1943" s="118"/>
      <c r="I1943" s="118"/>
      <c r="J1943" s="118"/>
      <c r="K1943" s="118"/>
      <c r="L1943" s="833"/>
      <c r="M1943" s="120"/>
    </row>
    <row r="1944" spans="1:13" ht="16" x14ac:dyDescent="0.2">
      <c r="A1944" s="486" t="s">
        <v>2362</v>
      </c>
      <c r="B1944" s="220">
        <v>5517.9388315585238</v>
      </c>
      <c r="C1944" s="220" t="s">
        <v>267</v>
      </c>
      <c r="D1944" s="220">
        <v>2</v>
      </c>
      <c r="E1944" s="1216" t="s">
        <v>3388</v>
      </c>
      <c r="F1944" s="110"/>
      <c r="G1944" s="110"/>
      <c r="H1944" s="110"/>
      <c r="I1944" s="110"/>
      <c r="J1944" s="110"/>
      <c r="K1944" s="110"/>
      <c r="L1944" s="845"/>
      <c r="M1944" s="112"/>
    </row>
    <row r="1945" spans="1:13" x14ac:dyDescent="0.2">
      <c r="A1945" s="637"/>
      <c r="B1945" s="166">
        <f>B1944/1000</f>
        <v>5.5179388315585234</v>
      </c>
      <c r="C1945" s="133" t="s">
        <v>444</v>
      </c>
      <c r="F1945">
        <v>1</v>
      </c>
      <c r="G1945" t="s">
        <v>713</v>
      </c>
      <c r="H1945" t="s">
        <v>701</v>
      </c>
      <c r="I1945">
        <v>0.14229</v>
      </c>
      <c r="J1945" t="s">
        <v>702</v>
      </c>
      <c r="K1945" t="s">
        <v>701</v>
      </c>
      <c r="L1945" s="166">
        <f>I1945*B$1950</f>
        <v>1.13832</v>
      </c>
      <c r="M1945" s="127" t="s">
        <v>3367</v>
      </c>
    </row>
    <row r="1946" spans="1:13" x14ac:dyDescent="0.2">
      <c r="A1946" s="637"/>
      <c r="B1946" s="166">
        <v>20</v>
      </c>
      <c r="C1946" s="133" t="s">
        <v>10</v>
      </c>
      <c r="D1946" t="s">
        <v>3390</v>
      </c>
      <c r="E1946" s="83"/>
      <c r="F1946">
        <v>40</v>
      </c>
      <c r="G1946" t="s">
        <v>12</v>
      </c>
      <c r="H1946" t="s">
        <v>703</v>
      </c>
      <c r="I1946" s="33">
        <v>2.2291000000000001E-5</v>
      </c>
      <c r="J1946" t="s">
        <v>704</v>
      </c>
      <c r="K1946" t="s">
        <v>703</v>
      </c>
      <c r="L1946" s="166">
        <f t="shared" ref="L1946:L1954" si="152">I1946*B$1950</f>
        <v>1.78328E-4</v>
      </c>
      <c r="M1946" s="127" t="s">
        <v>3368</v>
      </c>
    </row>
    <row r="1947" spans="1:13" x14ac:dyDescent="0.2">
      <c r="A1947" s="637"/>
      <c r="B1947" s="166">
        <v>0.7</v>
      </c>
      <c r="D1947" s="24" t="s">
        <v>3391</v>
      </c>
      <c r="E1947" s="83"/>
      <c r="H1947" t="s">
        <v>705</v>
      </c>
      <c r="I1947">
        <v>3203.5834399999999</v>
      </c>
      <c r="J1947" t="s">
        <v>706</v>
      </c>
      <c r="K1947" t="s">
        <v>705</v>
      </c>
      <c r="L1947" s="166">
        <f t="shared" si="152"/>
        <v>25628.667519999999</v>
      </c>
      <c r="M1947" s="127" t="s">
        <v>3370</v>
      </c>
    </row>
    <row r="1948" spans="1:13" x14ac:dyDescent="0.2">
      <c r="A1948" s="637"/>
      <c r="B1948" s="166">
        <f>B1945*B1946/B1947</f>
        <v>157.6553951873864</v>
      </c>
      <c r="C1948" s="133" t="s">
        <v>12</v>
      </c>
      <c r="D1948" s="6"/>
      <c r="E1948" s="83"/>
      <c r="H1948" t="s">
        <v>3372</v>
      </c>
      <c r="I1948">
        <v>1.278E-2</v>
      </c>
      <c r="J1948" t="s">
        <v>3373</v>
      </c>
      <c r="K1948" t="s">
        <v>3372</v>
      </c>
      <c r="L1948" s="166">
        <f t="shared" si="152"/>
        <v>0.10224</v>
      </c>
      <c r="M1948" s="127" t="s">
        <v>3374</v>
      </c>
    </row>
    <row r="1949" spans="1:13" x14ac:dyDescent="0.2">
      <c r="A1949" s="637"/>
      <c r="B1949" s="166">
        <f>B1948*D1944</f>
        <v>315.31079037477281</v>
      </c>
      <c r="C1949" s="133" t="s">
        <v>12</v>
      </c>
      <c r="E1949" s="83"/>
      <c r="H1949" t="s">
        <v>3375</v>
      </c>
      <c r="I1949">
        <v>3.7339999999999998E-2</v>
      </c>
      <c r="J1949" t="s">
        <v>707</v>
      </c>
      <c r="K1949" t="s">
        <v>3375</v>
      </c>
      <c r="L1949" s="166">
        <f t="shared" si="152"/>
        <v>0.29871999999999999</v>
      </c>
      <c r="M1949" s="127" t="s">
        <v>3376</v>
      </c>
    </row>
    <row r="1950" spans="1:13" x14ac:dyDescent="0.2">
      <c r="A1950" s="637"/>
      <c r="B1950" s="1218">
        <f>ROUNDUP(B1949/F1946,0)</f>
        <v>8</v>
      </c>
      <c r="C1950" s="1114" t="s">
        <v>3392</v>
      </c>
      <c r="D1950" s="6" t="s">
        <v>577</v>
      </c>
      <c r="E1950" s="83"/>
      <c r="H1950" t="s">
        <v>708</v>
      </c>
      <c r="I1950">
        <v>9.0477000000000007</v>
      </c>
      <c r="J1950" t="s">
        <v>709</v>
      </c>
      <c r="K1950" t="s">
        <v>708</v>
      </c>
      <c r="L1950" s="166">
        <f t="shared" si="152"/>
        <v>72.381600000000006</v>
      </c>
      <c r="M1950" s="127" t="s">
        <v>3377</v>
      </c>
    </row>
    <row r="1951" spans="1:13" x14ac:dyDescent="0.2">
      <c r="A1951" s="637"/>
      <c r="B1951" s="166"/>
      <c r="E1951" s="83"/>
      <c r="H1951" t="s">
        <v>3378</v>
      </c>
      <c r="I1951" s="33">
        <v>3.5905399999999997E-5</v>
      </c>
      <c r="J1951" t="s">
        <v>704</v>
      </c>
      <c r="K1951" t="s">
        <v>3378</v>
      </c>
      <c r="L1951" s="166">
        <f t="shared" si="152"/>
        <v>2.8724319999999997E-4</v>
      </c>
      <c r="M1951" s="127" t="s">
        <v>3368</v>
      </c>
    </row>
    <row r="1952" spans="1:13" x14ac:dyDescent="0.2">
      <c r="A1952" s="637"/>
      <c r="B1952" s="166"/>
      <c r="E1952" s="83"/>
      <c r="H1952" t="s">
        <v>710</v>
      </c>
      <c r="I1952" s="33">
        <v>1.7364199999999999E-7</v>
      </c>
      <c r="J1952" t="s">
        <v>3379</v>
      </c>
      <c r="K1952" t="s">
        <v>710</v>
      </c>
      <c r="L1952" s="166">
        <f t="shared" si="152"/>
        <v>1.3891359999999999E-6</v>
      </c>
      <c r="M1952" s="127" t="s">
        <v>3380</v>
      </c>
    </row>
    <row r="1953" spans="1:13" x14ac:dyDescent="0.2">
      <c r="A1953" s="637"/>
      <c r="B1953" s="166"/>
      <c r="E1953" s="83"/>
      <c r="H1953" t="s">
        <v>3381</v>
      </c>
      <c r="I1953">
        <v>2.9360000000000001E-2</v>
      </c>
      <c r="J1953" t="s">
        <v>3382</v>
      </c>
      <c r="K1953" t="s">
        <v>3381</v>
      </c>
      <c r="L1953" s="166">
        <f t="shared" si="152"/>
        <v>0.23488000000000001</v>
      </c>
      <c r="M1953" s="127" t="s">
        <v>3383</v>
      </c>
    </row>
    <row r="1954" spans="1:13" x14ac:dyDescent="0.2">
      <c r="A1954" s="637"/>
      <c r="B1954" s="166"/>
      <c r="E1954" s="83"/>
      <c r="H1954" t="s">
        <v>3384</v>
      </c>
      <c r="I1954">
        <v>0.84404000000000001</v>
      </c>
      <c r="J1954" t="s">
        <v>711</v>
      </c>
      <c r="K1954" t="s">
        <v>3384</v>
      </c>
      <c r="L1954" s="166">
        <f t="shared" si="152"/>
        <v>6.7523200000000001</v>
      </c>
      <c r="M1954" s="127" t="s">
        <v>3385</v>
      </c>
    </row>
    <row r="1955" spans="1:13" x14ac:dyDescent="0.2">
      <c r="A1955" s="414"/>
      <c r="B1955" s="833"/>
      <c r="C1955" s="1102"/>
      <c r="D1955" s="118"/>
      <c r="E1955" s="1235"/>
      <c r="F1955" s="118"/>
      <c r="G1955" s="118"/>
      <c r="H1955" s="118"/>
      <c r="I1955" s="118"/>
      <c r="J1955" s="118"/>
      <c r="K1955" s="118"/>
      <c r="L1955" s="833"/>
      <c r="M1955" s="120"/>
    </row>
    <row r="1956" spans="1:13" ht="48" x14ac:dyDescent="0.2">
      <c r="A1956" s="486" t="s">
        <v>2363</v>
      </c>
      <c r="B1956" s="220">
        <v>1125.1944574492998</v>
      </c>
      <c r="C1956" s="220" t="s">
        <v>1</v>
      </c>
      <c r="D1956" s="220">
        <v>2</v>
      </c>
      <c r="E1956" s="159" t="s">
        <v>3423</v>
      </c>
      <c r="F1956" s="110">
        <v>1</v>
      </c>
      <c r="G1956" s="110" t="s">
        <v>3424</v>
      </c>
      <c r="H1956" s="110"/>
      <c r="I1956" s="110"/>
      <c r="J1956" s="110"/>
      <c r="K1956" s="110"/>
      <c r="L1956" s="845"/>
      <c r="M1956" s="112"/>
    </row>
    <row r="1957" spans="1:13" x14ac:dyDescent="0.2">
      <c r="A1957" s="637" t="s">
        <v>906</v>
      </c>
      <c r="B1957" s="1237">
        <f>B1956*D1956*10</f>
        <v>22503.889148985996</v>
      </c>
      <c r="C1957" s="133" t="s">
        <v>1</v>
      </c>
      <c r="D1957" t="s">
        <v>586</v>
      </c>
      <c r="E1957" s="83"/>
      <c r="F1957">
        <v>500</v>
      </c>
      <c r="G1957" t="s">
        <v>3425</v>
      </c>
      <c r="H1957" t="s">
        <v>701</v>
      </c>
      <c r="I1957">
        <v>500.29457000000002</v>
      </c>
      <c r="J1957" t="s">
        <v>702</v>
      </c>
      <c r="K1957" t="s">
        <v>701</v>
      </c>
      <c r="L1957" s="166">
        <f>I1957*B$1958</f>
        <v>22517.147090239232</v>
      </c>
      <c r="M1957" s="127" t="s">
        <v>3367</v>
      </c>
    </row>
    <row r="1958" spans="1:13" x14ac:dyDescent="0.2">
      <c r="A1958" s="637"/>
      <c r="B1958" s="1218">
        <f>B1957/F1957</f>
        <v>45.007778297971996</v>
      </c>
      <c r="C1958" s="1114" t="s">
        <v>3455</v>
      </c>
      <c r="D1958" s="6" t="s">
        <v>586</v>
      </c>
      <c r="E1958" s="83"/>
      <c r="H1958" t="s">
        <v>703</v>
      </c>
      <c r="I1958" s="33">
        <v>5.0630000000000001E-2</v>
      </c>
      <c r="J1958" t="s">
        <v>704</v>
      </c>
      <c r="K1958" t="s">
        <v>703</v>
      </c>
      <c r="L1958" s="166">
        <f t="shared" ref="L1958:L1966" si="153">I1958*B$1958</f>
        <v>2.2787438152263224</v>
      </c>
      <c r="M1958" s="127" t="s">
        <v>3368</v>
      </c>
    </row>
    <row r="1959" spans="1:13" x14ac:dyDescent="0.2">
      <c r="A1959" s="637"/>
      <c r="B1959" s="166"/>
      <c r="E1959" s="83"/>
      <c r="H1959" t="s">
        <v>705</v>
      </c>
      <c r="I1959" s="33">
        <v>4.7383300000000004E-6</v>
      </c>
      <c r="J1959" t="s">
        <v>706</v>
      </c>
      <c r="K1959" t="s">
        <v>705</v>
      </c>
      <c r="L1959" s="166">
        <f t="shared" si="153"/>
        <v>2.1326170614262966E-4</v>
      </c>
      <c r="M1959" s="127" t="s">
        <v>3370</v>
      </c>
    </row>
    <row r="1960" spans="1:13" x14ac:dyDescent="0.2">
      <c r="A1960" s="637"/>
      <c r="B1960" s="166"/>
      <c r="E1960" s="83"/>
      <c r="H1960" t="s">
        <v>3372</v>
      </c>
      <c r="I1960">
        <v>32.336289999999998</v>
      </c>
      <c r="J1960" t="s">
        <v>3373</v>
      </c>
      <c r="K1960" t="s">
        <v>3372</v>
      </c>
      <c r="L1960" s="166">
        <f t="shared" si="153"/>
        <v>1455.3845712989287</v>
      </c>
      <c r="M1960" s="127" t="s">
        <v>3374</v>
      </c>
    </row>
    <row r="1961" spans="1:13" x14ac:dyDescent="0.2">
      <c r="A1961" s="637"/>
      <c r="B1961" s="166"/>
      <c r="E1961" s="83"/>
      <c r="H1961" t="s">
        <v>3375</v>
      </c>
      <c r="I1961">
        <v>330.76024999999998</v>
      </c>
      <c r="J1961" t="s">
        <v>707</v>
      </c>
      <c r="K1961" t="s">
        <v>3375</v>
      </c>
      <c r="L1961" s="166">
        <f t="shared" si="153"/>
        <v>14886.784001781791</v>
      </c>
      <c r="M1961" s="127" t="s">
        <v>3376</v>
      </c>
    </row>
    <row r="1962" spans="1:13" x14ac:dyDescent="0.2">
      <c r="A1962" s="637"/>
      <c r="B1962" s="166"/>
      <c r="E1962" s="83"/>
      <c r="H1962" t="s">
        <v>708</v>
      </c>
      <c r="I1962" s="33">
        <v>96090.3</v>
      </c>
      <c r="J1962" t="s">
        <v>709</v>
      </c>
      <c r="K1962" t="s">
        <v>708</v>
      </c>
      <c r="L1962" s="166">
        <f t="shared" si="153"/>
        <v>4324810.9189856183</v>
      </c>
      <c r="M1962" s="127" t="s">
        <v>3377</v>
      </c>
    </row>
    <row r="1963" spans="1:13" x14ac:dyDescent="0.2">
      <c r="A1963" s="637"/>
      <c r="B1963" s="166"/>
      <c r="E1963" s="83"/>
      <c r="H1963" t="s">
        <v>3378</v>
      </c>
      <c r="I1963" s="33">
        <v>5.6300000000000003E-2</v>
      </c>
      <c r="J1963" t="s">
        <v>704</v>
      </c>
      <c r="K1963" t="s">
        <v>3378</v>
      </c>
      <c r="L1963" s="166">
        <f t="shared" si="153"/>
        <v>2.5339379181758233</v>
      </c>
      <c r="M1963" s="127" t="s">
        <v>3368</v>
      </c>
    </row>
    <row r="1964" spans="1:13" x14ac:dyDescent="0.2">
      <c r="A1964" s="637"/>
      <c r="B1964" s="166"/>
      <c r="E1964" s="83"/>
      <c r="H1964" t="s">
        <v>710</v>
      </c>
      <c r="I1964" s="33">
        <v>1.3699999999999999E-3</v>
      </c>
      <c r="J1964" t="s">
        <v>3379</v>
      </c>
      <c r="K1964" t="s">
        <v>710</v>
      </c>
      <c r="L1964" s="166">
        <f t="shared" si="153"/>
        <v>6.1660656268221627E-2</v>
      </c>
      <c r="M1964" s="127" t="s">
        <v>3380</v>
      </c>
    </row>
    <row r="1965" spans="1:13" x14ac:dyDescent="0.2">
      <c r="A1965" s="637"/>
      <c r="B1965" s="166"/>
      <c r="E1965" s="83"/>
      <c r="H1965" t="s">
        <v>3381</v>
      </c>
      <c r="I1965">
        <v>145.08896999999999</v>
      </c>
      <c r="J1965" t="s">
        <v>3382</v>
      </c>
      <c r="K1965" t="s">
        <v>3381</v>
      </c>
      <c r="L1965" s="166">
        <f t="shared" si="153"/>
        <v>6530.132195241109</v>
      </c>
      <c r="M1965" s="127" t="s">
        <v>3383</v>
      </c>
    </row>
    <row r="1966" spans="1:13" x14ac:dyDescent="0.2">
      <c r="A1966" s="637"/>
      <c r="B1966" s="166"/>
      <c r="E1966" s="83"/>
      <c r="H1966" t="s">
        <v>3384</v>
      </c>
      <c r="I1966">
        <v>7926.5570900000002</v>
      </c>
      <c r="J1966" t="s">
        <v>711</v>
      </c>
      <c r="K1966" t="s">
        <v>3384</v>
      </c>
      <c r="L1966" s="166">
        <f t="shared" si="153"/>
        <v>356756.72417293809</v>
      </c>
      <c r="M1966" s="127" t="s">
        <v>3385</v>
      </c>
    </row>
    <row r="1967" spans="1:13" x14ac:dyDescent="0.2">
      <c r="A1967" s="414"/>
      <c r="B1967" s="833"/>
      <c r="C1967" s="1102"/>
      <c r="D1967" s="118"/>
      <c r="E1967" s="1235"/>
      <c r="F1967" s="118"/>
      <c r="G1967" s="118"/>
      <c r="H1967" s="118"/>
      <c r="I1967" s="118"/>
      <c r="J1967" s="118"/>
      <c r="K1967" s="118"/>
      <c r="L1967" s="833"/>
      <c r="M1967" s="120"/>
    </row>
    <row r="1968" spans="1:13" ht="16" x14ac:dyDescent="0.2">
      <c r="A1968" s="486" t="s">
        <v>2365</v>
      </c>
      <c r="B1968" s="220">
        <v>10076.236127193828</v>
      </c>
      <c r="C1968" s="220" t="s">
        <v>267</v>
      </c>
      <c r="D1968" s="220">
        <v>2</v>
      </c>
      <c r="E1968" s="1216" t="s">
        <v>3388</v>
      </c>
      <c r="F1968" s="110"/>
      <c r="G1968" s="110"/>
      <c r="H1968" s="110"/>
      <c r="I1968" s="110"/>
      <c r="J1968" s="110"/>
      <c r="K1968" s="110"/>
      <c r="L1968" s="845"/>
      <c r="M1968" s="112"/>
    </row>
    <row r="1969" spans="1:13" x14ac:dyDescent="0.2">
      <c r="A1969" s="637"/>
      <c r="B1969" s="166">
        <f>B1968/1000</f>
        <v>10.076236127193829</v>
      </c>
      <c r="C1969" s="133" t="s">
        <v>444</v>
      </c>
      <c r="F1969">
        <v>1</v>
      </c>
      <c r="G1969" t="s">
        <v>713</v>
      </c>
      <c r="H1969" t="s">
        <v>701</v>
      </c>
      <c r="I1969">
        <v>0.14229</v>
      </c>
      <c r="J1969" t="s">
        <v>702</v>
      </c>
      <c r="K1969" t="s">
        <v>701</v>
      </c>
      <c r="L1969" s="166">
        <f>I1969*B$1974</f>
        <v>2.13435</v>
      </c>
      <c r="M1969" s="127" t="s">
        <v>3367</v>
      </c>
    </row>
    <row r="1970" spans="1:13" x14ac:dyDescent="0.2">
      <c r="A1970" s="637"/>
      <c r="B1970" s="166">
        <v>20</v>
      </c>
      <c r="C1970" s="133" t="s">
        <v>10</v>
      </c>
      <c r="D1970" t="s">
        <v>3390</v>
      </c>
      <c r="E1970" s="83"/>
      <c r="F1970">
        <v>40</v>
      </c>
      <c r="G1970" t="s">
        <v>12</v>
      </c>
      <c r="H1970" t="s">
        <v>703</v>
      </c>
      <c r="I1970" s="33">
        <v>2.2291000000000001E-5</v>
      </c>
      <c r="J1970" t="s">
        <v>704</v>
      </c>
      <c r="K1970" t="s">
        <v>703</v>
      </c>
      <c r="L1970" s="166">
        <f t="shared" ref="L1970:L1978" si="154">I1970*B$1974</f>
        <v>3.3436499999999999E-4</v>
      </c>
      <c r="M1970" s="127" t="s">
        <v>3368</v>
      </c>
    </row>
    <row r="1971" spans="1:13" x14ac:dyDescent="0.2">
      <c r="A1971" s="637"/>
      <c r="B1971" s="166">
        <v>0.7</v>
      </c>
      <c r="D1971" s="24" t="s">
        <v>3391</v>
      </c>
      <c r="E1971" s="83"/>
      <c r="H1971" t="s">
        <v>705</v>
      </c>
      <c r="I1971">
        <v>3203.5834399999999</v>
      </c>
      <c r="J1971" t="s">
        <v>706</v>
      </c>
      <c r="K1971" t="s">
        <v>705</v>
      </c>
      <c r="L1971" s="166">
        <f t="shared" si="154"/>
        <v>48053.751599999996</v>
      </c>
      <c r="M1971" s="127" t="s">
        <v>3370</v>
      </c>
    </row>
    <row r="1972" spans="1:13" x14ac:dyDescent="0.2">
      <c r="A1972" s="637"/>
      <c r="B1972" s="166">
        <f>B1969*B1970/B1971</f>
        <v>287.89246077696657</v>
      </c>
      <c r="C1972" s="133" t="s">
        <v>12</v>
      </c>
      <c r="D1972" s="6"/>
      <c r="E1972" s="83"/>
      <c r="H1972" t="s">
        <v>3372</v>
      </c>
      <c r="I1972">
        <v>1.278E-2</v>
      </c>
      <c r="J1972" t="s">
        <v>3373</v>
      </c>
      <c r="K1972" t="s">
        <v>3372</v>
      </c>
      <c r="L1972" s="166">
        <f t="shared" si="154"/>
        <v>0.19169999999999998</v>
      </c>
      <c r="M1972" s="127" t="s">
        <v>3374</v>
      </c>
    </row>
    <row r="1973" spans="1:13" x14ac:dyDescent="0.2">
      <c r="A1973" s="637"/>
      <c r="B1973" s="166">
        <f>B1972*D1968</f>
        <v>575.78492155393315</v>
      </c>
      <c r="C1973" s="133" t="s">
        <v>12</v>
      </c>
      <c r="E1973" s="83"/>
      <c r="H1973" t="s">
        <v>3375</v>
      </c>
      <c r="I1973">
        <v>3.7339999999999998E-2</v>
      </c>
      <c r="J1973" t="s">
        <v>707</v>
      </c>
      <c r="K1973" t="s">
        <v>3375</v>
      </c>
      <c r="L1973" s="166">
        <f t="shared" si="154"/>
        <v>0.56009999999999993</v>
      </c>
      <c r="M1973" s="127" t="s">
        <v>3376</v>
      </c>
    </row>
    <row r="1974" spans="1:13" x14ac:dyDescent="0.2">
      <c r="A1974" s="637"/>
      <c r="B1974" s="1218">
        <f>ROUNDUP(B1973/F1970,0)</f>
        <v>15</v>
      </c>
      <c r="C1974" s="1114" t="s">
        <v>3392</v>
      </c>
      <c r="D1974" s="6" t="s">
        <v>577</v>
      </c>
      <c r="E1974" s="83"/>
      <c r="H1974" t="s">
        <v>708</v>
      </c>
      <c r="I1974">
        <v>9.0477000000000007</v>
      </c>
      <c r="J1974" t="s">
        <v>709</v>
      </c>
      <c r="K1974" t="s">
        <v>708</v>
      </c>
      <c r="L1974" s="166">
        <f t="shared" si="154"/>
        <v>135.71550000000002</v>
      </c>
      <c r="M1974" s="127" t="s">
        <v>3377</v>
      </c>
    </row>
    <row r="1975" spans="1:13" x14ac:dyDescent="0.2">
      <c r="A1975" s="637"/>
      <c r="B1975" s="166"/>
      <c r="E1975" s="83"/>
      <c r="H1975" t="s">
        <v>3378</v>
      </c>
      <c r="I1975" s="33">
        <v>3.5905399999999997E-5</v>
      </c>
      <c r="J1975" t="s">
        <v>704</v>
      </c>
      <c r="K1975" t="s">
        <v>3378</v>
      </c>
      <c r="L1975" s="166">
        <f t="shared" si="154"/>
        <v>5.38581E-4</v>
      </c>
      <c r="M1975" s="127" t="s">
        <v>3368</v>
      </c>
    </row>
    <row r="1976" spans="1:13" x14ac:dyDescent="0.2">
      <c r="A1976" s="637"/>
      <c r="B1976" s="166"/>
      <c r="E1976" s="83"/>
      <c r="H1976" t="s">
        <v>710</v>
      </c>
      <c r="I1976" s="33">
        <v>1.7364199999999999E-7</v>
      </c>
      <c r="J1976" t="s">
        <v>3379</v>
      </c>
      <c r="K1976" t="s">
        <v>710</v>
      </c>
      <c r="L1976" s="166">
        <f t="shared" si="154"/>
        <v>2.60463E-6</v>
      </c>
      <c r="M1976" s="127" t="s">
        <v>3380</v>
      </c>
    </row>
    <row r="1977" spans="1:13" x14ac:dyDescent="0.2">
      <c r="A1977" s="637"/>
      <c r="B1977" s="166"/>
      <c r="E1977" s="83"/>
      <c r="H1977" t="s">
        <v>3381</v>
      </c>
      <c r="I1977">
        <v>2.9360000000000001E-2</v>
      </c>
      <c r="J1977" t="s">
        <v>3382</v>
      </c>
      <c r="K1977" t="s">
        <v>3381</v>
      </c>
      <c r="L1977" s="166">
        <f t="shared" si="154"/>
        <v>0.44040000000000001</v>
      </c>
      <c r="M1977" s="127" t="s">
        <v>3383</v>
      </c>
    </row>
    <row r="1978" spans="1:13" x14ac:dyDescent="0.2">
      <c r="A1978" s="637"/>
      <c r="B1978" s="166"/>
      <c r="E1978" s="83"/>
      <c r="H1978" t="s">
        <v>3384</v>
      </c>
      <c r="I1978">
        <v>0.84404000000000001</v>
      </c>
      <c r="J1978" t="s">
        <v>711</v>
      </c>
      <c r="K1978" t="s">
        <v>3384</v>
      </c>
      <c r="L1978" s="166">
        <f t="shared" si="154"/>
        <v>12.660600000000001</v>
      </c>
      <c r="M1978" s="127" t="s">
        <v>3385</v>
      </c>
    </row>
    <row r="1979" spans="1:13" x14ac:dyDescent="0.2">
      <c r="A1979" s="414"/>
      <c r="B1979" s="833"/>
      <c r="C1979" s="1102"/>
      <c r="D1979" s="118"/>
      <c r="E1979" s="1235"/>
      <c r="F1979" s="118"/>
      <c r="G1979" s="118"/>
      <c r="H1979" s="118"/>
      <c r="I1979" s="118"/>
      <c r="J1979" s="118"/>
      <c r="K1979" s="118"/>
      <c r="L1979" s="833"/>
      <c r="M1979" s="120"/>
    </row>
    <row r="1980" spans="1:13" ht="16" x14ac:dyDescent="0.2">
      <c r="A1980" s="486" t="s">
        <v>2365</v>
      </c>
      <c r="B1980" s="220">
        <v>5038.118063596914</v>
      </c>
      <c r="C1980" s="220" t="s">
        <v>267</v>
      </c>
      <c r="D1980" s="220">
        <v>2</v>
      </c>
      <c r="E1980" s="1216" t="s">
        <v>3388</v>
      </c>
      <c r="F1980" s="110"/>
      <c r="G1980" s="110"/>
      <c r="H1980" s="110"/>
      <c r="I1980" s="110"/>
      <c r="J1980" s="110"/>
      <c r="K1980" s="110"/>
      <c r="L1980" s="845"/>
      <c r="M1980" s="112"/>
    </row>
    <row r="1981" spans="1:13" x14ac:dyDescent="0.2">
      <c r="A1981" s="637"/>
      <c r="B1981" s="166">
        <f>B1980/1000</f>
        <v>5.0381180635969143</v>
      </c>
      <c r="C1981" s="133" t="s">
        <v>444</v>
      </c>
      <c r="F1981">
        <v>1</v>
      </c>
      <c r="G1981" t="s">
        <v>713</v>
      </c>
      <c r="H1981" t="s">
        <v>701</v>
      </c>
      <c r="I1981">
        <v>0.14229</v>
      </c>
      <c r="J1981" t="s">
        <v>702</v>
      </c>
      <c r="K1981" t="s">
        <v>701</v>
      </c>
      <c r="L1981" s="166">
        <f>I1981*B$1986</f>
        <v>1.13832</v>
      </c>
      <c r="M1981" s="127" t="s">
        <v>3367</v>
      </c>
    </row>
    <row r="1982" spans="1:13" x14ac:dyDescent="0.2">
      <c r="A1982" s="637"/>
      <c r="B1982" s="166">
        <v>20</v>
      </c>
      <c r="C1982" s="133" t="s">
        <v>10</v>
      </c>
      <c r="D1982" t="s">
        <v>3390</v>
      </c>
      <c r="E1982" s="83"/>
      <c r="F1982">
        <v>40</v>
      </c>
      <c r="G1982" t="s">
        <v>12</v>
      </c>
      <c r="H1982" t="s">
        <v>703</v>
      </c>
      <c r="I1982" s="33">
        <v>2.2291000000000001E-5</v>
      </c>
      <c r="J1982" t="s">
        <v>704</v>
      </c>
      <c r="K1982" t="s">
        <v>703</v>
      </c>
      <c r="L1982" s="166">
        <f t="shared" ref="L1982:L1990" si="155">I1982*B$1986</f>
        <v>1.78328E-4</v>
      </c>
      <c r="M1982" s="127" t="s">
        <v>3368</v>
      </c>
    </row>
    <row r="1983" spans="1:13" x14ac:dyDescent="0.2">
      <c r="A1983" s="637"/>
      <c r="B1983" s="166">
        <v>0.7</v>
      </c>
      <c r="D1983" s="24" t="s">
        <v>3391</v>
      </c>
      <c r="E1983" s="83"/>
      <c r="H1983" t="s">
        <v>705</v>
      </c>
      <c r="I1983">
        <v>3203.5834399999999</v>
      </c>
      <c r="J1983" t="s">
        <v>706</v>
      </c>
      <c r="K1983" t="s">
        <v>705</v>
      </c>
      <c r="L1983" s="166">
        <f t="shared" si="155"/>
        <v>25628.667519999999</v>
      </c>
      <c r="M1983" s="127" t="s">
        <v>3370</v>
      </c>
    </row>
    <row r="1984" spans="1:13" x14ac:dyDescent="0.2">
      <c r="A1984" s="637"/>
      <c r="B1984" s="166">
        <f>B1981*B1982/B1983</f>
        <v>143.94623038848329</v>
      </c>
      <c r="C1984" s="133" t="s">
        <v>12</v>
      </c>
      <c r="D1984" s="6"/>
      <c r="E1984" s="83"/>
      <c r="H1984" t="s">
        <v>3372</v>
      </c>
      <c r="I1984">
        <v>1.278E-2</v>
      </c>
      <c r="J1984" t="s">
        <v>3373</v>
      </c>
      <c r="K1984" t="s">
        <v>3372</v>
      </c>
      <c r="L1984" s="166">
        <f t="shared" si="155"/>
        <v>0.10224</v>
      </c>
      <c r="M1984" s="127" t="s">
        <v>3374</v>
      </c>
    </row>
    <row r="1985" spans="1:13" x14ac:dyDescent="0.2">
      <c r="A1985" s="637"/>
      <c r="B1985" s="166">
        <f>B1984*D1980</f>
        <v>287.89246077696657</v>
      </c>
      <c r="C1985" s="133" t="s">
        <v>12</v>
      </c>
      <c r="E1985" s="83"/>
      <c r="H1985" t="s">
        <v>3375</v>
      </c>
      <c r="I1985">
        <v>3.7339999999999998E-2</v>
      </c>
      <c r="J1985" t="s">
        <v>707</v>
      </c>
      <c r="K1985" t="s">
        <v>3375</v>
      </c>
      <c r="L1985" s="166">
        <f t="shared" si="155"/>
        <v>0.29871999999999999</v>
      </c>
      <c r="M1985" s="127" t="s">
        <v>3376</v>
      </c>
    </row>
    <row r="1986" spans="1:13" x14ac:dyDescent="0.2">
      <c r="A1986" s="637"/>
      <c r="B1986" s="1218">
        <f>ROUNDUP(B1985/F1982,0)</f>
        <v>8</v>
      </c>
      <c r="C1986" s="1114" t="s">
        <v>3392</v>
      </c>
      <c r="D1986" s="6" t="s">
        <v>577</v>
      </c>
      <c r="E1986" s="83"/>
      <c r="H1986" t="s">
        <v>708</v>
      </c>
      <c r="I1986">
        <v>9.0477000000000007</v>
      </c>
      <c r="J1986" t="s">
        <v>709</v>
      </c>
      <c r="K1986" t="s">
        <v>708</v>
      </c>
      <c r="L1986" s="166">
        <f t="shared" si="155"/>
        <v>72.381600000000006</v>
      </c>
      <c r="M1986" s="127" t="s">
        <v>3377</v>
      </c>
    </row>
    <row r="1987" spans="1:13" x14ac:dyDescent="0.2">
      <c r="A1987" s="637"/>
      <c r="B1987" s="166"/>
      <c r="E1987" s="83"/>
      <c r="H1987" t="s">
        <v>3378</v>
      </c>
      <c r="I1987" s="33">
        <v>3.5905399999999997E-5</v>
      </c>
      <c r="J1987" t="s">
        <v>704</v>
      </c>
      <c r="K1987" t="s">
        <v>3378</v>
      </c>
      <c r="L1987" s="166">
        <f t="shared" si="155"/>
        <v>2.8724319999999997E-4</v>
      </c>
      <c r="M1987" s="127" t="s">
        <v>3368</v>
      </c>
    </row>
    <row r="1988" spans="1:13" x14ac:dyDescent="0.2">
      <c r="A1988" s="637"/>
      <c r="B1988" s="166"/>
      <c r="E1988" s="83"/>
      <c r="H1988" t="s">
        <v>710</v>
      </c>
      <c r="I1988" s="33">
        <v>1.7364199999999999E-7</v>
      </c>
      <c r="J1988" t="s">
        <v>3379</v>
      </c>
      <c r="K1988" t="s">
        <v>710</v>
      </c>
      <c r="L1988" s="166">
        <f t="shared" si="155"/>
        <v>1.3891359999999999E-6</v>
      </c>
      <c r="M1988" s="127" t="s">
        <v>3380</v>
      </c>
    </row>
    <row r="1989" spans="1:13" x14ac:dyDescent="0.2">
      <c r="A1989" s="637"/>
      <c r="B1989" s="166"/>
      <c r="E1989" s="83"/>
      <c r="H1989" t="s">
        <v>3381</v>
      </c>
      <c r="I1989">
        <v>2.9360000000000001E-2</v>
      </c>
      <c r="J1989" t="s">
        <v>3382</v>
      </c>
      <c r="K1989" t="s">
        <v>3381</v>
      </c>
      <c r="L1989" s="166">
        <f t="shared" si="155"/>
        <v>0.23488000000000001</v>
      </c>
      <c r="M1989" s="127" t="s">
        <v>3383</v>
      </c>
    </row>
    <row r="1990" spans="1:13" x14ac:dyDescent="0.2">
      <c r="A1990" s="637"/>
      <c r="B1990" s="166"/>
      <c r="E1990" s="83"/>
      <c r="H1990" t="s">
        <v>3384</v>
      </c>
      <c r="I1990">
        <v>0.84404000000000001</v>
      </c>
      <c r="J1990" t="s">
        <v>711</v>
      </c>
      <c r="K1990" t="s">
        <v>3384</v>
      </c>
      <c r="L1990" s="166">
        <f t="shared" si="155"/>
        <v>6.7523200000000001</v>
      </c>
      <c r="M1990" s="127" t="s">
        <v>3385</v>
      </c>
    </row>
    <row r="1991" spans="1:13" x14ac:dyDescent="0.2">
      <c r="A1991" s="414"/>
      <c r="B1991" s="833"/>
      <c r="C1991" s="1102"/>
      <c r="D1991" s="118"/>
      <c r="E1991" s="1235"/>
      <c r="F1991" s="118"/>
      <c r="G1991" s="118"/>
      <c r="H1991" s="118"/>
      <c r="I1991" s="118"/>
      <c r="J1991" s="118"/>
      <c r="K1991" s="118"/>
      <c r="L1991" s="833"/>
      <c r="M1991" s="120"/>
    </row>
    <row r="1992" spans="1:13" ht="48" x14ac:dyDescent="0.2">
      <c r="A1992" s="486" t="s">
        <v>2366</v>
      </c>
      <c r="B1992" s="220">
        <v>1169.3197302904487</v>
      </c>
      <c r="C1992" s="220" t="s">
        <v>1</v>
      </c>
      <c r="D1992" s="220">
        <v>2</v>
      </c>
      <c r="E1992" s="159" t="s">
        <v>3423</v>
      </c>
      <c r="F1992" s="110">
        <v>1</v>
      </c>
      <c r="G1992" s="110" t="s">
        <v>3424</v>
      </c>
      <c r="H1992" s="110"/>
      <c r="I1992" s="110"/>
      <c r="J1992" s="110"/>
      <c r="K1992" s="110"/>
      <c r="L1992" s="845"/>
      <c r="M1992" s="112"/>
    </row>
    <row r="1993" spans="1:13" x14ac:dyDescent="0.2">
      <c r="A1993" s="637" t="s">
        <v>906</v>
      </c>
      <c r="B1993" s="1237">
        <f>B1992*D1992</f>
        <v>2338.6394605808973</v>
      </c>
      <c r="C1993" s="133" t="s">
        <v>1</v>
      </c>
      <c r="D1993" t="s">
        <v>586</v>
      </c>
      <c r="E1993" s="83"/>
      <c r="F1993">
        <v>500</v>
      </c>
      <c r="G1993" t="s">
        <v>3425</v>
      </c>
      <c r="H1993" t="s">
        <v>701</v>
      </c>
      <c r="I1993">
        <v>500.29457000000002</v>
      </c>
      <c r="J1993" t="s">
        <v>702</v>
      </c>
      <c r="K1993" t="s">
        <v>701</v>
      </c>
      <c r="L1993" s="166">
        <f>I1993*B$1994</f>
        <v>23400.172466327036</v>
      </c>
      <c r="M1993" s="127" t="s">
        <v>3367</v>
      </c>
    </row>
    <row r="1994" spans="1:13" x14ac:dyDescent="0.2">
      <c r="A1994" s="637"/>
      <c r="B1994" s="1218">
        <f>B1993/F1993*10</f>
        <v>46.77278921161794</v>
      </c>
      <c r="C1994" s="1114" t="s">
        <v>3455</v>
      </c>
      <c r="D1994" s="6" t="s">
        <v>586</v>
      </c>
      <c r="E1994" s="83"/>
      <c r="H1994" t="s">
        <v>703</v>
      </c>
      <c r="I1994" s="33">
        <v>5.0630000000000001E-2</v>
      </c>
      <c r="J1994" t="s">
        <v>704</v>
      </c>
      <c r="K1994" t="s">
        <v>703</v>
      </c>
      <c r="L1994" s="166">
        <f t="shared" ref="L1994:L2002" si="156">I1994*B$1994</f>
        <v>2.3681063177842163</v>
      </c>
      <c r="M1994" s="127" t="s">
        <v>3368</v>
      </c>
    </row>
    <row r="1995" spans="1:13" x14ac:dyDescent="0.2">
      <c r="A1995" s="637"/>
      <c r="B1995" s="166"/>
      <c r="E1995" s="83"/>
      <c r="H1995" t="s">
        <v>705</v>
      </c>
      <c r="I1995" s="33">
        <v>4.7383300000000004E-6</v>
      </c>
      <c r="J1995" t="s">
        <v>706</v>
      </c>
      <c r="K1995" t="s">
        <v>705</v>
      </c>
      <c r="L1995" s="166">
        <f t="shared" si="156"/>
        <v>2.2162491030508567E-4</v>
      </c>
      <c r="M1995" s="127" t="s">
        <v>3370</v>
      </c>
    </row>
    <row r="1996" spans="1:13" x14ac:dyDescent="0.2">
      <c r="A1996" s="637"/>
      <c r="B1996" s="166"/>
      <c r="E1996" s="83"/>
      <c r="H1996" t="s">
        <v>3372</v>
      </c>
      <c r="I1996">
        <v>32.336289999999998</v>
      </c>
      <c r="J1996" t="s">
        <v>3373</v>
      </c>
      <c r="K1996" t="s">
        <v>3372</v>
      </c>
      <c r="L1996" s="166">
        <f t="shared" si="156"/>
        <v>1512.4584760557491</v>
      </c>
      <c r="M1996" s="127" t="s">
        <v>3374</v>
      </c>
    </row>
    <row r="1997" spans="1:13" x14ac:dyDescent="0.2">
      <c r="A1997" s="637"/>
      <c r="B1997" s="166"/>
      <c r="E1997" s="83"/>
      <c r="H1997" t="s">
        <v>3375</v>
      </c>
      <c r="I1997">
        <v>330.76024999999998</v>
      </c>
      <c r="J1997" t="s">
        <v>707</v>
      </c>
      <c r="K1997" t="s">
        <v>3375</v>
      </c>
      <c r="L1997" s="166">
        <f t="shared" si="156"/>
        <v>15470.579452832053</v>
      </c>
      <c r="M1997" s="127" t="s">
        <v>3376</v>
      </c>
    </row>
    <row r="1998" spans="1:13" x14ac:dyDescent="0.2">
      <c r="A1998" s="637"/>
      <c r="B1998" s="166"/>
      <c r="E1998" s="83"/>
      <c r="H1998" t="s">
        <v>708</v>
      </c>
      <c r="I1998" s="33">
        <v>96090.3</v>
      </c>
      <c r="J1998" t="s">
        <v>709</v>
      </c>
      <c r="K1998" t="s">
        <v>708</v>
      </c>
      <c r="L1998" s="166">
        <f t="shared" si="156"/>
        <v>4494411.3471811311</v>
      </c>
      <c r="M1998" s="127" t="s">
        <v>3377</v>
      </c>
    </row>
    <row r="1999" spans="1:13" x14ac:dyDescent="0.2">
      <c r="A1999" s="637"/>
      <c r="B1999" s="166"/>
      <c r="E1999" s="83"/>
      <c r="H1999" t="s">
        <v>3378</v>
      </c>
      <c r="I1999" s="33">
        <v>5.6300000000000003E-2</v>
      </c>
      <c r="J1999" t="s">
        <v>704</v>
      </c>
      <c r="K1999" t="s">
        <v>3378</v>
      </c>
      <c r="L1999" s="166">
        <f t="shared" si="156"/>
        <v>2.6333080326140901</v>
      </c>
      <c r="M1999" s="127" t="s">
        <v>3368</v>
      </c>
    </row>
    <row r="2000" spans="1:13" x14ac:dyDescent="0.2">
      <c r="A2000" s="637"/>
      <c r="B2000" s="166"/>
      <c r="E2000" s="83"/>
      <c r="H2000" t="s">
        <v>710</v>
      </c>
      <c r="I2000" s="33">
        <v>1.3699999999999999E-3</v>
      </c>
      <c r="J2000" t="s">
        <v>3379</v>
      </c>
      <c r="K2000" t="s">
        <v>710</v>
      </c>
      <c r="L2000" s="166">
        <f t="shared" si="156"/>
        <v>6.4078721219916576E-2</v>
      </c>
      <c r="M2000" s="127" t="s">
        <v>3380</v>
      </c>
    </row>
    <row r="2001" spans="1:13" x14ac:dyDescent="0.2">
      <c r="A2001" s="637"/>
      <c r="B2001" s="166"/>
      <c r="E2001" s="83"/>
      <c r="H2001" t="s">
        <v>3381</v>
      </c>
      <c r="I2001">
        <v>145.08896999999999</v>
      </c>
      <c r="J2001" t="s">
        <v>3382</v>
      </c>
      <c r="K2001" t="s">
        <v>3381</v>
      </c>
      <c r="L2001" s="166">
        <f t="shared" si="156"/>
        <v>6786.2158107407586</v>
      </c>
      <c r="M2001" s="127" t="s">
        <v>3383</v>
      </c>
    </row>
    <row r="2002" spans="1:13" x14ac:dyDescent="0.2">
      <c r="A2002" s="637"/>
      <c r="B2002" s="166"/>
      <c r="E2002" s="83"/>
      <c r="H2002" t="s">
        <v>3384</v>
      </c>
      <c r="I2002">
        <v>7926.5570900000002</v>
      </c>
      <c r="J2002" t="s">
        <v>711</v>
      </c>
      <c r="K2002" t="s">
        <v>3384</v>
      </c>
      <c r="L2002" s="166">
        <f t="shared" si="156"/>
        <v>370747.18394442572</v>
      </c>
      <c r="M2002" s="127" t="s">
        <v>3385</v>
      </c>
    </row>
    <row r="2003" spans="1:13" x14ac:dyDescent="0.2">
      <c r="A2003" s="414"/>
      <c r="B2003" s="833"/>
      <c r="C2003" s="1102"/>
      <c r="D2003" s="118"/>
      <c r="E2003" s="1235"/>
      <c r="F2003" s="118"/>
      <c r="G2003" s="118"/>
      <c r="H2003" s="118"/>
      <c r="I2003" s="118"/>
      <c r="J2003" s="118"/>
      <c r="K2003" s="118"/>
      <c r="L2003" s="833"/>
      <c r="M2003" s="120"/>
    </row>
    <row r="2004" spans="1:13" ht="16" x14ac:dyDescent="0.2">
      <c r="A2004" s="486" t="s">
        <v>2356</v>
      </c>
      <c r="B2004" s="220">
        <v>95964.153592322153</v>
      </c>
      <c r="C2004" s="220" t="s">
        <v>267</v>
      </c>
      <c r="D2004" s="220">
        <v>2</v>
      </c>
      <c r="E2004" s="1216" t="s">
        <v>3388</v>
      </c>
      <c r="F2004" s="110"/>
      <c r="G2004" s="110"/>
      <c r="H2004" s="110"/>
      <c r="I2004" s="110"/>
      <c r="J2004" s="110"/>
      <c r="K2004" s="110"/>
      <c r="L2004" s="845"/>
      <c r="M2004" s="112"/>
    </row>
    <row r="2005" spans="1:13" x14ac:dyDescent="0.2">
      <c r="A2005" s="637"/>
      <c r="B2005" s="166">
        <f>B2004/1000</f>
        <v>95.964153592322148</v>
      </c>
      <c r="C2005" s="133" t="s">
        <v>444</v>
      </c>
      <c r="F2005">
        <v>1</v>
      </c>
      <c r="G2005" t="s">
        <v>713</v>
      </c>
      <c r="H2005" t="s">
        <v>701</v>
      </c>
      <c r="I2005">
        <v>0.14229</v>
      </c>
      <c r="J2005" t="s">
        <v>702</v>
      </c>
      <c r="K2005" t="s">
        <v>701</v>
      </c>
      <c r="L2005" s="166">
        <f>I2005*B$2010</f>
        <v>19.636019999999998</v>
      </c>
      <c r="M2005" s="127" t="s">
        <v>3367</v>
      </c>
    </row>
    <row r="2006" spans="1:13" x14ac:dyDescent="0.2">
      <c r="A2006" s="637"/>
      <c r="B2006" s="166">
        <v>20</v>
      </c>
      <c r="C2006" s="133" t="s">
        <v>10</v>
      </c>
      <c r="D2006" t="s">
        <v>3390</v>
      </c>
      <c r="E2006" s="83"/>
      <c r="F2006">
        <v>40</v>
      </c>
      <c r="G2006" t="s">
        <v>12</v>
      </c>
      <c r="H2006" t="s">
        <v>703</v>
      </c>
      <c r="I2006" s="33">
        <v>2.2291000000000001E-5</v>
      </c>
      <c r="J2006" t="s">
        <v>704</v>
      </c>
      <c r="K2006" t="s">
        <v>703</v>
      </c>
      <c r="L2006" s="166">
        <f t="shared" ref="L2006:L2014" si="157">I2006*B$2010</f>
        <v>3.0761580000000003E-3</v>
      </c>
      <c r="M2006" s="127" t="s">
        <v>3368</v>
      </c>
    </row>
    <row r="2007" spans="1:13" x14ac:dyDescent="0.2">
      <c r="A2007" s="637"/>
      <c r="B2007" s="166">
        <v>0.7</v>
      </c>
      <c r="D2007" s="24" t="s">
        <v>3391</v>
      </c>
      <c r="E2007" s="83"/>
      <c r="H2007" t="s">
        <v>705</v>
      </c>
      <c r="I2007">
        <v>3203.5834399999999</v>
      </c>
      <c r="J2007" t="s">
        <v>706</v>
      </c>
      <c r="K2007" t="s">
        <v>705</v>
      </c>
      <c r="L2007" s="166">
        <f t="shared" si="157"/>
        <v>442094.51471999998</v>
      </c>
      <c r="M2007" s="127" t="s">
        <v>3370</v>
      </c>
    </row>
    <row r="2008" spans="1:13" x14ac:dyDescent="0.2">
      <c r="A2008" s="637"/>
      <c r="B2008" s="166">
        <f>B2005*B2006/B2007</f>
        <v>2741.8329597806328</v>
      </c>
      <c r="C2008" s="133" t="s">
        <v>12</v>
      </c>
      <c r="D2008" s="6"/>
      <c r="E2008" s="83"/>
      <c r="H2008" t="s">
        <v>3372</v>
      </c>
      <c r="I2008">
        <v>1.278E-2</v>
      </c>
      <c r="J2008" t="s">
        <v>3373</v>
      </c>
      <c r="K2008" t="s">
        <v>3372</v>
      </c>
      <c r="L2008" s="166">
        <f t="shared" si="157"/>
        <v>1.7636399999999999</v>
      </c>
      <c r="M2008" s="127" t="s">
        <v>3374</v>
      </c>
    </row>
    <row r="2009" spans="1:13" x14ac:dyDescent="0.2">
      <c r="A2009" s="637"/>
      <c r="B2009" s="166">
        <f>B2008*D2004</f>
        <v>5483.6659195612656</v>
      </c>
      <c r="C2009" s="133" t="s">
        <v>12</v>
      </c>
      <c r="E2009" s="83"/>
      <c r="H2009" t="s">
        <v>3375</v>
      </c>
      <c r="I2009">
        <v>3.7339999999999998E-2</v>
      </c>
      <c r="J2009" t="s">
        <v>707</v>
      </c>
      <c r="K2009" t="s">
        <v>3375</v>
      </c>
      <c r="L2009" s="166">
        <f t="shared" si="157"/>
        <v>5.1529199999999999</v>
      </c>
      <c r="M2009" s="127" t="s">
        <v>3376</v>
      </c>
    </row>
    <row r="2010" spans="1:13" x14ac:dyDescent="0.2">
      <c r="A2010" s="637"/>
      <c r="B2010" s="1218">
        <f>ROUNDUP(B2009/F2006,0)</f>
        <v>138</v>
      </c>
      <c r="C2010" s="1114" t="s">
        <v>3392</v>
      </c>
      <c r="D2010" s="6" t="s">
        <v>577</v>
      </c>
      <c r="E2010" s="83"/>
      <c r="H2010" t="s">
        <v>708</v>
      </c>
      <c r="I2010">
        <v>9.0477000000000007</v>
      </c>
      <c r="J2010" t="s">
        <v>709</v>
      </c>
      <c r="K2010" t="s">
        <v>708</v>
      </c>
      <c r="L2010" s="166">
        <f t="shared" si="157"/>
        <v>1248.5826000000002</v>
      </c>
      <c r="M2010" s="127" t="s">
        <v>3377</v>
      </c>
    </row>
    <row r="2011" spans="1:13" x14ac:dyDescent="0.2">
      <c r="A2011" s="637"/>
      <c r="B2011" s="166"/>
      <c r="E2011" s="83"/>
      <c r="H2011" t="s">
        <v>3378</v>
      </c>
      <c r="I2011" s="33">
        <v>3.5905399999999997E-5</v>
      </c>
      <c r="J2011" t="s">
        <v>704</v>
      </c>
      <c r="K2011" t="s">
        <v>3378</v>
      </c>
      <c r="L2011" s="166">
        <f t="shared" si="157"/>
        <v>4.9549451999999997E-3</v>
      </c>
      <c r="M2011" s="127" t="s">
        <v>3368</v>
      </c>
    </row>
    <row r="2012" spans="1:13" x14ac:dyDescent="0.2">
      <c r="A2012" s="637"/>
      <c r="B2012" s="166"/>
      <c r="E2012" s="83"/>
      <c r="H2012" t="s">
        <v>710</v>
      </c>
      <c r="I2012" s="33">
        <v>1.7364199999999999E-7</v>
      </c>
      <c r="J2012" t="s">
        <v>3379</v>
      </c>
      <c r="K2012" t="s">
        <v>710</v>
      </c>
      <c r="L2012" s="166">
        <f t="shared" si="157"/>
        <v>2.3962595999999999E-5</v>
      </c>
      <c r="M2012" s="127" t="s">
        <v>3380</v>
      </c>
    </row>
    <row r="2013" spans="1:13" x14ac:dyDescent="0.2">
      <c r="A2013" s="637"/>
      <c r="B2013" s="166"/>
      <c r="E2013" s="83"/>
      <c r="H2013" t="s">
        <v>3381</v>
      </c>
      <c r="I2013">
        <v>2.9360000000000001E-2</v>
      </c>
      <c r="J2013" t="s">
        <v>3382</v>
      </c>
      <c r="K2013" t="s">
        <v>3381</v>
      </c>
      <c r="L2013" s="166">
        <f t="shared" si="157"/>
        <v>4.0516800000000002</v>
      </c>
      <c r="M2013" s="127" t="s">
        <v>3383</v>
      </c>
    </row>
    <row r="2014" spans="1:13" x14ac:dyDescent="0.2">
      <c r="A2014" s="637"/>
      <c r="B2014" s="166"/>
      <c r="E2014" s="83"/>
      <c r="H2014" t="s">
        <v>3384</v>
      </c>
      <c r="I2014">
        <v>0.84404000000000001</v>
      </c>
      <c r="J2014" t="s">
        <v>711</v>
      </c>
      <c r="K2014" t="s">
        <v>3384</v>
      </c>
      <c r="L2014" s="166">
        <f t="shared" si="157"/>
        <v>116.47752</v>
      </c>
      <c r="M2014" s="127" t="s">
        <v>3385</v>
      </c>
    </row>
    <row r="2015" spans="1:13" x14ac:dyDescent="0.2">
      <c r="A2015" s="414"/>
      <c r="B2015" s="833"/>
      <c r="C2015" s="1102"/>
      <c r="D2015" s="118"/>
      <c r="E2015" s="1235"/>
      <c r="F2015" s="118"/>
      <c r="G2015" s="118"/>
      <c r="H2015" s="118"/>
      <c r="I2015" s="118"/>
      <c r="J2015" s="118"/>
      <c r="K2015" s="118"/>
      <c r="L2015" s="833"/>
      <c r="M2015" s="120"/>
    </row>
    <row r="2016" spans="1:13" ht="48" x14ac:dyDescent="0.2">
      <c r="A2016" s="486" t="s">
        <v>2357</v>
      </c>
      <c r="B2016" s="220">
        <v>11031.318210287251</v>
      </c>
      <c r="C2016" s="220" t="s">
        <v>1</v>
      </c>
      <c r="D2016" s="220">
        <v>2</v>
      </c>
      <c r="E2016" s="159" t="s">
        <v>3423</v>
      </c>
      <c r="F2016" s="110">
        <v>1</v>
      </c>
      <c r="G2016" s="110" t="s">
        <v>3424</v>
      </c>
      <c r="H2016" s="110"/>
      <c r="I2016" s="110"/>
      <c r="J2016" s="110"/>
      <c r="K2016" s="110"/>
      <c r="L2016" s="845"/>
      <c r="M2016" s="112"/>
    </row>
    <row r="2017" spans="1:13" x14ac:dyDescent="0.2">
      <c r="A2017" s="637" t="s">
        <v>906</v>
      </c>
      <c r="B2017" s="1237">
        <f>B2016*D2016</f>
        <v>22062.636420574501</v>
      </c>
      <c r="C2017" s="133" t="s">
        <v>1</v>
      </c>
      <c r="D2017" t="s">
        <v>586</v>
      </c>
      <c r="E2017" s="83"/>
      <c r="F2017">
        <v>500</v>
      </c>
      <c r="G2017" t="s">
        <v>3425</v>
      </c>
      <c r="H2017" t="s">
        <v>701</v>
      </c>
      <c r="I2017">
        <v>500.29457000000002</v>
      </c>
      <c r="J2017" t="s">
        <v>702</v>
      </c>
      <c r="K2017" t="s">
        <v>701</v>
      </c>
      <c r="L2017" s="166">
        <f>I2017*B$2018</f>
        <v>220756.34402195321</v>
      </c>
      <c r="M2017" s="127" t="s">
        <v>3367</v>
      </c>
    </row>
    <row r="2018" spans="1:13" x14ac:dyDescent="0.2">
      <c r="A2018" s="637"/>
      <c r="B2018" s="1218">
        <f>B2017/F2017*10</f>
        <v>441.25272841149007</v>
      </c>
      <c r="C2018" s="1114" t="s">
        <v>3455</v>
      </c>
      <c r="D2018" s="6" t="s">
        <v>586</v>
      </c>
      <c r="E2018" s="83"/>
      <c r="H2018" t="s">
        <v>703</v>
      </c>
      <c r="I2018" s="33">
        <v>5.0630000000000001E-2</v>
      </c>
      <c r="J2018" t="s">
        <v>704</v>
      </c>
      <c r="K2018" t="s">
        <v>703</v>
      </c>
      <c r="L2018" s="166">
        <f t="shared" ref="L2018:L2026" si="158">I2018*B$2018</f>
        <v>22.340625639473743</v>
      </c>
      <c r="M2018" s="127" t="s">
        <v>3368</v>
      </c>
    </row>
    <row r="2019" spans="1:13" x14ac:dyDescent="0.2">
      <c r="A2019" s="637"/>
      <c r="B2019" s="166"/>
      <c r="E2019" s="83"/>
      <c r="H2019" t="s">
        <v>705</v>
      </c>
      <c r="I2019" s="33">
        <v>4.7383300000000004E-6</v>
      </c>
      <c r="J2019" t="s">
        <v>706</v>
      </c>
      <c r="K2019" t="s">
        <v>705</v>
      </c>
      <c r="L2019" s="166">
        <f t="shared" si="158"/>
        <v>2.0908010406140158E-3</v>
      </c>
      <c r="M2019" s="127" t="s">
        <v>3370</v>
      </c>
    </row>
    <row r="2020" spans="1:13" x14ac:dyDescent="0.2">
      <c r="A2020" s="637"/>
      <c r="B2020" s="166"/>
      <c r="E2020" s="83"/>
      <c r="H2020" t="s">
        <v>3372</v>
      </c>
      <c r="I2020">
        <v>32.336289999999998</v>
      </c>
      <c r="J2020" t="s">
        <v>3373</v>
      </c>
      <c r="K2020" t="s">
        <v>3372</v>
      </c>
      <c r="L2020" s="166">
        <f t="shared" si="158"/>
        <v>14268.476189205181</v>
      </c>
      <c r="M2020" s="127" t="s">
        <v>3374</v>
      </c>
    </row>
    <row r="2021" spans="1:13" x14ac:dyDescent="0.2">
      <c r="A2021" s="637"/>
      <c r="B2021" s="166"/>
      <c r="E2021" s="83"/>
      <c r="H2021" t="s">
        <v>3375</v>
      </c>
      <c r="I2021">
        <v>330.76024999999998</v>
      </c>
      <c r="J2021" t="s">
        <v>707</v>
      </c>
      <c r="K2021" t="s">
        <v>3375</v>
      </c>
      <c r="L2021" s="166">
        <f t="shared" si="158"/>
        <v>145948.86276256654</v>
      </c>
      <c r="M2021" s="127" t="s">
        <v>3376</v>
      </c>
    </row>
    <row r="2022" spans="1:13" x14ac:dyDescent="0.2">
      <c r="A2022" s="637"/>
      <c r="B2022" s="166"/>
      <c r="E2022" s="83"/>
      <c r="H2022" t="s">
        <v>708</v>
      </c>
      <c r="I2022" s="33">
        <v>96090.3</v>
      </c>
      <c r="J2022" t="s">
        <v>709</v>
      </c>
      <c r="K2022" t="s">
        <v>708</v>
      </c>
      <c r="L2022" s="166">
        <f t="shared" si="158"/>
        <v>42400107.048878603</v>
      </c>
      <c r="M2022" s="127" t="s">
        <v>3377</v>
      </c>
    </row>
    <row r="2023" spans="1:13" x14ac:dyDescent="0.2">
      <c r="A2023" s="637"/>
      <c r="B2023" s="166"/>
      <c r="E2023" s="83"/>
      <c r="H2023" t="s">
        <v>3378</v>
      </c>
      <c r="I2023" s="33">
        <v>5.6300000000000003E-2</v>
      </c>
      <c r="J2023" t="s">
        <v>704</v>
      </c>
      <c r="K2023" t="s">
        <v>3378</v>
      </c>
      <c r="L2023" s="166">
        <f t="shared" si="158"/>
        <v>24.842528609566891</v>
      </c>
      <c r="M2023" s="127" t="s">
        <v>3368</v>
      </c>
    </row>
    <row r="2024" spans="1:13" x14ac:dyDescent="0.2">
      <c r="A2024" s="637"/>
      <c r="B2024" s="166"/>
      <c r="E2024" s="83"/>
      <c r="H2024" t="s">
        <v>710</v>
      </c>
      <c r="I2024" s="33">
        <v>1.3699999999999999E-3</v>
      </c>
      <c r="J2024" t="s">
        <v>3379</v>
      </c>
      <c r="K2024" t="s">
        <v>710</v>
      </c>
      <c r="L2024" s="166">
        <f t="shared" si="158"/>
        <v>0.60451623792374132</v>
      </c>
      <c r="M2024" s="127" t="s">
        <v>3380</v>
      </c>
    </row>
    <row r="2025" spans="1:13" x14ac:dyDescent="0.2">
      <c r="A2025" s="637"/>
      <c r="B2025" s="166"/>
      <c r="E2025" s="83"/>
      <c r="H2025" t="s">
        <v>3381</v>
      </c>
      <c r="I2025">
        <v>145.08896999999999</v>
      </c>
      <c r="J2025" t="s">
        <v>3382</v>
      </c>
      <c r="K2025" t="s">
        <v>3381</v>
      </c>
      <c r="L2025" s="166">
        <f t="shared" si="158"/>
        <v>64020.903874912823</v>
      </c>
      <c r="M2025" s="127" t="s">
        <v>3383</v>
      </c>
    </row>
    <row r="2026" spans="1:13" x14ac:dyDescent="0.2">
      <c r="A2026" s="637"/>
      <c r="B2026" s="166"/>
      <c r="E2026" s="83"/>
      <c r="H2026" t="s">
        <v>3384</v>
      </c>
      <c r="I2026">
        <v>7926.5570900000002</v>
      </c>
      <c r="J2026" t="s">
        <v>711</v>
      </c>
      <c r="K2026" t="s">
        <v>3384</v>
      </c>
      <c r="L2026" s="166">
        <f t="shared" si="158"/>
        <v>3497614.9428719413</v>
      </c>
      <c r="M2026" s="127" t="s">
        <v>3385</v>
      </c>
    </row>
    <row r="2027" spans="1:13" x14ac:dyDescent="0.2">
      <c r="A2027" s="414"/>
      <c r="B2027" s="833"/>
      <c r="C2027" s="1102"/>
      <c r="D2027" s="118"/>
      <c r="E2027" s="1235"/>
      <c r="F2027" s="118"/>
      <c r="G2027" s="118"/>
      <c r="H2027" s="118"/>
      <c r="I2027" s="118"/>
      <c r="J2027" s="118"/>
      <c r="K2027" s="118"/>
      <c r="L2027" s="833"/>
      <c r="M2027" s="120"/>
    </row>
    <row r="2028" spans="1:13" ht="32" x14ac:dyDescent="0.2">
      <c r="A2028" s="486" t="s">
        <v>2467</v>
      </c>
      <c r="B2028" s="220">
        <v>118.65267887511074</v>
      </c>
      <c r="C2028" s="220" t="s">
        <v>444</v>
      </c>
      <c r="D2028" s="220">
        <v>2</v>
      </c>
      <c r="E2028" s="159" t="s">
        <v>718</v>
      </c>
      <c r="F2028" s="110">
        <v>1</v>
      </c>
      <c r="G2028" s="110" t="s">
        <v>3396</v>
      </c>
      <c r="H2028" s="110"/>
      <c r="I2028" s="110"/>
      <c r="J2028" s="110"/>
      <c r="K2028" s="110"/>
      <c r="L2028" s="845"/>
      <c r="M2028" s="112"/>
    </row>
    <row r="2029" spans="1:13" x14ac:dyDescent="0.2">
      <c r="A2029" s="637"/>
      <c r="B2029" s="166">
        <v>17</v>
      </c>
      <c r="C2029" s="133" t="s">
        <v>7</v>
      </c>
      <c r="F2029">
        <v>50</v>
      </c>
      <c r="G2029" t="s">
        <v>3397</v>
      </c>
      <c r="H2029" t="s">
        <v>701</v>
      </c>
      <c r="I2029">
        <v>0.82547999999999999</v>
      </c>
      <c r="J2029" t="s">
        <v>702</v>
      </c>
      <c r="K2029" t="s">
        <v>701</v>
      </c>
      <c r="L2029" s="166">
        <f>I2029*B$2033</f>
        <v>66.863879999999995</v>
      </c>
      <c r="M2029" s="127" t="s">
        <v>3367</v>
      </c>
    </row>
    <row r="2030" spans="1:13" x14ac:dyDescent="0.2">
      <c r="A2030" s="637"/>
      <c r="B2030" s="166"/>
      <c r="C2030" s="133" t="s">
        <v>3398</v>
      </c>
      <c r="H2030" t="s">
        <v>703</v>
      </c>
      <c r="I2030" s="33">
        <v>1.3020000000000001E-5</v>
      </c>
      <c r="J2030" t="s">
        <v>704</v>
      </c>
      <c r="K2030" t="s">
        <v>703</v>
      </c>
      <c r="L2030" s="166">
        <f t="shared" ref="L2030:L2038" si="159">I2030*B$2033</f>
        <v>1.05462E-3</v>
      </c>
      <c r="M2030" s="127" t="s">
        <v>3368</v>
      </c>
    </row>
    <row r="2031" spans="1:13" x14ac:dyDescent="0.2">
      <c r="A2031" s="637"/>
      <c r="B2031" s="166"/>
      <c r="H2031" t="s">
        <v>705</v>
      </c>
      <c r="I2031">
        <v>3440.7478099999998</v>
      </c>
      <c r="J2031" t="s">
        <v>706</v>
      </c>
      <c r="K2031" t="s">
        <v>705</v>
      </c>
      <c r="L2031" s="166">
        <f t="shared" si="159"/>
        <v>278700.57260999997</v>
      </c>
      <c r="M2031" s="127" t="s">
        <v>3370</v>
      </c>
    </row>
    <row r="2032" spans="1:13" x14ac:dyDescent="0.2">
      <c r="A2032" s="637"/>
      <c r="B2032" s="1237">
        <f>B2028*B2029*D2028</f>
        <v>4034.191081753765</v>
      </c>
      <c r="C2032" s="133" t="s">
        <v>3397</v>
      </c>
      <c r="D2032" t="s">
        <v>586</v>
      </c>
      <c r="H2032" t="s">
        <v>3372</v>
      </c>
      <c r="I2032">
        <v>4.9140000000000003E-2</v>
      </c>
      <c r="J2032" t="s">
        <v>3373</v>
      </c>
      <c r="K2032" t="s">
        <v>3372</v>
      </c>
      <c r="L2032" s="166">
        <f t="shared" si="159"/>
        <v>3.9803400000000004</v>
      </c>
      <c r="M2032" s="127" t="s">
        <v>3374</v>
      </c>
    </row>
    <row r="2033" spans="1:13" x14ac:dyDescent="0.2">
      <c r="A2033" s="637"/>
      <c r="B2033" s="166">
        <f>ROUNDUP(B2032/F2029,0)</f>
        <v>81</v>
      </c>
      <c r="C2033" s="133" t="s">
        <v>3456</v>
      </c>
      <c r="D2033" t="s">
        <v>586</v>
      </c>
      <c r="H2033" t="s">
        <v>3375</v>
      </c>
      <c r="I2033">
        <v>0.37484000000000001</v>
      </c>
      <c r="J2033" t="s">
        <v>707</v>
      </c>
      <c r="K2033" t="s">
        <v>3375</v>
      </c>
      <c r="L2033" s="166">
        <f t="shared" si="159"/>
        <v>30.36204</v>
      </c>
      <c r="M2033" s="127" t="s">
        <v>3376</v>
      </c>
    </row>
    <row r="2034" spans="1:13" x14ac:dyDescent="0.2">
      <c r="A2034" s="637"/>
      <c r="B2034" s="166"/>
      <c r="H2034" t="s">
        <v>708</v>
      </c>
      <c r="I2034">
        <v>234.66023000000001</v>
      </c>
      <c r="J2034" t="s">
        <v>709</v>
      </c>
      <c r="K2034" t="s">
        <v>708</v>
      </c>
      <c r="L2034" s="166">
        <f t="shared" si="159"/>
        <v>19007.478630000001</v>
      </c>
      <c r="M2034" s="127" t="s">
        <v>3377</v>
      </c>
    </row>
    <row r="2035" spans="1:13" x14ac:dyDescent="0.2">
      <c r="A2035" s="637"/>
      <c r="B2035" s="166"/>
      <c r="H2035" t="s">
        <v>3378</v>
      </c>
      <c r="I2035" s="33">
        <v>5.7967699999999997E-5</v>
      </c>
      <c r="J2035" t="s">
        <v>704</v>
      </c>
      <c r="K2035" t="s">
        <v>3378</v>
      </c>
      <c r="L2035" s="166">
        <f t="shared" si="159"/>
        <v>4.6953836999999998E-3</v>
      </c>
      <c r="M2035" s="127" t="s">
        <v>3368</v>
      </c>
    </row>
    <row r="2036" spans="1:13" x14ac:dyDescent="0.2">
      <c r="A2036" s="637"/>
      <c r="B2036" s="166"/>
      <c r="H2036" t="s">
        <v>710</v>
      </c>
      <c r="I2036" s="33">
        <v>2.5430099999999999E-6</v>
      </c>
      <c r="J2036" t="s">
        <v>3379</v>
      </c>
      <c r="K2036" t="s">
        <v>710</v>
      </c>
      <c r="L2036" s="166">
        <f t="shared" si="159"/>
        <v>2.0598380999999999E-4</v>
      </c>
      <c r="M2036" s="127" t="s">
        <v>3380</v>
      </c>
    </row>
    <row r="2037" spans="1:13" x14ac:dyDescent="0.2">
      <c r="A2037" s="637"/>
      <c r="B2037" s="166"/>
      <c r="H2037" t="s">
        <v>3381</v>
      </c>
      <c r="I2037">
        <v>0.17479</v>
      </c>
      <c r="J2037" t="s">
        <v>3382</v>
      </c>
      <c r="K2037" t="s">
        <v>3381</v>
      </c>
      <c r="L2037" s="166">
        <f t="shared" si="159"/>
        <v>14.15799</v>
      </c>
      <c r="M2037" s="127" t="s">
        <v>3383</v>
      </c>
    </row>
    <row r="2038" spans="1:13" x14ac:dyDescent="0.2">
      <c r="A2038" s="637"/>
      <c r="B2038" s="166"/>
      <c r="H2038" t="s">
        <v>3384</v>
      </c>
      <c r="I2038">
        <v>8.8856599999999997</v>
      </c>
      <c r="J2038" t="s">
        <v>711</v>
      </c>
      <c r="K2038" t="s">
        <v>3384</v>
      </c>
      <c r="L2038" s="166">
        <f t="shared" si="159"/>
        <v>719.73845999999992</v>
      </c>
      <c r="M2038" s="127" t="s">
        <v>3385</v>
      </c>
    </row>
    <row r="2039" spans="1:13" x14ac:dyDescent="0.2">
      <c r="A2039" s="414"/>
      <c r="B2039" s="833"/>
      <c r="C2039" s="1102"/>
      <c r="D2039" s="118"/>
      <c r="E2039" s="1235"/>
      <c r="F2039" s="118"/>
      <c r="G2039" s="118"/>
      <c r="H2039" s="118"/>
      <c r="I2039" s="118"/>
      <c r="J2039" s="118"/>
      <c r="K2039" s="118"/>
      <c r="L2039" s="833"/>
      <c r="M2039" s="120"/>
    </row>
    <row r="2040" spans="1:13" ht="16" x14ac:dyDescent="0.2">
      <c r="A2040" s="486" t="s">
        <v>2379</v>
      </c>
      <c r="B2040" s="220">
        <v>95964.153592322153</v>
      </c>
      <c r="C2040" s="220" t="s">
        <v>267</v>
      </c>
      <c r="D2040" s="220">
        <v>2</v>
      </c>
      <c r="E2040" s="159" t="s">
        <v>3400</v>
      </c>
      <c r="F2040" s="110">
        <v>1</v>
      </c>
      <c r="G2040" s="110" t="s">
        <v>1</v>
      </c>
      <c r="H2040" s="110"/>
      <c r="I2040" s="110"/>
      <c r="J2040" s="110"/>
      <c r="K2040" s="110"/>
      <c r="L2040" s="845"/>
      <c r="M2040" s="112"/>
    </row>
    <row r="2041" spans="1:13" x14ac:dyDescent="0.2">
      <c r="A2041" s="637"/>
      <c r="B2041" s="208">
        <f>B2040/1000*10*D2040</f>
        <v>1919.2830718464429</v>
      </c>
      <c r="C2041" s="208" t="s">
        <v>1</v>
      </c>
      <c r="D2041" s="208" t="s">
        <v>586</v>
      </c>
      <c r="E2041" s="83"/>
      <c r="H2041" t="s">
        <v>701</v>
      </c>
      <c r="I2041">
        <v>1.0140499999999999</v>
      </c>
      <c r="J2041" t="s">
        <v>702</v>
      </c>
      <c r="K2041" t="s">
        <v>701</v>
      </c>
      <c r="L2041" s="166">
        <f>I2041*B$2041</f>
        <v>1946.2489990058853</v>
      </c>
      <c r="M2041" s="127" t="s">
        <v>3367</v>
      </c>
    </row>
    <row r="2042" spans="1:13" x14ac:dyDescent="0.2">
      <c r="A2042" s="637"/>
      <c r="B2042" s="208"/>
      <c r="C2042" s="208"/>
      <c r="D2042" s="208"/>
      <c r="E2042" s="83"/>
      <c r="H2042" t="s">
        <v>703</v>
      </c>
      <c r="I2042" s="33">
        <v>1.39005E-5</v>
      </c>
      <c r="J2042" t="s">
        <v>704</v>
      </c>
      <c r="K2042" t="s">
        <v>703</v>
      </c>
      <c r="L2042" s="166">
        <f t="shared" ref="L2042:L2050" si="160">I2042*B$2041</f>
        <v>2.6678994340201479E-2</v>
      </c>
      <c r="M2042" s="127" t="s">
        <v>3368</v>
      </c>
    </row>
    <row r="2043" spans="1:13" x14ac:dyDescent="0.2">
      <c r="A2043" s="637"/>
      <c r="B2043" s="208"/>
      <c r="C2043" s="208"/>
      <c r="D2043" s="208"/>
      <c r="E2043" s="83"/>
      <c r="H2043" t="s">
        <v>705</v>
      </c>
      <c r="I2043">
        <v>1967.76115</v>
      </c>
      <c r="J2043" t="s">
        <v>706</v>
      </c>
      <c r="K2043" t="s">
        <v>705</v>
      </c>
      <c r="L2043" s="166">
        <f t="shared" si="160"/>
        <v>3776690.6646320894</v>
      </c>
      <c r="M2043" s="127" t="s">
        <v>3370</v>
      </c>
    </row>
    <row r="2044" spans="1:13" x14ac:dyDescent="0.2">
      <c r="A2044" s="637"/>
      <c r="B2044" s="208"/>
      <c r="C2044" s="208"/>
      <c r="D2044" s="208"/>
      <c r="E2044" s="83"/>
      <c r="H2044" t="s">
        <v>3372</v>
      </c>
      <c r="I2044">
        <v>3.6429999999999997E-2</v>
      </c>
      <c r="J2044" t="s">
        <v>3373</v>
      </c>
      <c r="K2044" t="s">
        <v>3372</v>
      </c>
      <c r="L2044" s="166">
        <f t="shared" si="160"/>
        <v>69.919482307365911</v>
      </c>
      <c r="M2044" s="127" t="s">
        <v>3374</v>
      </c>
    </row>
    <row r="2045" spans="1:13" x14ac:dyDescent="0.2">
      <c r="A2045" s="637"/>
      <c r="B2045" s="208"/>
      <c r="C2045" s="208"/>
      <c r="D2045" s="208"/>
      <c r="E2045" s="83"/>
      <c r="H2045" t="s">
        <v>3375</v>
      </c>
      <c r="I2045">
        <v>0.84194000000000002</v>
      </c>
      <c r="J2045" t="s">
        <v>707</v>
      </c>
      <c r="K2045" t="s">
        <v>3375</v>
      </c>
      <c r="L2045" s="166">
        <f t="shared" si="160"/>
        <v>1615.9211895103942</v>
      </c>
      <c r="M2045" s="127" t="s">
        <v>3376</v>
      </c>
    </row>
    <row r="2046" spans="1:13" x14ac:dyDescent="0.2">
      <c r="A2046" s="637"/>
      <c r="B2046" s="208"/>
      <c r="C2046" s="208"/>
      <c r="D2046" s="208"/>
      <c r="E2046" s="83"/>
      <c r="H2046" t="s">
        <v>708</v>
      </c>
      <c r="I2046">
        <v>297.96800000000002</v>
      </c>
      <c r="J2046" t="s">
        <v>709</v>
      </c>
      <c r="K2046" t="s">
        <v>708</v>
      </c>
      <c r="L2046" s="166">
        <f t="shared" si="160"/>
        <v>571884.93835194095</v>
      </c>
      <c r="M2046" s="127" t="s">
        <v>3377</v>
      </c>
    </row>
    <row r="2047" spans="1:13" x14ac:dyDescent="0.2">
      <c r="A2047" s="637"/>
      <c r="B2047" s="208"/>
      <c r="C2047" s="208"/>
      <c r="D2047" s="208"/>
      <c r="E2047" s="83"/>
      <c r="H2047" t="s">
        <v>3378</v>
      </c>
      <c r="I2047" s="33">
        <v>4.3792199999999997E-5</v>
      </c>
      <c r="J2047" t="s">
        <v>704</v>
      </c>
      <c r="K2047" t="s">
        <v>3378</v>
      </c>
      <c r="L2047" s="166">
        <f t="shared" si="160"/>
        <v>8.4049628138913798E-2</v>
      </c>
      <c r="M2047" s="127" t="s">
        <v>3368</v>
      </c>
    </row>
    <row r="2048" spans="1:13" x14ac:dyDescent="0.2">
      <c r="A2048" s="637"/>
      <c r="B2048" s="208"/>
      <c r="C2048" s="208"/>
      <c r="D2048" s="208"/>
      <c r="E2048" s="83"/>
      <c r="H2048" t="s">
        <v>710</v>
      </c>
      <c r="I2048" s="33">
        <v>1.91505E-6</v>
      </c>
      <c r="J2048" t="s">
        <v>3379</v>
      </c>
      <c r="K2048" t="s">
        <v>710</v>
      </c>
      <c r="L2048" s="166">
        <f t="shared" si="160"/>
        <v>3.6755230467395306E-3</v>
      </c>
      <c r="M2048" s="127" t="s">
        <v>3380</v>
      </c>
    </row>
    <row r="2049" spans="1:13" x14ac:dyDescent="0.2">
      <c r="A2049" s="637"/>
      <c r="B2049" s="208"/>
      <c r="C2049" s="208"/>
      <c r="D2049" s="208"/>
      <c r="E2049" s="83"/>
      <c r="H2049" t="s">
        <v>3381</v>
      </c>
      <c r="I2049">
        <v>0.14111000000000001</v>
      </c>
      <c r="J2049" t="s">
        <v>3382</v>
      </c>
      <c r="K2049" t="s">
        <v>3381</v>
      </c>
      <c r="L2049" s="166">
        <f t="shared" si="160"/>
        <v>270.83003426825161</v>
      </c>
      <c r="M2049" s="127" t="s">
        <v>3383</v>
      </c>
    </row>
    <row r="2050" spans="1:13" x14ac:dyDescent="0.2">
      <c r="A2050" s="637"/>
      <c r="B2050" s="208"/>
      <c r="C2050" s="208"/>
      <c r="D2050" s="208"/>
      <c r="E2050" s="83"/>
      <c r="H2050" t="s">
        <v>3384</v>
      </c>
      <c r="I2050">
        <v>20.29383</v>
      </c>
      <c r="J2050" t="s">
        <v>711</v>
      </c>
      <c r="K2050" t="s">
        <v>3384</v>
      </c>
      <c r="L2050" s="166">
        <f t="shared" si="160"/>
        <v>38949.604381929501</v>
      </c>
      <c r="M2050" s="127" t="s">
        <v>3385</v>
      </c>
    </row>
    <row r="2051" spans="1:13" x14ac:dyDescent="0.2">
      <c r="A2051" s="414"/>
      <c r="B2051" s="1238"/>
      <c r="C2051" s="1238"/>
      <c r="D2051" s="1238"/>
      <c r="E2051" s="1235"/>
      <c r="F2051" s="118"/>
      <c r="G2051" s="118"/>
      <c r="H2051" s="118"/>
      <c r="I2051" s="118"/>
      <c r="J2051" s="118"/>
      <c r="K2051" s="118"/>
      <c r="L2051" s="833"/>
      <c r="M2051" s="120"/>
    </row>
    <row r="2052" spans="1:13" ht="16" x14ac:dyDescent="0.2">
      <c r="A2052" s="486" t="s">
        <v>2452</v>
      </c>
      <c r="B2052" s="674">
        <v>78306.749331334882</v>
      </c>
      <c r="C2052" s="220" t="s">
        <v>566</v>
      </c>
      <c r="D2052" s="220"/>
      <c r="E2052" s="159" t="s">
        <v>3457</v>
      </c>
      <c r="F2052" s="110">
        <v>1</v>
      </c>
      <c r="G2052" s="110" t="s">
        <v>15</v>
      </c>
      <c r="H2052" s="110"/>
      <c r="I2052" s="110"/>
      <c r="J2052" s="110"/>
      <c r="K2052" s="110"/>
      <c r="L2052" s="845"/>
      <c r="M2052" s="112"/>
    </row>
    <row r="2053" spans="1:13" x14ac:dyDescent="0.2">
      <c r="A2053" s="637"/>
      <c r="B2053" s="1239">
        <f>B2052*30</f>
        <v>2349202.4799400466</v>
      </c>
      <c r="C2053" s="208" t="s">
        <v>3458</v>
      </c>
      <c r="D2053" s="208"/>
      <c r="H2053" t="s">
        <v>701</v>
      </c>
      <c r="I2053">
        <v>1.034E-2</v>
      </c>
      <c r="J2053" t="s">
        <v>702</v>
      </c>
      <c r="K2053" t="s">
        <v>701</v>
      </c>
      <c r="L2053" s="166">
        <f>I2053*B$2053</f>
        <v>24290.753642580083</v>
      </c>
      <c r="M2053" s="127" t="s">
        <v>3367</v>
      </c>
    </row>
    <row r="2054" spans="1:13" x14ac:dyDescent="0.2">
      <c r="A2054" s="637"/>
      <c r="B2054" s="208"/>
      <c r="C2054" s="208"/>
      <c r="D2054" s="208"/>
      <c r="H2054" t="s">
        <v>703</v>
      </c>
      <c r="I2054" s="33">
        <v>1.9124000000000001E-7</v>
      </c>
      <c r="J2054" t="s">
        <v>704</v>
      </c>
      <c r="K2054" t="s">
        <v>703</v>
      </c>
      <c r="L2054" s="166">
        <f t="shared" ref="L2054:L2062" si="161">I2054*B$2053</f>
        <v>0.44926148226373452</v>
      </c>
      <c r="M2054" s="127" t="s">
        <v>3368</v>
      </c>
    </row>
    <row r="2055" spans="1:13" x14ac:dyDescent="0.2">
      <c r="A2055" s="637"/>
      <c r="B2055" s="208"/>
      <c r="C2055" s="208"/>
      <c r="D2055" s="208"/>
      <c r="H2055" t="s">
        <v>705</v>
      </c>
      <c r="I2055">
        <v>40.369100000000003</v>
      </c>
      <c r="J2055" t="s">
        <v>706</v>
      </c>
      <c r="K2055" t="s">
        <v>705</v>
      </c>
      <c r="L2055" s="166">
        <f t="shared" si="161"/>
        <v>94835189.832947746</v>
      </c>
      <c r="M2055" s="127" t="s">
        <v>3370</v>
      </c>
    </row>
    <row r="2056" spans="1:13" x14ac:dyDescent="0.2">
      <c r="A2056" s="637"/>
      <c r="B2056" s="208"/>
      <c r="C2056" s="208"/>
      <c r="D2056" s="208"/>
      <c r="H2056" t="s">
        <v>3372</v>
      </c>
      <c r="I2056">
        <v>5.6999999999999998E-4</v>
      </c>
      <c r="J2056" t="s">
        <v>3373</v>
      </c>
      <c r="K2056" t="s">
        <v>3372</v>
      </c>
      <c r="L2056" s="166">
        <f t="shared" si="161"/>
        <v>1339.0454135658265</v>
      </c>
      <c r="M2056" s="127" t="s">
        <v>3374</v>
      </c>
    </row>
    <row r="2057" spans="1:13" x14ac:dyDescent="0.2">
      <c r="A2057" s="637"/>
      <c r="B2057" s="208"/>
      <c r="C2057" s="208"/>
      <c r="D2057" s="208"/>
      <c r="H2057" t="s">
        <v>3375</v>
      </c>
      <c r="I2057">
        <v>7.8600000000000007E-3</v>
      </c>
      <c r="J2057" t="s">
        <v>707</v>
      </c>
      <c r="K2057" t="s">
        <v>3375</v>
      </c>
      <c r="L2057" s="166">
        <f t="shared" si="161"/>
        <v>18464.731492328767</v>
      </c>
      <c r="M2057" s="127" t="s">
        <v>3376</v>
      </c>
    </row>
    <row r="2058" spans="1:13" x14ac:dyDescent="0.2">
      <c r="A2058" s="637"/>
      <c r="B2058" s="208"/>
      <c r="C2058" s="208"/>
      <c r="D2058" s="208"/>
      <c r="H2058" t="s">
        <v>708</v>
      </c>
      <c r="I2058">
        <v>1.67502</v>
      </c>
      <c r="J2058" t="s">
        <v>709</v>
      </c>
      <c r="K2058" t="s">
        <v>708</v>
      </c>
      <c r="L2058" s="166">
        <f t="shared" si="161"/>
        <v>3934961.1379491766</v>
      </c>
      <c r="M2058" s="127" t="s">
        <v>3377</v>
      </c>
    </row>
    <row r="2059" spans="1:13" x14ac:dyDescent="0.2">
      <c r="A2059" s="637"/>
      <c r="B2059" s="208"/>
      <c r="C2059" s="208"/>
      <c r="D2059" s="208"/>
      <c r="H2059" t="s">
        <v>3378</v>
      </c>
      <c r="I2059" s="33">
        <v>5.6331700000000001E-7</v>
      </c>
      <c r="J2059" t="s">
        <v>704</v>
      </c>
      <c r="K2059" t="s">
        <v>3378</v>
      </c>
      <c r="L2059" s="166">
        <f t="shared" si="161"/>
        <v>1.3233456933923873</v>
      </c>
      <c r="M2059" s="127" t="s">
        <v>3368</v>
      </c>
    </row>
    <row r="2060" spans="1:13" x14ac:dyDescent="0.2">
      <c r="A2060" s="637"/>
      <c r="B2060" s="208"/>
      <c r="C2060" s="208"/>
      <c r="D2060" s="208"/>
      <c r="H2060" t="s">
        <v>710</v>
      </c>
      <c r="I2060" s="33">
        <v>2.6792700000000001E-8</v>
      </c>
      <c r="J2060" t="s">
        <v>3379</v>
      </c>
      <c r="K2060" t="s">
        <v>710</v>
      </c>
      <c r="L2060" s="166">
        <f t="shared" si="161"/>
        <v>6.2941477284289685E-2</v>
      </c>
      <c r="M2060" s="127" t="s">
        <v>3380</v>
      </c>
    </row>
    <row r="2061" spans="1:13" x14ac:dyDescent="0.2">
      <c r="A2061" s="637"/>
      <c r="B2061" s="208"/>
      <c r="C2061" s="208"/>
      <c r="D2061" s="208"/>
      <c r="H2061" t="s">
        <v>3381</v>
      </c>
      <c r="I2061">
        <v>1.6100000000000001E-3</v>
      </c>
      <c r="J2061" t="s">
        <v>3382</v>
      </c>
      <c r="K2061" t="s">
        <v>3381</v>
      </c>
      <c r="L2061" s="166">
        <f t="shared" si="161"/>
        <v>3782.2159927034754</v>
      </c>
      <c r="M2061" s="127" t="s">
        <v>3383</v>
      </c>
    </row>
    <row r="2062" spans="1:13" x14ac:dyDescent="0.2">
      <c r="A2062" s="637"/>
      <c r="B2062" s="208"/>
      <c r="C2062" s="208"/>
      <c r="D2062" s="208"/>
      <c r="H2062" t="s">
        <v>3384</v>
      </c>
      <c r="I2062">
        <v>0.11873</v>
      </c>
      <c r="J2062" t="s">
        <v>711</v>
      </c>
      <c r="K2062" t="s">
        <v>3384</v>
      </c>
      <c r="L2062" s="166">
        <f t="shared" si="161"/>
        <v>278920.81044328172</v>
      </c>
      <c r="M2062" s="127" t="s">
        <v>3385</v>
      </c>
    </row>
    <row r="2063" spans="1:13" x14ac:dyDescent="0.2">
      <c r="A2063" s="414"/>
      <c r="B2063" s="1238"/>
      <c r="C2063" s="1238"/>
      <c r="D2063" s="1238"/>
      <c r="E2063" s="1235"/>
      <c r="F2063" s="118"/>
      <c r="G2063" s="118"/>
      <c r="H2063" s="118"/>
      <c r="I2063" s="118"/>
      <c r="J2063" s="118"/>
      <c r="K2063" s="118"/>
      <c r="L2063" s="833"/>
      <c r="M2063" s="120"/>
    </row>
    <row r="2064" spans="1:13" ht="16" x14ac:dyDescent="0.2">
      <c r="A2064" s="486" t="s">
        <v>2564</v>
      </c>
      <c r="B2064" s="220">
        <v>1919.2830718464431</v>
      </c>
      <c r="C2064" s="220" t="s">
        <v>3009</v>
      </c>
      <c r="D2064" s="432"/>
      <c r="E2064" s="159" t="s">
        <v>3459</v>
      </c>
      <c r="F2064" s="110">
        <v>1</v>
      </c>
      <c r="G2064" s="110" t="s">
        <v>15</v>
      </c>
      <c r="H2064" s="110"/>
      <c r="I2064" s="110"/>
      <c r="J2064" s="110"/>
      <c r="K2064" s="110"/>
      <c r="L2064" s="845"/>
      <c r="M2064" s="112"/>
    </row>
    <row r="2065" spans="1:13" x14ac:dyDescent="0.2">
      <c r="A2065" s="637"/>
      <c r="B2065" s="76">
        <f>B2064*30</f>
        <v>57578.492155393295</v>
      </c>
      <c r="C2065" s="76" t="s">
        <v>3460</v>
      </c>
      <c r="D2065" s="208"/>
      <c r="H2065" t="s">
        <v>701</v>
      </c>
      <c r="I2065">
        <v>3.066E-2</v>
      </c>
      <c r="J2065" t="s">
        <v>702</v>
      </c>
      <c r="K2065" t="s">
        <v>701</v>
      </c>
      <c r="L2065" s="166">
        <f>I2065*B$2066</f>
        <v>35.307131389687164</v>
      </c>
      <c r="M2065" s="127" t="s">
        <v>3367</v>
      </c>
    </row>
    <row r="2066" spans="1:13" x14ac:dyDescent="0.2">
      <c r="A2066" s="637"/>
      <c r="B2066" s="208">
        <f>B2065/50</f>
        <v>1151.5698431078658</v>
      </c>
      <c r="C2066" s="208" t="s">
        <v>715</v>
      </c>
      <c r="D2066" s="208" t="s">
        <v>2279</v>
      </c>
      <c r="H2066" t="s">
        <v>703</v>
      </c>
      <c r="I2066" s="33">
        <v>1.7141199999999999E-6</v>
      </c>
      <c r="J2066" t="s">
        <v>704</v>
      </c>
      <c r="K2066" t="s">
        <v>703</v>
      </c>
      <c r="L2066" s="166">
        <f t="shared" ref="L2066:L2074" si="162">I2066*B$2066</f>
        <v>1.973928899468055E-3</v>
      </c>
      <c r="M2066" s="127" t="s">
        <v>3368</v>
      </c>
    </row>
    <row r="2067" spans="1:13" x14ac:dyDescent="0.2">
      <c r="A2067" s="637"/>
      <c r="B2067" s="208"/>
      <c r="C2067" s="208"/>
      <c r="D2067" s="208"/>
      <c r="H2067" t="s">
        <v>705</v>
      </c>
      <c r="I2067">
        <v>171.8175</v>
      </c>
      <c r="J2067" t="s">
        <v>706</v>
      </c>
      <c r="K2067" t="s">
        <v>705</v>
      </c>
      <c r="L2067" s="166">
        <f t="shared" si="162"/>
        <v>197859.85151818572</v>
      </c>
      <c r="M2067" s="127" t="s">
        <v>3370</v>
      </c>
    </row>
    <row r="2068" spans="1:13" x14ac:dyDescent="0.2">
      <c r="A2068" s="637"/>
      <c r="B2068" s="208"/>
      <c r="C2068" s="208"/>
      <c r="D2068" s="208"/>
      <c r="H2068" t="s">
        <v>3372</v>
      </c>
      <c r="I2068">
        <v>1.97E-3</v>
      </c>
      <c r="J2068" t="s">
        <v>3373</v>
      </c>
      <c r="K2068" t="s">
        <v>3372</v>
      </c>
      <c r="L2068" s="166">
        <f t="shared" si="162"/>
        <v>2.2685925909224958</v>
      </c>
      <c r="M2068" s="127" t="s">
        <v>3374</v>
      </c>
    </row>
    <row r="2069" spans="1:13" x14ac:dyDescent="0.2">
      <c r="A2069" s="637"/>
      <c r="B2069" s="208"/>
      <c r="C2069" s="208"/>
      <c r="D2069" s="208"/>
      <c r="H2069" t="s">
        <v>3375</v>
      </c>
      <c r="I2069">
        <v>6.4099999999999999E-3</v>
      </c>
      <c r="J2069" t="s">
        <v>707</v>
      </c>
      <c r="K2069" t="s">
        <v>3375</v>
      </c>
      <c r="L2069" s="166">
        <f t="shared" si="162"/>
        <v>7.3815626943214196</v>
      </c>
      <c r="M2069" s="127" t="s">
        <v>3376</v>
      </c>
    </row>
    <row r="2070" spans="1:13" x14ac:dyDescent="0.2">
      <c r="A2070" s="637"/>
      <c r="B2070" s="208"/>
      <c r="C2070" s="208"/>
      <c r="D2070" s="208"/>
      <c r="H2070" t="s">
        <v>708</v>
      </c>
      <c r="I2070">
        <v>2.7493400000000001</v>
      </c>
      <c r="J2070" t="s">
        <v>709</v>
      </c>
      <c r="K2070" t="s">
        <v>708</v>
      </c>
      <c r="L2070" s="166">
        <f t="shared" si="162"/>
        <v>3166.05703245018</v>
      </c>
      <c r="M2070" s="127" t="s">
        <v>3377</v>
      </c>
    </row>
    <row r="2071" spans="1:13" x14ac:dyDescent="0.2">
      <c r="A2071" s="637"/>
      <c r="B2071" s="208"/>
      <c r="C2071" s="208"/>
      <c r="D2071" s="208"/>
      <c r="H2071" t="s">
        <v>3378</v>
      </c>
      <c r="I2071" s="33">
        <v>2.6196899999999998E-6</v>
      </c>
      <c r="J2071" t="s">
        <v>704</v>
      </c>
      <c r="K2071" t="s">
        <v>3378</v>
      </c>
      <c r="L2071" s="166">
        <f t="shared" si="162"/>
        <v>3.0167560022912447E-3</v>
      </c>
      <c r="M2071" s="127" t="s">
        <v>3368</v>
      </c>
    </row>
    <row r="2072" spans="1:13" x14ac:dyDescent="0.2">
      <c r="A2072" s="637"/>
      <c r="B2072" s="208"/>
      <c r="C2072" s="208"/>
      <c r="D2072" s="208"/>
      <c r="H2072" t="s">
        <v>710</v>
      </c>
      <c r="I2072" s="33">
        <v>4.2946099999999998E-8</v>
      </c>
      <c r="J2072" t="s">
        <v>3379</v>
      </c>
      <c r="K2072" t="s">
        <v>710</v>
      </c>
      <c r="L2072" s="166">
        <f t="shared" si="162"/>
        <v>4.9455433639094718E-5</v>
      </c>
      <c r="M2072" s="127" t="s">
        <v>3380</v>
      </c>
    </row>
    <row r="2073" spans="1:13" x14ac:dyDescent="0.2">
      <c r="A2073" s="637"/>
      <c r="B2073" s="208"/>
      <c r="C2073" s="208"/>
      <c r="D2073" s="208"/>
      <c r="H2073" t="s">
        <v>3381</v>
      </c>
      <c r="I2073">
        <v>3.1700000000000001E-3</v>
      </c>
      <c r="J2073" t="s">
        <v>3382</v>
      </c>
      <c r="K2073" t="s">
        <v>3381</v>
      </c>
      <c r="L2073" s="166">
        <f t="shared" si="162"/>
        <v>3.6504764026519347</v>
      </c>
      <c r="M2073" s="127" t="s">
        <v>3383</v>
      </c>
    </row>
    <row r="2074" spans="1:13" x14ac:dyDescent="0.2">
      <c r="A2074" s="637"/>
      <c r="B2074" s="208"/>
      <c r="C2074" s="208"/>
      <c r="D2074" s="208"/>
      <c r="H2074" t="s">
        <v>3384</v>
      </c>
      <c r="I2074">
        <v>0.13829</v>
      </c>
      <c r="J2074" t="s">
        <v>711</v>
      </c>
      <c r="K2074" t="s">
        <v>3384</v>
      </c>
      <c r="L2074" s="166">
        <f t="shared" si="162"/>
        <v>159.25059360338676</v>
      </c>
      <c r="M2074" s="127" t="s">
        <v>3385</v>
      </c>
    </row>
    <row r="2075" spans="1:13" x14ac:dyDescent="0.2">
      <c r="A2075" s="414"/>
      <c r="B2075" s="1238"/>
      <c r="C2075" s="1238"/>
      <c r="D2075" s="1238"/>
      <c r="E2075" s="1235"/>
      <c r="F2075" s="118"/>
      <c r="G2075" s="118"/>
      <c r="H2075" s="118"/>
      <c r="I2075" s="118"/>
      <c r="J2075" s="118"/>
      <c r="K2075" s="118"/>
      <c r="L2075" s="833"/>
      <c r="M2075" s="120"/>
    </row>
    <row r="2076" spans="1:13" ht="16" x14ac:dyDescent="0.2">
      <c r="A2076" s="486" t="s">
        <v>2455</v>
      </c>
      <c r="B2076" s="220">
        <v>441435.10652468191</v>
      </c>
      <c r="C2076" s="220" t="s">
        <v>3010</v>
      </c>
      <c r="D2076" s="432"/>
      <c r="E2076" s="159" t="s">
        <v>3461</v>
      </c>
      <c r="F2076" s="110">
        <v>1</v>
      </c>
      <c r="G2076" s="110" t="s">
        <v>15</v>
      </c>
      <c r="H2076" s="110"/>
      <c r="I2076" s="110"/>
      <c r="J2076" s="110"/>
      <c r="K2076" s="110"/>
      <c r="L2076" s="845"/>
      <c r="M2076" s="112"/>
    </row>
    <row r="2077" spans="1:13" x14ac:dyDescent="0.2">
      <c r="A2077" s="637"/>
      <c r="B2077" s="208">
        <f>B2076*30/1000</f>
        <v>13243.053195740458</v>
      </c>
      <c r="C2077" s="208" t="s">
        <v>3443</v>
      </c>
      <c r="D2077" s="208" t="s">
        <v>2279</v>
      </c>
      <c r="H2077" t="s">
        <v>701</v>
      </c>
      <c r="I2077">
        <v>7.0699999999999999E-3</v>
      </c>
      <c r="J2077" t="s">
        <v>702</v>
      </c>
      <c r="K2077" t="s">
        <v>701</v>
      </c>
      <c r="L2077" s="166">
        <f>I2077*B$2077</f>
        <v>93.628386093885041</v>
      </c>
      <c r="M2077" s="127" t="s">
        <v>3367</v>
      </c>
    </row>
    <row r="2078" spans="1:13" x14ac:dyDescent="0.2">
      <c r="A2078" s="637"/>
      <c r="B2078" s="208"/>
      <c r="C2078" s="208"/>
      <c r="D2078" s="208"/>
      <c r="H2078" t="s">
        <v>703</v>
      </c>
      <c r="I2078" s="33">
        <v>1.03147E-7</v>
      </c>
      <c r="J2078" t="s">
        <v>704</v>
      </c>
      <c r="K2078" t="s">
        <v>703</v>
      </c>
      <c r="L2078" s="166">
        <f t="shared" ref="L2078:L2086" si="163">I2078*B$2077</f>
        <v>1.3659812079810411E-3</v>
      </c>
      <c r="M2078" s="127" t="s">
        <v>3368</v>
      </c>
    </row>
    <row r="2079" spans="1:13" x14ac:dyDescent="0.2">
      <c r="A2079" s="637"/>
      <c r="B2079" s="208"/>
      <c r="C2079" s="208"/>
      <c r="D2079" s="208"/>
      <c r="H2079" t="s">
        <v>705</v>
      </c>
      <c r="I2079">
        <v>23.832789999999999</v>
      </c>
      <c r="J2079" t="s">
        <v>706</v>
      </c>
      <c r="K2079" t="s">
        <v>705</v>
      </c>
      <c r="L2079" s="166">
        <f t="shared" si="163"/>
        <v>315618.90577291121</v>
      </c>
      <c r="M2079" s="127" t="s">
        <v>3370</v>
      </c>
    </row>
    <row r="2080" spans="1:13" x14ac:dyDescent="0.2">
      <c r="A2080" s="637"/>
      <c r="B2080" s="208"/>
      <c r="C2080" s="208"/>
      <c r="D2080" s="208"/>
      <c r="H2080" t="s">
        <v>3372</v>
      </c>
      <c r="I2080">
        <v>2.9999999999999997E-4</v>
      </c>
      <c r="J2080" t="s">
        <v>3373</v>
      </c>
      <c r="K2080" t="s">
        <v>3372</v>
      </c>
      <c r="L2080" s="166">
        <f t="shared" si="163"/>
        <v>3.9729159587221372</v>
      </c>
      <c r="M2080" s="127" t="s">
        <v>3374</v>
      </c>
    </row>
    <row r="2081" spans="1:13" x14ac:dyDescent="0.2">
      <c r="A2081" s="637"/>
      <c r="B2081" s="208"/>
      <c r="C2081" s="208"/>
      <c r="D2081" s="208"/>
      <c r="H2081" t="s">
        <v>3375</v>
      </c>
      <c r="I2081">
        <v>3.4199999999999999E-3</v>
      </c>
      <c r="J2081" t="s">
        <v>707</v>
      </c>
      <c r="K2081" t="s">
        <v>3375</v>
      </c>
      <c r="L2081" s="166">
        <f t="shared" si="163"/>
        <v>45.291241929432367</v>
      </c>
      <c r="M2081" s="127" t="s">
        <v>3376</v>
      </c>
    </row>
    <row r="2082" spans="1:13" x14ac:dyDescent="0.2">
      <c r="A2082" s="637"/>
      <c r="B2082" s="208"/>
      <c r="C2082" s="208"/>
      <c r="D2082" s="208"/>
      <c r="H2082" t="s">
        <v>708</v>
      </c>
      <c r="I2082">
        <v>0.70650999999999997</v>
      </c>
      <c r="J2082" t="s">
        <v>709</v>
      </c>
      <c r="K2082" t="s">
        <v>708</v>
      </c>
      <c r="L2082" s="166">
        <f t="shared" si="163"/>
        <v>9356.3495133225915</v>
      </c>
      <c r="M2082" s="127" t="s">
        <v>3377</v>
      </c>
    </row>
    <row r="2083" spans="1:13" x14ac:dyDescent="0.2">
      <c r="A2083" s="637"/>
      <c r="B2083" s="208"/>
      <c r="C2083" s="208"/>
      <c r="D2083" s="208"/>
      <c r="H2083" t="s">
        <v>3378</v>
      </c>
      <c r="I2083" s="33">
        <v>3.6444499999999998E-7</v>
      </c>
      <c r="J2083" t="s">
        <v>704</v>
      </c>
      <c r="K2083" t="s">
        <v>3378</v>
      </c>
      <c r="L2083" s="166">
        <f t="shared" si="163"/>
        <v>4.8263645219216314E-3</v>
      </c>
      <c r="M2083" s="127" t="s">
        <v>3368</v>
      </c>
    </row>
    <row r="2084" spans="1:13" x14ac:dyDescent="0.2">
      <c r="A2084" s="637"/>
      <c r="B2084" s="208"/>
      <c r="C2084" s="208"/>
      <c r="D2084" s="208"/>
      <c r="H2084" t="s">
        <v>710</v>
      </c>
      <c r="I2084" s="33">
        <v>6.6828600000000002E-9</v>
      </c>
      <c r="J2084" t="s">
        <v>3379</v>
      </c>
      <c r="K2084" t="s">
        <v>710</v>
      </c>
      <c r="L2084" s="166">
        <f t="shared" si="163"/>
        <v>8.8501470479686079E-5</v>
      </c>
      <c r="M2084" s="127" t="s">
        <v>3380</v>
      </c>
    </row>
    <row r="2085" spans="1:13" x14ac:dyDescent="0.2">
      <c r="A2085" s="637"/>
      <c r="B2085" s="208"/>
      <c r="C2085" s="208"/>
      <c r="D2085" s="208"/>
      <c r="H2085" t="s">
        <v>3381</v>
      </c>
      <c r="I2085">
        <v>8.3000000000000001E-4</v>
      </c>
      <c r="J2085" t="s">
        <v>3382</v>
      </c>
      <c r="K2085" t="s">
        <v>3381</v>
      </c>
      <c r="L2085" s="166">
        <f t="shared" si="163"/>
        <v>10.991734152464581</v>
      </c>
      <c r="M2085" s="127" t="s">
        <v>3383</v>
      </c>
    </row>
    <row r="2086" spans="1:13" x14ac:dyDescent="0.2">
      <c r="A2086" s="637"/>
      <c r="B2086" s="208"/>
      <c r="C2086" s="208"/>
      <c r="D2086" s="208"/>
      <c r="H2086" t="s">
        <v>3384</v>
      </c>
      <c r="I2086">
        <v>5.3949999999999998E-2</v>
      </c>
      <c r="J2086" t="s">
        <v>711</v>
      </c>
      <c r="K2086" t="s">
        <v>3384</v>
      </c>
      <c r="L2086" s="166">
        <f t="shared" si="163"/>
        <v>714.46271991019773</v>
      </c>
      <c r="M2086" s="127" t="s">
        <v>3385</v>
      </c>
    </row>
    <row r="2087" spans="1:13" x14ac:dyDescent="0.2">
      <c r="A2087" s="414"/>
      <c r="B2087" s="1238"/>
      <c r="C2087" s="1238"/>
      <c r="D2087" s="1238"/>
      <c r="E2087" s="1235"/>
      <c r="F2087" s="118"/>
      <c r="G2087" s="118"/>
      <c r="H2087" s="118"/>
      <c r="I2087" s="118"/>
      <c r="J2087" s="118"/>
      <c r="K2087" s="118"/>
      <c r="L2087" s="833"/>
      <c r="M2087" s="120"/>
    </row>
    <row r="2088" spans="1:13" ht="16" x14ac:dyDescent="0.2">
      <c r="A2088" s="486" t="s">
        <v>2567</v>
      </c>
      <c r="B2088" s="220">
        <v>4030494.4508775314</v>
      </c>
      <c r="C2088" s="220" t="s">
        <v>3011</v>
      </c>
      <c r="D2088" s="432"/>
      <c r="E2088" s="159" t="s">
        <v>3459</v>
      </c>
      <c r="F2088" s="110">
        <v>1</v>
      </c>
      <c r="G2088" s="110" t="s">
        <v>15</v>
      </c>
      <c r="H2088" s="110"/>
      <c r="I2088" s="110"/>
      <c r="J2088" s="110"/>
      <c r="K2088" s="110"/>
      <c r="L2088" s="845"/>
      <c r="M2088" s="112"/>
    </row>
    <row r="2089" spans="1:13" x14ac:dyDescent="0.2">
      <c r="A2089" s="637"/>
      <c r="B2089" s="76">
        <f>B2088*30</f>
        <v>120914833.52632594</v>
      </c>
      <c r="C2089" s="76" t="s">
        <v>3462</v>
      </c>
      <c r="D2089" s="208"/>
      <c r="H2089" t="s">
        <v>701</v>
      </c>
      <c r="I2089">
        <v>3.066E-2</v>
      </c>
      <c r="J2089" t="s">
        <v>702</v>
      </c>
      <c r="K2089" t="s">
        <v>701</v>
      </c>
      <c r="L2089" s="166">
        <f>I2089*B$2090</f>
        <v>3707.2487959171531</v>
      </c>
      <c r="M2089" s="127" t="s">
        <v>3367</v>
      </c>
    </row>
    <row r="2090" spans="1:13" x14ac:dyDescent="0.2">
      <c r="A2090" s="637"/>
      <c r="B2090" s="1218">
        <f>B2089/1000</f>
        <v>120914.83352632594</v>
      </c>
      <c r="C2090" s="1114" t="s">
        <v>3443</v>
      </c>
      <c r="D2090" s="6" t="s">
        <v>2279</v>
      </c>
      <c r="H2090" t="s">
        <v>703</v>
      </c>
      <c r="I2090" s="33">
        <v>1.7141199999999999E-6</v>
      </c>
      <c r="J2090" t="s">
        <v>704</v>
      </c>
      <c r="K2090" t="s">
        <v>703</v>
      </c>
      <c r="L2090" s="166">
        <f t="shared" ref="L2090:L2098" si="164">I2090*B$2090</f>
        <v>0.2072625344441458</v>
      </c>
      <c r="M2090" s="127" t="s">
        <v>3368</v>
      </c>
    </row>
    <row r="2091" spans="1:13" x14ac:dyDescent="0.2">
      <c r="A2091" s="637"/>
      <c r="B2091" s="208"/>
      <c r="C2091" s="208"/>
      <c r="D2091" s="208"/>
      <c r="H2091" t="s">
        <v>705</v>
      </c>
      <c r="I2091">
        <v>171.8175</v>
      </c>
      <c r="J2091" t="s">
        <v>706</v>
      </c>
      <c r="K2091" t="s">
        <v>705</v>
      </c>
      <c r="L2091" s="166">
        <f t="shared" si="164"/>
        <v>20775284.409409504</v>
      </c>
      <c r="M2091" s="127" t="s">
        <v>3370</v>
      </c>
    </row>
    <row r="2092" spans="1:13" x14ac:dyDescent="0.2">
      <c r="A2092" s="637"/>
      <c r="B2092" s="208"/>
      <c r="C2092" s="208"/>
      <c r="D2092" s="208"/>
      <c r="H2092" t="s">
        <v>3372</v>
      </c>
      <c r="I2092">
        <v>1.97E-3</v>
      </c>
      <c r="J2092" t="s">
        <v>3373</v>
      </c>
      <c r="K2092" t="s">
        <v>3372</v>
      </c>
      <c r="L2092" s="166">
        <f t="shared" si="164"/>
        <v>238.20222204686209</v>
      </c>
      <c r="M2092" s="127" t="s">
        <v>3374</v>
      </c>
    </row>
    <row r="2093" spans="1:13" x14ac:dyDescent="0.2">
      <c r="A2093" s="637"/>
      <c r="B2093" s="208"/>
      <c r="C2093" s="208"/>
      <c r="D2093" s="208"/>
      <c r="H2093" t="s">
        <v>3375</v>
      </c>
      <c r="I2093">
        <v>6.4099999999999999E-3</v>
      </c>
      <c r="J2093" t="s">
        <v>707</v>
      </c>
      <c r="K2093" t="s">
        <v>3375</v>
      </c>
      <c r="L2093" s="166">
        <f t="shared" si="164"/>
        <v>775.06408290374918</v>
      </c>
      <c r="M2093" s="127" t="s">
        <v>3376</v>
      </c>
    </row>
    <row r="2094" spans="1:13" x14ac:dyDescent="0.2">
      <c r="A2094" s="637"/>
      <c r="B2094" s="208"/>
      <c r="C2094" s="208"/>
      <c r="D2094" s="208"/>
      <c r="H2094" t="s">
        <v>708</v>
      </c>
      <c r="I2094">
        <v>2.7493400000000001</v>
      </c>
      <c r="J2094" t="s">
        <v>709</v>
      </c>
      <c r="K2094" t="s">
        <v>708</v>
      </c>
      <c r="L2094" s="166">
        <f t="shared" si="164"/>
        <v>332435.98840726895</v>
      </c>
      <c r="M2094" s="127" t="s">
        <v>3377</v>
      </c>
    </row>
    <row r="2095" spans="1:13" x14ac:dyDescent="0.2">
      <c r="A2095" s="637"/>
      <c r="B2095" s="208"/>
      <c r="C2095" s="208"/>
      <c r="D2095" s="208"/>
      <c r="H2095" t="s">
        <v>3378</v>
      </c>
      <c r="I2095" s="33">
        <v>2.6196899999999998E-6</v>
      </c>
      <c r="J2095" t="s">
        <v>704</v>
      </c>
      <c r="K2095" t="s">
        <v>3378</v>
      </c>
      <c r="L2095" s="166">
        <f t="shared" si="164"/>
        <v>0.31675938024058076</v>
      </c>
      <c r="M2095" s="127" t="s">
        <v>3368</v>
      </c>
    </row>
    <row r="2096" spans="1:13" x14ac:dyDescent="0.2">
      <c r="A2096" s="637"/>
      <c r="B2096" s="208"/>
      <c r="C2096" s="208"/>
      <c r="D2096" s="208"/>
      <c r="H2096" t="s">
        <v>710</v>
      </c>
      <c r="I2096" s="33">
        <v>4.2946099999999998E-8</v>
      </c>
      <c r="J2096" t="s">
        <v>3379</v>
      </c>
      <c r="K2096" t="s">
        <v>710</v>
      </c>
      <c r="L2096" s="166">
        <f t="shared" si="164"/>
        <v>5.1928205321049459E-3</v>
      </c>
      <c r="M2096" s="127" t="s">
        <v>3380</v>
      </c>
    </row>
    <row r="2097" spans="1:13" x14ac:dyDescent="0.2">
      <c r="A2097" s="637"/>
      <c r="B2097" s="208"/>
      <c r="C2097" s="208"/>
      <c r="D2097" s="208"/>
      <c r="H2097" t="s">
        <v>3381</v>
      </c>
      <c r="I2097">
        <v>3.1700000000000001E-3</v>
      </c>
      <c r="J2097" t="s">
        <v>3382</v>
      </c>
      <c r="K2097" t="s">
        <v>3381</v>
      </c>
      <c r="L2097" s="166">
        <f t="shared" si="164"/>
        <v>383.30002227845324</v>
      </c>
      <c r="M2097" s="127" t="s">
        <v>3383</v>
      </c>
    </row>
    <row r="2098" spans="1:13" x14ac:dyDescent="0.2">
      <c r="A2098" s="637"/>
      <c r="B2098" s="208"/>
      <c r="C2098" s="208"/>
      <c r="D2098" s="208"/>
      <c r="H2098" t="s">
        <v>3384</v>
      </c>
      <c r="I2098">
        <v>0.13829</v>
      </c>
      <c r="J2098" t="s">
        <v>711</v>
      </c>
      <c r="K2098" t="s">
        <v>3384</v>
      </c>
      <c r="L2098" s="166">
        <f t="shared" si="164"/>
        <v>16721.312328355612</v>
      </c>
      <c r="M2098" s="127" t="s">
        <v>3385</v>
      </c>
    </row>
    <row r="2099" spans="1:13" x14ac:dyDescent="0.2">
      <c r="A2099" s="414"/>
      <c r="B2099" s="1238"/>
      <c r="C2099" s="1238"/>
      <c r="D2099" s="1238"/>
      <c r="E2099" s="1235"/>
      <c r="F2099" s="118"/>
      <c r="G2099" s="118"/>
      <c r="H2099" s="118"/>
      <c r="I2099" s="118"/>
      <c r="J2099" s="118"/>
      <c r="K2099" s="118"/>
      <c r="L2099" s="833"/>
      <c r="M2099" s="120"/>
    </row>
    <row r="2100" spans="1:13" ht="32" x14ac:dyDescent="0.2">
      <c r="A2100" s="486" t="s">
        <v>714</v>
      </c>
      <c r="B2100" s="1240">
        <v>460642600.5775674</v>
      </c>
      <c r="C2100" s="432" t="s">
        <v>720</v>
      </c>
      <c r="D2100" s="110"/>
      <c r="E2100" s="1216" t="s">
        <v>3404</v>
      </c>
      <c r="F2100" s="110">
        <v>1</v>
      </c>
      <c r="G2100" s="110" t="s">
        <v>378</v>
      </c>
      <c r="H2100" s="110"/>
      <c r="I2100" s="110"/>
      <c r="J2100" s="110"/>
      <c r="K2100" s="110"/>
      <c r="L2100" s="845"/>
      <c r="M2100" s="112"/>
    </row>
    <row r="2101" spans="1:13" x14ac:dyDescent="0.2">
      <c r="A2101" s="637"/>
      <c r="B2101" s="208"/>
      <c r="C2101" s="208"/>
      <c r="D2101" s="208"/>
      <c r="E2101" s="83"/>
      <c r="H2101" t="s">
        <v>701</v>
      </c>
      <c r="I2101">
        <v>7.5000000000000002E-4</v>
      </c>
      <c r="J2101" t="s">
        <v>702</v>
      </c>
      <c r="K2101" t="s">
        <v>701</v>
      </c>
      <c r="L2101" s="166">
        <f>I2101*B$2100</f>
        <v>345481.95043317555</v>
      </c>
      <c r="M2101" s="127" t="s">
        <v>3367</v>
      </c>
    </row>
    <row r="2102" spans="1:13" x14ac:dyDescent="0.2">
      <c r="A2102" s="637"/>
      <c r="B2102" s="208"/>
      <c r="C2102" s="208"/>
      <c r="D2102" s="208"/>
      <c r="E2102" s="83"/>
      <c r="H2102" t="s">
        <v>703</v>
      </c>
      <c r="I2102" s="33">
        <v>3.3111200000000002E-8</v>
      </c>
      <c r="J2102" t="s">
        <v>704</v>
      </c>
      <c r="K2102" t="s">
        <v>703</v>
      </c>
      <c r="L2102" s="166">
        <f t="shared" ref="L2102:L2111" si="165">I2102*B$2100</f>
        <v>15.25242927624395</v>
      </c>
      <c r="M2102" s="127" t="s">
        <v>3368</v>
      </c>
    </row>
    <row r="2103" spans="1:13" x14ac:dyDescent="0.2">
      <c r="A2103" s="637"/>
      <c r="B2103" s="208"/>
      <c r="C2103" s="208"/>
      <c r="D2103" s="208"/>
      <c r="E2103" s="83"/>
      <c r="H2103" t="s">
        <v>705</v>
      </c>
      <c r="I2103">
        <v>4.1968100000000002</v>
      </c>
      <c r="J2103" t="s">
        <v>706</v>
      </c>
      <c r="K2103" t="s">
        <v>705</v>
      </c>
      <c r="L2103" s="166">
        <f t="shared" si="165"/>
        <v>1933229472.5299406</v>
      </c>
      <c r="M2103" s="127" t="s">
        <v>3370</v>
      </c>
    </row>
    <row r="2104" spans="1:13" x14ac:dyDescent="0.2">
      <c r="A2104" s="637"/>
      <c r="B2104" s="208"/>
      <c r="C2104" s="208"/>
      <c r="D2104" s="208"/>
      <c r="E2104" s="83"/>
      <c r="H2104" t="s">
        <v>3372</v>
      </c>
      <c r="I2104">
        <v>3.2000000000000003E-4</v>
      </c>
      <c r="J2104" t="s">
        <v>3373</v>
      </c>
      <c r="K2104" t="s">
        <v>3372</v>
      </c>
      <c r="L2104" s="166">
        <f t="shared" si="165"/>
        <v>147405.63218482159</v>
      </c>
      <c r="M2104" s="127" t="s">
        <v>3374</v>
      </c>
    </row>
    <row r="2105" spans="1:13" x14ac:dyDescent="0.2">
      <c r="A2105" s="637"/>
      <c r="B2105" s="208"/>
      <c r="C2105" s="208"/>
      <c r="D2105" s="208"/>
      <c r="E2105" s="83"/>
      <c r="H2105" t="s">
        <v>3375</v>
      </c>
      <c r="I2105">
        <v>5.2999999999999998E-4</v>
      </c>
      <c r="J2105" t="s">
        <v>707</v>
      </c>
      <c r="K2105" t="s">
        <v>3375</v>
      </c>
      <c r="L2105" s="166">
        <f t="shared" si="165"/>
        <v>244140.57830611072</v>
      </c>
      <c r="M2105" s="127" t="s">
        <v>3376</v>
      </c>
    </row>
    <row r="2106" spans="1:13" x14ac:dyDescent="0.2">
      <c r="A2106" s="637"/>
      <c r="B2106" s="208"/>
      <c r="C2106" s="208"/>
      <c r="D2106" s="208"/>
      <c r="E2106" s="83"/>
      <c r="H2106" t="s">
        <v>708</v>
      </c>
      <c r="I2106">
        <v>0.39150000000000001</v>
      </c>
      <c r="J2106" t="s">
        <v>709</v>
      </c>
      <c r="K2106" t="s">
        <v>708</v>
      </c>
      <c r="L2106" s="166">
        <f t="shared" si="165"/>
        <v>180341578.12611765</v>
      </c>
      <c r="M2106" s="127" t="s">
        <v>3377</v>
      </c>
    </row>
    <row r="2107" spans="1:13" x14ac:dyDescent="0.2">
      <c r="A2107" s="637"/>
      <c r="B2107" s="208"/>
      <c r="C2107" s="208"/>
      <c r="D2107" s="208"/>
      <c r="E2107" s="83"/>
      <c r="H2107" t="s">
        <v>3378</v>
      </c>
      <c r="I2107" s="33">
        <v>9.8849699999999999E-8</v>
      </c>
      <c r="J2107" t="s">
        <v>704</v>
      </c>
      <c r="K2107" t="s">
        <v>3378</v>
      </c>
      <c r="L2107" s="166">
        <f t="shared" si="165"/>
        <v>45.534382874312364</v>
      </c>
      <c r="M2107" s="127" t="s">
        <v>3368</v>
      </c>
    </row>
    <row r="2108" spans="1:13" x14ac:dyDescent="0.2">
      <c r="A2108" s="637"/>
      <c r="B2108" s="208"/>
      <c r="C2108" s="208"/>
      <c r="D2108" s="208"/>
      <c r="E2108" s="83"/>
      <c r="H2108" t="s">
        <v>710</v>
      </c>
      <c r="I2108" s="33">
        <v>1.51061E-9</v>
      </c>
      <c r="J2108" t="s">
        <v>3379</v>
      </c>
      <c r="K2108" t="s">
        <v>710</v>
      </c>
      <c r="L2108" s="166">
        <f t="shared" si="165"/>
        <v>0.69585131885847906</v>
      </c>
      <c r="M2108" s="127" t="s">
        <v>3380</v>
      </c>
    </row>
    <row r="2109" spans="1:13" x14ac:dyDescent="0.2">
      <c r="A2109" s="637"/>
      <c r="B2109" s="208"/>
      <c r="C2109" s="208"/>
      <c r="D2109" s="208"/>
      <c r="E2109" s="83"/>
      <c r="H2109" t="s">
        <v>3381</v>
      </c>
      <c r="I2109">
        <v>1.01E-3</v>
      </c>
      <c r="J2109" t="s">
        <v>3382</v>
      </c>
      <c r="K2109" t="s">
        <v>3381</v>
      </c>
      <c r="L2109" s="166">
        <f t="shared" si="165"/>
        <v>465249.0265833431</v>
      </c>
      <c r="M2109" s="127" t="s">
        <v>3383</v>
      </c>
    </row>
    <row r="2110" spans="1:13" x14ac:dyDescent="0.2">
      <c r="A2110" s="637"/>
      <c r="B2110" s="208"/>
      <c r="C2110" s="208"/>
      <c r="D2110" s="208"/>
      <c r="E2110" s="83"/>
      <c r="H2110" t="s">
        <v>3384</v>
      </c>
      <c r="I2110">
        <v>1.2200000000000001E-2</v>
      </c>
      <c r="J2110" t="s">
        <v>711</v>
      </c>
      <c r="K2110" t="s">
        <v>3384</v>
      </c>
      <c r="L2110" s="166">
        <f t="shared" si="165"/>
        <v>5619839.727046323</v>
      </c>
      <c r="M2110" s="127" t="s">
        <v>3385</v>
      </c>
    </row>
    <row r="2111" spans="1:13" x14ac:dyDescent="0.2">
      <c r="A2111" s="414"/>
      <c r="B2111" s="1238"/>
      <c r="C2111" s="1238"/>
      <c r="D2111" s="1238"/>
      <c r="E2111" s="1235"/>
      <c r="F2111" s="118"/>
      <c r="G2111" s="118"/>
      <c r="H2111" s="118"/>
      <c r="I2111" s="118"/>
      <c r="J2111" s="118"/>
      <c r="K2111" s="118"/>
      <c r="L2111" s="833">
        <f t="shared" si="165"/>
        <v>0</v>
      </c>
      <c r="M2111" s="120"/>
    </row>
    <row r="2112" spans="1:13" ht="32" x14ac:dyDescent="0.2">
      <c r="A2112" s="486" t="s">
        <v>2433</v>
      </c>
      <c r="B2112" s="674">
        <v>34816902.437547229</v>
      </c>
      <c r="C2112" s="674" t="s">
        <v>2959</v>
      </c>
      <c r="D2112" s="432"/>
      <c r="E2112" s="1216" t="s">
        <v>3444</v>
      </c>
      <c r="F2112" s="110">
        <v>1</v>
      </c>
      <c r="G2112" s="110" t="s">
        <v>1</v>
      </c>
      <c r="H2112" s="110"/>
      <c r="I2112" s="110"/>
      <c r="J2112" s="110"/>
      <c r="K2112" s="110"/>
      <c r="L2112" s="845"/>
      <c r="M2112" s="112"/>
    </row>
    <row r="2113" spans="1:13" x14ac:dyDescent="0.2">
      <c r="A2113" s="637"/>
      <c r="B2113" s="166">
        <v>15792.843344619083</v>
      </c>
      <c r="C2113" s="133" t="s">
        <v>3225</v>
      </c>
      <c r="E2113" s="83"/>
      <c r="H2113" t="s">
        <v>701</v>
      </c>
      <c r="I2113">
        <v>1.14E-3</v>
      </c>
      <c r="J2113" t="s">
        <v>702</v>
      </c>
      <c r="K2113" t="s">
        <v>701</v>
      </c>
      <c r="L2113" s="166">
        <f>I2113*B$2114</f>
        <v>540.11524238597258</v>
      </c>
      <c r="M2113" s="127" t="s">
        <v>3367</v>
      </c>
    </row>
    <row r="2114" spans="1:13" x14ac:dyDescent="0.2">
      <c r="A2114" s="637"/>
      <c r="B2114" s="1218">
        <f>B2113*30</f>
        <v>473785.30033857247</v>
      </c>
      <c r="C2114" s="1114" t="s">
        <v>3445</v>
      </c>
      <c r="D2114" s="6" t="s">
        <v>577</v>
      </c>
      <c r="E2114" s="83"/>
      <c r="H2114" t="s">
        <v>703</v>
      </c>
      <c r="I2114" s="33">
        <v>5.4967900000000001E-8</v>
      </c>
      <c r="J2114" t="s">
        <v>704</v>
      </c>
      <c r="K2114" t="s">
        <v>703</v>
      </c>
      <c r="L2114" s="166">
        <f t="shared" ref="L2114:L2122" si="166">I2114*B$2114</f>
        <v>2.6042983010480619E-2</v>
      </c>
      <c r="M2114" s="127" t="s">
        <v>3368</v>
      </c>
    </row>
    <row r="2115" spans="1:13" x14ac:dyDescent="0.2">
      <c r="A2115" s="637"/>
      <c r="B2115" s="1239"/>
      <c r="C2115" s="208"/>
      <c r="D2115" s="208"/>
      <c r="E2115" s="83"/>
      <c r="H2115" t="s">
        <v>705</v>
      </c>
      <c r="I2115">
        <v>9.5996699999999997</v>
      </c>
      <c r="J2115" t="s">
        <v>706</v>
      </c>
      <c r="K2115" t="s">
        <v>705</v>
      </c>
      <c r="L2115" s="166">
        <f t="shared" si="166"/>
        <v>4548182.5341011835</v>
      </c>
      <c r="M2115" s="127" t="s">
        <v>3370</v>
      </c>
    </row>
    <row r="2116" spans="1:13" x14ac:dyDescent="0.2">
      <c r="A2116" s="637"/>
      <c r="B2116" s="1239"/>
      <c r="C2116" s="208"/>
      <c r="D2116" s="208"/>
      <c r="E2116" s="83"/>
      <c r="H2116" t="s">
        <v>3372</v>
      </c>
      <c r="I2116">
        <v>2.3600000000000001E-3</v>
      </c>
      <c r="J2116" t="s">
        <v>3373</v>
      </c>
      <c r="K2116" t="s">
        <v>3372</v>
      </c>
      <c r="L2116" s="166">
        <f t="shared" si="166"/>
        <v>1118.1333087990311</v>
      </c>
      <c r="M2116" s="127" t="s">
        <v>3374</v>
      </c>
    </row>
    <row r="2117" spans="1:13" x14ac:dyDescent="0.2">
      <c r="A2117" s="637"/>
      <c r="B2117" s="1239"/>
      <c r="C2117" s="208"/>
      <c r="D2117" s="208"/>
      <c r="E2117" s="83"/>
      <c r="H2117" t="s">
        <v>3375</v>
      </c>
      <c r="I2117">
        <v>7.0000000000000001E-3</v>
      </c>
      <c r="J2117" t="s">
        <v>707</v>
      </c>
      <c r="K2117" t="s">
        <v>3375</v>
      </c>
      <c r="L2117" s="166">
        <f t="shared" si="166"/>
        <v>3316.4971023700073</v>
      </c>
      <c r="M2117" s="127" t="s">
        <v>3376</v>
      </c>
    </row>
    <row r="2118" spans="1:13" x14ac:dyDescent="0.2">
      <c r="A2118" s="637"/>
      <c r="B2118" s="1239"/>
      <c r="C2118" s="208"/>
      <c r="D2118" s="208"/>
      <c r="E2118" s="83"/>
      <c r="H2118" t="s">
        <v>708</v>
      </c>
      <c r="I2118">
        <v>0.20222999999999999</v>
      </c>
      <c r="J2118" t="s">
        <v>709</v>
      </c>
      <c r="K2118" t="s">
        <v>708</v>
      </c>
      <c r="L2118" s="166">
        <f t="shared" si="166"/>
        <v>95813.601287469515</v>
      </c>
      <c r="M2118" s="127" t="s">
        <v>3377</v>
      </c>
    </row>
    <row r="2119" spans="1:13" x14ac:dyDescent="0.2">
      <c r="A2119" s="637"/>
      <c r="B2119" s="1239"/>
      <c r="C2119" s="208"/>
      <c r="D2119" s="208"/>
      <c r="E2119" s="83"/>
      <c r="H2119" t="s">
        <v>3378</v>
      </c>
      <c r="I2119" s="33">
        <v>5.2573200000000002E-6</v>
      </c>
      <c r="J2119" t="s">
        <v>704</v>
      </c>
      <c r="K2119" t="s">
        <v>3378</v>
      </c>
      <c r="L2119" s="166">
        <f t="shared" si="166"/>
        <v>2.4908409351759837</v>
      </c>
      <c r="M2119" s="127" t="s">
        <v>3368</v>
      </c>
    </row>
    <row r="2120" spans="1:13" x14ac:dyDescent="0.2">
      <c r="A2120" s="637"/>
      <c r="B2120" s="1239"/>
      <c r="C2120" s="208"/>
      <c r="D2120" s="208"/>
      <c r="E2120" s="83"/>
      <c r="H2120" t="s">
        <v>710</v>
      </c>
      <c r="I2120" s="33">
        <v>1.8080899999999999E-9</v>
      </c>
      <c r="J2120" t="s">
        <v>3379</v>
      </c>
      <c r="K2120" t="s">
        <v>710</v>
      </c>
      <c r="L2120" s="166">
        <f t="shared" si="166"/>
        <v>8.566464636891695E-4</v>
      </c>
      <c r="M2120" s="127" t="s">
        <v>3380</v>
      </c>
    </row>
    <row r="2121" spans="1:13" x14ac:dyDescent="0.2">
      <c r="A2121" s="637"/>
      <c r="B2121" s="1239"/>
      <c r="C2121" s="208"/>
      <c r="D2121" s="208"/>
      <c r="E2121" s="83"/>
      <c r="H2121" t="s">
        <v>3381</v>
      </c>
      <c r="I2121">
        <v>1.4999999999999999E-4</v>
      </c>
      <c r="J2121" t="s">
        <v>3382</v>
      </c>
      <c r="K2121" t="s">
        <v>3381</v>
      </c>
      <c r="L2121" s="166">
        <f t="shared" si="166"/>
        <v>71.067795050785861</v>
      </c>
      <c r="M2121" s="127" t="s">
        <v>3383</v>
      </c>
    </row>
    <row r="2122" spans="1:13" x14ac:dyDescent="0.2">
      <c r="A2122" s="637"/>
      <c r="B2122" s="1239"/>
      <c r="C2122" s="208"/>
      <c r="D2122" s="208"/>
      <c r="E2122" s="83"/>
      <c r="H2122" t="s">
        <v>3384</v>
      </c>
      <c r="I2122">
        <v>1.456E-2</v>
      </c>
      <c r="J2122" t="s">
        <v>711</v>
      </c>
      <c r="K2122" t="s">
        <v>3384</v>
      </c>
      <c r="L2122" s="166">
        <f t="shared" si="166"/>
        <v>6898.3139729296154</v>
      </c>
      <c r="M2122" s="127" t="s">
        <v>3385</v>
      </c>
    </row>
    <row r="2123" spans="1:13" x14ac:dyDescent="0.2">
      <c r="A2123" s="414"/>
      <c r="B2123" s="1241"/>
      <c r="C2123" s="1238"/>
      <c r="D2123" s="1238"/>
      <c r="E2123" s="1220"/>
      <c r="F2123" s="118"/>
      <c r="G2123" s="118"/>
      <c r="H2123" s="118"/>
      <c r="I2123" s="118"/>
      <c r="J2123" s="118"/>
      <c r="K2123" s="118"/>
      <c r="L2123" s="833"/>
      <c r="M2123" s="120"/>
    </row>
    <row r="2124" spans="1:13" ht="48" x14ac:dyDescent="0.2">
      <c r="A2124" s="486" t="s">
        <v>3133</v>
      </c>
      <c r="B2124" s="674">
        <v>14520.656180984699</v>
      </c>
      <c r="C2124" s="220" t="s">
        <v>1522</v>
      </c>
      <c r="D2124" s="432"/>
      <c r="E2124" s="159" t="s">
        <v>3442</v>
      </c>
      <c r="F2124" s="110">
        <v>1</v>
      </c>
      <c r="G2124" s="110" t="s">
        <v>15</v>
      </c>
      <c r="H2124" s="110"/>
      <c r="I2124" s="110"/>
      <c r="J2124" s="110"/>
      <c r="K2124" s="110"/>
      <c r="L2124" s="845"/>
      <c r="M2124" s="112"/>
    </row>
    <row r="2125" spans="1:13" x14ac:dyDescent="0.2">
      <c r="A2125" s="637"/>
      <c r="B2125" s="1218">
        <f>B2124*1000</f>
        <v>14520656.180984698</v>
      </c>
      <c r="C2125" s="1114" t="s">
        <v>3443</v>
      </c>
      <c r="D2125" s="6" t="s">
        <v>577</v>
      </c>
      <c r="H2125" t="s">
        <v>701</v>
      </c>
      <c r="I2125" s="33">
        <v>1.1E-4</v>
      </c>
      <c r="J2125" t="s">
        <v>702</v>
      </c>
      <c r="K2125" t="s">
        <v>701</v>
      </c>
      <c r="L2125" s="166">
        <f>I2125*B$2125</f>
        <v>1597.272179908317</v>
      </c>
      <c r="M2125" s="127" t="s">
        <v>3367</v>
      </c>
    </row>
    <row r="2126" spans="1:13" x14ac:dyDescent="0.2">
      <c r="A2126" s="637"/>
      <c r="B2126" s="1239"/>
      <c r="C2126" s="208"/>
      <c r="D2126" s="208"/>
      <c r="H2126" t="s">
        <v>703</v>
      </c>
      <c r="I2126" s="33">
        <v>3.4002900000000001E-9</v>
      </c>
      <c r="J2126" t="s">
        <v>704</v>
      </c>
      <c r="K2126" t="s">
        <v>703</v>
      </c>
      <c r="L2126" s="166">
        <f t="shared" ref="L2126:L2134" si="167">I2126*B$2125</f>
        <v>4.9374442005640458E-2</v>
      </c>
      <c r="M2126" s="127" t="s">
        <v>3368</v>
      </c>
    </row>
    <row r="2127" spans="1:13" x14ac:dyDescent="0.2">
      <c r="A2127" s="637"/>
      <c r="B2127" s="1239"/>
      <c r="C2127" s="208"/>
      <c r="D2127" s="208"/>
      <c r="H2127" t="s">
        <v>705</v>
      </c>
      <c r="I2127">
        <v>0.80737999999999999</v>
      </c>
      <c r="J2127" t="s">
        <v>706</v>
      </c>
      <c r="K2127" t="s">
        <v>705</v>
      </c>
      <c r="L2127" s="166">
        <f t="shared" si="167"/>
        <v>11723687.387403425</v>
      </c>
      <c r="M2127" s="127" t="s">
        <v>3370</v>
      </c>
    </row>
    <row r="2128" spans="1:13" x14ac:dyDescent="0.2">
      <c r="A2128" s="637"/>
      <c r="B2128" s="1239"/>
      <c r="C2128" s="208"/>
      <c r="D2128" s="208"/>
      <c r="H2128" t="s">
        <v>3372</v>
      </c>
      <c r="I2128" s="33">
        <v>5.43068E-5</v>
      </c>
      <c r="J2128" t="s">
        <v>3373</v>
      </c>
      <c r="K2128" t="s">
        <v>3372</v>
      </c>
      <c r="L2128" s="166">
        <f t="shared" si="167"/>
        <v>788.57037108949976</v>
      </c>
      <c r="M2128" s="127" t="s">
        <v>3374</v>
      </c>
    </row>
    <row r="2129" spans="1:15" x14ac:dyDescent="0.2">
      <c r="A2129" s="637"/>
      <c r="B2129" s="1239"/>
      <c r="C2129" s="208"/>
      <c r="D2129" s="208"/>
      <c r="H2129" t="s">
        <v>3375</v>
      </c>
      <c r="I2129" s="33">
        <v>1.2999999999999999E-4</v>
      </c>
      <c r="J2129" t="s">
        <v>707</v>
      </c>
      <c r="K2129" t="s">
        <v>3375</v>
      </c>
      <c r="L2129" s="166">
        <f t="shared" si="167"/>
        <v>1887.6853035280105</v>
      </c>
      <c r="M2129" s="127" t="s">
        <v>3376</v>
      </c>
    </row>
    <row r="2130" spans="1:15" x14ac:dyDescent="0.2">
      <c r="A2130" s="637"/>
      <c r="B2130" s="1239"/>
      <c r="C2130" s="208"/>
      <c r="D2130" s="208"/>
      <c r="H2130" t="s">
        <v>708</v>
      </c>
      <c r="I2130" s="33">
        <v>9.0699999999999999E-3</v>
      </c>
      <c r="J2130" t="s">
        <v>709</v>
      </c>
      <c r="K2130" t="s">
        <v>708</v>
      </c>
      <c r="L2130" s="166">
        <f t="shared" si="167"/>
        <v>131702.35156153122</v>
      </c>
      <c r="M2130" s="127" t="s">
        <v>3377</v>
      </c>
    </row>
    <row r="2131" spans="1:15" x14ac:dyDescent="0.2">
      <c r="A2131" s="637"/>
      <c r="B2131" s="1239"/>
      <c r="C2131" s="208"/>
      <c r="D2131" s="208"/>
      <c r="H2131" t="s">
        <v>3378</v>
      </c>
      <c r="I2131" s="33">
        <v>9.5625400000000006E-7</v>
      </c>
      <c r="J2131" t="s">
        <v>704</v>
      </c>
      <c r="K2131" t="s">
        <v>3378</v>
      </c>
      <c r="L2131" s="166">
        <f t="shared" si="167"/>
        <v>13.885435555691343</v>
      </c>
      <c r="M2131" s="127" t="s">
        <v>3368</v>
      </c>
    </row>
    <row r="2132" spans="1:15" x14ac:dyDescent="0.2">
      <c r="A2132" s="637"/>
      <c r="B2132" s="208"/>
      <c r="C2132" s="208"/>
      <c r="D2132" s="208"/>
      <c r="H2132" t="s">
        <v>710</v>
      </c>
      <c r="I2132" s="33">
        <v>2.1944899999999999E-11</v>
      </c>
      <c r="J2132" t="s">
        <v>3379</v>
      </c>
      <c r="K2132" t="s">
        <v>710</v>
      </c>
      <c r="L2132" s="166">
        <f t="shared" si="167"/>
        <v>3.1865434782609109E-4</v>
      </c>
      <c r="M2132" s="127" t="s">
        <v>3380</v>
      </c>
    </row>
    <row r="2133" spans="1:15" x14ac:dyDescent="0.2">
      <c r="A2133" s="637"/>
      <c r="B2133" s="208"/>
      <c r="C2133" s="208"/>
      <c r="D2133" s="208"/>
      <c r="H2133" t="s">
        <v>3381</v>
      </c>
      <c r="I2133" s="33">
        <v>5.1362999999999995E-4</v>
      </c>
      <c r="J2133" t="s">
        <v>3382</v>
      </c>
      <c r="K2133" t="s">
        <v>3381</v>
      </c>
      <c r="L2133" s="166">
        <f t="shared" si="167"/>
        <v>7458.2446342391695</v>
      </c>
      <c r="M2133" s="127" t="s">
        <v>3383</v>
      </c>
    </row>
    <row r="2134" spans="1:15" x14ac:dyDescent="0.2">
      <c r="A2134" s="637"/>
      <c r="B2134" s="208"/>
      <c r="C2134" s="208"/>
      <c r="D2134" s="208"/>
      <c r="H2134" t="s">
        <v>3384</v>
      </c>
      <c r="I2134" s="33">
        <v>5.1000000000000004E-4</v>
      </c>
      <c r="J2134" t="s">
        <v>711</v>
      </c>
      <c r="K2134" t="s">
        <v>3384</v>
      </c>
      <c r="L2134" s="166">
        <f t="shared" si="167"/>
        <v>7405.5346523021963</v>
      </c>
      <c r="M2134" s="127" t="s">
        <v>3385</v>
      </c>
    </row>
    <row r="2135" spans="1:15" x14ac:dyDescent="0.2">
      <c r="A2135" s="414"/>
      <c r="B2135" s="1238"/>
      <c r="C2135" s="1238"/>
      <c r="D2135" s="1238"/>
      <c r="E2135" s="1235"/>
      <c r="F2135" s="118"/>
      <c r="G2135" s="118"/>
      <c r="H2135" s="118"/>
      <c r="I2135" s="118"/>
      <c r="J2135" s="118"/>
      <c r="K2135" s="118"/>
      <c r="L2135" s="833"/>
      <c r="M2135" s="120"/>
    </row>
    <row r="2136" spans="1:15" x14ac:dyDescent="0.2">
      <c r="B2136" s="208"/>
      <c r="C2136" s="208"/>
      <c r="D2136" s="208"/>
    </row>
    <row r="2137" spans="1:15" x14ac:dyDescent="0.2">
      <c r="B2137" s="208"/>
      <c r="C2137" s="208"/>
      <c r="D2137" s="208"/>
    </row>
    <row r="2138" spans="1:15" ht="16" thickBot="1" x14ac:dyDescent="0.25">
      <c r="B2138" s="208"/>
      <c r="C2138" s="208"/>
      <c r="D2138" s="208"/>
    </row>
    <row r="2139" spans="1:15" x14ac:dyDescent="0.2">
      <c r="A2139" s="1942" t="s">
        <v>534</v>
      </c>
      <c r="B2139" s="1943"/>
      <c r="C2139" s="1943"/>
      <c r="D2139" s="1943"/>
      <c r="E2139" s="1943"/>
      <c r="F2139" s="1943"/>
      <c r="G2139" s="1943"/>
      <c r="H2139" s="1943"/>
      <c r="I2139" s="1943"/>
      <c r="J2139" s="1943"/>
      <c r="K2139" s="1943"/>
      <c r="L2139" s="1943"/>
      <c r="M2139" s="1943"/>
      <c r="N2139" s="1943"/>
      <c r="O2139" s="1944"/>
    </row>
    <row r="2140" spans="1:15" ht="16" thickBot="1" x14ac:dyDescent="0.25">
      <c r="A2140" s="1945"/>
      <c r="B2140" s="1946"/>
      <c r="C2140" s="1946"/>
      <c r="D2140" s="1946"/>
      <c r="E2140" s="1946"/>
      <c r="F2140" s="1946"/>
      <c r="G2140" s="1946"/>
      <c r="H2140" s="1946"/>
      <c r="I2140" s="1946"/>
      <c r="J2140" s="1946"/>
      <c r="K2140" s="1946"/>
      <c r="L2140" s="1946"/>
      <c r="M2140" s="1946"/>
      <c r="N2140" s="1946"/>
      <c r="O2140" s="1947"/>
    </row>
    <row r="2141" spans="1:15" s="6" customFormat="1" x14ac:dyDescent="0.2">
      <c r="A2141" s="1920" t="s">
        <v>697</v>
      </c>
      <c r="B2141" s="1515" t="s">
        <v>698</v>
      </c>
      <c r="C2141" s="1515"/>
      <c r="D2141" s="1515"/>
      <c r="E2141" s="1921" t="s">
        <v>3362</v>
      </c>
      <c r="F2141" s="1515" t="s">
        <v>699</v>
      </c>
      <c r="G2141" s="1515"/>
      <c r="H2141" s="1515" t="s">
        <v>3363</v>
      </c>
      <c r="I2141" s="1515"/>
      <c r="J2141" s="1515"/>
      <c r="K2141" s="1515" t="s">
        <v>700</v>
      </c>
      <c r="L2141" s="1515"/>
      <c r="M2141" s="1515"/>
    </row>
    <row r="2142" spans="1:15" s="6" customFormat="1" ht="15.75" customHeight="1" x14ac:dyDescent="0.2">
      <c r="A2142" s="1940"/>
      <c r="B2142" s="1242" t="s">
        <v>515</v>
      </c>
      <c r="C2142" s="972" t="s">
        <v>372</v>
      </c>
      <c r="D2142" s="972" t="s">
        <v>583</v>
      </c>
      <c r="E2142" s="1941"/>
      <c r="F2142" s="972" t="s">
        <v>42</v>
      </c>
      <c r="G2142" s="972" t="s">
        <v>372</v>
      </c>
      <c r="H2142" s="993" t="s">
        <v>697</v>
      </c>
      <c r="I2142" s="972" t="s">
        <v>42</v>
      </c>
      <c r="J2142" s="972" t="s">
        <v>372</v>
      </c>
      <c r="K2142" s="972" t="s">
        <v>697</v>
      </c>
      <c r="L2142" s="1242" t="s">
        <v>42</v>
      </c>
      <c r="M2142" s="972" t="s">
        <v>372</v>
      </c>
    </row>
    <row r="2143" spans="1:15" ht="32" x14ac:dyDescent="0.2">
      <c r="A2143" s="486" t="s">
        <v>799</v>
      </c>
      <c r="B2143" s="220">
        <v>95970</v>
      </c>
      <c r="C2143" s="220" t="s">
        <v>7</v>
      </c>
      <c r="D2143" s="220">
        <v>2</v>
      </c>
      <c r="E2143" s="159" t="s">
        <v>718</v>
      </c>
      <c r="F2143" s="110">
        <v>1</v>
      </c>
      <c r="G2143" s="110" t="s">
        <v>3396</v>
      </c>
      <c r="H2143" s="110"/>
      <c r="I2143" s="110"/>
      <c r="J2143" s="110"/>
      <c r="K2143" s="110"/>
      <c r="L2143" s="845"/>
      <c r="M2143" s="112"/>
    </row>
    <row r="2144" spans="1:15" x14ac:dyDescent="0.2">
      <c r="A2144" s="1217"/>
      <c r="B2144" s="1218">
        <f>B2143/F2144*D2143</f>
        <v>3838.8</v>
      </c>
      <c r="C2144" s="1114" t="s">
        <v>3396</v>
      </c>
      <c r="D2144" s="6" t="s">
        <v>577</v>
      </c>
      <c r="E2144" s="83"/>
      <c r="F2144">
        <v>50</v>
      </c>
      <c r="G2144" t="s">
        <v>3397</v>
      </c>
      <c r="H2144" t="s">
        <v>701</v>
      </c>
      <c r="I2144">
        <v>0.82547999999999999</v>
      </c>
      <c r="J2144" t="s">
        <v>702</v>
      </c>
      <c r="K2144" t="s">
        <v>701</v>
      </c>
      <c r="L2144" s="166">
        <f>I2144*B$2144</f>
        <v>3168.8526240000001</v>
      </c>
      <c r="M2144" s="127" t="s">
        <v>3367</v>
      </c>
    </row>
    <row r="2145" spans="1:13" x14ac:dyDescent="0.2">
      <c r="A2145" s="1217"/>
      <c r="B2145" s="166"/>
      <c r="E2145" s="83"/>
      <c r="H2145" t="s">
        <v>703</v>
      </c>
      <c r="I2145" s="33">
        <v>1.3020000000000001E-5</v>
      </c>
      <c r="J2145" t="s">
        <v>704</v>
      </c>
      <c r="K2145" t="s">
        <v>703</v>
      </c>
      <c r="L2145" s="166">
        <f t="shared" ref="L2145:L2153" si="168">I2145*B$2144</f>
        <v>4.9981176000000002E-2</v>
      </c>
      <c r="M2145" s="127" t="s">
        <v>3368</v>
      </c>
    </row>
    <row r="2146" spans="1:13" x14ac:dyDescent="0.2">
      <c r="A2146" s="1217"/>
      <c r="B2146" s="166"/>
      <c r="E2146" s="83"/>
      <c r="H2146" t="s">
        <v>705</v>
      </c>
      <c r="I2146">
        <v>3440.7478099999998</v>
      </c>
      <c r="J2146" t="s">
        <v>706</v>
      </c>
      <c r="K2146" t="s">
        <v>705</v>
      </c>
      <c r="L2146" s="166">
        <f t="shared" si="168"/>
        <v>13208342.693027999</v>
      </c>
      <c r="M2146" s="127" t="s">
        <v>3370</v>
      </c>
    </row>
    <row r="2147" spans="1:13" x14ac:dyDescent="0.2">
      <c r="A2147" s="1217"/>
      <c r="B2147" s="166"/>
      <c r="E2147" s="83"/>
      <c r="H2147" t="s">
        <v>3372</v>
      </c>
      <c r="I2147">
        <v>4.9140000000000003E-2</v>
      </c>
      <c r="J2147" t="s">
        <v>3373</v>
      </c>
      <c r="K2147" t="s">
        <v>3372</v>
      </c>
      <c r="L2147" s="166">
        <f t="shared" si="168"/>
        <v>188.63863200000003</v>
      </c>
      <c r="M2147" s="127" t="s">
        <v>3374</v>
      </c>
    </row>
    <row r="2148" spans="1:13" x14ac:dyDescent="0.2">
      <c r="A2148" s="1217"/>
      <c r="B2148" s="166"/>
      <c r="E2148" s="83"/>
      <c r="H2148" t="s">
        <v>3375</v>
      </c>
      <c r="I2148">
        <v>0.37484000000000001</v>
      </c>
      <c r="J2148" t="s">
        <v>707</v>
      </c>
      <c r="K2148" t="s">
        <v>3375</v>
      </c>
      <c r="L2148" s="166">
        <f t="shared" si="168"/>
        <v>1438.935792</v>
      </c>
      <c r="M2148" s="127" t="s">
        <v>3376</v>
      </c>
    </row>
    <row r="2149" spans="1:13" x14ac:dyDescent="0.2">
      <c r="A2149" s="1217"/>
      <c r="B2149" s="166"/>
      <c r="E2149" s="83"/>
      <c r="H2149" t="s">
        <v>708</v>
      </c>
      <c r="I2149">
        <v>234.66023000000001</v>
      </c>
      <c r="J2149" t="s">
        <v>709</v>
      </c>
      <c r="K2149" t="s">
        <v>708</v>
      </c>
      <c r="L2149" s="166">
        <f t="shared" si="168"/>
        <v>900813.69092400011</v>
      </c>
      <c r="M2149" s="127" t="s">
        <v>3377</v>
      </c>
    </row>
    <row r="2150" spans="1:13" x14ac:dyDescent="0.2">
      <c r="A2150" s="1217"/>
      <c r="B2150" s="166"/>
      <c r="E2150" s="83"/>
      <c r="H2150" t="s">
        <v>3378</v>
      </c>
      <c r="I2150" s="33">
        <v>5.7967699999999997E-5</v>
      </c>
      <c r="J2150" t="s">
        <v>704</v>
      </c>
      <c r="K2150" t="s">
        <v>3378</v>
      </c>
      <c r="L2150" s="166">
        <f t="shared" si="168"/>
        <v>0.22252640675999999</v>
      </c>
      <c r="M2150" s="127" t="s">
        <v>3368</v>
      </c>
    </row>
    <row r="2151" spans="1:13" x14ac:dyDescent="0.2">
      <c r="A2151" s="1217"/>
      <c r="B2151" s="166"/>
      <c r="E2151" s="83"/>
      <c r="H2151" t="s">
        <v>710</v>
      </c>
      <c r="I2151" s="33">
        <v>2.5430099999999999E-6</v>
      </c>
      <c r="J2151" t="s">
        <v>3379</v>
      </c>
      <c r="K2151" t="s">
        <v>710</v>
      </c>
      <c r="L2151" s="166">
        <f t="shared" si="168"/>
        <v>9.7621067879999999E-3</v>
      </c>
      <c r="M2151" s="127" t="s">
        <v>3380</v>
      </c>
    </row>
    <row r="2152" spans="1:13" x14ac:dyDescent="0.2">
      <c r="A2152" s="1217"/>
      <c r="B2152" s="166"/>
      <c r="E2152" s="83"/>
      <c r="H2152" t="s">
        <v>3381</v>
      </c>
      <c r="I2152">
        <v>0.17479</v>
      </c>
      <c r="J2152" t="s">
        <v>3382</v>
      </c>
      <c r="K2152" t="s">
        <v>3381</v>
      </c>
      <c r="L2152" s="166">
        <f t="shared" si="168"/>
        <v>670.98385200000007</v>
      </c>
      <c r="M2152" s="127" t="s">
        <v>3383</v>
      </c>
    </row>
    <row r="2153" spans="1:13" x14ac:dyDescent="0.2">
      <c r="A2153" s="1217"/>
      <c r="B2153" s="166"/>
      <c r="E2153" s="83"/>
      <c r="H2153" t="s">
        <v>3384</v>
      </c>
      <c r="I2153">
        <v>8.8856599999999997</v>
      </c>
      <c r="J2153" t="s">
        <v>711</v>
      </c>
      <c r="K2153" t="s">
        <v>3384</v>
      </c>
      <c r="L2153" s="166">
        <f t="shared" si="168"/>
        <v>34110.271608000003</v>
      </c>
      <c r="M2153" s="127" t="s">
        <v>3385</v>
      </c>
    </row>
    <row r="2154" spans="1:13" x14ac:dyDescent="0.2">
      <c r="A2154" s="1219"/>
      <c r="B2154" s="833"/>
      <c r="C2154" s="1102"/>
      <c r="D2154" s="118"/>
      <c r="E2154" s="1220"/>
      <c r="F2154" s="118"/>
      <c r="G2154" s="118"/>
      <c r="H2154" s="118"/>
      <c r="I2154" s="118"/>
      <c r="J2154" s="118"/>
      <c r="K2154" s="118"/>
      <c r="L2154" s="833"/>
      <c r="M2154" s="120"/>
    </row>
    <row r="2155" spans="1:13" ht="32" x14ac:dyDescent="0.2">
      <c r="A2155" s="486" t="s">
        <v>800</v>
      </c>
      <c r="B2155" s="220">
        <v>95970</v>
      </c>
      <c r="C2155" s="220" t="s">
        <v>7</v>
      </c>
      <c r="D2155" s="220">
        <v>2</v>
      </c>
      <c r="E2155" s="159" t="s">
        <v>718</v>
      </c>
      <c r="F2155" s="110">
        <v>1</v>
      </c>
      <c r="G2155" s="110" t="s">
        <v>3396</v>
      </c>
      <c r="H2155" s="110"/>
      <c r="I2155" s="110"/>
      <c r="J2155" s="110"/>
      <c r="K2155" s="110"/>
      <c r="L2155" s="845"/>
      <c r="M2155" s="112"/>
    </row>
    <row r="2156" spans="1:13" x14ac:dyDescent="0.2">
      <c r="A2156" s="1217"/>
      <c r="B2156" s="1218">
        <f>B2155/F2156*D2155</f>
        <v>3838.8</v>
      </c>
      <c r="C2156" s="1114" t="s">
        <v>3396</v>
      </c>
      <c r="D2156" s="6" t="s">
        <v>577</v>
      </c>
      <c r="E2156" s="83"/>
      <c r="F2156">
        <v>50</v>
      </c>
      <c r="G2156" t="s">
        <v>3397</v>
      </c>
      <c r="H2156" t="s">
        <v>701</v>
      </c>
      <c r="I2156">
        <v>0.82547999999999999</v>
      </c>
      <c r="J2156" t="s">
        <v>702</v>
      </c>
      <c r="K2156" t="s">
        <v>701</v>
      </c>
      <c r="L2156" s="166">
        <f>I2156*B$2156</f>
        <v>3168.8526240000001</v>
      </c>
      <c r="M2156" s="127" t="s">
        <v>3367</v>
      </c>
    </row>
    <row r="2157" spans="1:13" x14ac:dyDescent="0.2">
      <c r="A2157" s="1217"/>
      <c r="B2157" s="166"/>
      <c r="E2157" s="83"/>
      <c r="H2157" t="s">
        <v>703</v>
      </c>
      <c r="I2157" s="33">
        <v>1.3020000000000001E-5</v>
      </c>
      <c r="J2157" t="s">
        <v>704</v>
      </c>
      <c r="K2157" t="s">
        <v>703</v>
      </c>
      <c r="L2157" s="166">
        <f t="shared" ref="L2157:L2165" si="169">I2157*B$2156</f>
        <v>4.9981176000000002E-2</v>
      </c>
      <c r="M2157" s="127" t="s">
        <v>3368</v>
      </c>
    </row>
    <row r="2158" spans="1:13" x14ac:dyDescent="0.2">
      <c r="A2158" s="1217"/>
      <c r="B2158" s="166"/>
      <c r="E2158" s="83"/>
      <c r="H2158" t="s">
        <v>705</v>
      </c>
      <c r="I2158">
        <v>3440.7478099999998</v>
      </c>
      <c r="J2158" t="s">
        <v>706</v>
      </c>
      <c r="K2158" t="s">
        <v>705</v>
      </c>
      <c r="L2158" s="166">
        <f t="shared" si="169"/>
        <v>13208342.693027999</v>
      </c>
      <c r="M2158" s="127" t="s">
        <v>3370</v>
      </c>
    </row>
    <row r="2159" spans="1:13" x14ac:dyDescent="0.2">
      <c r="A2159" s="1217"/>
      <c r="B2159" s="166"/>
      <c r="E2159" s="83"/>
      <c r="H2159" t="s">
        <v>3372</v>
      </c>
      <c r="I2159">
        <v>4.9140000000000003E-2</v>
      </c>
      <c r="J2159" t="s">
        <v>3373</v>
      </c>
      <c r="K2159" t="s">
        <v>3372</v>
      </c>
      <c r="L2159" s="166">
        <f t="shared" si="169"/>
        <v>188.63863200000003</v>
      </c>
      <c r="M2159" s="127" t="s">
        <v>3374</v>
      </c>
    </row>
    <row r="2160" spans="1:13" x14ac:dyDescent="0.2">
      <c r="A2160" s="1217"/>
      <c r="B2160" s="166"/>
      <c r="E2160" s="83"/>
      <c r="H2160" t="s">
        <v>3375</v>
      </c>
      <c r="I2160">
        <v>0.37484000000000001</v>
      </c>
      <c r="J2160" t="s">
        <v>707</v>
      </c>
      <c r="K2160" t="s">
        <v>3375</v>
      </c>
      <c r="L2160" s="166">
        <f t="shared" si="169"/>
        <v>1438.935792</v>
      </c>
      <c r="M2160" s="127" t="s">
        <v>3376</v>
      </c>
    </row>
    <row r="2161" spans="1:13" x14ac:dyDescent="0.2">
      <c r="A2161" s="1217"/>
      <c r="B2161" s="166"/>
      <c r="E2161" s="83"/>
      <c r="H2161" t="s">
        <v>708</v>
      </c>
      <c r="I2161">
        <v>234.66023000000001</v>
      </c>
      <c r="J2161" t="s">
        <v>709</v>
      </c>
      <c r="K2161" t="s">
        <v>708</v>
      </c>
      <c r="L2161" s="166">
        <f t="shared" si="169"/>
        <v>900813.69092400011</v>
      </c>
      <c r="M2161" s="127" t="s">
        <v>3377</v>
      </c>
    </row>
    <row r="2162" spans="1:13" x14ac:dyDescent="0.2">
      <c r="A2162" s="1217"/>
      <c r="B2162" s="166"/>
      <c r="E2162" s="83"/>
      <c r="H2162" t="s">
        <v>3378</v>
      </c>
      <c r="I2162" s="33">
        <v>5.7967699999999997E-5</v>
      </c>
      <c r="J2162" t="s">
        <v>704</v>
      </c>
      <c r="K2162" t="s">
        <v>3378</v>
      </c>
      <c r="L2162" s="166">
        <f t="shared" si="169"/>
        <v>0.22252640675999999</v>
      </c>
      <c r="M2162" s="127" t="s">
        <v>3368</v>
      </c>
    </row>
    <row r="2163" spans="1:13" x14ac:dyDescent="0.2">
      <c r="A2163" s="1217"/>
      <c r="B2163" s="166"/>
      <c r="E2163" s="83"/>
      <c r="H2163" t="s">
        <v>710</v>
      </c>
      <c r="I2163" s="33">
        <v>2.5430099999999999E-6</v>
      </c>
      <c r="J2163" t="s">
        <v>3379</v>
      </c>
      <c r="K2163" t="s">
        <v>710</v>
      </c>
      <c r="L2163" s="166">
        <f t="shared" si="169"/>
        <v>9.7621067879999999E-3</v>
      </c>
      <c r="M2163" s="127" t="s">
        <v>3380</v>
      </c>
    </row>
    <row r="2164" spans="1:13" x14ac:dyDescent="0.2">
      <c r="A2164" s="1217"/>
      <c r="B2164" s="166"/>
      <c r="E2164" s="83"/>
      <c r="H2164" t="s">
        <v>3381</v>
      </c>
      <c r="I2164">
        <v>0.17479</v>
      </c>
      <c r="J2164" t="s">
        <v>3382</v>
      </c>
      <c r="K2164" t="s">
        <v>3381</v>
      </c>
      <c r="L2164" s="166">
        <f t="shared" si="169"/>
        <v>670.98385200000007</v>
      </c>
      <c r="M2164" s="127" t="s">
        <v>3383</v>
      </c>
    </row>
    <row r="2165" spans="1:13" x14ac:dyDescent="0.2">
      <c r="A2165" s="1217"/>
      <c r="B2165" s="166"/>
      <c r="E2165" s="83"/>
      <c r="H2165" t="s">
        <v>3384</v>
      </c>
      <c r="I2165">
        <v>8.8856599999999997</v>
      </c>
      <c r="J2165" t="s">
        <v>711</v>
      </c>
      <c r="K2165" t="s">
        <v>3384</v>
      </c>
      <c r="L2165" s="166">
        <f t="shared" si="169"/>
        <v>34110.271608000003</v>
      </c>
      <c r="M2165" s="127" t="s">
        <v>3385</v>
      </c>
    </row>
    <row r="2166" spans="1:13" x14ac:dyDescent="0.2">
      <c r="A2166" s="1219"/>
      <c r="B2166" s="833"/>
      <c r="C2166" s="1102"/>
      <c r="D2166" s="118"/>
      <c r="E2166" s="1220"/>
      <c r="F2166" s="118"/>
      <c r="G2166" s="118"/>
      <c r="H2166" s="118"/>
      <c r="I2166" s="118"/>
      <c r="J2166" s="118"/>
      <c r="K2166" s="118"/>
      <c r="L2166" s="833"/>
      <c r="M2166" s="120"/>
    </row>
    <row r="2167" spans="1:13" ht="32" x14ac:dyDescent="0.2">
      <c r="A2167" s="486" t="s">
        <v>802</v>
      </c>
      <c r="B2167" s="220">
        <v>95970</v>
      </c>
      <c r="C2167" s="220" t="s">
        <v>7</v>
      </c>
      <c r="D2167" s="220">
        <v>2</v>
      </c>
      <c r="E2167" s="159" t="s">
        <v>718</v>
      </c>
      <c r="F2167" s="110">
        <v>1</v>
      </c>
      <c r="G2167" s="110" t="s">
        <v>3396</v>
      </c>
      <c r="H2167" s="110"/>
      <c r="I2167" s="110"/>
      <c r="J2167" s="110"/>
      <c r="K2167" s="110"/>
      <c r="L2167" s="845"/>
      <c r="M2167" s="112"/>
    </row>
    <row r="2168" spans="1:13" x14ac:dyDescent="0.2">
      <c r="A2168" s="1217"/>
      <c r="B2168" s="1218">
        <f>B2167/F2168*D2167</f>
        <v>3838.8</v>
      </c>
      <c r="C2168" s="1114" t="s">
        <v>3396</v>
      </c>
      <c r="D2168" s="6" t="s">
        <v>577</v>
      </c>
      <c r="E2168" s="83"/>
      <c r="F2168">
        <v>50</v>
      </c>
      <c r="G2168" t="s">
        <v>3397</v>
      </c>
      <c r="H2168" t="s">
        <v>701</v>
      </c>
      <c r="I2168">
        <v>0.82547999999999999</v>
      </c>
      <c r="J2168" t="s">
        <v>702</v>
      </c>
      <c r="K2168" t="s">
        <v>701</v>
      </c>
      <c r="L2168" s="166">
        <f>I2168*B$2168</f>
        <v>3168.8526240000001</v>
      </c>
      <c r="M2168" s="127" t="s">
        <v>3367</v>
      </c>
    </row>
    <row r="2169" spans="1:13" x14ac:dyDescent="0.2">
      <c r="A2169" s="1217"/>
      <c r="B2169" s="166"/>
      <c r="E2169" s="83"/>
      <c r="H2169" t="s">
        <v>703</v>
      </c>
      <c r="I2169" s="33">
        <v>1.3020000000000001E-5</v>
      </c>
      <c r="J2169" t="s">
        <v>704</v>
      </c>
      <c r="K2169" t="s">
        <v>703</v>
      </c>
      <c r="L2169" s="166">
        <f t="shared" ref="L2169:L2177" si="170">I2169*B$2168</f>
        <v>4.9981176000000002E-2</v>
      </c>
      <c r="M2169" s="127" t="s">
        <v>3368</v>
      </c>
    </row>
    <row r="2170" spans="1:13" x14ac:dyDescent="0.2">
      <c r="A2170" s="1217"/>
      <c r="B2170" s="166"/>
      <c r="E2170" s="83"/>
      <c r="H2170" t="s">
        <v>705</v>
      </c>
      <c r="I2170">
        <v>3440.7478099999998</v>
      </c>
      <c r="J2170" t="s">
        <v>706</v>
      </c>
      <c r="K2170" t="s">
        <v>705</v>
      </c>
      <c r="L2170" s="166">
        <f t="shared" si="170"/>
        <v>13208342.693027999</v>
      </c>
      <c r="M2170" s="127" t="s">
        <v>3370</v>
      </c>
    </row>
    <row r="2171" spans="1:13" x14ac:dyDescent="0.2">
      <c r="A2171" s="1217"/>
      <c r="B2171" s="166"/>
      <c r="E2171" s="83"/>
      <c r="H2171" t="s">
        <v>3372</v>
      </c>
      <c r="I2171">
        <v>4.9140000000000003E-2</v>
      </c>
      <c r="J2171" t="s">
        <v>3373</v>
      </c>
      <c r="K2171" t="s">
        <v>3372</v>
      </c>
      <c r="L2171" s="166">
        <f t="shared" si="170"/>
        <v>188.63863200000003</v>
      </c>
      <c r="M2171" s="127" t="s">
        <v>3374</v>
      </c>
    </row>
    <row r="2172" spans="1:13" x14ac:dyDescent="0.2">
      <c r="A2172" s="1217"/>
      <c r="B2172" s="166"/>
      <c r="E2172" s="83"/>
      <c r="H2172" t="s">
        <v>3375</v>
      </c>
      <c r="I2172">
        <v>0.37484000000000001</v>
      </c>
      <c r="J2172" t="s">
        <v>707</v>
      </c>
      <c r="K2172" t="s">
        <v>3375</v>
      </c>
      <c r="L2172" s="166">
        <f t="shared" si="170"/>
        <v>1438.935792</v>
      </c>
      <c r="M2172" s="127" t="s">
        <v>3376</v>
      </c>
    </row>
    <row r="2173" spans="1:13" x14ac:dyDescent="0.2">
      <c r="A2173" s="1217"/>
      <c r="B2173" s="166"/>
      <c r="E2173" s="83"/>
      <c r="H2173" t="s">
        <v>708</v>
      </c>
      <c r="I2173">
        <v>234.66023000000001</v>
      </c>
      <c r="J2173" t="s">
        <v>709</v>
      </c>
      <c r="K2173" t="s">
        <v>708</v>
      </c>
      <c r="L2173" s="166">
        <f t="shared" si="170"/>
        <v>900813.69092400011</v>
      </c>
      <c r="M2173" s="127" t="s">
        <v>3377</v>
      </c>
    </row>
    <row r="2174" spans="1:13" x14ac:dyDescent="0.2">
      <c r="A2174" s="1217"/>
      <c r="B2174" s="166"/>
      <c r="E2174" s="83"/>
      <c r="H2174" t="s">
        <v>3378</v>
      </c>
      <c r="I2174" s="33">
        <v>5.7967699999999997E-5</v>
      </c>
      <c r="J2174" t="s">
        <v>704</v>
      </c>
      <c r="K2174" t="s">
        <v>3378</v>
      </c>
      <c r="L2174" s="166">
        <f t="shared" si="170"/>
        <v>0.22252640675999999</v>
      </c>
      <c r="M2174" s="127" t="s">
        <v>3368</v>
      </c>
    </row>
    <row r="2175" spans="1:13" x14ac:dyDescent="0.2">
      <c r="A2175" s="1217"/>
      <c r="B2175" s="166"/>
      <c r="E2175" s="83"/>
      <c r="H2175" t="s">
        <v>710</v>
      </c>
      <c r="I2175" s="33">
        <v>2.5430099999999999E-6</v>
      </c>
      <c r="J2175" t="s">
        <v>3379</v>
      </c>
      <c r="K2175" t="s">
        <v>710</v>
      </c>
      <c r="L2175" s="166">
        <f t="shared" si="170"/>
        <v>9.7621067879999999E-3</v>
      </c>
      <c r="M2175" s="127" t="s">
        <v>3380</v>
      </c>
    </row>
    <row r="2176" spans="1:13" x14ac:dyDescent="0.2">
      <c r="A2176" s="1217"/>
      <c r="B2176" s="166"/>
      <c r="E2176" s="83"/>
      <c r="H2176" t="s">
        <v>3381</v>
      </c>
      <c r="I2176">
        <v>0.17479</v>
      </c>
      <c r="J2176" t="s">
        <v>3382</v>
      </c>
      <c r="K2176" t="s">
        <v>3381</v>
      </c>
      <c r="L2176" s="166">
        <f t="shared" si="170"/>
        <v>670.98385200000007</v>
      </c>
      <c r="M2176" s="127" t="s">
        <v>3383</v>
      </c>
    </row>
    <row r="2177" spans="1:13" x14ac:dyDescent="0.2">
      <c r="A2177" s="1217"/>
      <c r="B2177" s="166"/>
      <c r="E2177" s="83"/>
      <c r="H2177" t="s">
        <v>3384</v>
      </c>
      <c r="I2177">
        <v>8.8856599999999997</v>
      </c>
      <c r="J2177" t="s">
        <v>711</v>
      </c>
      <c r="K2177" t="s">
        <v>3384</v>
      </c>
      <c r="L2177" s="166">
        <f t="shared" si="170"/>
        <v>34110.271608000003</v>
      </c>
      <c r="M2177" s="127" t="s">
        <v>3385</v>
      </c>
    </row>
    <row r="2178" spans="1:13" x14ac:dyDescent="0.2">
      <c r="A2178" s="1219"/>
      <c r="B2178" s="833"/>
      <c r="C2178" s="1102"/>
      <c r="D2178" s="118"/>
      <c r="E2178" s="1220"/>
      <c r="F2178" s="118"/>
      <c r="G2178" s="118"/>
      <c r="H2178" s="118"/>
      <c r="I2178" s="118"/>
      <c r="J2178" s="118"/>
      <c r="K2178" s="118"/>
      <c r="L2178" s="833"/>
      <c r="M2178" s="120"/>
    </row>
    <row r="2179" spans="1:13" ht="16" x14ac:dyDescent="0.2">
      <c r="A2179" s="486" t="s">
        <v>812</v>
      </c>
      <c r="B2179" s="220">
        <v>976.77805519271158</v>
      </c>
      <c r="C2179" s="220" t="s">
        <v>14</v>
      </c>
      <c r="D2179" s="220">
        <v>2</v>
      </c>
      <c r="E2179" s="159" t="s">
        <v>3399</v>
      </c>
      <c r="F2179" s="110">
        <v>1</v>
      </c>
      <c r="G2179" s="110" t="s">
        <v>15</v>
      </c>
      <c r="H2179" s="110"/>
      <c r="I2179" s="110"/>
      <c r="J2179" s="110"/>
      <c r="K2179" s="110"/>
      <c r="L2179" s="845"/>
      <c r="M2179" s="112"/>
    </row>
    <row r="2180" spans="1:13" x14ac:dyDescent="0.2">
      <c r="A2180" s="1217"/>
      <c r="B2180" s="166">
        <f>B2179*1000</f>
        <v>976778.05519271153</v>
      </c>
      <c r="C2180" s="133" t="s">
        <v>15</v>
      </c>
      <c r="E2180" s="83"/>
      <c r="H2180" t="s">
        <v>701</v>
      </c>
      <c r="I2180">
        <v>8.2000000000000007E-3</v>
      </c>
      <c r="J2180" t="s">
        <v>702</v>
      </c>
      <c r="K2180" t="s">
        <v>701</v>
      </c>
      <c r="L2180" s="166">
        <f>I2180*B$2181</f>
        <v>16019.16010516047</v>
      </c>
      <c r="M2180" s="127" t="s">
        <v>3367</v>
      </c>
    </row>
    <row r="2181" spans="1:13" x14ac:dyDescent="0.2">
      <c r="A2181" s="1217"/>
      <c r="B2181" s="1218">
        <f>B2180*D2179</f>
        <v>1953556.1103854231</v>
      </c>
      <c r="C2181" s="133" t="s">
        <v>15</v>
      </c>
      <c r="D2181" s="1114" t="s">
        <v>577</v>
      </c>
      <c r="E2181" s="83"/>
      <c r="H2181" t="s">
        <v>703</v>
      </c>
      <c r="I2181" s="33">
        <v>1.03715E-7</v>
      </c>
      <c r="J2181" t="s">
        <v>704</v>
      </c>
      <c r="K2181" t="s">
        <v>703</v>
      </c>
      <c r="L2181" s="166">
        <f t="shared" ref="L2181:L2189" si="171">I2181*B$2181</f>
        <v>0.20261307198862416</v>
      </c>
      <c r="M2181" s="127" t="s">
        <v>3368</v>
      </c>
    </row>
    <row r="2182" spans="1:13" x14ac:dyDescent="0.2">
      <c r="A2182" s="1217"/>
      <c r="B2182" s="166"/>
      <c r="E2182" s="83"/>
      <c r="H2182" t="s">
        <v>705</v>
      </c>
      <c r="I2182">
        <v>14.472849999999999</v>
      </c>
      <c r="J2182" t="s">
        <v>706</v>
      </c>
      <c r="K2182" t="s">
        <v>705</v>
      </c>
      <c r="L2182" s="166">
        <f t="shared" si="171"/>
        <v>28273524.552191667</v>
      </c>
      <c r="M2182" s="127" t="s">
        <v>3370</v>
      </c>
    </row>
    <row r="2183" spans="1:13" x14ac:dyDescent="0.2">
      <c r="A2183" s="1217"/>
      <c r="B2183" s="166"/>
      <c r="E2183" s="83"/>
      <c r="H2183" t="s">
        <v>3372</v>
      </c>
      <c r="I2183">
        <v>1.1E-4</v>
      </c>
      <c r="J2183" t="s">
        <v>3373</v>
      </c>
      <c r="K2183" t="s">
        <v>3372</v>
      </c>
      <c r="L2183" s="166">
        <f t="shared" si="171"/>
        <v>214.89117214239656</v>
      </c>
      <c r="M2183" s="127" t="s">
        <v>3374</v>
      </c>
    </row>
    <row r="2184" spans="1:13" x14ac:dyDescent="0.2">
      <c r="A2184" s="1217"/>
      <c r="B2184" s="166"/>
      <c r="E2184" s="83"/>
      <c r="H2184" t="s">
        <v>3375</v>
      </c>
      <c r="I2184">
        <v>4.0000000000000001E-3</v>
      </c>
      <c r="J2184" t="s">
        <v>707</v>
      </c>
      <c r="K2184" t="s">
        <v>3375</v>
      </c>
      <c r="L2184" s="166">
        <f t="shared" si="171"/>
        <v>7814.2244415416926</v>
      </c>
      <c r="M2184" s="127" t="s">
        <v>3376</v>
      </c>
    </row>
    <row r="2185" spans="1:13" x14ac:dyDescent="0.2">
      <c r="A2185" s="1217"/>
      <c r="B2185" s="166"/>
      <c r="E2185" s="83"/>
      <c r="H2185" t="s">
        <v>708</v>
      </c>
      <c r="I2185">
        <v>2.29596</v>
      </c>
      <c r="J2185" t="s">
        <v>709</v>
      </c>
      <c r="K2185" t="s">
        <v>708</v>
      </c>
      <c r="L2185" s="166">
        <f t="shared" si="171"/>
        <v>4485286.6872005155</v>
      </c>
      <c r="M2185" s="127" t="s">
        <v>3377</v>
      </c>
    </row>
    <row r="2186" spans="1:13" x14ac:dyDescent="0.2">
      <c r="A2186" s="1217"/>
      <c r="B2186" s="166"/>
      <c r="E2186" s="83"/>
      <c r="H2186" t="s">
        <v>3378</v>
      </c>
      <c r="I2186" s="33">
        <v>2.0654900000000001E-7</v>
      </c>
      <c r="J2186" t="s">
        <v>704</v>
      </c>
      <c r="K2186" t="s">
        <v>3378</v>
      </c>
      <c r="L2186" s="166">
        <f t="shared" si="171"/>
        <v>0.40350506104399875</v>
      </c>
      <c r="M2186" s="127" t="s">
        <v>3368</v>
      </c>
    </row>
    <row r="2187" spans="1:13" x14ac:dyDescent="0.2">
      <c r="A2187" s="1217"/>
      <c r="B2187" s="166"/>
      <c r="E2187" s="83"/>
      <c r="H2187" t="s">
        <v>710</v>
      </c>
      <c r="I2187" s="33">
        <v>9.36496E-8</v>
      </c>
      <c r="J2187" t="s">
        <v>3379</v>
      </c>
      <c r="K2187" t="s">
        <v>710</v>
      </c>
      <c r="L2187" s="166">
        <f t="shared" si="171"/>
        <v>0.18294974831515071</v>
      </c>
      <c r="M2187" s="127" t="s">
        <v>3380</v>
      </c>
    </row>
    <row r="2188" spans="1:13" x14ac:dyDescent="0.2">
      <c r="A2188" s="1217"/>
      <c r="B2188" s="166"/>
      <c r="E2188" s="83"/>
      <c r="H2188" t="s">
        <v>3381</v>
      </c>
      <c r="I2188">
        <v>1.6999999999999999E-3</v>
      </c>
      <c r="J2188" t="s">
        <v>3382</v>
      </c>
      <c r="K2188" t="s">
        <v>3381</v>
      </c>
      <c r="L2188" s="166">
        <f t="shared" si="171"/>
        <v>3321.0453876552192</v>
      </c>
      <c r="M2188" s="127" t="s">
        <v>3383</v>
      </c>
    </row>
    <row r="2189" spans="1:13" x14ac:dyDescent="0.2">
      <c r="A2189" s="1217"/>
      <c r="B2189" s="166"/>
      <c r="E2189" s="83"/>
      <c r="H2189" t="s">
        <v>3384</v>
      </c>
      <c r="I2189">
        <v>9.5829999999999999E-2</v>
      </c>
      <c r="J2189" t="s">
        <v>711</v>
      </c>
      <c r="K2189" t="s">
        <v>3384</v>
      </c>
      <c r="L2189" s="166">
        <f t="shared" si="171"/>
        <v>187209.28205823508</v>
      </c>
      <c r="M2189" s="127" t="s">
        <v>3385</v>
      </c>
    </row>
    <row r="2190" spans="1:13" x14ac:dyDescent="0.2">
      <c r="A2190" s="1219"/>
      <c r="B2190" s="833"/>
      <c r="C2190" s="1102"/>
      <c r="D2190" s="118"/>
      <c r="E2190" s="1220"/>
      <c r="F2190" s="118"/>
      <c r="G2190" s="118"/>
      <c r="H2190" s="118"/>
      <c r="I2190" s="118"/>
      <c r="J2190" s="118"/>
      <c r="K2190" s="118"/>
      <c r="L2190" s="833"/>
      <c r="M2190" s="120"/>
    </row>
    <row r="2191" spans="1:13" ht="16" x14ac:dyDescent="0.2">
      <c r="A2191" s="486" t="s">
        <v>834</v>
      </c>
      <c r="B2191" s="220">
        <v>155.05388293135326</v>
      </c>
      <c r="C2191" s="220" t="s">
        <v>1</v>
      </c>
      <c r="D2191" s="220">
        <v>2</v>
      </c>
      <c r="E2191" s="159" t="s">
        <v>3400</v>
      </c>
      <c r="F2191" s="110">
        <v>1</v>
      </c>
      <c r="G2191" s="110" t="s">
        <v>1</v>
      </c>
      <c r="H2191" s="110"/>
      <c r="I2191" s="110"/>
      <c r="J2191" s="110"/>
      <c r="K2191" s="110"/>
      <c r="L2191" s="845"/>
      <c r="M2191" s="112"/>
    </row>
    <row r="2192" spans="1:13" x14ac:dyDescent="0.2">
      <c r="A2192" s="1217"/>
      <c r="B2192" s="1218">
        <f>B2191*D2191</f>
        <v>310.10776586270651</v>
      </c>
      <c r="C2192" s="1114" t="s">
        <v>1</v>
      </c>
      <c r="D2192" s="6" t="s">
        <v>2279</v>
      </c>
      <c r="E2192" s="83"/>
      <c r="H2192" t="s">
        <v>701</v>
      </c>
      <c r="I2192">
        <v>7.5000000000000002E-4</v>
      </c>
      <c r="J2192" t="s">
        <v>702</v>
      </c>
      <c r="K2192" t="s">
        <v>701</v>
      </c>
      <c r="L2192" s="166">
        <f>I2192*B$2192</f>
        <v>0.2325808243970299</v>
      </c>
      <c r="M2192" s="127" t="s">
        <v>3367</v>
      </c>
    </row>
    <row r="2193" spans="1:13" x14ac:dyDescent="0.2">
      <c r="A2193" s="1217"/>
      <c r="B2193" s="166"/>
      <c r="E2193" s="83"/>
      <c r="H2193" t="s">
        <v>703</v>
      </c>
      <c r="I2193" s="33">
        <v>3.3111200000000002E-8</v>
      </c>
      <c r="J2193" t="s">
        <v>704</v>
      </c>
      <c r="K2193" t="s">
        <v>703</v>
      </c>
      <c r="L2193" s="166">
        <f t="shared" ref="L2193:L2201" si="172">I2193*B$2192</f>
        <v>1.0268040257033249E-5</v>
      </c>
      <c r="M2193" s="127" t="s">
        <v>3368</v>
      </c>
    </row>
    <row r="2194" spans="1:13" x14ac:dyDescent="0.2">
      <c r="A2194" s="1217"/>
      <c r="B2194" s="166"/>
      <c r="E2194" s="83"/>
      <c r="H2194" t="s">
        <v>705</v>
      </c>
      <c r="I2194">
        <v>4.1968100000000002</v>
      </c>
      <c r="J2194" t="s">
        <v>706</v>
      </c>
      <c r="K2194" t="s">
        <v>705</v>
      </c>
      <c r="L2194" s="166">
        <f t="shared" si="172"/>
        <v>1301.4633728502654</v>
      </c>
      <c r="M2194" s="127" t="s">
        <v>3370</v>
      </c>
    </row>
    <row r="2195" spans="1:13" x14ac:dyDescent="0.2">
      <c r="A2195" s="1217"/>
      <c r="B2195" s="166"/>
      <c r="E2195" s="83"/>
      <c r="H2195" t="s">
        <v>3372</v>
      </c>
      <c r="I2195">
        <v>3.2000000000000003E-4</v>
      </c>
      <c r="J2195" t="s">
        <v>3373</v>
      </c>
      <c r="K2195" t="s">
        <v>3372</v>
      </c>
      <c r="L2195" s="166">
        <f t="shared" si="172"/>
        <v>9.9234485076066095E-2</v>
      </c>
      <c r="M2195" s="127" t="s">
        <v>3374</v>
      </c>
    </row>
    <row r="2196" spans="1:13" x14ac:dyDescent="0.2">
      <c r="A2196" s="1217"/>
      <c r="B2196" s="166"/>
      <c r="E2196" s="83"/>
      <c r="H2196" t="s">
        <v>3375</v>
      </c>
      <c r="I2196">
        <v>5.2999999999999998E-4</v>
      </c>
      <c r="J2196" t="s">
        <v>707</v>
      </c>
      <c r="K2196" t="s">
        <v>3375</v>
      </c>
      <c r="L2196" s="166">
        <f t="shared" si="172"/>
        <v>0.16435711590723445</v>
      </c>
      <c r="M2196" s="127" t="s">
        <v>3376</v>
      </c>
    </row>
    <row r="2197" spans="1:13" x14ac:dyDescent="0.2">
      <c r="A2197" s="1217"/>
      <c r="B2197" s="166"/>
      <c r="E2197" s="83"/>
      <c r="H2197" t="s">
        <v>708</v>
      </c>
      <c r="I2197">
        <v>0.39150000000000001</v>
      </c>
      <c r="J2197" t="s">
        <v>709</v>
      </c>
      <c r="K2197" t="s">
        <v>708</v>
      </c>
      <c r="L2197" s="166">
        <f t="shared" si="172"/>
        <v>121.40719033524961</v>
      </c>
      <c r="M2197" s="127" t="s">
        <v>3377</v>
      </c>
    </row>
    <row r="2198" spans="1:13" x14ac:dyDescent="0.2">
      <c r="A2198" s="1217"/>
      <c r="B2198" s="166"/>
      <c r="E2198" s="83"/>
      <c r="H2198" t="s">
        <v>3378</v>
      </c>
      <c r="I2198" s="33">
        <v>9.8849699999999999E-8</v>
      </c>
      <c r="J2198" t="s">
        <v>704</v>
      </c>
      <c r="K2198" t="s">
        <v>3378</v>
      </c>
      <c r="L2198" s="166">
        <f t="shared" si="172"/>
        <v>3.0654059623198782E-5</v>
      </c>
      <c r="M2198" s="127" t="s">
        <v>3368</v>
      </c>
    </row>
    <row r="2199" spans="1:13" x14ac:dyDescent="0.2">
      <c r="A2199" s="1217"/>
      <c r="B2199" s="166"/>
      <c r="E2199" s="83"/>
      <c r="H2199" t="s">
        <v>710</v>
      </c>
      <c r="I2199" s="33">
        <v>1.51061E-9</v>
      </c>
      <c r="J2199" t="s">
        <v>3379</v>
      </c>
      <c r="K2199" t="s">
        <v>710</v>
      </c>
      <c r="L2199" s="166">
        <f t="shared" si="172"/>
        <v>4.6845189218986309E-7</v>
      </c>
      <c r="M2199" s="127" t="s">
        <v>3380</v>
      </c>
    </row>
    <row r="2200" spans="1:13" x14ac:dyDescent="0.2">
      <c r="A2200" s="1217"/>
      <c r="B2200" s="166"/>
      <c r="E2200" s="83"/>
      <c r="H2200" t="s">
        <v>3381</v>
      </c>
      <c r="I2200">
        <v>1.01E-3</v>
      </c>
      <c r="J2200" t="s">
        <v>3382</v>
      </c>
      <c r="K2200" t="s">
        <v>3381</v>
      </c>
      <c r="L2200" s="166">
        <f t="shared" si="172"/>
        <v>0.3132088435213336</v>
      </c>
      <c r="M2200" s="127" t="s">
        <v>3383</v>
      </c>
    </row>
    <row r="2201" spans="1:13" x14ac:dyDescent="0.2">
      <c r="A2201" s="1217"/>
      <c r="B2201" s="166"/>
      <c r="E2201" s="83"/>
      <c r="H2201" t="s">
        <v>3384</v>
      </c>
      <c r="I2201">
        <v>1.2200000000000001E-2</v>
      </c>
      <c r="J2201" t="s">
        <v>711</v>
      </c>
      <c r="K2201" t="s">
        <v>3384</v>
      </c>
      <c r="L2201" s="166">
        <f t="shared" si="172"/>
        <v>3.7833147435250196</v>
      </c>
      <c r="M2201" s="127" t="s">
        <v>3385</v>
      </c>
    </row>
    <row r="2202" spans="1:13" x14ac:dyDescent="0.2">
      <c r="A2202" s="1219"/>
      <c r="B2202" s="833"/>
      <c r="C2202" s="1102"/>
      <c r="D2202" s="118"/>
      <c r="E2202" s="1220"/>
      <c r="F2202" s="118"/>
      <c r="G2202" s="118"/>
      <c r="H2202" s="118"/>
      <c r="I2202" s="118"/>
      <c r="J2202" s="118"/>
      <c r="K2202" s="118"/>
      <c r="L2202" s="833"/>
      <c r="M2202" s="120"/>
    </row>
    <row r="2203" spans="1:13" ht="16" x14ac:dyDescent="0.2">
      <c r="A2203" s="486" t="s">
        <v>835</v>
      </c>
      <c r="B2203" s="220">
        <v>65.752893977425842</v>
      </c>
      <c r="C2203" s="220" t="s">
        <v>1</v>
      </c>
      <c r="D2203" s="220">
        <v>2</v>
      </c>
      <c r="E2203" s="159" t="s">
        <v>3400</v>
      </c>
      <c r="F2203" s="110">
        <v>1</v>
      </c>
      <c r="G2203" s="110" t="s">
        <v>1</v>
      </c>
      <c r="H2203" s="110"/>
      <c r="I2203" s="110"/>
      <c r="J2203" s="110"/>
      <c r="K2203" s="110"/>
      <c r="L2203" s="845"/>
      <c r="M2203" s="112"/>
    </row>
    <row r="2204" spans="1:13" x14ac:dyDescent="0.2">
      <c r="A2204" s="1217"/>
      <c r="B2204" s="1218">
        <f>B2203*D2203</f>
        <v>131.50578795485168</v>
      </c>
      <c r="C2204" s="1114" t="s">
        <v>1</v>
      </c>
      <c r="D2204" s="6" t="s">
        <v>2279</v>
      </c>
      <c r="E2204" s="83"/>
      <c r="H2204" t="s">
        <v>701</v>
      </c>
      <c r="I2204">
        <v>7.5000000000000002E-4</v>
      </c>
      <c r="J2204" t="s">
        <v>702</v>
      </c>
      <c r="K2204" t="s">
        <v>701</v>
      </c>
      <c r="L2204" s="166">
        <f>I2204*B$2204</f>
        <v>9.8629340966138762E-2</v>
      </c>
      <c r="M2204" s="127" t="s">
        <v>3367</v>
      </c>
    </row>
    <row r="2205" spans="1:13" x14ac:dyDescent="0.2">
      <c r="A2205" s="1217"/>
      <c r="B2205" s="166"/>
      <c r="E2205" s="83"/>
      <c r="H2205" t="s">
        <v>703</v>
      </c>
      <c r="I2205" s="33">
        <v>3.3111200000000002E-8</v>
      </c>
      <c r="J2205" t="s">
        <v>704</v>
      </c>
      <c r="K2205" t="s">
        <v>703</v>
      </c>
      <c r="L2205" s="166">
        <f t="shared" ref="L2205:L2213" si="173">I2205*B$2204</f>
        <v>4.3543144461306854E-6</v>
      </c>
      <c r="M2205" s="127" t="s">
        <v>3368</v>
      </c>
    </row>
    <row r="2206" spans="1:13" x14ac:dyDescent="0.2">
      <c r="A2206" s="1217"/>
      <c r="B2206" s="166"/>
      <c r="E2206" s="83"/>
      <c r="H2206" t="s">
        <v>705</v>
      </c>
      <c r="I2206">
        <v>4.1968100000000002</v>
      </c>
      <c r="J2206" t="s">
        <v>706</v>
      </c>
      <c r="K2206" t="s">
        <v>705</v>
      </c>
      <c r="L2206" s="166">
        <f t="shared" si="173"/>
        <v>551.90480594680116</v>
      </c>
      <c r="M2206" s="127" t="s">
        <v>3370</v>
      </c>
    </row>
    <row r="2207" spans="1:13" x14ac:dyDescent="0.2">
      <c r="A2207" s="1217"/>
      <c r="B2207" s="166"/>
      <c r="E2207" s="83"/>
      <c r="H2207" t="s">
        <v>3372</v>
      </c>
      <c r="I2207">
        <v>3.2000000000000003E-4</v>
      </c>
      <c r="J2207" t="s">
        <v>3373</v>
      </c>
      <c r="K2207" t="s">
        <v>3372</v>
      </c>
      <c r="L2207" s="166">
        <f t="shared" si="173"/>
        <v>4.2081852145552545E-2</v>
      </c>
      <c r="M2207" s="127" t="s">
        <v>3374</v>
      </c>
    </row>
    <row r="2208" spans="1:13" x14ac:dyDescent="0.2">
      <c r="A2208" s="1217"/>
      <c r="B2208" s="166"/>
      <c r="E2208" s="83"/>
      <c r="H2208" t="s">
        <v>3375</v>
      </c>
      <c r="I2208">
        <v>5.2999999999999998E-4</v>
      </c>
      <c r="J2208" t="s">
        <v>707</v>
      </c>
      <c r="K2208" t="s">
        <v>3375</v>
      </c>
      <c r="L2208" s="166">
        <f t="shared" si="173"/>
        <v>6.9698067616071391E-2</v>
      </c>
      <c r="M2208" s="127" t="s">
        <v>3376</v>
      </c>
    </row>
    <row r="2209" spans="1:13" x14ac:dyDescent="0.2">
      <c r="A2209" s="1217"/>
      <c r="B2209" s="166"/>
      <c r="E2209" s="83"/>
      <c r="H2209" t="s">
        <v>708</v>
      </c>
      <c r="I2209">
        <v>0.39150000000000001</v>
      </c>
      <c r="J2209" t="s">
        <v>709</v>
      </c>
      <c r="K2209" t="s">
        <v>708</v>
      </c>
      <c r="L2209" s="166">
        <f t="shared" si="173"/>
        <v>51.484515984324439</v>
      </c>
      <c r="M2209" s="127" t="s">
        <v>3377</v>
      </c>
    </row>
    <row r="2210" spans="1:13" x14ac:dyDescent="0.2">
      <c r="A2210" s="1217"/>
      <c r="B2210" s="166"/>
      <c r="E2210" s="83"/>
      <c r="H2210" t="s">
        <v>3378</v>
      </c>
      <c r="I2210" s="33">
        <v>9.8849699999999999E-8</v>
      </c>
      <c r="J2210" t="s">
        <v>704</v>
      </c>
      <c r="K2210" t="s">
        <v>3378</v>
      </c>
      <c r="L2210" s="166">
        <f t="shared" si="173"/>
        <v>1.2999307687600703E-5</v>
      </c>
      <c r="M2210" s="127" t="s">
        <v>3368</v>
      </c>
    </row>
    <row r="2211" spans="1:13" x14ac:dyDescent="0.2">
      <c r="A2211" s="1217"/>
      <c r="B2211" s="166"/>
      <c r="E2211" s="83"/>
      <c r="H2211" t="s">
        <v>710</v>
      </c>
      <c r="I2211" s="33">
        <v>1.51061E-9</v>
      </c>
      <c r="J2211" t="s">
        <v>3379</v>
      </c>
      <c r="K2211" t="s">
        <v>710</v>
      </c>
      <c r="L2211" s="166">
        <f t="shared" si="173"/>
        <v>1.9865395834247851E-7</v>
      </c>
      <c r="M2211" s="127" t="s">
        <v>3380</v>
      </c>
    </row>
    <row r="2212" spans="1:13" x14ac:dyDescent="0.2">
      <c r="A2212" s="1217"/>
      <c r="B2212" s="166"/>
      <c r="E2212" s="83"/>
      <c r="H2212" t="s">
        <v>3381</v>
      </c>
      <c r="I2212">
        <v>1.01E-3</v>
      </c>
      <c r="J2212" t="s">
        <v>3382</v>
      </c>
      <c r="K2212" t="s">
        <v>3381</v>
      </c>
      <c r="L2212" s="166">
        <f t="shared" si="173"/>
        <v>0.13282084583440021</v>
      </c>
      <c r="M2212" s="127" t="s">
        <v>3383</v>
      </c>
    </row>
    <row r="2213" spans="1:13" x14ac:dyDescent="0.2">
      <c r="A2213" s="1217"/>
      <c r="B2213" s="166"/>
      <c r="E2213" s="83"/>
      <c r="H2213" t="s">
        <v>3384</v>
      </c>
      <c r="I2213">
        <v>1.2200000000000001E-2</v>
      </c>
      <c r="J2213" t="s">
        <v>711</v>
      </c>
      <c r="K2213" t="s">
        <v>3384</v>
      </c>
      <c r="L2213" s="166">
        <f t="shared" si="173"/>
        <v>1.6043706130491906</v>
      </c>
      <c r="M2213" s="127" t="s">
        <v>3385</v>
      </c>
    </row>
    <row r="2214" spans="1:13" x14ac:dyDescent="0.2">
      <c r="A2214" s="1219"/>
      <c r="B2214" s="833"/>
      <c r="C2214" s="1102"/>
      <c r="D2214" s="118"/>
      <c r="E2214" s="1220"/>
      <c r="F2214" s="118"/>
      <c r="G2214" s="118"/>
      <c r="H2214" s="118"/>
      <c r="I2214" s="118"/>
      <c r="J2214" s="118"/>
      <c r="K2214" s="118"/>
      <c r="L2214" s="833"/>
      <c r="M2214" s="120"/>
    </row>
    <row r="2215" spans="1:13" ht="16" x14ac:dyDescent="0.2">
      <c r="A2215" s="486" t="s">
        <v>836</v>
      </c>
      <c r="B2215" s="220">
        <v>65.752893977425842</v>
      </c>
      <c r="C2215" s="220" t="s">
        <v>1</v>
      </c>
      <c r="D2215" s="220">
        <v>2</v>
      </c>
      <c r="E2215" s="159" t="s">
        <v>3400</v>
      </c>
      <c r="F2215" s="110">
        <v>1</v>
      </c>
      <c r="G2215" s="110" t="s">
        <v>1</v>
      </c>
      <c r="H2215" s="110"/>
      <c r="I2215" s="110"/>
      <c r="J2215" s="110"/>
      <c r="K2215" s="110"/>
      <c r="L2215" s="845"/>
      <c r="M2215" s="112"/>
    </row>
    <row r="2216" spans="1:13" x14ac:dyDescent="0.2">
      <c r="A2216" s="1217"/>
      <c r="B2216" s="1218">
        <f>B2215*D2215</f>
        <v>131.50578795485168</v>
      </c>
      <c r="C2216" s="1114" t="s">
        <v>1</v>
      </c>
      <c r="D2216" s="6" t="s">
        <v>2279</v>
      </c>
      <c r="E2216" s="83"/>
      <c r="H2216" t="s">
        <v>701</v>
      </c>
      <c r="I2216">
        <v>7.5000000000000002E-4</v>
      </c>
      <c r="J2216" t="s">
        <v>702</v>
      </c>
      <c r="K2216" t="s">
        <v>701</v>
      </c>
      <c r="L2216" s="166">
        <f>B$2216*I2216</f>
        <v>9.8629340966138762E-2</v>
      </c>
      <c r="M2216" s="127" t="s">
        <v>3367</v>
      </c>
    </row>
    <row r="2217" spans="1:13" x14ac:dyDescent="0.2">
      <c r="A2217" s="1217"/>
      <c r="B2217" s="166"/>
      <c r="E2217" s="83"/>
      <c r="H2217" t="s">
        <v>703</v>
      </c>
      <c r="I2217" s="33">
        <v>3.3111200000000002E-8</v>
      </c>
      <c r="J2217" t="s">
        <v>704</v>
      </c>
      <c r="K2217" t="s">
        <v>703</v>
      </c>
      <c r="L2217" s="166">
        <f t="shared" ref="L2217:L2225" si="174">B$2216*I2217</f>
        <v>4.3543144461306854E-6</v>
      </c>
      <c r="M2217" s="127" t="s">
        <v>3368</v>
      </c>
    </row>
    <row r="2218" spans="1:13" x14ac:dyDescent="0.2">
      <c r="A2218" s="1217"/>
      <c r="B2218" s="166"/>
      <c r="E2218" s="83"/>
      <c r="H2218" t="s">
        <v>705</v>
      </c>
      <c r="I2218">
        <v>4.1968100000000002</v>
      </c>
      <c r="J2218" t="s">
        <v>706</v>
      </c>
      <c r="K2218" t="s">
        <v>705</v>
      </c>
      <c r="L2218" s="166">
        <f t="shared" si="174"/>
        <v>551.90480594680116</v>
      </c>
      <c r="M2218" s="127" t="s">
        <v>3370</v>
      </c>
    </row>
    <row r="2219" spans="1:13" x14ac:dyDescent="0.2">
      <c r="A2219" s="1217"/>
      <c r="B2219" s="166"/>
      <c r="E2219" s="83"/>
      <c r="H2219" t="s">
        <v>3372</v>
      </c>
      <c r="I2219">
        <v>3.2000000000000003E-4</v>
      </c>
      <c r="J2219" t="s">
        <v>3373</v>
      </c>
      <c r="K2219" t="s">
        <v>3372</v>
      </c>
      <c r="L2219" s="166">
        <f t="shared" si="174"/>
        <v>4.2081852145552545E-2</v>
      </c>
      <c r="M2219" s="127" t="s">
        <v>3374</v>
      </c>
    </row>
    <row r="2220" spans="1:13" x14ac:dyDescent="0.2">
      <c r="A2220" s="1217"/>
      <c r="B2220" s="166"/>
      <c r="E2220" s="83"/>
      <c r="H2220" t="s">
        <v>3375</v>
      </c>
      <c r="I2220">
        <v>5.2999999999999998E-4</v>
      </c>
      <c r="J2220" t="s">
        <v>707</v>
      </c>
      <c r="K2220" t="s">
        <v>3375</v>
      </c>
      <c r="L2220" s="166">
        <f t="shared" si="174"/>
        <v>6.9698067616071391E-2</v>
      </c>
      <c r="M2220" s="127" t="s">
        <v>3376</v>
      </c>
    </row>
    <row r="2221" spans="1:13" x14ac:dyDescent="0.2">
      <c r="A2221" s="1217"/>
      <c r="B2221" s="166"/>
      <c r="E2221" s="83"/>
      <c r="H2221" t="s">
        <v>708</v>
      </c>
      <c r="I2221">
        <v>0.39150000000000001</v>
      </c>
      <c r="J2221" t="s">
        <v>709</v>
      </c>
      <c r="K2221" t="s">
        <v>708</v>
      </c>
      <c r="L2221" s="166">
        <f t="shared" si="174"/>
        <v>51.484515984324439</v>
      </c>
      <c r="M2221" s="127" t="s">
        <v>3377</v>
      </c>
    </row>
    <row r="2222" spans="1:13" x14ac:dyDescent="0.2">
      <c r="A2222" s="1217"/>
      <c r="B2222" s="166"/>
      <c r="E2222" s="83"/>
      <c r="H2222" t="s">
        <v>3378</v>
      </c>
      <c r="I2222" s="33">
        <v>9.8849699999999999E-8</v>
      </c>
      <c r="J2222" t="s">
        <v>704</v>
      </c>
      <c r="K2222" t="s">
        <v>3378</v>
      </c>
      <c r="L2222" s="166">
        <f t="shared" si="174"/>
        <v>1.2999307687600703E-5</v>
      </c>
      <c r="M2222" s="127" t="s">
        <v>3368</v>
      </c>
    </row>
    <row r="2223" spans="1:13" x14ac:dyDescent="0.2">
      <c r="A2223" s="1217"/>
      <c r="B2223" s="166"/>
      <c r="E2223" s="83"/>
      <c r="H2223" t="s">
        <v>710</v>
      </c>
      <c r="I2223" s="33">
        <v>1.51061E-9</v>
      </c>
      <c r="J2223" t="s">
        <v>3379</v>
      </c>
      <c r="K2223" t="s">
        <v>710</v>
      </c>
      <c r="L2223" s="166">
        <f t="shared" si="174"/>
        <v>1.9865395834247851E-7</v>
      </c>
      <c r="M2223" s="127" t="s">
        <v>3380</v>
      </c>
    </row>
    <row r="2224" spans="1:13" x14ac:dyDescent="0.2">
      <c r="A2224" s="1217"/>
      <c r="B2224" s="166"/>
      <c r="E2224" s="83"/>
      <c r="H2224" t="s">
        <v>3381</v>
      </c>
      <c r="I2224">
        <v>1.01E-3</v>
      </c>
      <c r="J2224" t="s">
        <v>3382</v>
      </c>
      <c r="K2224" t="s">
        <v>3381</v>
      </c>
      <c r="L2224" s="166">
        <f t="shared" si="174"/>
        <v>0.13282084583440021</v>
      </c>
      <c r="M2224" s="127" t="s">
        <v>3383</v>
      </c>
    </row>
    <row r="2225" spans="1:13" x14ac:dyDescent="0.2">
      <c r="A2225" s="1217"/>
      <c r="B2225" s="166"/>
      <c r="E2225" s="83"/>
      <c r="H2225" t="s">
        <v>3384</v>
      </c>
      <c r="I2225">
        <v>1.2200000000000001E-2</v>
      </c>
      <c r="J2225" t="s">
        <v>711</v>
      </c>
      <c r="K2225" t="s">
        <v>3384</v>
      </c>
      <c r="L2225" s="166">
        <f t="shared" si="174"/>
        <v>1.6043706130491906</v>
      </c>
      <c r="M2225" s="127" t="s">
        <v>3385</v>
      </c>
    </row>
    <row r="2226" spans="1:13" x14ac:dyDescent="0.2">
      <c r="A2226" s="1219"/>
      <c r="B2226" s="833"/>
      <c r="C2226" s="1102"/>
      <c r="D2226" s="118"/>
      <c r="E2226" s="1220"/>
      <c r="F2226" s="118"/>
      <c r="G2226" s="118"/>
      <c r="H2226" s="118"/>
      <c r="I2226" s="118"/>
      <c r="J2226" s="118"/>
      <c r="K2226" s="118"/>
      <c r="L2226" s="833"/>
      <c r="M2226" s="120"/>
    </row>
    <row r="2227" spans="1:13" ht="16" x14ac:dyDescent="0.2">
      <c r="A2227" s="486" t="s">
        <v>837</v>
      </c>
      <c r="B2227" s="220">
        <v>65.752893977425842</v>
      </c>
      <c r="C2227" s="220" t="s">
        <v>1</v>
      </c>
      <c r="D2227" s="220">
        <v>2</v>
      </c>
      <c r="E2227" s="159" t="s">
        <v>3400</v>
      </c>
      <c r="F2227" s="110">
        <v>1</v>
      </c>
      <c r="G2227" s="110" t="s">
        <v>1</v>
      </c>
      <c r="H2227" s="110"/>
      <c r="I2227" s="110"/>
      <c r="J2227" s="110"/>
      <c r="K2227" s="110"/>
      <c r="L2227" s="845"/>
      <c r="M2227" s="112"/>
    </row>
    <row r="2228" spans="1:13" x14ac:dyDescent="0.2">
      <c r="A2228" s="1217"/>
      <c r="B2228" s="1218">
        <f>B2227*D2227</f>
        <v>131.50578795485168</v>
      </c>
      <c r="C2228" s="1114" t="s">
        <v>1</v>
      </c>
      <c r="D2228" s="6" t="s">
        <v>2279</v>
      </c>
      <c r="E2228" s="83"/>
      <c r="H2228" t="s">
        <v>701</v>
      </c>
      <c r="I2228">
        <v>7.5000000000000002E-4</v>
      </c>
      <c r="J2228" t="s">
        <v>702</v>
      </c>
      <c r="K2228" t="s">
        <v>701</v>
      </c>
      <c r="L2228" s="166">
        <f>I2228*B$2228</f>
        <v>9.8629340966138762E-2</v>
      </c>
      <c r="M2228" s="127" t="s">
        <v>3367</v>
      </c>
    </row>
    <row r="2229" spans="1:13" x14ac:dyDescent="0.2">
      <c r="A2229" s="1217"/>
      <c r="B2229" s="166"/>
      <c r="E2229" s="83"/>
      <c r="H2229" t="s">
        <v>703</v>
      </c>
      <c r="I2229" s="33">
        <v>3.3111200000000002E-8</v>
      </c>
      <c r="J2229" t="s">
        <v>704</v>
      </c>
      <c r="K2229" t="s">
        <v>703</v>
      </c>
      <c r="L2229" s="166">
        <f t="shared" ref="L2229:L2237" si="175">I2229*B$2228</f>
        <v>4.3543144461306854E-6</v>
      </c>
      <c r="M2229" s="127" t="s">
        <v>3368</v>
      </c>
    </row>
    <row r="2230" spans="1:13" x14ac:dyDescent="0.2">
      <c r="A2230" s="1217"/>
      <c r="B2230" s="166"/>
      <c r="E2230" s="83"/>
      <c r="H2230" t="s">
        <v>705</v>
      </c>
      <c r="I2230">
        <v>4.1968100000000002</v>
      </c>
      <c r="J2230" t="s">
        <v>706</v>
      </c>
      <c r="K2230" t="s">
        <v>705</v>
      </c>
      <c r="L2230" s="166">
        <f t="shared" si="175"/>
        <v>551.90480594680116</v>
      </c>
      <c r="M2230" s="127" t="s">
        <v>3370</v>
      </c>
    </row>
    <row r="2231" spans="1:13" x14ac:dyDescent="0.2">
      <c r="A2231" s="1217"/>
      <c r="B2231" s="166"/>
      <c r="E2231" s="83"/>
      <c r="H2231" t="s">
        <v>3372</v>
      </c>
      <c r="I2231">
        <v>3.2000000000000003E-4</v>
      </c>
      <c r="J2231" t="s">
        <v>3373</v>
      </c>
      <c r="K2231" t="s">
        <v>3372</v>
      </c>
      <c r="L2231" s="166">
        <f t="shared" si="175"/>
        <v>4.2081852145552545E-2</v>
      </c>
      <c r="M2231" s="127" t="s">
        <v>3374</v>
      </c>
    </row>
    <row r="2232" spans="1:13" x14ac:dyDescent="0.2">
      <c r="A2232" s="1217"/>
      <c r="B2232" s="166"/>
      <c r="E2232" s="83"/>
      <c r="H2232" t="s">
        <v>3375</v>
      </c>
      <c r="I2232">
        <v>5.2999999999999998E-4</v>
      </c>
      <c r="J2232" t="s">
        <v>707</v>
      </c>
      <c r="K2232" t="s">
        <v>3375</v>
      </c>
      <c r="L2232" s="166">
        <f t="shared" si="175"/>
        <v>6.9698067616071391E-2</v>
      </c>
      <c r="M2232" s="127" t="s">
        <v>3376</v>
      </c>
    </row>
    <row r="2233" spans="1:13" x14ac:dyDescent="0.2">
      <c r="A2233" s="1217"/>
      <c r="B2233" s="166"/>
      <c r="E2233" s="83"/>
      <c r="H2233" t="s">
        <v>708</v>
      </c>
      <c r="I2233">
        <v>0.39150000000000001</v>
      </c>
      <c r="J2233" t="s">
        <v>709</v>
      </c>
      <c r="K2233" t="s">
        <v>708</v>
      </c>
      <c r="L2233" s="166">
        <f t="shared" si="175"/>
        <v>51.484515984324439</v>
      </c>
      <c r="M2233" s="127" t="s">
        <v>3377</v>
      </c>
    </row>
    <row r="2234" spans="1:13" x14ac:dyDescent="0.2">
      <c r="A2234" s="1217"/>
      <c r="B2234" s="166"/>
      <c r="E2234" s="83"/>
      <c r="H2234" t="s">
        <v>3378</v>
      </c>
      <c r="I2234" s="33">
        <v>9.8849699999999999E-8</v>
      </c>
      <c r="J2234" t="s">
        <v>704</v>
      </c>
      <c r="K2234" t="s">
        <v>3378</v>
      </c>
      <c r="L2234" s="166">
        <f t="shared" si="175"/>
        <v>1.2999307687600703E-5</v>
      </c>
      <c r="M2234" s="127" t="s">
        <v>3368</v>
      </c>
    </row>
    <row r="2235" spans="1:13" x14ac:dyDescent="0.2">
      <c r="A2235" s="1217"/>
      <c r="B2235" s="166"/>
      <c r="E2235" s="83"/>
      <c r="H2235" t="s">
        <v>710</v>
      </c>
      <c r="I2235" s="33">
        <v>1.51061E-9</v>
      </c>
      <c r="J2235" t="s">
        <v>3379</v>
      </c>
      <c r="K2235" t="s">
        <v>710</v>
      </c>
      <c r="L2235" s="166">
        <f t="shared" si="175"/>
        <v>1.9865395834247851E-7</v>
      </c>
      <c r="M2235" s="127" t="s">
        <v>3380</v>
      </c>
    </row>
    <row r="2236" spans="1:13" x14ac:dyDescent="0.2">
      <c r="A2236" s="1217"/>
      <c r="B2236" s="166"/>
      <c r="E2236" s="83"/>
      <c r="H2236" t="s">
        <v>3381</v>
      </c>
      <c r="I2236">
        <v>1.01E-3</v>
      </c>
      <c r="J2236" t="s">
        <v>3382</v>
      </c>
      <c r="K2236" t="s">
        <v>3381</v>
      </c>
      <c r="L2236" s="166">
        <f t="shared" si="175"/>
        <v>0.13282084583440021</v>
      </c>
      <c r="M2236" s="127" t="s">
        <v>3383</v>
      </c>
    </row>
    <row r="2237" spans="1:13" x14ac:dyDescent="0.2">
      <c r="A2237" s="1217"/>
      <c r="B2237" s="166"/>
      <c r="E2237" s="83"/>
      <c r="H2237" t="s">
        <v>3384</v>
      </c>
      <c r="I2237">
        <v>1.2200000000000001E-2</v>
      </c>
      <c r="J2237" t="s">
        <v>711</v>
      </c>
      <c r="K2237" t="s">
        <v>3384</v>
      </c>
      <c r="L2237" s="166">
        <f t="shared" si="175"/>
        <v>1.6043706130491906</v>
      </c>
      <c r="M2237" s="127" t="s">
        <v>3385</v>
      </c>
    </row>
    <row r="2238" spans="1:13" x14ac:dyDescent="0.2">
      <c r="A2238" s="1219"/>
      <c r="B2238" s="833"/>
      <c r="C2238" s="1102"/>
      <c r="D2238" s="118"/>
      <c r="E2238" s="1220"/>
      <c r="F2238" s="118"/>
      <c r="G2238" s="118"/>
      <c r="H2238" s="118"/>
      <c r="I2238" s="118"/>
      <c r="J2238" s="118"/>
      <c r="K2238" s="118"/>
      <c r="L2238" s="833"/>
      <c r="M2238" s="120"/>
    </row>
    <row r="2239" spans="1:13" ht="16" x14ac:dyDescent="0.2">
      <c r="A2239" s="637" t="s">
        <v>745</v>
      </c>
      <c r="B2239" s="76">
        <v>191928.30718464431</v>
      </c>
      <c r="C2239" s="76" t="s">
        <v>391</v>
      </c>
      <c r="D2239" s="76">
        <v>2</v>
      </c>
      <c r="E2239" s="83" t="s">
        <v>3388</v>
      </c>
      <c r="L2239" s="166"/>
      <c r="M2239" s="127"/>
    </row>
    <row r="2240" spans="1:13" x14ac:dyDescent="0.2">
      <c r="A2240" s="1217"/>
      <c r="B2240" s="166">
        <f>B2239/1000</f>
        <v>191.9283071846443</v>
      </c>
      <c r="C2240" s="133" t="s">
        <v>444</v>
      </c>
      <c r="F2240">
        <v>1</v>
      </c>
      <c r="G2240" t="s">
        <v>713</v>
      </c>
      <c r="H2240" t="s">
        <v>701</v>
      </c>
      <c r="I2240">
        <v>0.14229</v>
      </c>
      <c r="J2240" t="s">
        <v>702</v>
      </c>
      <c r="K2240" t="s">
        <v>701</v>
      </c>
      <c r="L2240" s="166">
        <f>I2240*B$2245</f>
        <v>39.129750000000001</v>
      </c>
      <c r="M2240" s="127" t="s">
        <v>3367</v>
      </c>
    </row>
    <row r="2241" spans="1:13" x14ac:dyDescent="0.2">
      <c r="A2241" s="1217"/>
      <c r="B2241" s="166">
        <v>20</v>
      </c>
      <c r="C2241" s="133" t="s">
        <v>10</v>
      </c>
      <c r="D2241" t="s">
        <v>3390</v>
      </c>
      <c r="E2241" s="83"/>
      <c r="F2241">
        <v>40</v>
      </c>
      <c r="G2241" t="s">
        <v>12</v>
      </c>
      <c r="H2241" t="s">
        <v>703</v>
      </c>
      <c r="I2241" s="33">
        <v>2.2291000000000001E-5</v>
      </c>
      <c r="J2241" t="s">
        <v>704</v>
      </c>
      <c r="K2241" t="s">
        <v>703</v>
      </c>
      <c r="L2241" s="166">
        <f t="shared" ref="L2241:L2249" si="176">I2241*B$2245</f>
        <v>6.1300249999999999E-3</v>
      </c>
      <c r="M2241" s="127" t="s">
        <v>3368</v>
      </c>
    </row>
    <row r="2242" spans="1:13" x14ac:dyDescent="0.2">
      <c r="A2242" s="1217"/>
      <c r="B2242" s="166">
        <v>0.7</v>
      </c>
      <c r="D2242" t="s">
        <v>3391</v>
      </c>
      <c r="E2242" s="83"/>
      <c r="H2242" t="s">
        <v>705</v>
      </c>
      <c r="I2242">
        <v>3203.5834399999999</v>
      </c>
      <c r="J2242" t="s">
        <v>706</v>
      </c>
      <c r="K2242" t="s">
        <v>705</v>
      </c>
      <c r="L2242" s="166">
        <f t="shared" si="176"/>
        <v>880985.446</v>
      </c>
      <c r="M2242" s="127" t="s">
        <v>3370</v>
      </c>
    </row>
    <row r="2243" spans="1:13" x14ac:dyDescent="0.2">
      <c r="A2243" s="1217"/>
      <c r="B2243" s="166">
        <f>B2240*B2241/B2242</f>
        <v>5483.6659195612656</v>
      </c>
      <c r="C2243" s="133" t="s">
        <v>12</v>
      </c>
      <c r="D2243" s="6"/>
      <c r="E2243" s="83"/>
      <c r="H2243" t="s">
        <v>3372</v>
      </c>
      <c r="I2243">
        <v>1.278E-2</v>
      </c>
      <c r="J2243" t="s">
        <v>3373</v>
      </c>
      <c r="K2243" t="s">
        <v>3372</v>
      </c>
      <c r="L2243" s="166">
        <f t="shared" si="176"/>
        <v>3.5145</v>
      </c>
      <c r="M2243" s="127" t="s">
        <v>3374</v>
      </c>
    </row>
    <row r="2244" spans="1:13" x14ac:dyDescent="0.2">
      <c r="A2244" s="1217"/>
      <c r="B2244" s="166">
        <f>B2243*D2239</f>
        <v>10967.331839122531</v>
      </c>
      <c r="C2244" s="133" t="s">
        <v>12</v>
      </c>
      <c r="E2244" s="83"/>
      <c r="H2244" t="s">
        <v>3375</v>
      </c>
      <c r="I2244">
        <v>3.7339999999999998E-2</v>
      </c>
      <c r="J2244" t="s">
        <v>707</v>
      </c>
      <c r="K2244" t="s">
        <v>3375</v>
      </c>
      <c r="L2244" s="166">
        <f t="shared" si="176"/>
        <v>10.2685</v>
      </c>
      <c r="M2244" s="127" t="s">
        <v>3376</v>
      </c>
    </row>
    <row r="2245" spans="1:13" x14ac:dyDescent="0.2">
      <c r="A2245" s="1217"/>
      <c r="B2245" s="1218">
        <f>ROUNDUP(B2244/F2241,0)</f>
        <v>275</v>
      </c>
      <c r="C2245" s="1114" t="s">
        <v>3392</v>
      </c>
      <c r="D2245" s="6" t="s">
        <v>577</v>
      </c>
      <c r="E2245" s="83"/>
      <c r="H2245" t="s">
        <v>708</v>
      </c>
      <c r="I2245">
        <v>9.0477000000000007</v>
      </c>
      <c r="J2245" t="s">
        <v>709</v>
      </c>
      <c r="K2245" t="s">
        <v>708</v>
      </c>
      <c r="L2245" s="166">
        <f t="shared" si="176"/>
        <v>2488.1175000000003</v>
      </c>
      <c r="M2245" s="127" t="s">
        <v>3377</v>
      </c>
    </row>
    <row r="2246" spans="1:13" x14ac:dyDescent="0.2">
      <c r="A2246" s="1217"/>
      <c r="B2246" s="166"/>
      <c r="E2246" s="83"/>
      <c r="H2246" t="s">
        <v>3378</v>
      </c>
      <c r="I2246" s="33">
        <v>3.5905399999999997E-5</v>
      </c>
      <c r="J2246" t="s">
        <v>704</v>
      </c>
      <c r="K2246" t="s">
        <v>3378</v>
      </c>
      <c r="L2246" s="166">
        <f t="shared" si="176"/>
        <v>9.8739849999999983E-3</v>
      </c>
      <c r="M2246" s="127" t="s">
        <v>3368</v>
      </c>
    </row>
    <row r="2247" spans="1:13" x14ac:dyDescent="0.2">
      <c r="A2247" s="1217"/>
      <c r="B2247" s="166"/>
      <c r="E2247" s="83"/>
      <c r="H2247" t="s">
        <v>710</v>
      </c>
      <c r="I2247" s="33">
        <v>1.7364199999999999E-7</v>
      </c>
      <c r="J2247" t="s">
        <v>3379</v>
      </c>
      <c r="K2247" t="s">
        <v>710</v>
      </c>
      <c r="L2247" s="166">
        <f t="shared" si="176"/>
        <v>4.7751549999999995E-5</v>
      </c>
      <c r="M2247" s="127" t="s">
        <v>3380</v>
      </c>
    </row>
    <row r="2248" spans="1:13" x14ac:dyDescent="0.2">
      <c r="A2248" s="1217"/>
      <c r="B2248" s="166"/>
      <c r="E2248" s="83"/>
      <c r="H2248" t="s">
        <v>3381</v>
      </c>
      <c r="I2248">
        <v>2.9360000000000001E-2</v>
      </c>
      <c r="J2248" t="s">
        <v>3382</v>
      </c>
      <c r="K2248" t="s">
        <v>3381</v>
      </c>
      <c r="L2248" s="166">
        <f t="shared" si="176"/>
        <v>8.0739999999999998</v>
      </c>
      <c r="M2248" s="127" t="s">
        <v>3383</v>
      </c>
    </row>
    <row r="2249" spans="1:13" x14ac:dyDescent="0.2">
      <c r="A2249" s="1217"/>
      <c r="B2249" s="166"/>
      <c r="E2249" s="83"/>
      <c r="H2249" t="s">
        <v>3384</v>
      </c>
      <c r="I2249">
        <v>0.84404000000000001</v>
      </c>
      <c r="J2249" t="s">
        <v>711</v>
      </c>
      <c r="K2249" t="s">
        <v>3384</v>
      </c>
      <c r="L2249" s="166">
        <f t="shared" si="176"/>
        <v>232.11099999999999</v>
      </c>
      <c r="M2249" s="127" t="s">
        <v>3385</v>
      </c>
    </row>
    <row r="2250" spans="1:13" x14ac:dyDescent="0.2">
      <c r="A2250" s="1219"/>
      <c r="B2250" s="833"/>
      <c r="C2250" s="1102"/>
      <c r="D2250" s="118"/>
      <c r="E2250" s="1220"/>
      <c r="F2250" s="118"/>
      <c r="G2250" s="118"/>
      <c r="H2250" s="118"/>
      <c r="I2250" s="118"/>
      <c r="J2250" s="118"/>
      <c r="K2250" s="118"/>
      <c r="L2250" s="833"/>
      <c r="M2250" s="120"/>
    </row>
    <row r="2251" spans="1:13" ht="32" x14ac:dyDescent="0.2">
      <c r="A2251" s="1215" t="s">
        <v>714</v>
      </c>
      <c r="B2251" s="845">
        <v>2447960.0032115225</v>
      </c>
      <c r="C2251" s="1103" t="s">
        <v>40</v>
      </c>
      <c r="D2251" s="110"/>
      <c r="E2251" s="1216" t="s">
        <v>3404</v>
      </c>
      <c r="F2251" s="110">
        <v>1</v>
      </c>
      <c r="G2251" s="110" t="s">
        <v>378</v>
      </c>
      <c r="H2251" s="110"/>
      <c r="I2251" s="110"/>
      <c r="J2251" s="110"/>
      <c r="K2251" s="110"/>
      <c r="L2251" s="845"/>
      <c r="M2251" s="112"/>
    </row>
    <row r="2252" spans="1:13" x14ac:dyDescent="0.2">
      <c r="A2252" s="637"/>
      <c r="B2252" s="1218">
        <f>B2251*30</f>
        <v>73438800.096345678</v>
      </c>
      <c r="C2252" s="1114" t="s">
        <v>3430</v>
      </c>
      <c r="E2252" s="83"/>
      <c r="H2252" t="s">
        <v>701</v>
      </c>
      <c r="I2252">
        <v>7.5000000000000002E-4</v>
      </c>
      <c r="J2252" t="s">
        <v>702</v>
      </c>
      <c r="K2252" t="s">
        <v>701</v>
      </c>
      <c r="L2252" s="166">
        <f>I2252*B$1348</f>
        <v>36719.400048172858</v>
      </c>
      <c r="M2252" s="127" t="s">
        <v>3367</v>
      </c>
    </row>
    <row r="2253" spans="1:13" x14ac:dyDescent="0.2">
      <c r="A2253" s="1217"/>
      <c r="B2253" s="166"/>
      <c r="E2253" s="83"/>
      <c r="H2253" t="s">
        <v>703</v>
      </c>
      <c r="I2253" s="33">
        <v>3.3111200000000002E-8</v>
      </c>
      <c r="J2253" t="s">
        <v>704</v>
      </c>
      <c r="K2253" t="s">
        <v>703</v>
      </c>
      <c r="L2253" s="166">
        <f t="shared" ref="L2253:L2261" si="177">I2253*B$1348</f>
        <v>1.6210978651667483</v>
      </c>
      <c r="M2253" s="127" t="s">
        <v>3368</v>
      </c>
    </row>
    <row r="2254" spans="1:13" x14ac:dyDescent="0.2">
      <c r="A2254" s="1217"/>
      <c r="B2254" s="166"/>
      <c r="E2254" s="83"/>
      <c r="H2254" t="s">
        <v>705</v>
      </c>
      <c r="I2254">
        <v>4.1968100000000002</v>
      </c>
      <c r="J2254" t="s">
        <v>706</v>
      </c>
      <c r="K2254" t="s">
        <v>705</v>
      </c>
      <c r="L2254" s="166">
        <f t="shared" si="177"/>
        <v>205472460.42156312</v>
      </c>
      <c r="M2254" s="127" t="s">
        <v>3370</v>
      </c>
    </row>
    <row r="2255" spans="1:13" x14ac:dyDescent="0.2">
      <c r="A2255" s="1217"/>
      <c r="B2255" s="166"/>
      <c r="E2255" s="83"/>
      <c r="H2255" t="s">
        <v>3372</v>
      </c>
      <c r="I2255">
        <v>3.2000000000000003E-4</v>
      </c>
      <c r="J2255" t="s">
        <v>3373</v>
      </c>
      <c r="K2255" t="s">
        <v>3372</v>
      </c>
      <c r="L2255" s="166">
        <f t="shared" si="177"/>
        <v>15666.944020553754</v>
      </c>
      <c r="M2255" s="127" t="s">
        <v>3374</v>
      </c>
    </row>
    <row r="2256" spans="1:13" x14ac:dyDescent="0.2">
      <c r="A2256" s="1217"/>
      <c r="B2256" s="166"/>
      <c r="E2256" s="83"/>
      <c r="H2256" t="s">
        <v>3375</v>
      </c>
      <c r="I2256">
        <v>5.2999999999999998E-4</v>
      </c>
      <c r="J2256" t="s">
        <v>707</v>
      </c>
      <c r="K2256" t="s">
        <v>3375</v>
      </c>
      <c r="L2256" s="166">
        <f t="shared" si="177"/>
        <v>25948.376034042154</v>
      </c>
      <c r="M2256" s="127" t="s">
        <v>3376</v>
      </c>
    </row>
    <row r="2257" spans="1:13" x14ac:dyDescent="0.2">
      <c r="A2257" s="1217"/>
      <c r="B2257" s="166"/>
      <c r="E2257" s="83"/>
      <c r="H2257" t="s">
        <v>708</v>
      </c>
      <c r="I2257">
        <v>0.39150000000000001</v>
      </c>
      <c r="J2257" t="s">
        <v>709</v>
      </c>
      <c r="K2257" t="s">
        <v>708</v>
      </c>
      <c r="L2257" s="166">
        <f t="shared" si="177"/>
        <v>19167526.825146232</v>
      </c>
      <c r="M2257" s="127" t="s">
        <v>3377</v>
      </c>
    </row>
    <row r="2258" spans="1:13" x14ac:dyDescent="0.2">
      <c r="A2258" s="1217"/>
      <c r="B2258" s="166"/>
      <c r="E2258" s="83"/>
      <c r="H2258" t="s">
        <v>3378</v>
      </c>
      <c r="I2258" s="33">
        <v>9.8849699999999999E-8</v>
      </c>
      <c r="J2258" t="s">
        <v>704</v>
      </c>
      <c r="K2258" t="s">
        <v>3378</v>
      </c>
      <c r="L2258" s="166">
        <f t="shared" si="177"/>
        <v>4.8396022385891637</v>
      </c>
      <c r="M2258" s="127" t="s">
        <v>3368</v>
      </c>
    </row>
    <row r="2259" spans="1:13" x14ac:dyDescent="0.2">
      <c r="A2259" s="1217"/>
      <c r="B2259" s="166"/>
      <c r="E2259" s="83"/>
      <c r="H2259" t="s">
        <v>710</v>
      </c>
      <c r="I2259" s="33">
        <v>1.51061E-9</v>
      </c>
      <c r="J2259" t="s">
        <v>3379</v>
      </c>
      <c r="K2259" t="s">
        <v>710</v>
      </c>
      <c r="L2259" s="166">
        <f t="shared" si="177"/>
        <v>7.3958257209027212E-2</v>
      </c>
      <c r="M2259" s="127" t="s">
        <v>3380</v>
      </c>
    </row>
    <row r="2260" spans="1:13" x14ac:dyDescent="0.2">
      <c r="A2260" s="1217"/>
      <c r="B2260" s="166"/>
      <c r="E2260" s="83"/>
      <c r="H2260" t="s">
        <v>3381</v>
      </c>
      <c r="I2260">
        <v>1.01E-3</v>
      </c>
      <c r="J2260" t="s">
        <v>3382</v>
      </c>
      <c r="K2260" t="s">
        <v>3381</v>
      </c>
      <c r="L2260" s="166">
        <f t="shared" si="177"/>
        <v>49448.792064872789</v>
      </c>
      <c r="M2260" s="127" t="s">
        <v>3383</v>
      </c>
    </row>
    <row r="2261" spans="1:13" x14ac:dyDescent="0.2">
      <c r="A2261" s="1217"/>
      <c r="B2261" s="166"/>
      <c r="E2261" s="83"/>
      <c r="H2261" t="s">
        <v>3384</v>
      </c>
      <c r="I2261">
        <v>1.2200000000000001E-2</v>
      </c>
      <c r="J2261" t="s">
        <v>711</v>
      </c>
      <c r="K2261" t="s">
        <v>3384</v>
      </c>
      <c r="L2261" s="166">
        <f t="shared" si="177"/>
        <v>597302.24078361189</v>
      </c>
      <c r="M2261" s="127" t="s">
        <v>3385</v>
      </c>
    </row>
    <row r="2262" spans="1:13" x14ac:dyDescent="0.2">
      <c r="A2262" s="1219"/>
      <c r="B2262" s="833"/>
      <c r="C2262" s="1102"/>
      <c r="D2262" s="118"/>
      <c r="E2262" s="1220"/>
      <c r="F2262" s="118"/>
      <c r="G2262" s="118"/>
      <c r="H2262" s="118"/>
      <c r="I2262" s="118"/>
      <c r="J2262" s="118"/>
      <c r="K2262" s="118"/>
      <c r="L2262" s="833"/>
      <c r="M2262" s="120"/>
    </row>
    <row r="2263" spans="1:13" ht="32" x14ac:dyDescent="0.2">
      <c r="A2263" s="1215" t="s">
        <v>2433</v>
      </c>
      <c r="B2263" s="845">
        <v>522343213.74593592</v>
      </c>
      <c r="C2263" s="845" t="s">
        <v>2959</v>
      </c>
      <c r="D2263" s="110"/>
      <c r="E2263" s="1216" t="s">
        <v>3444</v>
      </c>
      <c r="F2263" s="110">
        <v>1</v>
      </c>
      <c r="G2263" s="110" t="s">
        <v>1</v>
      </c>
      <c r="H2263" s="110"/>
      <c r="I2263" s="110"/>
      <c r="J2263" s="110"/>
      <c r="K2263" s="110"/>
      <c r="L2263" s="845"/>
      <c r="M2263" s="112"/>
    </row>
    <row r="2264" spans="1:13" x14ac:dyDescent="0.2">
      <c r="A2264" s="1217"/>
      <c r="B2264" s="166">
        <v>236933.32747252833</v>
      </c>
      <c r="C2264" s="133" t="s">
        <v>3225</v>
      </c>
      <c r="E2264" s="83"/>
      <c r="H2264" t="s">
        <v>701</v>
      </c>
      <c r="I2264">
        <v>1.14E-3</v>
      </c>
      <c r="J2264" t="s">
        <v>702</v>
      </c>
      <c r="K2264" t="s">
        <v>701</v>
      </c>
      <c r="L2264" s="166">
        <f>I2264*B$1361</f>
        <v>5402.0798663736459</v>
      </c>
      <c r="M2264" s="127" t="s">
        <v>3367</v>
      </c>
    </row>
    <row r="2265" spans="1:13" x14ac:dyDescent="0.2">
      <c r="A2265" s="1217"/>
      <c r="B2265" s="1218">
        <f>B2264*30</f>
        <v>7107999.8241758496</v>
      </c>
      <c r="C2265" s="1114" t="s">
        <v>3445</v>
      </c>
      <c r="D2265" s="6" t="s">
        <v>577</v>
      </c>
      <c r="E2265" s="83"/>
      <c r="H2265" t="s">
        <v>703</v>
      </c>
      <c r="I2265" s="33">
        <v>5.4967900000000001E-8</v>
      </c>
      <c r="J2265" t="s">
        <v>704</v>
      </c>
      <c r="K2265" t="s">
        <v>703</v>
      </c>
      <c r="L2265" s="166">
        <f t="shared" ref="L2265:L2273" si="178">I2265*B$1361</f>
        <v>0.26047454902354383</v>
      </c>
      <c r="M2265" s="127" t="s">
        <v>3368</v>
      </c>
    </row>
    <row r="2266" spans="1:13" x14ac:dyDescent="0.2">
      <c r="A2266" s="1217"/>
      <c r="B2266" s="166"/>
      <c r="E2266" s="83"/>
      <c r="H2266" t="s">
        <v>705</v>
      </c>
      <c r="I2266">
        <v>9.5996699999999997</v>
      </c>
      <c r="J2266" t="s">
        <v>706</v>
      </c>
      <c r="K2266" t="s">
        <v>705</v>
      </c>
      <c r="L2266" s="166">
        <f t="shared" si="178"/>
        <v>45489635.114764124</v>
      </c>
      <c r="M2266" s="127" t="s">
        <v>3370</v>
      </c>
    </row>
    <row r="2267" spans="1:13" x14ac:dyDescent="0.2">
      <c r="A2267" s="1217"/>
      <c r="B2267" s="166"/>
      <c r="E2267" s="83"/>
      <c r="H2267" t="s">
        <v>3372</v>
      </c>
      <c r="I2267">
        <v>2.3600000000000001E-3</v>
      </c>
      <c r="J2267" t="s">
        <v>3373</v>
      </c>
      <c r="K2267" t="s">
        <v>3372</v>
      </c>
      <c r="L2267" s="166">
        <f t="shared" si="178"/>
        <v>11183.253056703339</v>
      </c>
      <c r="M2267" s="127" t="s">
        <v>3374</v>
      </c>
    </row>
    <row r="2268" spans="1:13" x14ac:dyDescent="0.2">
      <c r="A2268" s="1217"/>
      <c r="B2268" s="166"/>
      <c r="E2268" s="83"/>
      <c r="H2268" t="s">
        <v>3375</v>
      </c>
      <c r="I2268">
        <v>7.0000000000000001E-3</v>
      </c>
      <c r="J2268" t="s">
        <v>707</v>
      </c>
      <c r="K2268" t="s">
        <v>3375</v>
      </c>
      <c r="L2268" s="166">
        <f t="shared" si="178"/>
        <v>33170.66584615397</v>
      </c>
      <c r="M2268" s="127" t="s">
        <v>3376</v>
      </c>
    </row>
    <row r="2269" spans="1:13" x14ac:dyDescent="0.2">
      <c r="A2269" s="1217"/>
      <c r="B2269" s="166"/>
      <c r="E2269" s="83"/>
      <c r="H2269" t="s">
        <v>708</v>
      </c>
      <c r="I2269">
        <v>0.20222999999999999</v>
      </c>
      <c r="J2269" t="s">
        <v>709</v>
      </c>
      <c r="K2269" t="s">
        <v>708</v>
      </c>
      <c r="L2269" s="166">
        <f t="shared" si="178"/>
        <v>958300.53629538813</v>
      </c>
      <c r="M2269" s="127" t="s">
        <v>3377</v>
      </c>
    </row>
    <row r="2270" spans="1:13" x14ac:dyDescent="0.2">
      <c r="A2270" s="1217"/>
      <c r="B2270" s="166"/>
      <c r="E2270" s="83"/>
      <c r="H2270" t="s">
        <v>3378</v>
      </c>
      <c r="I2270" s="33">
        <v>5.2573200000000002E-6</v>
      </c>
      <c r="J2270" t="s">
        <v>704</v>
      </c>
      <c r="K2270" t="s">
        <v>3378</v>
      </c>
      <c r="L2270" s="166">
        <f t="shared" si="178"/>
        <v>24.912686423757457</v>
      </c>
      <c r="M2270" s="127" t="s">
        <v>3368</v>
      </c>
    </row>
    <row r="2271" spans="1:13" x14ac:dyDescent="0.2">
      <c r="A2271" s="1217"/>
      <c r="B2271" s="166"/>
      <c r="E2271" s="83"/>
      <c r="H2271" t="s">
        <v>710</v>
      </c>
      <c r="I2271" s="33">
        <v>1.8080899999999999E-9</v>
      </c>
      <c r="J2271" t="s">
        <v>3379</v>
      </c>
      <c r="K2271" t="s">
        <v>710</v>
      </c>
      <c r="L2271" s="166">
        <f t="shared" si="178"/>
        <v>8.5679356013960758E-3</v>
      </c>
      <c r="M2271" s="127" t="s">
        <v>3380</v>
      </c>
    </row>
    <row r="2272" spans="1:13" x14ac:dyDescent="0.2">
      <c r="A2272" s="1217"/>
      <c r="B2272" s="166"/>
      <c r="E2272" s="83"/>
      <c r="H2272" t="s">
        <v>3381</v>
      </c>
      <c r="I2272">
        <v>1.4999999999999999E-4</v>
      </c>
      <c r="J2272" t="s">
        <v>3382</v>
      </c>
      <c r="K2272" t="s">
        <v>3381</v>
      </c>
      <c r="L2272" s="166">
        <f t="shared" si="178"/>
        <v>710.79998241758494</v>
      </c>
      <c r="M2272" s="127" t="s">
        <v>3383</v>
      </c>
    </row>
    <row r="2273" spans="1:15" x14ac:dyDescent="0.2">
      <c r="A2273" s="1217"/>
      <c r="B2273" s="166"/>
      <c r="E2273" s="83"/>
      <c r="H2273" t="s">
        <v>3384</v>
      </c>
      <c r="I2273">
        <v>1.456E-2</v>
      </c>
      <c r="J2273" t="s">
        <v>711</v>
      </c>
      <c r="K2273" t="s">
        <v>3384</v>
      </c>
      <c r="L2273" s="166">
        <f t="shared" si="178"/>
        <v>68994.984960000249</v>
      </c>
      <c r="M2273" s="127" t="s">
        <v>3385</v>
      </c>
    </row>
    <row r="2274" spans="1:15" x14ac:dyDescent="0.2">
      <c r="A2274" s="1219"/>
      <c r="B2274" s="833"/>
      <c r="C2274" s="1102"/>
      <c r="D2274" s="118"/>
      <c r="E2274" s="1220"/>
      <c r="F2274" s="118"/>
      <c r="G2274" s="118"/>
      <c r="H2274" s="118"/>
      <c r="I2274" s="118"/>
      <c r="J2274" s="118"/>
      <c r="K2274" s="118"/>
      <c r="L2274" s="833"/>
      <c r="M2274" s="120"/>
    </row>
    <row r="2277" spans="1:15" ht="16" thickBot="1" x14ac:dyDescent="0.25"/>
    <row r="2278" spans="1:15" ht="14.5" customHeight="1" x14ac:dyDescent="0.2">
      <c r="A2278" s="1801" t="s">
        <v>2319</v>
      </c>
      <c r="B2278" s="1802"/>
      <c r="C2278" s="1802"/>
      <c r="D2278" s="1802"/>
      <c r="E2278" s="1802"/>
      <c r="F2278" s="1802"/>
      <c r="G2278" s="1802"/>
      <c r="H2278" s="1802"/>
      <c r="I2278" s="1802"/>
      <c r="J2278" s="1802"/>
      <c r="K2278" s="1802"/>
      <c r="L2278" s="1802"/>
      <c r="M2278" s="1802"/>
      <c r="N2278" s="1802"/>
      <c r="O2278" s="1803"/>
    </row>
    <row r="2279" spans="1:15" ht="15" customHeight="1" thickBot="1" x14ac:dyDescent="0.25">
      <c r="A2279" s="1804"/>
      <c r="B2279" s="1805"/>
      <c r="C2279" s="1805"/>
      <c r="D2279" s="1805"/>
      <c r="E2279" s="1805"/>
      <c r="F2279" s="1805"/>
      <c r="G2279" s="1805"/>
      <c r="H2279" s="1805"/>
      <c r="I2279" s="1805"/>
      <c r="J2279" s="1805"/>
      <c r="K2279" s="1805"/>
      <c r="L2279" s="1805"/>
      <c r="M2279" s="1805"/>
      <c r="N2279" s="1805"/>
      <c r="O2279" s="1806"/>
    </row>
    <row r="2280" spans="1:15" s="6" customFormat="1" x14ac:dyDescent="0.2">
      <c r="A2280" s="1920" t="s">
        <v>697</v>
      </c>
      <c r="B2280" s="1515" t="s">
        <v>698</v>
      </c>
      <c r="C2280" s="1515"/>
      <c r="D2280" s="1515"/>
      <c r="E2280" s="1921" t="s">
        <v>3362</v>
      </c>
      <c r="F2280" s="1515" t="s">
        <v>699</v>
      </c>
      <c r="G2280" s="1515"/>
      <c r="H2280" s="1515" t="s">
        <v>3363</v>
      </c>
      <c r="I2280" s="1515"/>
      <c r="J2280" s="1515"/>
      <c r="K2280" s="1515" t="s">
        <v>700</v>
      </c>
      <c r="L2280" s="1515"/>
      <c r="M2280" s="1515"/>
    </row>
    <row r="2281" spans="1:15" s="6" customFormat="1" ht="15.75" customHeight="1" x14ac:dyDescent="0.2">
      <c r="A2281" s="1520"/>
      <c r="B2281" s="1214" t="s">
        <v>515</v>
      </c>
      <c r="C2281" s="969" t="s">
        <v>372</v>
      </c>
      <c r="D2281" s="969" t="s">
        <v>583</v>
      </c>
      <c r="E2281" s="1922"/>
      <c r="F2281" s="969" t="s">
        <v>42</v>
      </c>
      <c r="G2281" s="969" t="s">
        <v>372</v>
      </c>
      <c r="H2281" s="29" t="s">
        <v>697</v>
      </c>
      <c r="I2281" s="969" t="s">
        <v>42</v>
      </c>
      <c r="J2281" s="969" t="s">
        <v>372</v>
      </c>
      <c r="K2281" s="969" t="s">
        <v>697</v>
      </c>
      <c r="L2281" s="1214" t="s">
        <v>42</v>
      </c>
      <c r="M2281" s="969" t="s">
        <v>372</v>
      </c>
    </row>
    <row r="2282" spans="1:15" ht="48" x14ac:dyDescent="0.2">
      <c r="A2282" s="486" t="s">
        <v>2368</v>
      </c>
      <c r="B2282" s="220">
        <v>191928.30718464431</v>
      </c>
      <c r="C2282" s="220" t="s">
        <v>267</v>
      </c>
      <c r="D2282" s="220">
        <v>2</v>
      </c>
      <c r="E2282" s="159" t="s">
        <v>3423</v>
      </c>
      <c r="F2282" s="110">
        <v>1</v>
      </c>
      <c r="G2282" s="110" t="s">
        <v>3463</v>
      </c>
      <c r="H2282" s="110"/>
      <c r="I2282" s="110"/>
      <c r="J2282" s="110"/>
      <c r="K2282" s="110"/>
      <c r="L2282" s="845"/>
      <c r="M2282" s="112"/>
    </row>
    <row r="2283" spans="1:15" x14ac:dyDescent="0.2">
      <c r="A2283" s="1217"/>
      <c r="B2283" s="166">
        <f>B2282/1000*10*D2282</f>
        <v>3838.5661436928858</v>
      </c>
      <c r="C2283" s="133" t="s">
        <v>1</v>
      </c>
      <c r="E2283" s="83"/>
      <c r="F2283">
        <v>500</v>
      </c>
      <c r="G2283" t="s">
        <v>3425</v>
      </c>
      <c r="H2283" t="s">
        <v>701</v>
      </c>
      <c r="I2283">
        <v>500.29457000000002</v>
      </c>
      <c r="J2283" t="s">
        <v>702</v>
      </c>
      <c r="K2283" t="s">
        <v>701</v>
      </c>
      <c r="L2283" s="166">
        <f>B$2284*I2283</f>
        <v>3840.827596550781</v>
      </c>
      <c r="M2283" s="127" t="s">
        <v>3367</v>
      </c>
    </row>
    <row r="2284" spans="1:15" x14ac:dyDescent="0.2">
      <c r="A2284" s="1217"/>
      <c r="B2284" s="1218">
        <f>B2283/F2283</f>
        <v>7.6771322873857715</v>
      </c>
      <c r="C2284" s="1114" t="s">
        <v>3463</v>
      </c>
      <c r="D2284" s="6" t="s">
        <v>2279</v>
      </c>
      <c r="E2284" s="83"/>
      <c r="H2284" t="s">
        <v>703</v>
      </c>
      <c r="I2284" s="33">
        <v>5.0630000000000001E-2</v>
      </c>
      <c r="J2284" t="s">
        <v>704</v>
      </c>
      <c r="K2284" t="s">
        <v>703</v>
      </c>
      <c r="L2284" s="166">
        <f t="shared" ref="L2284:L2292" si="179">B$2284*I2284</f>
        <v>0.3886932077103416</v>
      </c>
      <c r="M2284" s="127" t="s">
        <v>3368</v>
      </c>
    </row>
    <row r="2285" spans="1:15" x14ac:dyDescent="0.2">
      <c r="A2285" s="1217"/>
      <c r="B2285" s="166"/>
      <c r="E2285" s="83"/>
      <c r="H2285" t="s">
        <v>705</v>
      </c>
      <c r="I2285" s="33">
        <v>4.7383300000000004E-6</v>
      </c>
      <c r="J2285" t="s">
        <v>706</v>
      </c>
      <c r="K2285" t="s">
        <v>705</v>
      </c>
      <c r="L2285" s="166">
        <f t="shared" si="179"/>
        <v>3.6376786231288623E-5</v>
      </c>
      <c r="M2285" s="127" t="s">
        <v>3370</v>
      </c>
    </row>
    <row r="2286" spans="1:15" x14ac:dyDescent="0.2">
      <c r="A2286" s="1217"/>
      <c r="B2286" s="166"/>
      <c r="E2286" s="83"/>
      <c r="H2286" t="s">
        <v>3372</v>
      </c>
      <c r="I2286">
        <v>32.336289999999998</v>
      </c>
      <c r="J2286" t="s">
        <v>3373</v>
      </c>
      <c r="K2286" t="s">
        <v>3372</v>
      </c>
      <c r="L2286" s="166">
        <f t="shared" si="179"/>
        <v>248.24997601326965</v>
      </c>
      <c r="M2286" s="127" t="s">
        <v>3374</v>
      </c>
    </row>
    <row r="2287" spans="1:15" x14ac:dyDescent="0.2">
      <c r="A2287" s="1217"/>
      <c r="B2287" s="166"/>
      <c r="E2287" s="83"/>
      <c r="H2287" t="s">
        <v>3375</v>
      </c>
      <c r="I2287">
        <v>330.76024999999998</v>
      </c>
      <c r="J2287" t="s">
        <v>707</v>
      </c>
      <c r="K2287" t="s">
        <v>3375</v>
      </c>
      <c r="L2287" s="166">
        <f t="shared" si="179"/>
        <v>2539.2901946587895</v>
      </c>
      <c r="M2287" s="127" t="s">
        <v>3376</v>
      </c>
    </row>
    <row r="2288" spans="1:15" x14ac:dyDescent="0.2">
      <c r="A2288" s="1217"/>
      <c r="B2288" s="166"/>
      <c r="E2288" s="83"/>
      <c r="H2288" t="s">
        <v>708</v>
      </c>
      <c r="I2288" s="33">
        <v>96090.3</v>
      </c>
      <c r="J2288" t="s">
        <v>709</v>
      </c>
      <c r="K2288" t="s">
        <v>708</v>
      </c>
      <c r="L2288" s="166">
        <f t="shared" si="179"/>
        <v>737697.94463458506</v>
      </c>
      <c r="M2288" s="127" t="s">
        <v>3377</v>
      </c>
    </row>
    <row r="2289" spans="1:13" x14ac:dyDescent="0.2">
      <c r="A2289" s="1217"/>
      <c r="B2289" s="166"/>
      <c r="E2289" s="83"/>
      <c r="H2289" t="s">
        <v>3378</v>
      </c>
      <c r="I2289" s="33">
        <v>5.6300000000000003E-2</v>
      </c>
      <c r="J2289" t="s">
        <v>704</v>
      </c>
      <c r="K2289" t="s">
        <v>3378</v>
      </c>
      <c r="L2289" s="166">
        <f t="shared" si="179"/>
        <v>0.43222254777981894</v>
      </c>
      <c r="M2289" s="127" t="s">
        <v>3368</v>
      </c>
    </row>
    <row r="2290" spans="1:13" x14ac:dyDescent="0.2">
      <c r="A2290" s="1217"/>
      <c r="B2290" s="166"/>
      <c r="E2290" s="83"/>
      <c r="H2290" t="s">
        <v>710</v>
      </c>
      <c r="I2290" s="33">
        <v>1.3699999999999999E-3</v>
      </c>
      <c r="J2290" t="s">
        <v>3379</v>
      </c>
      <c r="K2290" t="s">
        <v>710</v>
      </c>
      <c r="L2290" s="166">
        <f t="shared" si="179"/>
        <v>1.0517671233718506E-2</v>
      </c>
      <c r="M2290" s="127" t="s">
        <v>3380</v>
      </c>
    </row>
    <row r="2291" spans="1:13" x14ac:dyDescent="0.2">
      <c r="A2291" s="1217"/>
      <c r="B2291" s="166"/>
      <c r="E2291" s="83"/>
      <c r="H2291" t="s">
        <v>3381</v>
      </c>
      <c r="I2291">
        <v>145.08896999999999</v>
      </c>
      <c r="J2291" t="s">
        <v>3382</v>
      </c>
      <c r="K2291" t="s">
        <v>3381</v>
      </c>
      <c r="L2291" s="166">
        <f t="shared" si="179"/>
        <v>1113.8672161305456</v>
      </c>
      <c r="M2291" s="127" t="s">
        <v>3383</v>
      </c>
    </row>
    <row r="2292" spans="1:13" x14ac:dyDescent="0.2">
      <c r="A2292" s="1217"/>
      <c r="B2292" s="166"/>
      <c r="E2292" s="83"/>
      <c r="H2292" t="s">
        <v>3384</v>
      </c>
      <c r="I2292">
        <v>7926.5570900000002</v>
      </c>
      <c r="J2292" t="s">
        <v>711</v>
      </c>
      <c r="K2292" t="s">
        <v>3384</v>
      </c>
      <c r="L2292" s="166">
        <f t="shared" si="179"/>
        <v>60853.227363445607</v>
      </c>
      <c r="M2292" s="127" t="s">
        <v>3385</v>
      </c>
    </row>
    <row r="2293" spans="1:13" x14ac:dyDescent="0.2">
      <c r="A2293" s="1219"/>
      <c r="B2293" s="833"/>
      <c r="C2293" s="1102"/>
      <c r="D2293" s="118"/>
      <c r="E2293" s="1220"/>
      <c r="F2293" s="118"/>
      <c r="G2293" s="118"/>
      <c r="H2293" s="118"/>
      <c r="I2293" s="118"/>
      <c r="J2293" s="118"/>
      <c r="K2293" s="118"/>
      <c r="L2293" s="833"/>
      <c r="M2293" s="120"/>
    </row>
    <row r="2294" spans="1:13" ht="16" x14ac:dyDescent="0.2">
      <c r="A2294" s="486" t="s">
        <v>1027</v>
      </c>
      <c r="B2294" s="220">
        <v>191928.30718464431</v>
      </c>
      <c r="C2294" s="220" t="s">
        <v>267</v>
      </c>
      <c r="D2294" s="220">
        <v>2</v>
      </c>
      <c r="E2294" s="1216" t="s">
        <v>3388</v>
      </c>
      <c r="F2294" s="110"/>
      <c r="G2294" s="110"/>
      <c r="H2294" s="110"/>
      <c r="I2294" s="110"/>
      <c r="J2294" s="110"/>
      <c r="K2294" s="110"/>
      <c r="L2294" s="845"/>
      <c r="M2294" s="112"/>
    </row>
    <row r="2295" spans="1:13" x14ac:dyDescent="0.2">
      <c r="A2295" s="1217"/>
      <c r="B2295" s="166">
        <f>B2294/1000</f>
        <v>191.9283071846443</v>
      </c>
      <c r="C2295" s="133" t="s">
        <v>444</v>
      </c>
      <c r="F2295">
        <v>1</v>
      </c>
      <c r="G2295" t="s">
        <v>713</v>
      </c>
      <c r="H2295" t="s">
        <v>701</v>
      </c>
      <c r="I2295">
        <v>0.14229</v>
      </c>
      <c r="J2295" t="s">
        <v>702</v>
      </c>
      <c r="K2295" t="s">
        <v>701</v>
      </c>
      <c r="L2295" s="166">
        <f>I2295*B$2300</f>
        <v>39.129750000000001</v>
      </c>
      <c r="M2295" s="127" t="s">
        <v>3367</v>
      </c>
    </row>
    <row r="2296" spans="1:13" x14ac:dyDescent="0.2">
      <c r="A2296" s="1217"/>
      <c r="B2296" s="166">
        <v>20</v>
      </c>
      <c r="C2296" s="133" t="s">
        <v>10</v>
      </c>
      <c r="D2296" t="s">
        <v>3390</v>
      </c>
      <c r="E2296" s="83"/>
      <c r="F2296">
        <v>40</v>
      </c>
      <c r="G2296" t="s">
        <v>12</v>
      </c>
      <c r="H2296" t="s">
        <v>703</v>
      </c>
      <c r="I2296" s="33">
        <v>2.2291000000000001E-5</v>
      </c>
      <c r="J2296" t="s">
        <v>704</v>
      </c>
      <c r="K2296" t="s">
        <v>703</v>
      </c>
      <c r="L2296" s="166">
        <f t="shared" ref="L2296:L2303" si="180">I2296*B$2300</f>
        <v>6.1300249999999999E-3</v>
      </c>
      <c r="M2296" s="127" t="s">
        <v>3368</v>
      </c>
    </row>
    <row r="2297" spans="1:13" x14ac:dyDescent="0.2">
      <c r="A2297" s="1217"/>
      <c r="B2297" s="166">
        <v>0.7</v>
      </c>
      <c r="D2297" s="24" t="s">
        <v>3391</v>
      </c>
      <c r="E2297" s="83"/>
      <c r="H2297" t="s">
        <v>705</v>
      </c>
      <c r="I2297">
        <v>3203.5834399999999</v>
      </c>
      <c r="J2297" t="s">
        <v>706</v>
      </c>
      <c r="K2297" t="s">
        <v>705</v>
      </c>
      <c r="L2297" s="166">
        <f t="shared" si="180"/>
        <v>880985.446</v>
      </c>
      <c r="M2297" s="127" t="s">
        <v>3370</v>
      </c>
    </row>
    <row r="2298" spans="1:13" x14ac:dyDescent="0.2">
      <c r="A2298" s="1217"/>
      <c r="B2298" s="166">
        <f>B2295*B2296/B2297</f>
        <v>5483.6659195612656</v>
      </c>
      <c r="C2298" s="133" t="s">
        <v>12</v>
      </c>
      <c r="D2298" s="6"/>
      <c r="E2298" s="83"/>
      <c r="H2298" t="s">
        <v>3372</v>
      </c>
      <c r="I2298">
        <v>1.278E-2</v>
      </c>
      <c r="J2298" t="s">
        <v>3373</v>
      </c>
      <c r="K2298" t="s">
        <v>3372</v>
      </c>
      <c r="L2298" s="166">
        <f t="shared" si="180"/>
        <v>3.5145</v>
      </c>
      <c r="M2298" s="127" t="s">
        <v>3374</v>
      </c>
    </row>
    <row r="2299" spans="1:13" x14ac:dyDescent="0.2">
      <c r="A2299" s="1217"/>
      <c r="B2299" s="166">
        <f>B2298*D2294</f>
        <v>10967.331839122531</v>
      </c>
      <c r="C2299" s="133" t="s">
        <v>12</v>
      </c>
      <c r="E2299" s="83"/>
      <c r="H2299" t="s">
        <v>3375</v>
      </c>
      <c r="I2299">
        <v>3.7339999999999998E-2</v>
      </c>
      <c r="J2299" t="s">
        <v>707</v>
      </c>
      <c r="K2299" t="s">
        <v>3375</v>
      </c>
      <c r="L2299" s="166">
        <f t="shared" si="180"/>
        <v>10.2685</v>
      </c>
      <c r="M2299" s="127" t="s">
        <v>3376</v>
      </c>
    </row>
    <row r="2300" spans="1:13" x14ac:dyDescent="0.2">
      <c r="A2300" s="1217"/>
      <c r="B2300" s="1218">
        <f>ROUNDUP(B2299/F2296,0)</f>
        <v>275</v>
      </c>
      <c r="C2300" s="1114" t="s">
        <v>3392</v>
      </c>
      <c r="D2300" s="6" t="s">
        <v>577</v>
      </c>
      <c r="E2300" s="83"/>
      <c r="H2300" t="s">
        <v>708</v>
      </c>
      <c r="I2300">
        <v>9.0477000000000007</v>
      </c>
      <c r="J2300" t="s">
        <v>709</v>
      </c>
      <c r="K2300" t="s">
        <v>708</v>
      </c>
      <c r="L2300" s="166">
        <f t="shared" si="180"/>
        <v>2488.1175000000003</v>
      </c>
      <c r="M2300" s="127" t="s">
        <v>3377</v>
      </c>
    </row>
    <row r="2301" spans="1:13" x14ac:dyDescent="0.2">
      <c r="A2301" s="1217"/>
      <c r="B2301" s="166"/>
      <c r="E2301" s="83"/>
      <c r="H2301" t="s">
        <v>3378</v>
      </c>
      <c r="I2301" s="33">
        <v>3.5905399999999997E-5</v>
      </c>
      <c r="J2301" t="s">
        <v>704</v>
      </c>
      <c r="K2301" t="s">
        <v>3378</v>
      </c>
      <c r="L2301" s="166">
        <f t="shared" si="180"/>
        <v>9.8739849999999983E-3</v>
      </c>
      <c r="M2301" s="127" t="s">
        <v>3368</v>
      </c>
    </row>
    <row r="2302" spans="1:13" x14ac:dyDescent="0.2">
      <c r="A2302" s="1217"/>
      <c r="B2302" s="166"/>
      <c r="E2302" s="83"/>
      <c r="H2302" t="s">
        <v>710</v>
      </c>
      <c r="I2302" s="33">
        <v>1.7364199999999999E-7</v>
      </c>
      <c r="J2302" t="s">
        <v>3379</v>
      </c>
      <c r="K2302" t="s">
        <v>710</v>
      </c>
      <c r="L2302" s="166">
        <f t="shared" si="180"/>
        <v>4.7751549999999995E-5</v>
      </c>
      <c r="M2302" s="127" t="s">
        <v>3380</v>
      </c>
    </row>
    <row r="2303" spans="1:13" x14ac:dyDescent="0.2">
      <c r="A2303" s="1217"/>
      <c r="B2303" s="166"/>
      <c r="E2303" s="83"/>
      <c r="H2303" t="s">
        <v>3381</v>
      </c>
      <c r="I2303">
        <v>2.9360000000000001E-2</v>
      </c>
      <c r="J2303" t="s">
        <v>3382</v>
      </c>
      <c r="K2303" t="s">
        <v>3381</v>
      </c>
      <c r="L2303" s="166">
        <f t="shared" si="180"/>
        <v>8.0739999999999998</v>
      </c>
      <c r="M2303" s="127" t="s">
        <v>3383</v>
      </c>
    </row>
    <row r="2304" spans="1:13" x14ac:dyDescent="0.2">
      <c r="A2304" s="1217"/>
      <c r="B2304" s="166"/>
      <c r="E2304" s="83"/>
      <c r="H2304" t="s">
        <v>3384</v>
      </c>
      <c r="I2304">
        <v>0.84404000000000001</v>
      </c>
      <c r="J2304" t="s">
        <v>711</v>
      </c>
      <c r="K2304" t="s">
        <v>3384</v>
      </c>
      <c r="L2304" s="166">
        <f>I2304*B$2300</f>
        <v>232.11099999999999</v>
      </c>
      <c r="M2304" s="127" t="s">
        <v>3385</v>
      </c>
    </row>
    <row r="2305" spans="1:13" x14ac:dyDescent="0.2">
      <c r="A2305" s="1219"/>
      <c r="B2305" s="833"/>
      <c r="C2305" s="1102"/>
      <c r="D2305" s="118"/>
      <c r="E2305" s="1220"/>
      <c r="F2305" s="118"/>
      <c r="G2305" s="118"/>
      <c r="H2305" s="118"/>
      <c r="I2305" s="118"/>
      <c r="J2305" s="118"/>
      <c r="K2305" s="118"/>
      <c r="L2305" s="833"/>
      <c r="M2305" s="120"/>
    </row>
    <row r="2306" spans="1:13" ht="16" x14ac:dyDescent="0.2">
      <c r="A2306" s="486" t="s">
        <v>2369</v>
      </c>
      <c r="B2306" s="220">
        <v>479820.76796161075</v>
      </c>
      <c r="C2306" s="220" t="s">
        <v>267</v>
      </c>
      <c r="D2306" s="220">
        <v>2</v>
      </c>
      <c r="E2306" s="159" t="s">
        <v>3400</v>
      </c>
      <c r="F2306" s="110">
        <v>1</v>
      </c>
      <c r="G2306" s="110" t="s">
        <v>1</v>
      </c>
      <c r="H2306" s="110"/>
      <c r="I2306" s="110"/>
      <c r="J2306" s="110"/>
      <c r="K2306" s="110"/>
      <c r="L2306" s="845"/>
      <c r="M2306" s="112"/>
    </row>
    <row r="2307" spans="1:13" x14ac:dyDescent="0.2">
      <c r="A2307" s="1217"/>
      <c r="B2307" s="1218">
        <f>B2306/1000*10*D2306</f>
        <v>9596.4153592322145</v>
      </c>
      <c r="C2307" s="1114" t="s">
        <v>1</v>
      </c>
      <c r="D2307" s="6" t="s">
        <v>586</v>
      </c>
      <c r="E2307" s="83"/>
      <c r="H2307" t="s">
        <v>701</v>
      </c>
      <c r="I2307">
        <v>7.5000000000000002E-4</v>
      </c>
      <c r="J2307" t="s">
        <v>702</v>
      </c>
      <c r="K2307" t="s">
        <v>701</v>
      </c>
      <c r="L2307" s="166">
        <f>I2307*B$2307</f>
        <v>7.1973115194241615</v>
      </c>
      <c r="M2307" s="127" t="s">
        <v>3367</v>
      </c>
    </row>
    <row r="2308" spans="1:13" x14ac:dyDescent="0.2">
      <c r="A2308" s="1217"/>
      <c r="B2308" s="166"/>
      <c r="E2308" s="83"/>
      <c r="H2308" t="s">
        <v>703</v>
      </c>
      <c r="I2308" s="33">
        <v>3.3111200000000002E-8</v>
      </c>
      <c r="J2308" t="s">
        <v>704</v>
      </c>
      <c r="K2308" t="s">
        <v>703</v>
      </c>
      <c r="L2308" s="166">
        <f t="shared" ref="L2308:L2316" si="181">I2308*B$2307</f>
        <v>3.1774882824260972E-4</v>
      </c>
      <c r="M2308" s="127" t="s">
        <v>3368</v>
      </c>
    </row>
    <row r="2309" spans="1:13" x14ac:dyDescent="0.2">
      <c r="A2309" s="1217"/>
      <c r="B2309" s="166"/>
      <c r="D2309" s="24"/>
      <c r="E2309" s="83"/>
      <c r="H2309" t="s">
        <v>705</v>
      </c>
      <c r="I2309">
        <v>4.1968100000000002</v>
      </c>
      <c r="J2309" t="s">
        <v>706</v>
      </c>
      <c r="K2309" t="s">
        <v>705</v>
      </c>
      <c r="L2309" s="166">
        <f t="shared" si="181"/>
        <v>40274.331943779354</v>
      </c>
      <c r="M2309" s="127" t="s">
        <v>3370</v>
      </c>
    </row>
    <row r="2310" spans="1:13" x14ac:dyDescent="0.2">
      <c r="A2310" s="1217"/>
      <c r="B2310" s="166"/>
      <c r="D2310" s="6"/>
      <c r="E2310" s="83"/>
      <c r="H2310" t="s">
        <v>3372</v>
      </c>
      <c r="I2310">
        <v>3.2000000000000003E-4</v>
      </c>
      <c r="J2310" t="s">
        <v>3373</v>
      </c>
      <c r="K2310" t="s">
        <v>3372</v>
      </c>
      <c r="L2310" s="166">
        <f t="shared" si="181"/>
        <v>3.0708529149543091</v>
      </c>
      <c r="M2310" s="127" t="s">
        <v>3374</v>
      </c>
    </row>
    <row r="2311" spans="1:13" x14ac:dyDescent="0.2">
      <c r="A2311" s="1217"/>
      <c r="B2311" s="166"/>
      <c r="E2311" s="83"/>
      <c r="H2311" t="s">
        <v>3375</v>
      </c>
      <c r="I2311">
        <v>5.2999999999999998E-4</v>
      </c>
      <c r="J2311" t="s">
        <v>707</v>
      </c>
      <c r="K2311" t="s">
        <v>3375</v>
      </c>
      <c r="L2311" s="166">
        <f t="shared" si="181"/>
        <v>5.0861001403930732</v>
      </c>
      <c r="M2311" s="127" t="s">
        <v>3376</v>
      </c>
    </row>
    <row r="2312" spans="1:13" x14ac:dyDescent="0.2">
      <c r="A2312" s="1217"/>
      <c r="B2312" s="1218"/>
      <c r="C2312" s="1114"/>
      <c r="D2312" s="6"/>
      <c r="E2312" s="83"/>
      <c r="H2312" t="s">
        <v>708</v>
      </c>
      <c r="I2312">
        <v>0.39150000000000001</v>
      </c>
      <c r="J2312" t="s">
        <v>709</v>
      </c>
      <c r="K2312" t="s">
        <v>708</v>
      </c>
      <c r="L2312" s="166">
        <f t="shared" si="181"/>
        <v>3756.9966131394121</v>
      </c>
      <c r="M2312" s="127" t="s">
        <v>3377</v>
      </c>
    </row>
    <row r="2313" spans="1:13" x14ac:dyDescent="0.2">
      <c r="A2313" s="1217"/>
      <c r="B2313" s="166"/>
      <c r="E2313" s="83"/>
      <c r="H2313" t="s">
        <v>3378</v>
      </c>
      <c r="I2313" s="33">
        <v>9.8849699999999999E-8</v>
      </c>
      <c r="J2313" t="s">
        <v>704</v>
      </c>
      <c r="K2313" t="s">
        <v>3378</v>
      </c>
      <c r="L2313" s="166">
        <f t="shared" si="181"/>
        <v>9.4860277933549663E-4</v>
      </c>
      <c r="M2313" s="127" t="s">
        <v>3368</v>
      </c>
    </row>
    <row r="2314" spans="1:13" x14ac:dyDescent="0.2">
      <c r="A2314" s="1217"/>
      <c r="B2314" s="166"/>
      <c r="E2314" s="83"/>
      <c r="H2314" t="s">
        <v>710</v>
      </c>
      <c r="I2314" s="33">
        <v>1.51061E-9</v>
      </c>
      <c r="J2314" t="s">
        <v>3379</v>
      </c>
      <c r="K2314" t="s">
        <v>710</v>
      </c>
      <c r="L2314" s="166">
        <f t="shared" si="181"/>
        <v>1.4496441005809776E-5</v>
      </c>
      <c r="M2314" s="127" t="s">
        <v>3380</v>
      </c>
    </row>
    <row r="2315" spans="1:13" x14ac:dyDescent="0.2">
      <c r="A2315" s="1217"/>
      <c r="B2315" s="166"/>
      <c r="E2315" s="83"/>
      <c r="H2315" t="s">
        <v>3381</v>
      </c>
      <c r="I2315">
        <v>1.01E-3</v>
      </c>
      <c r="J2315" t="s">
        <v>3382</v>
      </c>
      <c r="K2315" t="s">
        <v>3381</v>
      </c>
      <c r="L2315" s="166">
        <f t="shared" si="181"/>
        <v>9.6923795128245374</v>
      </c>
      <c r="M2315" s="127" t="s">
        <v>3383</v>
      </c>
    </row>
    <row r="2316" spans="1:13" x14ac:dyDescent="0.2">
      <c r="A2316" s="1217"/>
      <c r="B2316" s="166"/>
      <c r="E2316" s="83"/>
      <c r="H2316" t="s">
        <v>3384</v>
      </c>
      <c r="I2316">
        <v>1.2200000000000001E-2</v>
      </c>
      <c r="J2316" t="s">
        <v>711</v>
      </c>
      <c r="K2316" t="s">
        <v>3384</v>
      </c>
      <c r="L2316" s="166">
        <f t="shared" si="181"/>
        <v>117.07626738263302</v>
      </c>
      <c r="M2316" s="127" t="s">
        <v>3385</v>
      </c>
    </row>
    <row r="2317" spans="1:13" x14ac:dyDescent="0.2">
      <c r="A2317" s="1219"/>
      <c r="B2317" s="833"/>
      <c r="C2317" s="1102"/>
      <c r="D2317" s="118"/>
      <c r="E2317" s="1220"/>
      <c r="F2317" s="118"/>
      <c r="G2317" s="118"/>
      <c r="H2317" s="118"/>
      <c r="I2317" s="118"/>
      <c r="J2317" s="118"/>
      <c r="K2317" s="118"/>
      <c r="L2317" s="833"/>
      <c r="M2317" s="120"/>
    </row>
    <row r="2318" spans="1:13" ht="16" x14ac:dyDescent="0.2">
      <c r="A2318" s="486" t="s">
        <v>2370</v>
      </c>
      <c r="B2318" s="220">
        <v>6053.7386891156557</v>
      </c>
      <c r="C2318" s="220" t="s">
        <v>1091</v>
      </c>
      <c r="D2318" s="220">
        <v>2</v>
      </c>
      <c r="E2318" s="1216" t="s">
        <v>3388</v>
      </c>
      <c r="F2318" s="110"/>
      <c r="G2318" s="110"/>
      <c r="H2318" s="110"/>
      <c r="I2318" s="110"/>
      <c r="J2318" s="110"/>
      <c r="K2318" s="110"/>
      <c r="L2318" s="845"/>
      <c r="M2318" s="112"/>
    </row>
    <row r="2319" spans="1:13" x14ac:dyDescent="0.2">
      <c r="A2319" s="1217"/>
      <c r="B2319" s="166">
        <f>B2318/1000</f>
        <v>6.0537386891156553</v>
      </c>
      <c r="C2319" s="133" t="s">
        <v>444</v>
      </c>
      <c r="F2319">
        <v>1</v>
      </c>
      <c r="G2319" t="s">
        <v>713</v>
      </c>
      <c r="H2319" t="s">
        <v>701</v>
      </c>
      <c r="I2319">
        <v>0.14229</v>
      </c>
      <c r="J2319" t="s">
        <v>702</v>
      </c>
      <c r="K2319" t="s">
        <v>701</v>
      </c>
      <c r="L2319" s="166">
        <f>I2319*B$2324</f>
        <v>1.28061</v>
      </c>
      <c r="M2319" s="127" t="s">
        <v>3367</v>
      </c>
    </row>
    <row r="2320" spans="1:13" x14ac:dyDescent="0.2">
      <c r="A2320" s="1217"/>
      <c r="B2320" s="166">
        <v>20</v>
      </c>
      <c r="C2320" s="133" t="s">
        <v>10</v>
      </c>
      <c r="D2320" t="s">
        <v>3390</v>
      </c>
      <c r="E2320" s="83"/>
      <c r="F2320">
        <v>40</v>
      </c>
      <c r="G2320" t="s">
        <v>12</v>
      </c>
      <c r="H2320" t="s">
        <v>703</v>
      </c>
      <c r="I2320" s="33">
        <v>2.2291000000000001E-5</v>
      </c>
      <c r="J2320" t="s">
        <v>704</v>
      </c>
      <c r="K2320" t="s">
        <v>703</v>
      </c>
      <c r="L2320" s="166">
        <f t="shared" ref="L2320:L2328" si="182">I2320*B$2324</f>
        <v>2.00619E-4</v>
      </c>
      <c r="M2320" s="127" t="s">
        <v>3368</v>
      </c>
    </row>
    <row r="2321" spans="1:13" x14ac:dyDescent="0.2">
      <c r="A2321" s="1217"/>
      <c r="B2321" s="166">
        <v>0.7</v>
      </c>
      <c r="D2321" s="24" t="s">
        <v>3391</v>
      </c>
      <c r="E2321" s="83"/>
      <c r="H2321" t="s">
        <v>705</v>
      </c>
      <c r="I2321">
        <v>3203.5834399999999</v>
      </c>
      <c r="J2321" t="s">
        <v>706</v>
      </c>
      <c r="K2321" t="s">
        <v>705</v>
      </c>
      <c r="L2321" s="166">
        <f t="shared" si="182"/>
        <v>28832.250959999998</v>
      </c>
      <c r="M2321" s="127" t="s">
        <v>3370</v>
      </c>
    </row>
    <row r="2322" spans="1:13" x14ac:dyDescent="0.2">
      <c r="A2322" s="1217"/>
      <c r="B2322" s="166">
        <f>B2319*B2320/B2321</f>
        <v>172.96396254616158</v>
      </c>
      <c r="C2322" s="133" t="s">
        <v>12</v>
      </c>
      <c r="D2322" s="6"/>
      <c r="E2322" s="83"/>
      <c r="H2322" t="s">
        <v>3372</v>
      </c>
      <c r="I2322">
        <v>1.278E-2</v>
      </c>
      <c r="J2322" t="s">
        <v>3373</v>
      </c>
      <c r="K2322" t="s">
        <v>3372</v>
      </c>
      <c r="L2322" s="166">
        <f t="shared" si="182"/>
        <v>0.11502</v>
      </c>
      <c r="M2322" s="127" t="s">
        <v>3374</v>
      </c>
    </row>
    <row r="2323" spans="1:13" x14ac:dyDescent="0.2">
      <c r="A2323" s="1217"/>
      <c r="B2323" s="166">
        <f>B2322*D2318</f>
        <v>345.92792509232316</v>
      </c>
      <c r="C2323" s="133" t="s">
        <v>12</v>
      </c>
      <c r="E2323" s="83"/>
      <c r="H2323" t="s">
        <v>3375</v>
      </c>
      <c r="I2323">
        <v>3.7339999999999998E-2</v>
      </c>
      <c r="J2323" t="s">
        <v>707</v>
      </c>
      <c r="K2323" t="s">
        <v>3375</v>
      </c>
      <c r="L2323" s="166">
        <f t="shared" si="182"/>
        <v>0.33605999999999997</v>
      </c>
      <c r="M2323" s="127" t="s">
        <v>3376</v>
      </c>
    </row>
    <row r="2324" spans="1:13" x14ac:dyDescent="0.2">
      <c r="A2324" s="1217"/>
      <c r="B2324" s="1218">
        <f>ROUNDUP(B2323/F2320,0)</f>
        <v>9</v>
      </c>
      <c r="C2324" s="1114" t="s">
        <v>3392</v>
      </c>
      <c r="D2324" s="6" t="s">
        <v>577</v>
      </c>
      <c r="E2324" s="83"/>
      <c r="H2324" t="s">
        <v>708</v>
      </c>
      <c r="I2324">
        <v>9.0477000000000007</v>
      </c>
      <c r="J2324" t="s">
        <v>709</v>
      </c>
      <c r="K2324" t="s">
        <v>708</v>
      </c>
      <c r="L2324" s="166">
        <f t="shared" si="182"/>
        <v>81.429300000000012</v>
      </c>
      <c r="M2324" s="127" t="s">
        <v>3377</v>
      </c>
    </row>
    <row r="2325" spans="1:13" x14ac:dyDescent="0.2">
      <c r="A2325" s="1217"/>
      <c r="B2325" s="166"/>
      <c r="E2325" s="83"/>
      <c r="H2325" t="s">
        <v>3378</v>
      </c>
      <c r="I2325" s="33">
        <v>3.5905399999999997E-5</v>
      </c>
      <c r="J2325" t="s">
        <v>704</v>
      </c>
      <c r="K2325" t="s">
        <v>3378</v>
      </c>
      <c r="L2325" s="166">
        <f t="shared" si="182"/>
        <v>3.2314859999999998E-4</v>
      </c>
      <c r="M2325" s="127" t="s">
        <v>3368</v>
      </c>
    </row>
    <row r="2326" spans="1:13" x14ac:dyDescent="0.2">
      <c r="A2326" s="1217"/>
      <c r="B2326" s="166"/>
      <c r="E2326" s="83"/>
      <c r="H2326" t="s">
        <v>710</v>
      </c>
      <c r="I2326" s="33">
        <v>1.7364199999999999E-7</v>
      </c>
      <c r="J2326" t="s">
        <v>3379</v>
      </c>
      <c r="K2326" t="s">
        <v>710</v>
      </c>
      <c r="L2326" s="166">
        <f t="shared" si="182"/>
        <v>1.5627779999999999E-6</v>
      </c>
      <c r="M2326" s="127" t="s">
        <v>3380</v>
      </c>
    </row>
    <row r="2327" spans="1:13" x14ac:dyDescent="0.2">
      <c r="A2327" s="1217"/>
      <c r="B2327" s="166"/>
      <c r="E2327" s="83"/>
      <c r="H2327" t="s">
        <v>3381</v>
      </c>
      <c r="I2327">
        <v>2.9360000000000001E-2</v>
      </c>
      <c r="J2327" t="s">
        <v>3382</v>
      </c>
      <c r="K2327" t="s">
        <v>3381</v>
      </c>
      <c r="L2327" s="166">
        <f t="shared" si="182"/>
        <v>0.26424000000000003</v>
      </c>
      <c r="M2327" s="127" t="s">
        <v>3383</v>
      </c>
    </row>
    <row r="2328" spans="1:13" x14ac:dyDescent="0.2">
      <c r="A2328" s="1217"/>
      <c r="B2328" s="166"/>
      <c r="E2328" s="83"/>
      <c r="H2328" t="s">
        <v>3384</v>
      </c>
      <c r="I2328">
        <v>0.84404000000000001</v>
      </c>
      <c r="J2328" t="s">
        <v>711</v>
      </c>
      <c r="K2328" t="s">
        <v>3384</v>
      </c>
      <c r="L2328" s="166">
        <f t="shared" si="182"/>
        <v>7.5963599999999998</v>
      </c>
      <c r="M2328" s="127" t="s">
        <v>3385</v>
      </c>
    </row>
    <row r="2329" spans="1:13" x14ac:dyDescent="0.2">
      <c r="A2329" s="1219"/>
      <c r="B2329" s="833"/>
      <c r="C2329" s="1102"/>
      <c r="D2329" s="118"/>
      <c r="E2329" s="1220"/>
      <c r="F2329" s="118"/>
      <c r="G2329" s="118"/>
      <c r="H2329" s="118"/>
      <c r="I2329" s="118"/>
      <c r="J2329" s="118"/>
      <c r="K2329" s="118"/>
      <c r="L2329" s="833"/>
      <c r="M2329" s="120"/>
    </row>
    <row r="2330" spans="1:13" ht="21.5" customHeight="1" x14ac:dyDescent="0.2">
      <c r="A2330" s="1215" t="s">
        <v>2371</v>
      </c>
      <c r="B2330" s="1243">
        <v>4842.9909512925251</v>
      </c>
      <c r="C2330" s="1243" t="s">
        <v>1091</v>
      </c>
      <c r="D2330" s="1243">
        <v>2</v>
      </c>
      <c r="E2330" s="1216" t="s">
        <v>3388</v>
      </c>
      <c r="F2330" s="110"/>
      <c r="G2330" s="110"/>
      <c r="H2330" s="110"/>
      <c r="I2330" s="110"/>
      <c r="J2330" s="110"/>
      <c r="K2330" s="110"/>
      <c r="L2330" s="845"/>
      <c r="M2330" s="112"/>
    </row>
    <row r="2331" spans="1:13" x14ac:dyDescent="0.2">
      <c r="A2331" s="637"/>
      <c r="B2331" s="166">
        <f>B2330/1000</f>
        <v>4.8429909512925251</v>
      </c>
      <c r="C2331" s="133" t="s">
        <v>444</v>
      </c>
      <c r="F2331">
        <v>1</v>
      </c>
      <c r="G2331" t="s">
        <v>713</v>
      </c>
      <c r="H2331" t="s">
        <v>701</v>
      </c>
      <c r="I2331">
        <v>0.14229</v>
      </c>
      <c r="J2331" t="s">
        <v>702</v>
      </c>
      <c r="K2331" t="s">
        <v>701</v>
      </c>
      <c r="L2331" s="166">
        <f>I2331*B$2336</f>
        <v>0.99602999999999997</v>
      </c>
      <c r="M2331" s="127" t="s">
        <v>3367</v>
      </c>
    </row>
    <row r="2332" spans="1:13" x14ac:dyDescent="0.2">
      <c r="A2332" s="1217"/>
      <c r="B2332" s="166">
        <v>20</v>
      </c>
      <c r="C2332" s="133" t="s">
        <v>10</v>
      </c>
      <c r="D2332" t="s">
        <v>3390</v>
      </c>
      <c r="E2332" s="83"/>
      <c r="F2332">
        <v>40</v>
      </c>
      <c r="G2332" t="s">
        <v>12</v>
      </c>
      <c r="H2332" t="s">
        <v>703</v>
      </c>
      <c r="I2332" s="33">
        <v>2.2291000000000001E-5</v>
      </c>
      <c r="J2332" t="s">
        <v>704</v>
      </c>
      <c r="K2332" t="s">
        <v>703</v>
      </c>
      <c r="L2332" s="166">
        <f t="shared" ref="L2332:L2340" si="183">I2332*B$2336</f>
        <v>1.5603700000000001E-4</v>
      </c>
      <c r="M2332" s="127" t="s">
        <v>3368</v>
      </c>
    </row>
    <row r="2333" spans="1:13" x14ac:dyDescent="0.2">
      <c r="A2333" s="1217"/>
      <c r="B2333" s="166">
        <v>0.7</v>
      </c>
      <c r="D2333" s="24" t="s">
        <v>3391</v>
      </c>
      <c r="E2333" s="83"/>
      <c r="H2333" t="s">
        <v>705</v>
      </c>
      <c r="I2333">
        <v>3203.5834399999999</v>
      </c>
      <c r="J2333" t="s">
        <v>706</v>
      </c>
      <c r="K2333" t="s">
        <v>705</v>
      </c>
      <c r="L2333" s="166">
        <f t="shared" si="183"/>
        <v>22425.084080000001</v>
      </c>
      <c r="M2333" s="127" t="s">
        <v>3370</v>
      </c>
    </row>
    <row r="2334" spans="1:13" x14ac:dyDescent="0.2">
      <c r="A2334" s="1217"/>
      <c r="B2334" s="166">
        <f>B2331*B2332/B2333</f>
        <v>138.3711700369293</v>
      </c>
      <c r="C2334" s="133" t="s">
        <v>12</v>
      </c>
      <c r="D2334" s="6"/>
      <c r="E2334" s="83"/>
      <c r="H2334" t="s">
        <v>3372</v>
      </c>
      <c r="I2334">
        <v>1.278E-2</v>
      </c>
      <c r="J2334" t="s">
        <v>3373</v>
      </c>
      <c r="K2334" t="s">
        <v>3372</v>
      </c>
      <c r="L2334" s="166">
        <f t="shared" si="183"/>
        <v>8.9459999999999998E-2</v>
      </c>
      <c r="M2334" s="127" t="s">
        <v>3374</v>
      </c>
    </row>
    <row r="2335" spans="1:13" x14ac:dyDescent="0.2">
      <c r="A2335" s="1217"/>
      <c r="B2335" s="166">
        <f>B2334*D2330</f>
        <v>276.7423400738586</v>
      </c>
      <c r="C2335" s="133" t="s">
        <v>12</v>
      </c>
      <c r="E2335" s="83"/>
      <c r="H2335" t="s">
        <v>3375</v>
      </c>
      <c r="I2335">
        <v>3.7339999999999998E-2</v>
      </c>
      <c r="J2335" t="s">
        <v>707</v>
      </c>
      <c r="K2335" t="s">
        <v>3375</v>
      </c>
      <c r="L2335" s="166">
        <f t="shared" si="183"/>
        <v>0.26138</v>
      </c>
      <c r="M2335" s="127" t="s">
        <v>3376</v>
      </c>
    </row>
    <row r="2336" spans="1:13" x14ac:dyDescent="0.2">
      <c r="A2336" s="1217"/>
      <c r="B2336" s="1218">
        <f>ROUNDUP(B2335/F2332,0)</f>
        <v>7</v>
      </c>
      <c r="C2336" s="1114" t="s">
        <v>3392</v>
      </c>
      <c r="D2336" s="6" t="s">
        <v>577</v>
      </c>
      <c r="E2336" s="83"/>
      <c r="H2336" t="s">
        <v>708</v>
      </c>
      <c r="I2336">
        <v>9.0477000000000007</v>
      </c>
      <c r="J2336" t="s">
        <v>709</v>
      </c>
      <c r="K2336" t="s">
        <v>708</v>
      </c>
      <c r="L2336" s="166">
        <f t="shared" si="183"/>
        <v>63.333900000000007</v>
      </c>
      <c r="M2336" s="127" t="s">
        <v>3377</v>
      </c>
    </row>
    <row r="2337" spans="1:13" x14ac:dyDescent="0.2">
      <c r="A2337" s="1217"/>
      <c r="B2337" s="166"/>
      <c r="E2337" s="83"/>
      <c r="H2337" t="s">
        <v>3378</v>
      </c>
      <c r="I2337" s="33">
        <v>3.5905399999999997E-5</v>
      </c>
      <c r="J2337" t="s">
        <v>704</v>
      </c>
      <c r="K2337" t="s">
        <v>3378</v>
      </c>
      <c r="L2337" s="166">
        <f t="shared" si="183"/>
        <v>2.5133779999999997E-4</v>
      </c>
      <c r="M2337" s="127" t="s">
        <v>3368</v>
      </c>
    </row>
    <row r="2338" spans="1:13" x14ac:dyDescent="0.2">
      <c r="A2338" s="1217"/>
      <c r="B2338" s="166"/>
      <c r="E2338" s="83"/>
      <c r="H2338" t="s">
        <v>710</v>
      </c>
      <c r="I2338" s="33">
        <v>1.7364199999999999E-7</v>
      </c>
      <c r="J2338" t="s">
        <v>3379</v>
      </c>
      <c r="K2338" t="s">
        <v>710</v>
      </c>
      <c r="L2338" s="166">
        <f t="shared" si="183"/>
        <v>1.2154939999999999E-6</v>
      </c>
      <c r="M2338" s="127" t="s">
        <v>3380</v>
      </c>
    </row>
    <row r="2339" spans="1:13" x14ac:dyDescent="0.2">
      <c r="A2339" s="1217"/>
      <c r="B2339" s="166"/>
      <c r="E2339" s="83"/>
      <c r="H2339" t="s">
        <v>3381</v>
      </c>
      <c r="I2339">
        <v>2.9360000000000001E-2</v>
      </c>
      <c r="J2339" t="s">
        <v>3382</v>
      </c>
      <c r="K2339" t="s">
        <v>3381</v>
      </c>
      <c r="L2339" s="166">
        <f t="shared" si="183"/>
        <v>0.20552000000000001</v>
      </c>
      <c r="M2339" s="127" t="s">
        <v>3383</v>
      </c>
    </row>
    <row r="2340" spans="1:13" x14ac:dyDescent="0.2">
      <c r="A2340" s="1217"/>
      <c r="B2340" s="166"/>
      <c r="E2340" s="83"/>
      <c r="H2340" t="s">
        <v>3384</v>
      </c>
      <c r="I2340">
        <v>0.84404000000000001</v>
      </c>
      <c r="J2340" t="s">
        <v>711</v>
      </c>
      <c r="K2340" t="s">
        <v>3384</v>
      </c>
      <c r="L2340" s="166">
        <f t="shared" si="183"/>
        <v>5.9082800000000004</v>
      </c>
      <c r="M2340" s="127" t="s">
        <v>3385</v>
      </c>
    </row>
    <row r="2341" spans="1:13" x14ac:dyDescent="0.2">
      <c r="A2341" s="1219"/>
      <c r="B2341" s="833"/>
      <c r="C2341" s="1102"/>
      <c r="D2341" s="118"/>
      <c r="E2341" s="1220"/>
      <c r="F2341" s="118"/>
      <c r="G2341" s="118"/>
      <c r="H2341" s="118"/>
      <c r="I2341" s="118"/>
      <c r="J2341" s="118"/>
      <c r="K2341" s="118"/>
      <c r="L2341" s="833"/>
      <c r="M2341" s="120"/>
    </row>
    <row r="2342" spans="1:13" ht="48" x14ac:dyDescent="0.2">
      <c r="A2342" s="486" t="s">
        <v>1088</v>
      </c>
      <c r="B2342" s="220">
        <v>605.37386891156564</v>
      </c>
      <c r="C2342" s="220" t="s">
        <v>1091</v>
      </c>
      <c r="D2342" s="220">
        <v>2</v>
      </c>
      <c r="E2342" s="1230" t="s">
        <v>3437</v>
      </c>
      <c r="F2342" s="110">
        <v>1</v>
      </c>
      <c r="G2342" s="110" t="s">
        <v>3429</v>
      </c>
      <c r="H2342" s="110"/>
      <c r="I2342" s="110"/>
      <c r="J2342" s="110"/>
      <c r="K2342" s="110"/>
      <c r="L2342" s="845"/>
      <c r="M2342" s="112"/>
    </row>
    <row r="2343" spans="1:13" x14ac:dyDescent="0.2">
      <c r="A2343" s="1217"/>
      <c r="B2343" s="166">
        <v>16.475575533569732</v>
      </c>
      <c r="C2343" s="133" t="s">
        <v>444</v>
      </c>
      <c r="E2343" s="83"/>
      <c r="F2343">
        <v>600</v>
      </c>
      <c r="G2343" t="s">
        <v>3438</v>
      </c>
      <c r="H2343" t="s">
        <v>701</v>
      </c>
      <c r="I2343">
        <v>12.44168</v>
      </c>
      <c r="J2343" t="s">
        <v>702</v>
      </c>
      <c r="K2343" t="s">
        <v>701</v>
      </c>
      <c r="L2343" s="166">
        <f>I2343*B$2344</f>
        <v>24.88336</v>
      </c>
      <c r="M2343" s="127" t="s">
        <v>3367</v>
      </c>
    </row>
    <row r="2344" spans="1:13" x14ac:dyDescent="0.2">
      <c r="A2344" s="1217"/>
      <c r="B2344" s="1218">
        <f>ROUNDUP(B2343/F2343,0)*D2342</f>
        <v>2</v>
      </c>
      <c r="C2344" s="1114" t="s">
        <v>3429</v>
      </c>
      <c r="D2344" s="6" t="s">
        <v>577</v>
      </c>
      <c r="E2344" s="83"/>
      <c r="H2344" t="s">
        <v>703</v>
      </c>
      <c r="I2344">
        <v>4.8000000000000001E-4</v>
      </c>
      <c r="J2344" t="s">
        <v>704</v>
      </c>
      <c r="K2344" t="s">
        <v>703</v>
      </c>
      <c r="L2344" s="166">
        <f t="shared" ref="L2344:L2352" si="184">I2344*B$2344</f>
        <v>9.6000000000000002E-4</v>
      </c>
      <c r="M2344" s="127" t="s">
        <v>3368</v>
      </c>
    </row>
    <row r="2345" spans="1:13" x14ac:dyDescent="0.2">
      <c r="A2345" s="1217"/>
      <c r="B2345" s="166"/>
      <c r="E2345" s="83"/>
      <c r="H2345" t="s">
        <v>705</v>
      </c>
      <c r="I2345" s="33">
        <v>71800.399999999994</v>
      </c>
      <c r="J2345" t="s">
        <v>706</v>
      </c>
      <c r="K2345" t="s">
        <v>705</v>
      </c>
      <c r="L2345" s="166">
        <f t="shared" si="184"/>
        <v>143600.79999999999</v>
      </c>
      <c r="M2345" s="127" t="s">
        <v>3370</v>
      </c>
    </row>
    <row r="2346" spans="1:13" x14ac:dyDescent="0.2">
      <c r="A2346" s="1217"/>
      <c r="B2346" s="166"/>
      <c r="E2346" s="83"/>
      <c r="H2346" t="s">
        <v>3372</v>
      </c>
      <c r="I2346">
        <v>0.48496</v>
      </c>
      <c r="J2346" t="s">
        <v>3373</v>
      </c>
      <c r="K2346" t="s">
        <v>3372</v>
      </c>
      <c r="L2346" s="166">
        <f t="shared" si="184"/>
        <v>0.96992</v>
      </c>
      <c r="M2346" s="127" t="s">
        <v>3374</v>
      </c>
    </row>
    <row r="2347" spans="1:13" x14ac:dyDescent="0.2">
      <c r="A2347" s="1217"/>
      <c r="B2347" s="1218"/>
      <c r="C2347" s="1114"/>
      <c r="D2347" s="6"/>
      <c r="E2347" s="83"/>
      <c r="H2347" t="s">
        <v>3375</v>
      </c>
      <c r="I2347">
        <v>5.6584000000000003</v>
      </c>
      <c r="J2347" t="s">
        <v>707</v>
      </c>
      <c r="K2347" t="s">
        <v>3375</v>
      </c>
      <c r="L2347" s="166">
        <f t="shared" si="184"/>
        <v>11.316800000000001</v>
      </c>
      <c r="M2347" s="127" t="s">
        <v>3376</v>
      </c>
    </row>
    <row r="2348" spans="1:13" x14ac:dyDescent="0.2">
      <c r="A2348" s="1217"/>
      <c r="B2348" s="166"/>
      <c r="E2348" s="83"/>
      <c r="H2348" t="s">
        <v>708</v>
      </c>
      <c r="I2348">
        <v>950.53150000000005</v>
      </c>
      <c r="J2348" t="s">
        <v>709</v>
      </c>
      <c r="K2348" t="s">
        <v>708</v>
      </c>
      <c r="L2348" s="166">
        <f t="shared" si="184"/>
        <v>1901.0630000000001</v>
      </c>
      <c r="M2348" s="127" t="s">
        <v>3377</v>
      </c>
    </row>
    <row r="2349" spans="1:13" x14ac:dyDescent="0.2">
      <c r="A2349" s="1217"/>
      <c r="B2349" s="166"/>
      <c r="E2349" s="83"/>
      <c r="H2349" t="s">
        <v>3378</v>
      </c>
      <c r="I2349">
        <v>9.6000000000000002E-4</v>
      </c>
      <c r="J2349" t="s">
        <v>704</v>
      </c>
      <c r="K2349" t="s">
        <v>3378</v>
      </c>
      <c r="L2349" s="166">
        <f t="shared" si="184"/>
        <v>1.92E-3</v>
      </c>
      <c r="M2349" s="127" t="s">
        <v>3368</v>
      </c>
    </row>
    <row r="2350" spans="1:13" x14ac:dyDescent="0.2">
      <c r="A2350" s="1217"/>
      <c r="B2350" s="166"/>
      <c r="E2350" s="83"/>
      <c r="H2350" t="s">
        <v>710</v>
      </c>
      <c r="I2350" s="33">
        <v>1.9998899999999999E-5</v>
      </c>
      <c r="J2350" t="s">
        <v>3379</v>
      </c>
      <c r="K2350" t="s">
        <v>710</v>
      </c>
      <c r="L2350" s="166">
        <f t="shared" si="184"/>
        <v>3.9997799999999998E-5</v>
      </c>
      <c r="M2350" s="127" t="s">
        <v>3380</v>
      </c>
    </row>
    <row r="2351" spans="1:13" x14ac:dyDescent="0.2">
      <c r="A2351" s="1217"/>
      <c r="B2351" s="166"/>
      <c r="E2351" s="83"/>
      <c r="H2351" t="s">
        <v>3381</v>
      </c>
      <c r="I2351">
        <v>1.43174</v>
      </c>
      <c r="J2351" t="s">
        <v>3382</v>
      </c>
      <c r="K2351" t="s">
        <v>3381</v>
      </c>
      <c r="L2351" s="166">
        <f t="shared" si="184"/>
        <v>2.86348</v>
      </c>
      <c r="M2351" s="127" t="s">
        <v>3383</v>
      </c>
    </row>
    <row r="2352" spans="1:13" x14ac:dyDescent="0.2">
      <c r="A2352" s="1217"/>
      <c r="B2352" s="166"/>
      <c r="E2352" s="83"/>
      <c r="H2352" t="s">
        <v>3384</v>
      </c>
      <c r="I2352">
        <v>65.748800000000003</v>
      </c>
      <c r="J2352" t="s">
        <v>711</v>
      </c>
      <c r="K2352" t="s">
        <v>3384</v>
      </c>
      <c r="L2352" s="166">
        <f t="shared" si="184"/>
        <v>131.49760000000001</v>
      </c>
      <c r="M2352" s="127" t="s">
        <v>3385</v>
      </c>
    </row>
    <row r="2353" spans="1:13" x14ac:dyDescent="0.2">
      <c r="A2353" s="1219"/>
      <c r="B2353" s="833"/>
      <c r="C2353" s="1102"/>
      <c r="D2353" s="118"/>
      <c r="E2353" s="1220"/>
      <c r="F2353" s="118"/>
      <c r="G2353" s="118"/>
      <c r="H2353" s="118"/>
      <c r="I2353" s="118"/>
      <c r="J2353" s="118"/>
      <c r="K2353" s="118"/>
      <c r="L2353" s="833"/>
      <c r="M2353" s="120"/>
    </row>
    <row r="2354" spans="1:13" ht="16" x14ac:dyDescent="0.2">
      <c r="A2354" s="486" t="s">
        <v>3022</v>
      </c>
      <c r="B2354" s="220">
        <v>605.37386891156564</v>
      </c>
      <c r="C2354" s="220" t="s">
        <v>1091</v>
      </c>
      <c r="D2354" s="220">
        <v>2</v>
      </c>
      <c r="E2354" s="1216" t="s">
        <v>3393</v>
      </c>
      <c r="F2354" s="110"/>
      <c r="G2354" s="110"/>
      <c r="H2354" s="110"/>
      <c r="I2354" s="110"/>
      <c r="J2354" s="110"/>
      <c r="K2354" s="110"/>
      <c r="L2354" s="845"/>
      <c r="M2354" s="112"/>
    </row>
    <row r="2355" spans="1:13" x14ac:dyDescent="0.2">
      <c r="A2355" s="1217"/>
      <c r="B2355" s="166">
        <v>16.475575533569732</v>
      </c>
      <c r="C2355" s="133" t="s">
        <v>444</v>
      </c>
      <c r="F2355">
        <v>1</v>
      </c>
      <c r="G2355" t="s">
        <v>15</v>
      </c>
      <c r="H2355" t="s">
        <v>701</v>
      </c>
      <c r="I2355">
        <v>6.0200000000000002E-3</v>
      </c>
      <c r="J2355" t="s">
        <v>702</v>
      </c>
      <c r="K2355" t="s">
        <v>701</v>
      </c>
      <c r="L2355" s="166">
        <f>I2355*B$2356</f>
        <v>9.9182964712089792</v>
      </c>
      <c r="M2355" s="127" t="s">
        <v>3367</v>
      </c>
    </row>
    <row r="2356" spans="1:13" x14ac:dyDescent="0.2">
      <c r="A2356" s="1217"/>
      <c r="B2356" s="166">
        <f>B2355*100</f>
        <v>1647.5575533569731</v>
      </c>
      <c r="C2356" s="133" t="s">
        <v>15</v>
      </c>
      <c r="E2356" s="83"/>
      <c r="H2356" t="s">
        <v>703</v>
      </c>
      <c r="I2356" s="33">
        <v>1.2843299999999999E-6</v>
      </c>
      <c r="J2356" t="s">
        <v>704</v>
      </c>
      <c r="K2356" t="s">
        <v>703</v>
      </c>
      <c r="L2356" s="166">
        <f t="shared" ref="L2356:L2364" si="185">I2356*B$2356</f>
        <v>2.1160075925029612E-3</v>
      </c>
      <c r="M2356" s="127" t="s">
        <v>3368</v>
      </c>
    </row>
    <row r="2357" spans="1:13" x14ac:dyDescent="0.2">
      <c r="A2357" s="1217"/>
      <c r="B2357" s="166"/>
      <c r="E2357" s="83"/>
      <c r="H2357" t="s">
        <v>705</v>
      </c>
      <c r="I2357">
        <v>67.217029999999994</v>
      </c>
      <c r="J2357" t="s">
        <v>706</v>
      </c>
      <c r="K2357" t="s">
        <v>705</v>
      </c>
      <c r="L2357" s="166">
        <f t="shared" si="185"/>
        <v>110743.92549072225</v>
      </c>
      <c r="M2357" s="127" t="s">
        <v>3370</v>
      </c>
    </row>
    <row r="2358" spans="1:13" x14ac:dyDescent="0.2">
      <c r="A2358" s="1217"/>
      <c r="B2358" s="166"/>
      <c r="E2358" s="83"/>
      <c r="H2358" t="s">
        <v>3372</v>
      </c>
      <c r="I2358">
        <v>7.6999999999999996E-4</v>
      </c>
      <c r="J2358" t="s">
        <v>3373</v>
      </c>
      <c r="K2358" t="s">
        <v>3372</v>
      </c>
      <c r="L2358" s="166">
        <f t="shared" si="185"/>
        <v>1.2686193160848693</v>
      </c>
      <c r="M2358" s="127" t="s">
        <v>3374</v>
      </c>
    </row>
    <row r="2359" spans="1:13" x14ac:dyDescent="0.2">
      <c r="A2359" s="1217"/>
      <c r="B2359" s="1218"/>
      <c r="C2359" s="1114"/>
      <c r="D2359" s="6"/>
      <c r="E2359" s="83"/>
      <c r="H2359" t="s">
        <v>3375</v>
      </c>
      <c r="I2359">
        <v>4.1700000000000001E-3</v>
      </c>
      <c r="J2359" t="s">
        <v>707</v>
      </c>
      <c r="K2359" t="s">
        <v>3375</v>
      </c>
      <c r="L2359" s="166">
        <f t="shared" si="185"/>
        <v>6.8703149974985784</v>
      </c>
      <c r="M2359" s="127" t="s">
        <v>3376</v>
      </c>
    </row>
    <row r="2360" spans="1:13" x14ac:dyDescent="0.2">
      <c r="A2360" s="1217"/>
      <c r="B2360" s="166"/>
      <c r="E2360" s="83"/>
      <c r="H2360" t="s">
        <v>708</v>
      </c>
      <c r="I2360">
        <v>1.7658199999999999</v>
      </c>
      <c r="J2360" t="s">
        <v>709</v>
      </c>
      <c r="K2360" t="s">
        <v>708</v>
      </c>
      <c r="L2360" s="166">
        <f t="shared" si="185"/>
        <v>2909.2900788688103</v>
      </c>
      <c r="M2360" s="127" t="s">
        <v>3377</v>
      </c>
    </row>
    <row r="2361" spans="1:13" x14ac:dyDescent="0.2">
      <c r="A2361" s="1217"/>
      <c r="B2361" s="166"/>
      <c r="E2361" s="83"/>
      <c r="H2361" t="s">
        <v>3378</v>
      </c>
      <c r="I2361" s="33">
        <v>3.4665800000000001E-7</v>
      </c>
      <c r="J2361" t="s">
        <v>704</v>
      </c>
      <c r="K2361" t="s">
        <v>3378</v>
      </c>
      <c r="L2361" s="166">
        <f t="shared" si="185"/>
        <v>5.7113900633162156E-4</v>
      </c>
      <c r="M2361" s="127" t="s">
        <v>3368</v>
      </c>
    </row>
    <row r="2362" spans="1:13" x14ac:dyDescent="0.2">
      <c r="A2362" s="1217"/>
      <c r="B2362" s="166"/>
      <c r="E2362" s="83"/>
      <c r="H2362" t="s">
        <v>710</v>
      </c>
      <c r="I2362" s="33">
        <v>5.15501E-8</v>
      </c>
      <c r="J2362" t="s">
        <v>3379</v>
      </c>
      <c r="K2362" t="s">
        <v>710</v>
      </c>
      <c r="L2362" s="166">
        <f t="shared" si="185"/>
        <v>8.4931756631307295E-5</v>
      </c>
      <c r="M2362" s="127" t="s">
        <v>3380</v>
      </c>
    </row>
    <row r="2363" spans="1:13" x14ac:dyDescent="0.2">
      <c r="A2363" s="1217"/>
      <c r="B2363" s="166"/>
      <c r="E2363" s="83"/>
      <c r="H2363" t="s">
        <v>3381</v>
      </c>
      <c r="I2363">
        <v>2.7299999999999998E-3</v>
      </c>
      <c r="J2363" t="s">
        <v>3382</v>
      </c>
      <c r="K2363" t="s">
        <v>3381</v>
      </c>
      <c r="L2363" s="166">
        <f t="shared" si="185"/>
        <v>4.497832120664536</v>
      </c>
      <c r="M2363" s="127" t="s">
        <v>3383</v>
      </c>
    </row>
    <row r="2364" spans="1:13" x14ac:dyDescent="0.2">
      <c r="A2364" s="1217"/>
      <c r="B2364" s="166"/>
      <c r="E2364" s="83"/>
      <c r="H2364" t="s">
        <v>3384</v>
      </c>
      <c r="I2364">
        <v>0.10051</v>
      </c>
      <c r="J2364" t="s">
        <v>711</v>
      </c>
      <c r="K2364" t="s">
        <v>3384</v>
      </c>
      <c r="L2364" s="166">
        <f t="shared" si="185"/>
        <v>165.59600968790937</v>
      </c>
      <c r="M2364" s="127" t="s">
        <v>3385</v>
      </c>
    </row>
    <row r="2365" spans="1:13" x14ac:dyDescent="0.2">
      <c r="A2365" s="1219"/>
      <c r="B2365" s="833"/>
      <c r="C2365" s="1102"/>
      <c r="D2365" s="118"/>
      <c r="E2365" s="1220"/>
      <c r="F2365" s="118"/>
      <c r="G2365" s="118"/>
      <c r="H2365" s="118"/>
      <c r="I2365" s="118"/>
      <c r="J2365" s="118"/>
      <c r="K2365" s="118"/>
      <c r="L2365" s="833"/>
      <c r="M2365" s="120"/>
    </row>
    <row r="2366" spans="1:13" ht="16" x14ac:dyDescent="0.2">
      <c r="A2366" s="486" t="s">
        <v>2379</v>
      </c>
      <c r="B2366" s="220">
        <v>191928.30718464431</v>
      </c>
      <c r="C2366" s="220" t="s">
        <v>267</v>
      </c>
      <c r="D2366" s="220">
        <v>2</v>
      </c>
      <c r="E2366" s="159" t="s">
        <v>3400</v>
      </c>
      <c r="F2366" s="110">
        <v>1</v>
      </c>
      <c r="G2366" s="110" t="s">
        <v>1</v>
      </c>
      <c r="H2366" s="110"/>
      <c r="I2366" s="110"/>
      <c r="J2366" s="110"/>
      <c r="K2366" s="110"/>
      <c r="L2366" s="845"/>
      <c r="M2366" s="112"/>
    </row>
    <row r="2367" spans="1:13" x14ac:dyDescent="0.2">
      <c r="A2367" s="1217"/>
      <c r="B2367" s="1218">
        <f>B2366/1000*10*D2366</f>
        <v>3838.5661436928858</v>
      </c>
      <c r="C2367" s="1114" t="s">
        <v>1</v>
      </c>
      <c r="D2367" s="6" t="s">
        <v>586</v>
      </c>
      <c r="E2367" s="83"/>
      <c r="H2367" t="s">
        <v>701</v>
      </c>
      <c r="I2367">
        <v>7.5000000000000002E-4</v>
      </c>
      <c r="J2367" t="s">
        <v>702</v>
      </c>
      <c r="K2367" t="s">
        <v>701</v>
      </c>
      <c r="L2367" s="166">
        <f>I2367*B$2367</f>
        <v>2.8789246077696644</v>
      </c>
      <c r="M2367" s="127" t="s">
        <v>3367</v>
      </c>
    </row>
    <row r="2368" spans="1:13" x14ac:dyDescent="0.2">
      <c r="A2368" s="1217"/>
      <c r="B2368" s="166"/>
      <c r="E2368" s="83"/>
      <c r="H2368" t="s">
        <v>703</v>
      </c>
      <c r="I2368" s="33">
        <v>3.3111200000000002E-8</v>
      </c>
      <c r="J2368" t="s">
        <v>704</v>
      </c>
      <c r="K2368" t="s">
        <v>703</v>
      </c>
      <c r="L2368" s="166">
        <f t="shared" ref="L2368:L2376" si="186">I2368*B$2367</f>
        <v>1.2709953129704389E-4</v>
      </c>
      <c r="M2368" s="127" t="s">
        <v>3368</v>
      </c>
    </row>
    <row r="2369" spans="1:13" x14ac:dyDescent="0.2">
      <c r="A2369" s="1217"/>
      <c r="B2369" s="166"/>
      <c r="D2369" s="24"/>
      <c r="E2369" s="83"/>
      <c r="H2369" t="s">
        <v>705</v>
      </c>
      <c r="I2369">
        <v>4.1968100000000002</v>
      </c>
      <c r="J2369" t="s">
        <v>706</v>
      </c>
      <c r="K2369" t="s">
        <v>705</v>
      </c>
      <c r="L2369" s="166">
        <f t="shared" si="186"/>
        <v>16109.732777511741</v>
      </c>
      <c r="M2369" s="127" t="s">
        <v>3370</v>
      </c>
    </row>
    <row r="2370" spans="1:13" x14ac:dyDescent="0.2">
      <c r="A2370" s="1217"/>
      <c r="B2370" s="166"/>
      <c r="D2370" s="6"/>
      <c r="E2370" s="83"/>
      <c r="H2370" t="s">
        <v>3372</v>
      </c>
      <c r="I2370">
        <v>3.2000000000000003E-4</v>
      </c>
      <c r="J2370" t="s">
        <v>3373</v>
      </c>
      <c r="K2370" t="s">
        <v>3372</v>
      </c>
      <c r="L2370" s="166">
        <f t="shared" si="186"/>
        <v>1.2283411659817236</v>
      </c>
      <c r="M2370" s="127" t="s">
        <v>3374</v>
      </c>
    </row>
    <row r="2371" spans="1:13" x14ac:dyDescent="0.2">
      <c r="A2371" s="1217"/>
      <c r="B2371" s="166"/>
      <c r="E2371" s="83"/>
      <c r="H2371" t="s">
        <v>3375</v>
      </c>
      <c r="I2371">
        <v>5.2999999999999998E-4</v>
      </c>
      <c r="J2371" t="s">
        <v>707</v>
      </c>
      <c r="K2371" t="s">
        <v>3375</v>
      </c>
      <c r="L2371" s="166">
        <f t="shared" si="186"/>
        <v>2.0344400561572296</v>
      </c>
      <c r="M2371" s="127" t="s">
        <v>3376</v>
      </c>
    </row>
    <row r="2372" spans="1:13" x14ac:dyDescent="0.2">
      <c r="A2372" s="1217"/>
      <c r="B2372" s="1218"/>
      <c r="C2372" s="1114"/>
      <c r="D2372" s="6"/>
      <c r="E2372" s="83"/>
      <c r="H2372" t="s">
        <v>708</v>
      </c>
      <c r="I2372">
        <v>0.39150000000000001</v>
      </c>
      <c r="J2372" t="s">
        <v>709</v>
      </c>
      <c r="K2372" t="s">
        <v>708</v>
      </c>
      <c r="L2372" s="166">
        <f t="shared" si="186"/>
        <v>1502.7986452557648</v>
      </c>
      <c r="M2372" s="127" t="s">
        <v>3377</v>
      </c>
    </row>
    <row r="2373" spans="1:13" x14ac:dyDescent="0.2">
      <c r="A2373" s="1217"/>
      <c r="B2373" s="166"/>
      <c r="E2373" s="83"/>
      <c r="H2373" t="s">
        <v>3378</v>
      </c>
      <c r="I2373" s="33">
        <v>9.8849699999999999E-8</v>
      </c>
      <c r="J2373" t="s">
        <v>704</v>
      </c>
      <c r="K2373" t="s">
        <v>3378</v>
      </c>
      <c r="L2373" s="166">
        <f t="shared" si="186"/>
        <v>3.7944111173419866E-4</v>
      </c>
      <c r="M2373" s="127" t="s">
        <v>3368</v>
      </c>
    </row>
    <row r="2374" spans="1:13" x14ac:dyDescent="0.2">
      <c r="A2374" s="1217"/>
      <c r="B2374" s="166"/>
      <c r="E2374" s="83"/>
      <c r="H2374" t="s">
        <v>710</v>
      </c>
      <c r="I2374" s="33">
        <v>1.51061E-9</v>
      </c>
      <c r="J2374" t="s">
        <v>3379</v>
      </c>
      <c r="K2374" t="s">
        <v>710</v>
      </c>
      <c r="L2374" s="166">
        <f t="shared" si="186"/>
        <v>5.7985764023239101E-6</v>
      </c>
      <c r="M2374" s="127" t="s">
        <v>3380</v>
      </c>
    </row>
    <row r="2375" spans="1:13" x14ac:dyDescent="0.2">
      <c r="A2375" s="1217"/>
      <c r="B2375" s="166"/>
      <c r="E2375" s="83"/>
      <c r="H2375" t="s">
        <v>3381</v>
      </c>
      <c r="I2375">
        <v>1.01E-3</v>
      </c>
      <c r="J2375" t="s">
        <v>3382</v>
      </c>
      <c r="K2375" t="s">
        <v>3381</v>
      </c>
      <c r="L2375" s="166">
        <f t="shared" si="186"/>
        <v>3.8769518051298149</v>
      </c>
      <c r="M2375" s="127" t="s">
        <v>3383</v>
      </c>
    </row>
    <row r="2376" spans="1:13" x14ac:dyDescent="0.2">
      <c r="A2376" s="1217"/>
      <c r="B2376" s="166"/>
      <c r="E2376" s="83"/>
      <c r="H2376" t="s">
        <v>3384</v>
      </c>
      <c r="I2376">
        <v>1.2200000000000001E-2</v>
      </c>
      <c r="J2376" t="s">
        <v>711</v>
      </c>
      <c r="K2376" t="s">
        <v>3384</v>
      </c>
      <c r="L2376" s="166">
        <f t="shared" si="186"/>
        <v>46.830506953053209</v>
      </c>
      <c r="M2376" s="127" t="s">
        <v>3385</v>
      </c>
    </row>
    <row r="2377" spans="1:13" x14ac:dyDescent="0.2">
      <c r="A2377" s="1219"/>
      <c r="B2377" s="833"/>
      <c r="C2377" s="1102"/>
      <c r="D2377" s="118"/>
      <c r="E2377" s="1220"/>
      <c r="F2377" s="118"/>
      <c r="G2377" s="118"/>
      <c r="H2377" s="118"/>
      <c r="I2377" s="118"/>
      <c r="J2377" s="118"/>
      <c r="K2377" s="118"/>
      <c r="L2377" s="833"/>
      <c r="M2377" s="120"/>
    </row>
    <row r="2378" spans="1:13" ht="32" x14ac:dyDescent="0.2">
      <c r="A2378" s="637" t="s">
        <v>2446</v>
      </c>
      <c r="B2378" s="1244">
        <v>76.771322873857713</v>
      </c>
      <c r="C2378" s="1244" t="s">
        <v>1522</v>
      </c>
      <c r="D2378" s="208"/>
      <c r="E2378" s="1236" t="s">
        <v>3464</v>
      </c>
      <c r="F2378">
        <v>1</v>
      </c>
      <c r="G2378" t="s">
        <v>15</v>
      </c>
      <c r="L2378" s="166"/>
      <c r="M2378" s="127"/>
    </row>
    <row r="2379" spans="1:13" x14ac:dyDescent="0.2">
      <c r="A2379" s="1217"/>
      <c r="B2379" s="1218">
        <f>B2378*1000*30</f>
        <v>2303139.6862157313</v>
      </c>
      <c r="C2379" s="1218" t="s">
        <v>3443</v>
      </c>
      <c r="D2379" s="1218"/>
      <c r="E2379" s="83"/>
      <c r="H2379" t="s">
        <v>701</v>
      </c>
      <c r="I2379">
        <v>2.5000000000000001E-3</v>
      </c>
      <c r="J2379" t="s">
        <v>702</v>
      </c>
      <c r="K2379" t="s">
        <v>701</v>
      </c>
      <c r="L2379" s="166">
        <f>I2379*B$2379</f>
        <v>5757.8492155393287</v>
      </c>
      <c r="M2379" s="127" t="s">
        <v>3367</v>
      </c>
    </row>
    <row r="2380" spans="1:13" x14ac:dyDescent="0.2">
      <c r="A2380" s="1217"/>
      <c r="B2380" s="166"/>
      <c r="E2380" s="83"/>
      <c r="H2380" t="s">
        <v>703</v>
      </c>
      <c r="I2380" s="33">
        <v>6.2008700000000007E-8</v>
      </c>
      <c r="J2380" t="s">
        <v>704</v>
      </c>
      <c r="K2380" t="s">
        <v>703</v>
      </c>
      <c r="L2380" s="166">
        <f t="shared" ref="L2380:L2388" si="187">I2380*B$2379</f>
        <v>0.14281469786064543</v>
      </c>
      <c r="M2380" s="127" t="s">
        <v>3368</v>
      </c>
    </row>
    <row r="2381" spans="1:13" x14ac:dyDescent="0.2">
      <c r="A2381" s="1217"/>
      <c r="B2381" s="166"/>
      <c r="E2381" s="83"/>
      <c r="H2381" t="s">
        <v>705</v>
      </c>
      <c r="I2381" s="33">
        <v>13.25379</v>
      </c>
      <c r="J2381" t="s">
        <v>706</v>
      </c>
      <c r="K2381" t="s">
        <v>705</v>
      </c>
      <c r="L2381" s="166">
        <f t="shared" si="187"/>
        <v>30525329.741769198</v>
      </c>
      <c r="M2381" s="127" t="s">
        <v>3370</v>
      </c>
    </row>
    <row r="2382" spans="1:13" x14ac:dyDescent="0.2">
      <c r="A2382" s="1217"/>
      <c r="B2382" s="166"/>
      <c r="E2382" s="83"/>
      <c r="H2382" t="s">
        <v>3372</v>
      </c>
      <c r="I2382">
        <v>2.0000000000000001E-4</v>
      </c>
      <c r="J2382" t="s">
        <v>3373</v>
      </c>
      <c r="K2382" t="s">
        <v>3372</v>
      </c>
      <c r="L2382" s="166">
        <f t="shared" si="187"/>
        <v>460.62793724314628</v>
      </c>
      <c r="M2382" s="127" t="s">
        <v>3374</v>
      </c>
    </row>
    <row r="2383" spans="1:13" x14ac:dyDescent="0.2">
      <c r="A2383" s="1217"/>
      <c r="B2383" s="166"/>
      <c r="E2383" s="83"/>
      <c r="H2383" t="s">
        <v>3375</v>
      </c>
      <c r="I2383">
        <v>1.31E-3</v>
      </c>
      <c r="J2383" t="s">
        <v>707</v>
      </c>
      <c r="K2383" t="s">
        <v>3375</v>
      </c>
      <c r="L2383" s="166">
        <f t="shared" si="187"/>
        <v>3017.1129889426079</v>
      </c>
      <c r="M2383" s="127" t="s">
        <v>3376</v>
      </c>
    </row>
    <row r="2384" spans="1:13" x14ac:dyDescent="0.2">
      <c r="A2384" s="1217"/>
      <c r="B2384" s="166"/>
      <c r="E2384" s="83"/>
      <c r="H2384" t="s">
        <v>708</v>
      </c>
      <c r="I2384" s="33">
        <v>0.82418999999999998</v>
      </c>
      <c r="J2384" t="s">
        <v>709</v>
      </c>
      <c r="K2384" t="s">
        <v>708</v>
      </c>
      <c r="L2384" s="166">
        <f t="shared" si="187"/>
        <v>1898224.6979821436</v>
      </c>
      <c r="M2384" s="127" t="s">
        <v>3377</v>
      </c>
    </row>
    <row r="2385" spans="1:13" x14ac:dyDescent="0.2">
      <c r="A2385" s="1217"/>
      <c r="B2385" s="166"/>
      <c r="E2385" s="83"/>
      <c r="H2385" t="s">
        <v>3378</v>
      </c>
      <c r="I2385" s="33">
        <v>1.8957E-7</v>
      </c>
      <c r="J2385" t="s">
        <v>704</v>
      </c>
      <c r="K2385" t="s">
        <v>3378</v>
      </c>
      <c r="L2385" s="166">
        <f t="shared" si="187"/>
        <v>0.43660619031591619</v>
      </c>
      <c r="M2385" s="127" t="s">
        <v>3368</v>
      </c>
    </row>
    <row r="2386" spans="1:13" x14ac:dyDescent="0.2">
      <c r="A2386" s="1217"/>
      <c r="B2386" s="166"/>
      <c r="E2386" s="83"/>
      <c r="H2386" t="s">
        <v>710</v>
      </c>
      <c r="I2386" s="33">
        <v>5.61652E-9</v>
      </c>
      <c r="J2386" t="s">
        <v>3379</v>
      </c>
      <c r="K2386" t="s">
        <v>710</v>
      </c>
      <c r="L2386" s="166">
        <f t="shared" si="187"/>
        <v>1.293563011042438E-2</v>
      </c>
      <c r="M2386" s="127" t="s">
        <v>3380</v>
      </c>
    </row>
    <row r="2387" spans="1:13" x14ac:dyDescent="0.2">
      <c r="A2387" s="1217"/>
      <c r="B2387" s="166"/>
      <c r="E2387" s="83"/>
      <c r="H2387" t="s">
        <v>3381</v>
      </c>
      <c r="I2387">
        <v>6.0999999999999997E-4</v>
      </c>
      <c r="J2387" t="s">
        <v>3382</v>
      </c>
      <c r="K2387" t="s">
        <v>3381</v>
      </c>
      <c r="L2387" s="166">
        <f t="shared" si="187"/>
        <v>1404.915208591596</v>
      </c>
      <c r="M2387" s="127" t="s">
        <v>3383</v>
      </c>
    </row>
    <row r="2388" spans="1:13" x14ac:dyDescent="0.2">
      <c r="A2388" s="1217"/>
      <c r="B2388" s="166"/>
      <c r="E2388" s="83"/>
      <c r="H2388" t="s">
        <v>3384</v>
      </c>
      <c r="I2388">
        <v>0.11901</v>
      </c>
      <c r="J2388" t="s">
        <v>711</v>
      </c>
      <c r="K2388" t="s">
        <v>3384</v>
      </c>
      <c r="L2388" s="166">
        <f t="shared" si="187"/>
        <v>274096.65405653417</v>
      </c>
      <c r="M2388" s="127" t="s">
        <v>3385</v>
      </c>
    </row>
    <row r="2389" spans="1:13" x14ac:dyDescent="0.2">
      <c r="A2389" s="1219"/>
      <c r="B2389" s="833"/>
      <c r="C2389" s="1102"/>
      <c r="D2389" s="118"/>
      <c r="E2389" s="1220"/>
      <c r="F2389" s="118"/>
      <c r="G2389" s="118"/>
      <c r="H2389" s="118"/>
      <c r="I2389" s="118"/>
      <c r="J2389" s="118"/>
      <c r="K2389" s="118"/>
      <c r="L2389" s="833"/>
      <c r="M2389" s="120"/>
    </row>
    <row r="2390" spans="1:13" ht="32" x14ac:dyDescent="0.2">
      <c r="A2390" s="1215" t="s">
        <v>714</v>
      </c>
      <c r="B2390" s="1231">
        <v>34824383.538481504</v>
      </c>
      <c r="C2390" s="1232" t="s">
        <v>3446</v>
      </c>
      <c r="D2390" s="179" t="s">
        <v>577</v>
      </c>
      <c r="E2390" s="1216" t="s">
        <v>3404</v>
      </c>
      <c r="F2390" s="110">
        <v>1</v>
      </c>
      <c r="G2390" s="110" t="s">
        <v>378</v>
      </c>
      <c r="H2390" s="110"/>
      <c r="I2390" s="110"/>
      <c r="J2390" s="110"/>
      <c r="K2390" s="110"/>
      <c r="L2390" s="845"/>
      <c r="M2390" s="112"/>
    </row>
    <row r="2391" spans="1:13" x14ac:dyDescent="0.2">
      <c r="A2391" s="637"/>
      <c r="B2391" s="166"/>
      <c r="E2391" s="83"/>
      <c r="H2391" t="s">
        <v>701</v>
      </c>
      <c r="I2391">
        <v>7.5000000000000002E-4</v>
      </c>
      <c r="J2391" t="s">
        <v>702</v>
      </c>
      <c r="K2391" t="s">
        <v>701</v>
      </c>
      <c r="L2391" s="166">
        <f>I2391*B$2390</f>
        <v>26118.287653861127</v>
      </c>
      <c r="M2391" s="127" t="s">
        <v>3367</v>
      </c>
    </row>
    <row r="2392" spans="1:13" x14ac:dyDescent="0.2">
      <c r="A2392" s="1217"/>
      <c r="B2392" s="166"/>
      <c r="E2392" s="83"/>
      <c r="H2392" t="s">
        <v>703</v>
      </c>
      <c r="I2392" s="33">
        <v>3.3111200000000002E-8</v>
      </c>
      <c r="J2392" t="s">
        <v>704</v>
      </c>
      <c r="K2392" t="s">
        <v>703</v>
      </c>
      <c r="L2392" s="166">
        <f t="shared" ref="L2392:L2400" si="188">I2392*B$2390</f>
        <v>1.1530771282193688</v>
      </c>
      <c r="M2392" s="127" t="s">
        <v>3368</v>
      </c>
    </row>
    <row r="2393" spans="1:13" x14ac:dyDescent="0.2">
      <c r="A2393" s="1217"/>
      <c r="B2393" s="166"/>
      <c r="E2393" s="83"/>
      <c r="H2393" t="s">
        <v>705</v>
      </c>
      <c r="I2393">
        <v>4.1968100000000002</v>
      </c>
      <c r="J2393" t="s">
        <v>706</v>
      </c>
      <c r="K2393" t="s">
        <v>705</v>
      </c>
      <c r="L2393" s="166">
        <f t="shared" si="188"/>
        <v>146151321.07813457</v>
      </c>
      <c r="M2393" s="127" t="s">
        <v>3370</v>
      </c>
    </row>
    <row r="2394" spans="1:13" x14ac:dyDescent="0.2">
      <c r="A2394" s="1217"/>
      <c r="B2394" s="166"/>
      <c r="E2394" s="83"/>
      <c r="H2394" t="s">
        <v>3372</v>
      </c>
      <c r="I2394">
        <v>3.2000000000000003E-4</v>
      </c>
      <c r="J2394" t="s">
        <v>3373</v>
      </c>
      <c r="K2394" t="s">
        <v>3372</v>
      </c>
      <c r="L2394" s="166">
        <f t="shared" si="188"/>
        <v>11143.802732314081</v>
      </c>
      <c r="M2394" s="127" t="s">
        <v>3374</v>
      </c>
    </row>
    <row r="2395" spans="1:13" x14ac:dyDescent="0.2">
      <c r="A2395" s="1217"/>
      <c r="B2395" s="166"/>
      <c r="E2395" s="83"/>
      <c r="H2395" t="s">
        <v>3375</v>
      </c>
      <c r="I2395">
        <v>5.2999999999999998E-4</v>
      </c>
      <c r="J2395" t="s">
        <v>707</v>
      </c>
      <c r="K2395" t="s">
        <v>3375</v>
      </c>
      <c r="L2395" s="166">
        <f t="shared" si="188"/>
        <v>18456.923275395195</v>
      </c>
      <c r="M2395" s="127" t="s">
        <v>3376</v>
      </c>
    </row>
    <row r="2396" spans="1:13" x14ac:dyDescent="0.2">
      <c r="A2396" s="1217"/>
      <c r="B2396" s="166"/>
      <c r="E2396" s="83"/>
      <c r="H2396" t="s">
        <v>708</v>
      </c>
      <c r="I2396">
        <v>0.39150000000000001</v>
      </c>
      <c r="J2396" t="s">
        <v>709</v>
      </c>
      <c r="K2396" t="s">
        <v>708</v>
      </c>
      <c r="L2396" s="166">
        <f t="shared" si="188"/>
        <v>13633746.155315509</v>
      </c>
      <c r="M2396" s="127" t="s">
        <v>3377</v>
      </c>
    </row>
    <row r="2397" spans="1:13" x14ac:dyDescent="0.2">
      <c r="A2397" s="1217"/>
      <c r="B2397" s="166"/>
      <c r="E2397" s="83"/>
      <c r="H2397" t="s">
        <v>3378</v>
      </c>
      <c r="I2397" s="33">
        <v>9.8849699999999999E-8</v>
      </c>
      <c r="J2397" t="s">
        <v>704</v>
      </c>
      <c r="K2397" t="s">
        <v>3378</v>
      </c>
      <c r="L2397" s="166">
        <f t="shared" si="188"/>
        <v>3.4423798654638351</v>
      </c>
      <c r="M2397" s="127" t="s">
        <v>3368</v>
      </c>
    </row>
    <row r="2398" spans="1:13" x14ac:dyDescent="0.2">
      <c r="A2398" s="1217"/>
      <c r="B2398" s="166"/>
      <c r="E2398" s="83"/>
      <c r="H2398" t="s">
        <v>710</v>
      </c>
      <c r="I2398" s="33">
        <v>1.51061E-9</v>
      </c>
      <c r="J2398" t="s">
        <v>3379</v>
      </c>
      <c r="K2398" t="s">
        <v>710</v>
      </c>
      <c r="L2398" s="166">
        <f t="shared" si="188"/>
        <v>5.2606062017065545E-2</v>
      </c>
      <c r="M2398" s="127" t="s">
        <v>3380</v>
      </c>
    </row>
    <row r="2399" spans="1:13" x14ac:dyDescent="0.2">
      <c r="A2399" s="1217"/>
      <c r="B2399" s="166"/>
      <c r="E2399" s="83"/>
      <c r="H2399" t="s">
        <v>3381</v>
      </c>
      <c r="I2399">
        <v>1.01E-3</v>
      </c>
      <c r="J2399" t="s">
        <v>3382</v>
      </c>
      <c r="K2399" t="s">
        <v>3381</v>
      </c>
      <c r="L2399" s="166">
        <f t="shared" si="188"/>
        <v>35172.627373866322</v>
      </c>
      <c r="M2399" s="127" t="s">
        <v>3383</v>
      </c>
    </row>
    <row r="2400" spans="1:13" x14ac:dyDescent="0.2">
      <c r="A2400" s="1217"/>
      <c r="B2400" s="166"/>
      <c r="E2400" s="83"/>
      <c r="H2400" t="s">
        <v>3384</v>
      </c>
      <c r="I2400">
        <v>1.2200000000000001E-2</v>
      </c>
      <c r="J2400" t="s">
        <v>711</v>
      </c>
      <c r="K2400" t="s">
        <v>3384</v>
      </c>
      <c r="L2400" s="166">
        <f t="shared" si="188"/>
        <v>424857.47916947439</v>
      </c>
      <c r="M2400" s="127" t="s">
        <v>3385</v>
      </c>
    </row>
    <row r="2401" spans="1:13" x14ac:dyDescent="0.2">
      <c r="A2401" s="1219"/>
      <c r="B2401" s="833"/>
      <c r="C2401" s="1102"/>
      <c r="D2401" s="118"/>
      <c r="E2401" s="1220"/>
      <c r="F2401" s="118"/>
      <c r="G2401" s="118"/>
      <c r="H2401" s="118"/>
      <c r="I2401" s="118"/>
      <c r="J2401" s="118"/>
      <c r="K2401" s="118"/>
      <c r="L2401" s="833"/>
      <c r="M2401" s="120"/>
    </row>
    <row r="2402" spans="1:13" ht="32" x14ac:dyDescent="0.2">
      <c r="A2402" s="1215" t="s">
        <v>2433</v>
      </c>
      <c r="B2402" s="845">
        <v>34816902.437547229</v>
      </c>
      <c r="C2402" s="845" t="s">
        <v>2959</v>
      </c>
      <c r="D2402" s="110"/>
      <c r="E2402" s="1216" t="s">
        <v>3444</v>
      </c>
      <c r="F2402" s="110">
        <v>1</v>
      </c>
      <c r="G2402" s="110" t="s">
        <v>1</v>
      </c>
      <c r="H2402" s="110"/>
      <c r="I2402" s="110"/>
      <c r="J2402" s="110"/>
      <c r="K2402" s="110"/>
      <c r="L2402" s="845"/>
      <c r="M2402" s="112"/>
    </row>
    <row r="2403" spans="1:13" x14ac:dyDescent="0.2">
      <c r="A2403" s="1217"/>
      <c r="B2403" s="166">
        <v>15792.843344619083</v>
      </c>
      <c r="C2403" s="133" t="s">
        <v>3225</v>
      </c>
      <c r="E2403" s="83"/>
      <c r="H2403" t="s">
        <v>701</v>
      </c>
      <c r="I2403">
        <v>1.14E-3</v>
      </c>
      <c r="J2403" t="s">
        <v>702</v>
      </c>
      <c r="K2403" t="s">
        <v>701</v>
      </c>
      <c r="L2403" s="166">
        <f>I2403*B$2404</f>
        <v>540.11524238597258</v>
      </c>
      <c r="M2403" s="127" t="s">
        <v>3367</v>
      </c>
    </row>
    <row r="2404" spans="1:13" x14ac:dyDescent="0.2">
      <c r="A2404" s="1217"/>
      <c r="B2404" s="1218">
        <f>B2403*30</f>
        <v>473785.30033857247</v>
      </c>
      <c r="C2404" s="1114" t="s">
        <v>3445</v>
      </c>
      <c r="D2404" s="6" t="s">
        <v>577</v>
      </c>
      <c r="E2404" s="83"/>
      <c r="H2404" t="s">
        <v>703</v>
      </c>
      <c r="I2404" s="33">
        <v>5.4967900000000001E-8</v>
      </c>
      <c r="J2404" t="s">
        <v>704</v>
      </c>
      <c r="K2404" t="s">
        <v>703</v>
      </c>
      <c r="L2404" s="166">
        <f t="shared" ref="L2404:L2412" si="189">I2404*B$2404</f>
        <v>2.6042983010480619E-2</v>
      </c>
      <c r="M2404" s="127" t="s">
        <v>3368</v>
      </c>
    </row>
    <row r="2405" spans="1:13" x14ac:dyDescent="0.2">
      <c r="A2405" s="1217"/>
      <c r="B2405" s="166"/>
      <c r="E2405" s="83"/>
      <c r="H2405" t="s">
        <v>705</v>
      </c>
      <c r="I2405">
        <v>9.5996699999999997</v>
      </c>
      <c r="J2405" t="s">
        <v>706</v>
      </c>
      <c r="K2405" t="s">
        <v>705</v>
      </c>
      <c r="L2405" s="166">
        <f t="shared" si="189"/>
        <v>4548182.5341011835</v>
      </c>
      <c r="M2405" s="127" t="s">
        <v>3370</v>
      </c>
    </row>
    <row r="2406" spans="1:13" x14ac:dyDescent="0.2">
      <c r="A2406" s="1217"/>
      <c r="B2406" s="166"/>
      <c r="E2406" s="83"/>
      <c r="H2406" t="s">
        <v>3372</v>
      </c>
      <c r="I2406">
        <v>2.3600000000000001E-3</v>
      </c>
      <c r="J2406" t="s">
        <v>3373</v>
      </c>
      <c r="K2406" t="s">
        <v>3372</v>
      </c>
      <c r="L2406" s="166">
        <f t="shared" si="189"/>
        <v>1118.1333087990311</v>
      </c>
      <c r="M2406" s="127" t="s">
        <v>3374</v>
      </c>
    </row>
    <row r="2407" spans="1:13" x14ac:dyDescent="0.2">
      <c r="A2407" s="1217"/>
      <c r="B2407" s="166"/>
      <c r="E2407" s="83"/>
      <c r="H2407" t="s">
        <v>3375</v>
      </c>
      <c r="I2407">
        <v>7.0000000000000001E-3</v>
      </c>
      <c r="J2407" t="s">
        <v>707</v>
      </c>
      <c r="K2407" t="s">
        <v>3375</v>
      </c>
      <c r="L2407" s="166">
        <f t="shared" si="189"/>
        <v>3316.4971023700073</v>
      </c>
      <c r="M2407" s="127" t="s">
        <v>3376</v>
      </c>
    </row>
    <row r="2408" spans="1:13" x14ac:dyDescent="0.2">
      <c r="A2408" s="1217"/>
      <c r="B2408" s="166"/>
      <c r="E2408" s="83"/>
      <c r="H2408" t="s">
        <v>708</v>
      </c>
      <c r="I2408">
        <v>0.20222999999999999</v>
      </c>
      <c r="J2408" t="s">
        <v>709</v>
      </c>
      <c r="K2408" t="s">
        <v>708</v>
      </c>
      <c r="L2408" s="166">
        <f t="shared" si="189"/>
        <v>95813.601287469515</v>
      </c>
      <c r="M2408" s="127" t="s">
        <v>3377</v>
      </c>
    </row>
    <row r="2409" spans="1:13" x14ac:dyDescent="0.2">
      <c r="A2409" s="1217"/>
      <c r="B2409" s="166"/>
      <c r="E2409" s="83"/>
      <c r="H2409" t="s">
        <v>3378</v>
      </c>
      <c r="I2409" s="33">
        <v>5.2573200000000002E-6</v>
      </c>
      <c r="J2409" t="s">
        <v>704</v>
      </c>
      <c r="K2409" t="s">
        <v>3378</v>
      </c>
      <c r="L2409" s="166">
        <f t="shared" si="189"/>
        <v>2.4908409351759837</v>
      </c>
      <c r="M2409" s="127" t="s">
        <v>3368</v>
      </c>
    </row>
    <row r="2410" spans="1:13" x14ac:dyDescent="0.2">
      <c r="A2410" s="1217"/>
      <c r="B2410" s="166"/>
      <c r="E2410" s="83"/>
      <c r="H2410" t="s">
        <v>710</v>
      </c>
      <c r="I2410" s="33">
        <v>1.8080899999999999E-9</v>
      </c>
      <c r="J2410" t="s">
        <v>3379</v>
      </c>
      <c r="K2410" t="s">
        <v>710</v>
      </c>
      <c r="L2410" s="166">
        <f t="shared" si="189"/>
        <v>8.566464636891695E-4</v>
      </c>
      <c r="M2410" s="127" t="s">
        <v>3380</v>
      </c>
    </row>
    <row r="2411" spans="1:13" x14ac:dyDescent="0.2">
      <c r="A2411" s="1217"/>
      <c r="B2411" s="166"/>
      <c r="E2411" s="83"/>
      <c r="H2411" t="s">
        <v>3381</v>
      </c>
      <c r="I2411">
        <v>1.4999999999999999E-4</v>
      </c>
      <c r="J2411" t="s">
        <v>3382</v>
      </c>
      <c r="K2411" t="s">
        <v>3381</v>
      </c>
      <c r="L2411" s="166">
        <f t="shared" si="189"/>
        <v>71.067795050785861</v>
      </c>
      <c r="M2411" s="127" t="s">
        <v>3383</v>
      </c>
    </row>
    <row r="2412" spans="1:13" x14ac:dyDescent="0.2">
      <c r="A2412" s="1217"/>
      <c r="B2412" s="166"/>
      <c r="E2412" s="83"/>
      <c r="H2412" t="s">
        <v>3384</v>
      </c>
      <c r="I2412">
        <v>1.456E-2</v>
      </c>
      <c r="J2412" t="s">
        <v>711</v>
      </c>
      <c r="K2412" t="s">
        <v>3384</v>
      </c>
      <c r="L2412" s="166">
        <f t="shared" si="189"/>
        <v>6898.3139729296154</v>
      </c>
      <c r="M2412" s="127" t="s">
        <v>3385</v>
      </c>
    </row>
    <row r="2413" spans="1:13" x14ac:dyDescent="0.2">
      <c r="A2413" s="1219"/>
      <c r="B2413" s="833"/>
      <c r="C2413" s="1102"/>
      <c r="D2413" s="118"/>
      <c r="E2413" s="1220"/>
      <c r="F2413" s="118"/>
      <c r="G2413" s="118"/>
      <c r="H2413" s="118"/>
      <c r="I2413" s="118"/>
      <c r="J2413" s="118"/>
      <c r="K2413" s="118"/>
      <c r="L2413" s="833"/>
      <c r="M2413" s="120"/>
    </row>
    <row r="2414" spans="1:13" x14ac:dyDescent="0.2">
      <c r="A2414" s="1222"/>
      <c r="B2414" s="166"/>
      <c r="E2414" s="83"/>
      <c r="L2414" s="166"/>
    </row>
    <row r="2415" spans="1:13" x14ac:dyDescent="0.2">
      <c r="A2415" s="1222"/>
      <c r="B2415" s="166"/>
      <c r="E2415" s="83"/>
      <c r="L2415" s="166"/>
    </row>
    <row r="2416" spans="1:13" ht="16" thickBot="1" x14ac:dyDescent="0.25"/>
    <row r="2417" spans="1:15" x14ac:dyDescent="0.2">
      <c r="A2417" s="1934" t="s">
        <v>910</v>
      </c>
      <c r="B2417" s="1935"/>
      <c r="C2417" s="1935"/>
      <c r="D2417" s="1935"/>
      <c r="E2417" s="1935"/>
      <c r="F2417" s="1935"/>
      <c r="G2417" s="1935"/>
      <c r="H2417" s="1935"/>
      <c r="I2417" s="1935"/>
      <c r="J2417" s="1935"/>
      <c r="K2417" s="1935"/>
      <c r="L2417" s="1935"/>
      <c r="M2417" s="1935"/>
      <c r="N2417" s="1935"/>
      <c r="O2417" s="1936"/>
    </row>
    <row r="2418" spans="1:15" ht="16" thickBot="1" x14ac:dyDescent="0.25">
      <c r="A2418" s="1937"/>
      <c r="B2418" s="1938"/>
      <c r="C2418" s="1938"/>
      <c r="D2418" s="1938"/>
      <c r="E2418" s="1938"/>
      <c r="F2418" s="1938"/>
      <c r="G2418" s="1938"/>
      <c r="H2418" s="1938"/>
      <c r="I2418" s="1938"/>
      <c r="J2418" s="1938"/>
      <c r="K2418" s="1938"/>
      <c r="L2418" s="1938"/>
      <c r="M2418" s="1938"/>
      <c r="N2418" s="1938"/>
      <c r="O2418" s="1939"/>
    </row>
    <row r="2419" spans="1:15" s="6" customFormat="1" x14ac:dyDescent="0.2">
      <c r="A2419" s="1920" t="s">
        <v>697</v>
      </c>
      <c r="B2419" s="1515" t="s">
        <v>698</v>
      </c>
      <c r="C2419" s="1515"/>
      <c r="D2419" s="1515"/>
      <c r="E2419" s="1921" t="s">
        <v>3362</v>
      </c>
      <c r="F2419" s="1515" t="s">
        <v>699</v>
      </c>
      <c r="G2419" s="1515"/>
      <c r="H2419" s="1515" t="s">
        <v>3363</v>
      </c>
      <c r="I2419" s="1515"/>
      <c r="J2419" s="1515"/>
      <c r="K2419" s="1515" t="s">
        <v>700</v>
      </c>
      <c r="L2419" s="1515"/>
      <c r="M2419" s="1515"/>
    </row>
    <row r="2420" spans="1:15" s="6" customFormat="1" ht="15.75" customHeight="1" x14ac:dyDescent="0.2">
      <c r="A2420" s="1940"/>
      <c r="B2420" s="1242" t="s">
        <v>515</v>
      </c>
      <c r="C2420" s="972" t="s">
        <v>372</v>
      </c>
      <c r="D2420" s="972" t="s">
        <v>583</v>
      </c>
      <c r="E2420" s="1941"/>
      <c r="F2420" s="972" t="s">
        <v>42</v>
      </c>
      <c r="G2420" s="972" t="s">
        <v>372</v>
      </c>
      <c r="H2420" s="993" t="s">
        <v>697</v>
      </c>
      <c r="I2420" s="972" t="s">
        <v>42</v>
      </c>
      <c r="J2420" s="972" t="s">
        <v>372</v>
      </c>
      <c r="K2420" s="972" t="s">
        <v>697</v>
      </c>
      <c r="L2420" s="1242" t="s">
        <v>42</v>
      </c>
      <c r="M2420" s="972" t="s">
        <v>372</v>
      </c>
    </row>
    <row r="2421" spans="1:15" ht="16" x14ac:dyDescent="0.2">
      <c r="A2421" s="486" t="s">
        <v>2379</v>
      </c>
      <c r="B2421" s="220">
        <v>1783.2159423335968</v>
      </c>
      <c r="C2421" s="220" t="s">
        <v>267</v>
      </c>
      <c r="D2421" s="220">
        <v>2</v>
      </c>
      <c r="E2421" s="159" t="s">
        <v>3400</v>
      </c>
      <c r="F2421" s="110">
        <v>1</v>
      </c>
      <c r="G2421" s="110" t="s">
        <v>1</v>
      </c>
      <c r="H2421" s="110"/>
      <c r="I2421" s="110"/>
      <c r="J2421" s="110"/>
      <c r="K2421" s="110"/>
      <c r="L2421" s="845"/>
      <c r="M2421" s="112"/>
    </row>
    <row r="2422" spans="1:15" x14ac:dyDescent="0.2">
      <c r="A2422" s="1217"/>
      <c r="B2422" s="166">
        <f>B2421*10/1000</f>
        <v>17.83215942333597</v>
      </c>
      <c r="C2422" s="133" t="s">
        <v>1</v>
      </c>
      <c r="E2422" s="83"/>
      <c r="H2422" t="s">
        <v>701</v>
      </c>
      <c r="I2422">
        <v>7.5000000000000002E-4</v>
      </c>
      <c r="J2422" t="s">
        <v>702</v>
      </c>
      <c r="K2422" t="s">
        <v>701</v>
      </c>
      <c r="L2422" s="166">
        <f>I2422*B$2423</f>
        <v>2.6748239135003956E-2</v>
      </c>
      <c r="M2422" s="127" t="s">
        <v>3367</v>
      </c>
    </row>
    <row r="2423" spans="1:15" x14ac:dyDescent="0.2">
      <c r="A2423" s="1217"/>
      <c r="B2423" s="1218">
        <f>B2422*D2421</f>
        <v>35.664318846671939</v>
      </c>
      <c r="C2423" s="1114" t="s">
        <v>1</v>
      </c>
      <c r="D2423" s="6" t="s">
        <v>577</v>
      </c>
      <c r="E2423" s="83"/>
      <c r="H2423" t="s">
        <v>703</v>
      </c>
      <c r="I2423" s="33">
        <v>3.3111200000000002E-8</v>
      </c>
      <c r="J2423" t="s">
        <v>704</v>
      </c>
      <c r="K2423" t="s">
        <v>703</v>
      </c>
      <c r="L2423" s="166">
        <f t="shared" ref="L2423:L2431" si="190">I2423*B$2423</f>
        <v>1.180888394195924E-6</v>
      </c>
      <c r="M2423" s="127" t="s">
        <v>3368</v>
      </c>
    </row>
    <row r="2424" spans="1:15" x14ac:dyDescent="0.2">
      <c r="A2424" s="1217"/>
      <c r="B2424" s="166"/>
      <c r="E2424" s="83"/>
      <c r="H2424" t="s">
        <v>705</v>
      </c>
      <c r="I2424">
        <v>4.1968100000000002</v>
      </c>
      <c r="J2424" t="s">
        <v>706</v>
      </c>
      <c r="K2424" t="s">
        <v>705</v>
      </c>
      <c r="L2424" s="166">
        <f t="shared" si="190"/>
        <v>149.67636997890128</v>
      </c>
      <c r="M2424" s="127" t="s">
        <v>3370</v>
      </c>
    </row>
    <row r="2425" spans="1:15" x14ac:dyDescent="0.2">
      <c r="A2425" s="1217"/>
      <c r="B2425" s="166"/>
      <c r="E2425" s="83"/>
      <c r="H2425" t="s">
        <v>3372</v>
      </c>
      <c r="I2425">
        <v>3.2000000000000003E-4</v>
      </c>
      <c r="J2425" t="s">
        <v>3373</v>
      </c>
      <c r="K2425" t="s">
        <v>3372</v>
      </c>
      <c r="L2425" s="166">
        <f t="shared" si="190"/>
        <v>1.1412582030935021E-2</v>
      </c>
      <c r="M2425" s="127" t="s">
        <v>3374</v>
      </c>
    </row>
    <row r="2426" spans="1:15" x14ac:dyDescent="0.2">
      <c r="A2426" s="1217"/>
      <c r="B2426" s="166"/>
      <c r="E2426" s="83"/>
      <c r="H2426" t="s">
        <v>3375</v>
      </c>
      <c r="I2426">
        <v>5.2999999999999998E-4</v>
      </c>
      <c r="J2426" t="s">
        <v>707</v>
      </c>
      <c r="K2426" t="s">
        <v>3375</v>
      </c>
      <c r="L2426" s="166">
        <f t="shared" si="190"/>
        <v>1.8902088988736129E-2</v>
      </c>
      <c r="M2426" s="127" t="s">
        <v>3376</v>
      </c>
    </row>
    <row r="2427" spans="1:15" x14ac:dyDescent="0.2">
      <c r="A2427" s="1217"/>
      <c r="B2427" s="166"/>
      <c r="E2427" s="83"/>
      <c r="H2427" t="s">
        <v>708</v>
      </c>
      <c r="I2427">
        <v>0.39150000000000001</v>
      </c>
      <c r="J2427" t="s">
        <v>709</v>
      </c>
      <c r="K2427" t="s">
        <v>708</v>
      </c>
      <c r="L2427" s="166">
        <f t="shared" si="190"/>
        <v>13.962580828472065</v>
      </c>
      <c r="M2427" s="127" t="s">
        <v>3377</v>
      </c>
    </row>
    <row r="2428" spans="1:15" x14ac:dyDescent="0.2">
      <c r="A2428" s="1217"/>
      <c r="B2428" s="166"/>
      <c r="E2428" s="83"/>
      <c r="H2428" t="s">
        <v>3378</v>
      </c>
      <c r="I2428" s="33">
        <v>9.8849699999999999E-8</v>
      </c>
      <c r="J2428" t="s">
        <v>704</v>
      </c>
      <c r="K2428" t="s">
        <v>3378</v>
      </c>
      <c r="L2428" s="166">
        <f t="shared" si="190"/>
        <v>3.5254072186978674E-6</v>
      </c>
      <c r="M2428" s="127" t="s">
        <v>3368</v>
      </c>
    </row>
    <row r="2429" spans="1:15" x14ac:dyDescent="0.2">
      <c r="A2429" s="1217"/>
      <c r="B2429" s="166"/>
      <c r="E2429" s="83"/>
      <c r="H2429" t="s">
        <v>710</v>
      </c>
      <c r="I2429" s="33">
        <v>1.51061E-9</v>
      </c>
      <c r="J2429" t="s">
        <v>3379</v>
      </c>
      <c r="K2429" t="s">
        <v>710</v>
      </c>
      <c r="L2429" s="166">
        <f t="shared" si="190"/>
        <v>5.3874876692971099E-8</v>
      </c>
      <c r="M2429" s="127" t="s">
        <v>3380</v>
      </c>
    </row>
    <row r="2430" spans="1:15" x14ac:dyDescent="0.2">
      <c r="A2430" s="1217"/>
      <c r="B2430" s="166"/>
      <c r="E2430" s="83"/>
      <c r="H2430" t="s">
        <v>3381</v>
      </c>
      <c r="I2430">
        <v>1.01E-3</v>
      </c>
      <c r="J2430" t="s">
        <v>3382</v>
      </c>
      <c r="K2430" t="s">
        <v>3381</v>
      </c>
      <c r="L2430" s="166">
        <f t="shared" si="190"/>
        <v>3.6020962035138659E-2</v>
      </c>
      <c r="M2430" s="127" t="s">
        <v>3383</v>
      </c>
    </row>
    <row r="2431" spans="1:15" x14ac:dyDescent="0.2">
      <c r="A2431" s="1217"/>
      <c r="B2431" s="166"/>
      <c r="E2431" s="83"/>
      <c r="H2431" t="s">
        <v>3384</v>
      </c>
      <c r="I2431">
        <v>1.2200000000000001E-2</v>
      </c>
      <c r="J2431" t="s">
        <v>711</v>
      </c>
      <c r="K2431" t="s">
        <v>3384</v>
      </c>
      <c r="L2431" s="166">
        <f t="shared" si="190"/>
        <v>0.43510468992939771</v>
      </c>
      <c r="M2431" s="127" t="s">
        <v>3385</v>
      </c>
    </row>
    <row r="2432" spans="1:15" x14ac:dyDescent="0.2">
      <c r="A2432" s="1219"/>
      <c r="B2432" s="833"/>
      <c r="C2432" s="1102"/>
      <c r="D2432" s="118"/>
      <c r="E2432" s="1220"/>
      <c r="F2432" s="118"/>
      <c r="G2432" s="118"/>
      <c r="H2432" s="118"/>
      <c r="I2432" s="118"/>
      <c r="J2432" s="118"/>
      <c r="K2432" s="118"/>
      <c r="L2432" s="833"/>
      <c r="M2432" s="120"/>
    </row>
    <row r="2433" spans="1:13" ht="16" x14ac:dyDescent="0.2">
      <c r="A2433" s="486" t="s">
        <v>2374</v>
      </c>
      <c r="B2433" s="220">
        <v>21356.728370429853</v>
      </c>
      <c r="C2433" s="220" t="s">
        <v>267</v>
      </c>
      <c r="D2433" s="220">
        <v>2</v>
      </c>
      <c r="E2433" s="1216" t="s">
        <v>3388</v>
      </c>
      <c r="F2433" s="110"/>
      <c r="G2433" s="110"/>
      <c r="H2433" s="110"/>
      <c r="I2433" s="110"/>
      <c r="J2433" s="110"/>
      <c r="K2433" s="110"/>
      <c r="L2433" s="845"/>
      <c r="M2433" s="112"/>
    </row>
    <row r="2434" spans="1:13" x14ac:dyDescent="0.2">
      <c r="A2434" s="1217"/>
      <c r="B2434" s="166">
        <f>B2433/1000</f>
        <v>21.356728370429853</v>
      </c>
      <c r="C2434" s="133" t="s">
        <v>444</v>
      </c>
      <c r="F2434">
        <v>1</v>
      </c>
      <c r="G2434" t="s">
        <v>713</v>
      </c>
      <c r="H2434" t="s">
        <v>701</v>
      </c>
      <c r="I2434">
        <v>0.14229</v>
      </c>
      <c r="J2434" t="s">
        <v>702</v>
      </c>
      <c r="K2434" t="s">
        <v>701</v>
      </c>
      <c r="L2434" s="166">
        <f>I2434*B$2439</f>
        <v>4.41099</v>
      </c>
      <c r="M2434" s="127" t="s">
        <v>3367</v>
      </c>
    </row>
    <row r="2435" spans="1:13" x14ac:dyDescent="0.2">
      <c r="A2435" s="1217"/>
      <c r="B2435" s="166">
        <v>20</v>
      </c>
      <c r="C2435" s="133" t="s">
        <v>10</v>
      </c>
      <c r="D2435" t="s">
        <v>3390</v>
      </c>
      <c r="E2435" s="83"/>
      <c r="F2435">
        <v>40</v>
      </c>
      <c r="G2435" t="s">
        <v>12</v>
      </c>
      <c r="H2435" t="s">
        <v>703</v>
      </c>
      <c r="I2435" s="33">
        <v>2.2291000000000001E-5</v>
      </c>
      <c r="J2435" t="s">
        <v>704</v>
      </c>
      <c r="K2435" t="s">
        <v>703</v>
      </c>
      <c r="L2435" s="166">
        <f t="shared" ref="L2435:L2443" si="191">I2435*B$2439</f>
        <v>6.91021E-4</v>
      </c>
      <c r="M2435" s="127" t="s">
        <v>3368</v>
      </c>
    </row>
    <row r="2436" spans="1:13" x14ac:dyDescent="0.2">
      <c r="A2436" s="1217"/>
      <c r="B2436" s="166">
        <v>0.7</v>
      </c>
      <c r="D2436" s="24" t="s">
        <v>3391</v>
      </c>
      <c r="E2436" s="83"/>
      <c r="H2436" t="s">
        <v>705</v>
      </c>
      <c r="I2436">
        <v>3203.5834399999999</v>
      </c>
      <c r="J2436" t="s">
        <v>706</v>
      </c>
      <c r="K2436" t="s">
        <v>705</v>
      </c>
      <c r="L2436" s="166">
        <f t="shared" si="191"/>
        <v>99311.086639999994</v>
      </c>
      <c r="M2436" s="127" t="s">
        <v>3370</v>
      </c>
    </row>
    <row r="2437" spans="1:13" x14ac:dyDescent="0.2">
      <c r="A2437" s="1217"/>
      <c r="B2437" s="166">
        <f>B2434*B2435/B2436</f>
        <v>610.19223915513862</v>
      </c>
      <c r="C2437" s="133" t="s">
        <v>12</v>
      </c>
      <c r="D2437" s="6"/>
      <c r="E2437" s="83"/>
      <c r="H2437" t="s">
        <v>3372</v>
      </c>
      <c r="I2437">
        <v>1.278E-2</v>
      </c>
      <c r="J2437" t="s">
        <v>3373</v>
      </c>
      <c r="K2437" t="s">
        <v>3372</v>
      </c>
      <c r="L2437" s="166">
        <f t="shared" si="191"/>
        <v>0.39617999999999998</v>
      </c>
      <c r="M2437" s="127" t="s">
        <v>3374</v>
      </c>
    </row>
    <row r="2438" spans="1:13" x14ac:dyDescent="0.2">
      <c r="A2438" s="1217"/>
      <c r="B2438" s="166">
        <f>B2437*D2433</f>
        <v>1220.3844783102772</v>
      </c>
      <c r="C2438" s="133" t="s">
        <v>12</v>
      </c>
      <c r="E2438" s="83"/>
      <c r="H2438" t="s">
        <v>3375</v>
      </c>
      <c r="I2438">
        <v>3.7339999999999998E-2</v>
      </c>
      <c r="J2438" t="s">
        <v>707</v>
      </c>
      <c r="K2438" t="s">
        <v>3375</v>
      </c>
      <c r="L2438" s="166">
        <f t="shared" si="191"/>
        <v>1.15754</v>
      </c>
      <c r="M2438" s="127" t="s">
        <v>3376</v>
      </c>
    </row>
    <row r="2439" spans="1:13" x14ac:dyDescent="0.2">
      <c r="A2439" s="1217"/>
      <c r="B2439" s="1218">
        <f>ROUNDUP(B2438/F2435,0)</f>
        <v>31</v>
      </c>
      <c r="C2439" s="1114" t="s">
        <v>3392</v>
      </c>
      <c r="D2439" s="6" t="s">
        <v>577</v>
      </c>
      <c r="E2439" s="83"/>
      <c r="H2439" t="s">
        <v>708</v>
      </c>
      <c r="I2439">
        <v>9.0477000000000007</v>
      </c>
      <c r="J2439" t="s">
        <v>709</v>
      </c>
      <c r="K2439" t="s">
        <v>708</v>
      </c>
      <c r="L2439" s="166">
        <f t="shared" si="191"/>
        <v>280.4787</v>
      </c>
      <c r="M2439" s="127" t="s">
        <v>3377</v>
      </c>
    </row>
    <row r="2440" spans="1:13" x14ac:dyDescent="0.2">
      <c r="A2440" s="1217"/>
      <c r="B2440" s="166"/>
      <c r="E2440" s="83"/>
      <c r="H2440" t="s">
        <v>3378</v>
      </c>
      <c r="I2440" s="33">
        <v>3.5905399999999997E-5</v>
      </c>
      <c r="J2440" t="s">
        <v>704</v>
      </c>
      <c r="K2440" t="s">
        <v>3378</v>
      </c>
      <c r="L2440" s="166">
        <f t="shared" si="191"/>
        <v>1.1130673999999998E-3</v>
      </c>
      <c r="M2440" s="127" t="s">
        <v>3368</v>
      </c>
    </row>
    <row r="2441" spans="1:13" x14ac:dyDescent="0.2">
      <c r="A2441" s="1217"/>
      <c r="B2441" s="166"/>
      <c r="E2441" s="83"/>
      <c r="H2441" t="s">
        <v>710</v>
      </c>
      <c r="I2441" s="33">
        <v>1.7364199999999999E-7</v>
      </c>
      <c r="J2441" t="s">
        <v>3379</v>
      </c>
      <c r="K2441" t="s">
        <v>710</v>
      </c>
      <c r="L2441" s="166">
        <f t="shared" si="191"/>
        <v>5.3829019999999994E-6</v>
      </c>
      <c r="M2441" s="127" t="s">
        <v>3380</v>
      </c>
    </row>
    <row r="2442" spans="1:13" x14ac:dyDescent="0.2">
      <c r="A2442" s="1217"/>
      <c r="B2442" s="166"/>
      <c r="E2442" s="83"/>
      <c r="H2442" t="s">
        <v>3381</v>
      </c>
      <c r="I2442">
        <v>2.9360000000000001E-2</v>
      </c>
      <c r="J2442" t="s">
        <v>3382</v>
      </c>
      <c r="K2442" t="s">
        <v>3381</v>
      </c>
      <c r="L2442" s="166">
        <f t="shared" si="191"/>
        <v>0.91015999999999997</v>
      </c>
      <c r="M2442" s="127" t="s">
        <v>3383</v>
      </c>
    </row>
    <row r="2443" spans="1:13" x14ac:dyDescent="0.2">
      <c r="A2443" s="1217"/>
      <c r="B2443" s="166"/>
      <c r="E2443" s="83"/>
      <c r="H2443" t="s">
        <v>3384</v>
      </c>
      <c r="I2443">
        <v>0.84404000000000001</v>
      </c>
      <c r="J2443" t="s">
        <v>711</v>
      </c>
      <c r="K2443" t="s">
        <v>3384</v>
      </c>
      <c r="L2443" s="166">
        <f t="shared" si="191"/>
        <v>26.165240000000001</v>
      </c>
      <c r="M2443" s="127" t="s">
        <v>3385</v>
      </c>
    </row>
    <row r="2444" spans="1:13" x14ac:dyDescent="0.2">
      <c r="A2444" s="1219"/>
      <c r="B2444" s="833"/>
      <c r="C2444" s="1102"/>
      <c r="D2444" s="118"/>
      <c r="E2444" s="1220"/>
      <c r="F2444" s="118"/>
      <c r="G2444" s="118"/>
      <c r="H2444" s="118"/>
      <c r="I2444" s="118"/>
      <c r="J2444" s="118"/>
      <c r="K2444" s="118"/>
      <c r="L2444" s="833"/>
      <c r="M2444" s="120"/>
    </row>
    <row r="2445" spans="1:13" ht="16" x14ac:dyDescent="0.2">
      <c r="A2445" s="486" t="s">
        <v>2375</v>
      </c>
      <c r="B2445" s="220">
        <v>1783.2159423335968</v>
      </c>
      <c r="C2445" s="220" t="s">
        <v>267</v>
      </c>
      <c r="D2445" s="220">
        <v>2</v>
      </c>
      <c r="E2445" s="1216" t="s">
        <v>3388</v>
      </c>
      <c r="F2445" s="110"/>
      <c r="G2445" s="110"/>
      <c r="H2445" s="110"/>
      <c r="I2445" s="110"/>
      <c r="J2445" s="110"/>
      <c r="K2445" s="110"/>
      <c r="L2445" s="845"/>
      <c r="M2445" s="112"/>
    </row>
    <row r="2446" spans="1:13" x14ac:dyDescent="0.2">
      <c r="A2446" s="1217"/>
      <c r="B2446" s="166">
        <f>B2445/1000</f>
        <v>1.7832159423335967</v>
      </c>
      <c r="C2446" s="133" t="s">
        <v>444</v>
      </c>
      <c r="F2446">
        <v>1</v>
      </c>
      <c r="G2446" t="s">
        <v>713</v>
      </c>
      <c r="H2446" t="s">
        <v>701</v>
      </c>
      <c r="I2446">
        <v>0.14229</v>
      </c>
      <c r="J2446" t="s">
        <v>702</v>
      </c>
      <c r="K2446" t="s">
        <v>701</v>
      </c>
      <c r="L2446" s="166">
        <f>I2446*B$2451</f>
        <v>0.42686999999999997</v>
      </c>
      <c r="M2446" s="127" t="s">
        <v>3367</v>
      </c>
    </row>
    <row r="2447" spans="1:13" x14ac:dyDescent="0.2">
      <c r="A2447" s="1217"/>
      <c r="B2447" s="166">
        <v>20</v>
      </c>
      <c r="C2447" s="133" t="s">
        <v>10</v>
      </c>
      <c r="D2447" t="s">
        <v>3390</v>
      </c>
      <c r="E2447" s="83"/>
      <c r="F2447">
        <v>40</v>
      </c>
      <c r="G2447" t="s">
        <v>12</v>
      </c>
      <c r="H2447" t="s">
        <v>703</v>
      </c>
      <c r="I2447" s="33">
        <v>2.2291000000000001E-5</v>
      </c>
      <c r="J2447" t="s">
        <v>704</v>
      </c>
      <c r="K2447" t="s">
        <v>703</v>
      </c>
      <c r="L2447" s="166">
        <f t="shared" ref="L2447:L2455" si="192">I2447*B$2451</f>
        <v>6.6873000000000008E-5</v>
      </c>
      <c r="M2447" s="127" t="s">
        <v>3368</v>
      </c>
    </row>
    <row r="2448" spans="1:13" x14ac:dyDescent="0.2">
      <c r="A2448" s="1217"/>
      <c r="B2448" s="166">
        <v>0.7</v>
      </c>
      <c r="D2448" s="24" t="s">
        <v>3391</v>
      </c>
      <c r="E2448" s="83"/>
      <c r="H2448" t="s">
        <v>705</v>
      </c>
      <c r="I2448">
        <v>3203.5834399999999</v>
      </c>
      <c r="J2448" t="s">
        <v>706</v>
      </c>
      <c r="K2448" t="s">
        <v>705</v>
      </c>
      <c r="L2448" s="166">
        <f t="shared" si="192"/>
        <v>9610.7503199999992</v>
      </c>
      <c r="M2448" s="127" t="s">
        <v>3370</v>
      </c>
    </row>
    <row r="2449" spans="1:13" x14ac:dyDescent="0.2">
      <c r="A2449" s="1217"/>
      <c r="B2449" s="166">
        <f>B2446*B2447/B2448</f>
        <v>50.949026923817051</v>
      </c>
      <c r="C2449" s="133" t="s">
        <v>12</v>
      </c>
      <c r="D2449" s="6"/>
      <c r="E2449" s="83"/>
      <c r="H2449" t="s">
        <v>3372</v>
      </c>
      <c r="I2449">
        <v>1.278E-2</v>
      </c>
      <c r="J2449" t="s">
        <v>3373</v>
      </c>
      <c r="K2449" t="s">
        <v>3372</v>
      </c>
      <c r="L2449" s="166">
        <f t="shared" si="192"/>
        <v>3.8339999999999999E-2</v>
      </c>
      <c r="M2449" s="127" t="s">
        <v>3374</v>
      </c>
    </row>
    <row r="2450" spans="1:13" x14ac:dyDescent="0.2">
      <c r="A2450" s="1217"/>
      <c r="B2450" s="166">
        <f>B2449*D2445</f>
        <v>101.8980538476341</v>
      </c>
      <c r="C2450" s="133" t="s">
        <v>12</v>
      </c>
      <c r="E2450" s="83"/>
      <c r="H2450" t="s">
        <v>3375</v>
      </c>
      <c r="I2450">
        <v>3.7339999999999998E-2</v>
      </c>
      <c r="J2450" t="s">
        <v>707</v>
      </c>
      <c r="K2450" t="s">
        <v>3375</v>
      </c>
      <c r="L2450" s="166">
        <f t="shared" si="192"/>
        <v>0.11201999999999999</v>
      </c>
      <c r="M2450" s="127" t="s">
        <v>3376</v>
      </c>
    </row>
    <row r="2451" spans="1:13" x14ac:dyDescent="0.2">
      <c r="A2451" s="1217"/>
      <c r="B2451" s="1218">
        <f>ROUNDUP(B2450/F2447,0)</f>
        <v>3</v>
      </c>
      <c r="C2451" s="1114" t="s">
        <v>3392</v>
      </c>
      <c r="D2451" s="6" t="s">
        <v>577</v>
      </c>
      <c r="E2451" s="83"/>
      <c r="H2451" t="s">
        <v>708</v>
      </c>
      <c r="I2451">
        <v>9.0477000000000007</v>
      </c>
      <c r="J2451" t="s">
        <v>709</v>
      </c>
      <c r="K2451" t="s">
        <v>708</v>
      </c>
      <c r="L2451" s="166">
        <f t="shared" si="192"/>
        <v>27.143100000000004</v>
      </c>
      <c r="M2451" s="127" t="s">
        <v>3377</v>
      </c>
    </row>
    <row r="2452" spans="1:13" x14ac:dyDescent="0.2">
      <c r="A2452" s="1217"/>
      <c r="B2452" s="166"/>
      <c r="E2452" s="83"/>
      <c r="H2452" t="s">
        <v>3378</v>
      </c>
      <c r="I2452" s="33">
        <v>3.5905399999999997E-5</v>
      </c>
      <c r="J2452" t="s">
        <v>704</v>
      </c>
      <c r="K2452" t="s">
        <v>3378</v>
      </c>
      <c r="L2452" s="166">
        <f t="shared" si="192"/>
        <v>1.0771619999999998E-4</v>
      </c>
      <c r="M2452" s="127" t="s">
        <v>3368</v>
      </c>
    </row>
    <row r="2453" spans="1:13" x14ac:dyDescent="0.2">
      <c r="A2453" s="1217"/>
      <c r="B2453" s="166"/>
      <c r="E2453" s="83"/>
      <c r="H2453" t="s">
        <v>710</v>
      </c>
      <c r="I2453" s="33">
        <v>1.7364199999999999E-7</v>
      </c>
      <c r="J2453" t="s">
        <v>3379</v>
      </c>
      <c r="K2453" t="s">
        <v>710</v>
      </c>
      <c r="L2453" s="166">
        <f t="shared" si="192"/>
        <v>5.2092599999999994E-7</v>
      </c>
      <c r="M2453" s="127" t="s">
        <v>3380</v>
      </c>
    </row>
    <row r="2454" spans="1:13" x14ac:dyDescent="0.2">
      <c r="A2454" s="1217"/>
      <c r="B2454" s="166"/>
      <c r="E2454" s="83"/>
      <c r="H2454" t="s">
        <v>3381</v>
      </c>
      <c r="I2454">
        <v>2.9360000000000001E-2</v>
      </c>
      <c r="J2454" t="s">
        <v>3382</v>
      </c>
      <c r="K2454" t="s">
        <v>3381</v>
      </c>
      <c r="L2454" s="166">
        <f t="shared" si="192"/>
        <v>8.8080000000000006E-2</v>
      </c>
      <c r="M2454" s="127" t="s">
        <v>3383</v>
      </c>
    </row>
    <row r="2455" spans="1:13" x14ac:dyDescent="0.2">
      <c r="A2455" s="1217"/>
      <c r="B2455" s="166"/>
      <c r="E2455" s="83"/>
      <c r="H2455" t="s">
        <v>3384</v>
      </c>
      <c r="I2455">
        <v>0.84404000000000001</v>
      </c>
      <c r="J2455" t="s">
        <v>711</v>
      </c>
      <c r="K2455" t="s">
        <v>3384</v>
      </c>
      <c r="L2455" s="166">
        <f t="shared" si="192"/>
        <v>2.5321199999999999</v>
      </c>
      <c r="M2455" s="127" t="s">
        <v>3385</v>
      </c>
    </row>
    <row r="2456" spans="1:13" x14ac:dyDescent="0.2">
      <c r="A2456" s="1219"/>
      <c r="B2456" s="833"/>
      <c r="C2456" s="1102"/>
      <c r="D2456" s="118"/>
      <c r="E2456" s="1220"/>
      <c r="F2456" s="118"/>
      <c r="G2456" s="118"/>
      <c r="H2456" s="118"/>
      <c r="I2456" s="118"/>
      <c r="J2456" s="118"/>
      <c r="K2456" s="118"/>
      <c r="L2456" s="833"/>
      <c r="M2456" s="120"/>
    </row>
    <row r="2457" spans="1:13" ht="16" x14ac:dyDescent="0.2">
      <c r="A2457" s="637" t="s">
        <v>1025</v>
      </c>
      <c r="B2457" s="76">
        <v>21356.728370429853</v>
      </c>
      <c r="C2457" s="76" t="s">
        <v>1</v>
      </c>
      <c r="D2457" s="76">
        <v>2</v>
      </c>
      <c r="E2457" s="8" t="s">
        <v>3400</v>
      </c>
      <c r="F2457">
        <v>1</v>
      </c>
      <c r="G2457" t="s">
        <v>1</v>
      </c>
      <c r="L2457" s="166"/>
      <c r="M2457" s="127"/>
    </row>
    <row r="2458" spans="1:13" x14ac:dyDescent="0.2">
      <c r="A2458" s="1217"/>
      <c r="B2458" s="1218">
        <f>B2457*D2457</f>
        <v>42713.456740859707</v>
      </c>
      <c r="C2458" s="1114" t="s">
        <v>1</v>
      </c>
      <c r="D2458" s="6" t="s">
        <v>577</v>
      </c>
      <c r="E2458" s="83"/>
      <c r="H2458" t="s">
        <v>701</v>
      </c>
      <c r="I2458">
        <v>7.5000000000000002E-4</v>
      </c>
      <c r="J2458" t="s">
        <v>702</v>
      </c>
      <c r="K2458" t="s">
        <v>701</v>
      </c>
      <c r="L2458" s="166">
        <f>I2458*B$2458</f>
        <v>32.035092555644781</v>
      </c>
      <c r="M2458" s="127" t="s">
        <v>3367</v>
      </c>
    </row>
    <row r="2459" spans="1:13" x14ac:dyDescent="0.2">
      <c r="A2459" s="1217"/>
      <c r="B2459" s="166"/>
      <c r="E2459" s="83"/>
      <c r="H2459" t="s">
        <v>703</v>
      </c>
      <c r="I2459" s="33">
        <v>3.3111200000000002E-8</v>
      </c>
      <c r="J2459" t="s">
        <v>704</v>
      </c>
      <c r="K2459" t="s">
        <v>703</v>
      </c>
      <c r="L2459" s="166">
        <f t="shared" ref="L2459:L2467" si="193">I2459*B$2458</f>
        <v>1.4142938088379539E-3</v>
      </c>
      <c r="M2459" s="127" t="s">
        <v>3368</v>
      </c>
    </row>
    <row r="2460" spans="1:13" x14ac:dyDescent="0.2">
      <c r="A2460" s="1217"/>
      <c r="B2460" s="166"/>
      <c r="E2460" s="83"/>
      <c r="H2460" t="s">
        <v>705</v>
      </c>
      <c r="I2460">
        <v>4.1968100000000002</v>
      </c>
      <c r="J2460" t="s">
        <v>706</v>
      </c>
      <c r="K2460" t="s">
        <v>705</v>
      </c>
      <c r="L2460" s="166">
        <f t="shared" si="193"/>
        <v>179260.26238460743</v>
      </c>
      <c r="M2460" s="127" t="s">
        <v>3370</v>
      </c>
    </row>
    <row r="2461" spans="1:13" x14ac:dyDescent="0.2">
      <c r="A2461" s="1217"/>
      <c r="B2461" s="166"/>
      <c r="E2461" s="83"/>
      <c r="H2461" t="s">
        <v>3372</v>
      </c>
      <c r="I2461">
        <v>3.2000000000000003E-4</v>
      </c>
      <c r="J2461" t="s">
        <v>3373</v>
      </c>
      <c r="K2461" t="s">
        <v>3372</v>
      </c>
      <c r="L2461" s="166">
        <f t="shared" si="193"/>
        <v>13.668306157075108</v>
      </c>
      <c r="M2461" s="127" t="s">
        <v>3374</v>
      </c>
    </row>
    <row r="2462" spans="1:13" x14ac:dyDescent="0.2">
      <c r="A2462" s="1217"/>
      <c r="B2462" s="166"/>
      <c r="E2462" s="83"/>
      <c r="H2462" t="s">
        <v>3375</v>
      </c>
      <c r="I2462">
        <v>5.2999999999999998E-4</v>
      </c>
      <c r="J2462" t="s">
        <v>707</v>
      </c>
      <c r="K2462" t="s">
        <v>3375</v>
      </c>
      <c r="L2462" s="166">
        <f t="shared" si="193"/>
        <v>22.638132072655644</v>
      </c>
      <c r="M2462" s="127" t="s">
        <v>3376</v>
      </c>
    </row>
    <row r="2463" spans="1:13" x14ac:dyDescent="0.2">
      <c r="A2463" s="1217"/>
      <c r="B2463" s="166"/>
      <c r="E2463" s="83"/>
      <c r="H2463" t="s">
        <v>708</v>
      </c>
      <c r="I2463">
        <v>0.39150000000000001</v>
      </c>
      <c r="J2463" t="s">
        <v>709</v>
      </c>
      <c r="K2463" t="s">
        <v>708</v>
      </c>
      <c r="L2463" s="166">
        <f t="shared" si="193"/>
        <v>16722.318314046577</v>
      </c>
      <c r="M2463" s="127" t="s">
        <v>3377</v>
      </c>
    </row>
    <row r="2464" spans="1:13" x14ac:dyDescent="0.2">
      <c r="A2464" s="1217"/>
      <c r="B2464" s="166"/>
      <c r="E2464" s="83"/>
      <c r="H2464" t="s">
        <v>3378</v>
      </c>
      <c r="I2464" s="33">
        <v>9.8849699999999999E-8</v>
      </c>
      <c r="J2464" t="s">
        <v>704</v>
      </c>
      <c r="K2464" t="s">
        <v>3378</v>
      </c>
      <c r="L2464" s="166">
        <f t="shared" si="193"/>
        <v>4.2222123847969594E-3</v>
      </c>
      <c r="M2464" s="127" t="s">
        <v>3368</v>
      </c>
    </row>
    <row r="2465" spans="1:13" x14ac:dyDescent="0.2">
      <c r="A2465" s="1217"/>
      <c r="B2465" s="166"/>
      <c r="E2465" s="83"/>
      <c r="H2465" t="s">
        <v>710</v>
      </c>
      <c r="I2465" s="33">
        <v>1.51061E-9</v>
      </c>
      <c r="J2465" t="s">
        <v>3379</v>
      </c>
      <c r="K2465" t="s">
        <v>710</v>
      </c>
      <c r="L2465" s="166">
        <f t="shared" si="193"/>
        <v>6.4523374887310084E-5</v>
      </c>
      <c r="M2465" s="127" t="s">
        <v>3380</v>
      </c>
    </row>
    <row r="2466" spans="1:13" x14ac:dyDescent="0.2">
      <c r="A2466" s="1217"/>
      <c r="B2466" s="166"/>
      <c r="E2466" s="83"/>
      <c r="H2466" t="s">
        <v>3381</v>
      </c>
      <c r="I2466">
        <v>1.01E-3</v>
      </c>
      <c r="J2466" t="s">
        <v>3382</v>
      </c>
      <c r="K2466" t="s">
        <v>3381</v>
      </c>
      <c r="L2466" s="166">
        <f t="shared" si="193"/>
        <v>43.140591308268306</v>
      </c>
      <c r="M2466" s="127" t="s">
        <v>3383</v>
      </c>
    </row>
    <row r="2467" spans="1:13" x14ac:dyDescent="0.2">
      <c r="A2467" s="1217"/>
      <c r="B2467" s="166"/>
      <c r="E2467" s="83"/>
      <c r="H2467" t="s">
        <v>3384</v>
      </c>
      <c r="I2467">
        <v>1.2200000000000001E-2</v>
      </c>
      <c r="J2467" t="s">
        <v>711</v>
      </c>
      <c r="K2467" t="s">
        <v>3384</v>
      </c>
      <c r="L2467" s="166">
        <f t="shared" si="193"/>
        <v>521.10417223848845</v>
      </c>
      <c r="M2467" s="127" t="s">
        <v>3385</v>
      </c>
    </row>
    <row r="2468" spans="1:13" x14ac:dyDescent="0.2">
      <c r="A2468" s="1219"/>
      <c r="B2468" s="833"/>
      <c r="C2468" s="1102"/>
      <c r="D2468" s="118"/>
      <c r="E2468" s="1220"/>
      <c r="F2468" s="118"/>
      <c r="G2468" s="118"/>
      <c r="H2468" s="118"/>
      <c r="I2468" s="118"/>
      <c r="J2468" s="118"/>
      <c r="K2468" s="118"/>
      <c r="L2468" s="833"/>
      <c r="M2468" s="120"/>
    </row>
    <row r="2469" spans="1:13" x14ac:dyDescent="0.2">
      <c r="A2469" s="1215"/>
      <c r="B2469" s="845"/>
      <c r="C2469" s="1103"/>
      <c r="D2469" s="110"/>
      <c r="E2469" s="1216"/>
      <c r="F2469" s="110"/>
      <c r="G2469" s="110"/>
      <c r="H2469" s="110"/>
      <c r="I2469" s="110"/>
      <c r="J2469" s="110"/>
      <c r="K2469" s="110"/>
      <c r="L2469" s="845"/>
      <c r="M2469" s="112"/>
    </row>
    <row r="2470" spans="1:13" ht="16" x14ac:dyDescent="0.2">
      <c r="A2470" s="637" t="s">
        <v>841</v>
      </c>
      <c r="B2470" s="76">
        <v>22.738298261414045</v>
      </c>
      <c r="C2470" s="76" t="s">
        <v>11</v>
      </c>
      <c r="D2470" s="76">
        <v>2</v>
      </c>
      <c r="E2470" s="83" t="s">
        <v>3393</v>
      </c>
      <c r="F2470">
        <v>1</v>
      </c>
      <c r="G2470" t="s">
        <v>15</v>
      </c>
      <c r="H2470" t="s">
        <v>701</v>
      </c>
      <c r="I2470">
        <v>6.0200000000000002E-3</v>
      </c>
      <c r="J2470" t="s">
        <v>702</v>
      </c>
      <c r="K2470" t="s">
        <v>701</v>
      </c>
      <c r="L2470" s="166">
        <f>I2470*B$2473</f>
        <v>1.83734663510681</v>
      </c>
      <c r="M2470" s="127" t="s">
        <v>3367</v>
      </c>
    </row>
    <row r="2471" spans="1:13" x14ac:dyDescent="0.2">
      <c r="A2471" s="1217"/>
      <c r="B2471" s="166">
        <v>16.955949013536454</v>
      </c>
      <c r="C2471" s="133" t="s">
        <v>545</v>
      </c>
      <c r="E2471" s="83"/>
      <c r="H2471" t="s">
        <v>703</v>
      </c>
      <c r="I2471" s="33">
        <v>1.2843299999999999E-6</v>
      </c>
      <c r="J2471" t="s">
        <v>704</v>
      </c>
      <c r="K2471" t="s">
        <v>703</v>
      </c>
      <c r="L2471" s="166">
        <f t="shared" ref="L2471:L2479" si="194">I2471*B$2473</f>
        <v>3.9198661193799489E-4</v>
      </c>
      <c r="M2471" s="127" t="s">
        <v>3368</v>
      </c>
    </row>
    <row r="2472" spans="1:13" x14ac:dyDescent="0.2">
      <c r="A2472" s="1217"/>
      <c r="B2472" s="166">
        <f>1800/200</f>
        <v>9</v>
      </c>
      <c r="C2472" s="133" t="s">
        <v>3408</v>
      </c>
      <c r="E2472" s="83"/>
      <c r="H2472" t="s">
        <v>705</v>
      </c>
      <c r="I2472">
        <v>67.217029999999994</v>
      </c>
      <c r="J2472" t="s">
        <v>706</v>
      </c>
      <c r="K2472" t="s">
        <v>705</v>
      </c>
      <c r="L2472" s="166">
        <f t="shared" si="194"/>
        <v>20515.113603384299</v>
      </c>
      <c r="M2472" s="127" t="s">
        <v>3370</v>
      </c>
    </row>
    <row r="2473" spans="1:13" x14ac:dyDescent="0.2">
      <c r="A2473" s="1217"/>
      <c r="B2473" s="1218">
        <f>B2472*B2471*D2470</f>
        <v>305.20708224365615</v>
      </c>
      <c r="C2473" s="1114" t="s">
        <v>15</v>
      </c>
      <c r="D2473" s="6" t="s">
        <v>577</v>
      </c>
      <c r="E2473" s="83"/>
      <c r="H2473" t="s">
        <v>3372</v>
      </c>
      <c r="I2473">
        <v>7.6999999999999996E-4</v>
      </c>
      <c r="J2473" t="s">
        <v>3373</v>
      </c>
      <c r="K2473" t="s">
        <v>3372</v>
      </c>
      <c r="L2473" s="166">
        <f t="shared" si="194"/>
        <v>0.23500945332761522</v>
      </c>
      <c r="M2473" s="127" t="s">
        <v>3374</v>
      </c>
    </row>
    <row r="2474" spans="1:13" x14ac:dyDescent="0.2">
      <c r="A2474" s="1217"/>
      <c r="B2474" s="166"/>
      <c r="E2474" s="83"/>
      <c r="H2474" t="s">
        <v>3375</v>
      </c>
      <c r="I2474">
        <v>4.1700000000000001E-3</v>
      </c>
      <c r="J2474" t="s">
        <v>707</v>
      </c>
      <c r="K2474" t="s">
        <v>3375</v>
      </c>
      <c r="L2474" s="166">
        <f t="shared" si="194"/>
        <v>1.2727135329560462</v>
      </c>
      <c r="M2474" s="127" t="s">
        <v>3376</v>
      </c>
    </row>
    <row r="2475" spans="1:13" x14ac:dyDescent="0.2">
      <c r="A2475" s="1217"/>
      <c r="B2475" s="166"/>
      <c r="E2475" s="83"/>
      <c r="H2475" t="s">
        <v>708</v>
      </c>
      <c r="I2475">
        <v>1.7658199999999999</v>
      </c>
      <c r="J2475" t="s">
        <v>709</v>
      </c>
      <c r="K2475" t="s">
        <v>708</v>
      </c>
      <c r="L2475" s="166">
        <f t="shared" si="194"/>
        <v>538.94076996749288</v>
      </c>
      <c r="M2475" s="127" t="s">
        <v>3377</v>
      </c>
    </row>
    <row r="2476" spans="1:13" x14ac:dyDescent="0.2">
      <c r="A2476" s="1217"/>
      <c r="B2476" s="166"/>
      <c r="E2476" s="83"/>
      <c r="H2476" t="s">
        <v>3378</v>
      </c>
      <c r="I2476" s="33">
        <v>3.4665800000000001E-7</v>
      </c>
      <c r="J2476" t="s">
        <v>704</v>
      </c>
      <c r="K2476" t="s">
        <v>3378</v>
      </c>
      <c r="L2476" s="166">
        <f t="shared" si="194"/>
        <v>1.0580247671642136E-4</v>
      </c>
      <c r="M2476" s="127" t="s">
        <v>3368</v>
      </c>
    </row>
    <row r="2477" spans="1:13" x14ac:dyDescent="0.2">
      <c r="A2477" s="1217"/>
      <c r="B2477" s="166"/>
      <c r="E2477" s="83"/>
      <c r="H2477" t="s">
        <v>710</v>
      </c>
      <c r="I2477" s="33">
        <v>5.15501E-8</v>
      </c>
      <c r="J2477" t="s">
        <v>3379</v>
      </c>
      <c r="K2477" t="s">
        <v>710</v>
      </c>
      <c r="L2477" s="166">
        <f t="shared" si="194"/>
        <v>1.5733455610368697E-5</v>
      </c>
      <c r="M2477" s="127" t="s">
        <v>3380</v>
      </c>
    </row>
    <row r="2478" spans="1:13" x14ac:dyDescent="0.2">
      <c r="A2478" s="1217"/>
      <c r="B2478" s="166"/>
      <c r="E2478" s="83"/>
      <c r="H2478" t="s">
        <v>3381</v>
      </c>
      <c r="I2478">
        <v>2.7299999999999998E-3</v>
      </c>
      <c r="J2478" t="s">
        <v>3382</v>
      </c>
      <c r="K2478" t="s">
        <v>3381</v>
      </c>
      <c r="L2478" s="166">
        <f t="shared" si="194"/>
        <v>0.83321533452518126</v>
      </c>
      <c r="M2478" s="127" t="s">
        <v>3383</v>
      </c>
    </row>
    <row r="2479" spans="1:13" x14ac:dyDescent="0.2">
      <c r="A2479" s="1217"/>
      <c r="B2479" s="166"/>
      <c r="E2479" s="83"/>
      <c r="H2479" t="s">
        <v>3384</v>
      </c>
      <c r="I2479">
        <v>0.10051</v>
      </c>
      <c r="J2479" t="s">
        <v>711</v>
      </c>
      <c r="K2479" t="s">
        <v>3384</v>
      </c>
      <c r="L2479" s="166">
        <f t="shared" si="194"/>
        <v>30.676363836309879</v>
      </c>
      <c r="M2479" s="127" t="s">
        <v>3385</v>
      </c>
    </row>
    <row r="2480" spans="1:13" x14ac:dyDescent="0.2">
      <c r="A2480" s="1219"/>
      <c r="B2480" s="166"/>
      <c r="E2480" s="1235"/>
      <c r="F2480" s="118"/>
      <c r="G2480" s="118"/>
      <c r="H2480" s="118"/>
      <c r="I2480" s="118"/>
      <c r="J2480" s="118"/>
      <c r="K2480" s="118"/>
      <c r="L2480" s="833"/>
      <c r="M2480" s="120"/>
    </row>
    <row r="2481" spans="1:13" ht="16" x14ac:dyDescent="0.2">
      <c r="A2481" s="486" t="s">
        <v>2376</v>
      </c>
      <c r="B2481" s="76">
        <v>0.41109045420022577</v>
      </c>
      <c r="C2481" s="76" t="s">
        <v>267</v>
      </c>
      <c r="D2481" s="76">
        <v>2</v>
      </c>
      <c r="E2481" s="1216" t="s">
        <v>3393</v>
      </c>
      <c r="F2481" s="110"/>
      <c r="G2481" s="110"/>
      <c r="H2481" s="110"/>
      <c r="I2481" s="110"/>
      <c r="J2481" s="110"/>
      <c r="K2481" s="110"/>
      <c r="L2481" s="845"/>
      <c r="M2481" s="112"/>
    </row>
    <row r="2482" spans="1:13" x14ac:dyDescent="0.2">
      <c r="A2482" s="1217"/>
      <c r="B2482" s="166">
        <f>B2481/1000</f>
        <v>4.1109045420022579E-4</v>
      </c>
      <c r="C2482" s="133" t="s">
        <v>444</v>
      </c>
      <c r="F2482">
        <v>1</v>
      </c>
      <c r="G2482" t="s">
        <v>15</v>
      </c>
      <c r="H2482" t="s">
        <v>701</v>
      </c>
      <c r="I2482">
        <v>6.0200000000000002E-3</v>
      </c>
      <c r="J2482" t="s">
        <v>702</v>
      </c>
      <c r="K2482" t="s">
        <v>701</v>
      </c>
      <c r="L2482" s="166">
        <f>I2482*B$2486</f>
        <v>60.2</v>
      </c>
      <c r="M2482" s="127" t="s">
        <v>3367</v>
      </c>
    </row>
    <row r="2483" spans="1:13" x14ac:dyDescent="0.2">
      <c r="A2483" s="1217"/>
      <c r="B2483" s="166">
        <v>30</v>
      </c>
      <c r="C2483" s="133" t="s">
        <v>444</v>
      </c>
      <c r="E2483" s="83"/>
      <c r="H2483" t="s">
        <v>703</v>
      </c>
      <c r="I2483" s="33">
        <v>1.2843299999999999E-6</v>
      </c>
      <c r="J2483" t="s">
        <v>704</v>
      </c>
      <c r="K2483" t="s">
        <v>703</v>
      </c>
      <c r="L2483" s="166">
        <f t="shared" ref="L2483:L2491" si="195">I2483*B$2486</f>
        <v>1.2843299999999998E-2</v>
      </c>
      <c r="M2483" s="127" t="s">
        <v>3368</v>
      </c>
    </row>
    <row r="2484" spans="1:13" x14ac:dyDescent="0.2">
      <c r="A2484" s="1217"/>
      <c r="B2484" s="166">
        <f>ROUNDUP(B2482/B2483,0)*D2481</f>
        <v>2</v>
      </c>
      <c r="C2484" s="133" t="s">
        <v>3409</v>
      </c>
      <c r="E2484" s="83"/>
      <c r="H2484" t="s">
        <v>705</v>
      </c>
      <c r="I2484">
        <v>67.217029999999994</v>
      </c>
      <c r="J2484" t="s">
        <v>706</v>
      </c>
      <c r="K2484" t="s">
        <v>705</v>
      </c>
      <c r="L2484" s="166">
        <f t="shared" si="195"/>
        <v>672170.29999999993</v>
      </c>
      <c r="M2484" s="127" t="s">
        <v>3370</v>
      </c>
    </row>
    <row r="2485" spans="1:13" x14ac:dyDescent="0.2">
      <c r="A2485" s="1217"/>
      <c r="B2485" s="166">
        <v>5000</v>
      </c>
      <c r="C2485" s="133" t="s">
        <v>3410</v>
      </c>
      <c r="E2485" s="83"/>
      <c r="H2485" t="s">
        <v>3372</v>
      </c>
      <c r="I2485">
        <v>7.6999999999999996E-4</v>
      </c>
      <c r="J2485" t="s">
        <v>3373</v>
      </c>
      <c r="K2485" t="s">
        <v>3372</v>
      </c>
      <c r="L2485" s="166">
        <f t="shared" si="195"/>
        <v>7.6999999999999993</v>
      </c>
      <c r="M2485" s="127" t="s">
        <v>3374</v>
      </c>
    </row>
    <row r="2486" spans="1:13" x14ac:dyDescent="0.2">
      <c r="A2486" s="1217"/>
      <c r="B2486" s="1218">
        <f>B2484*B2485</f>
        <v>10000</v>
      </c>
      <c r="C2486" s="1114" t="s">
        <v>3411</v>
      </c>
      <c r="D2486" s="6" t="s">
        <v>577</v>
      </c>
      <c r="E2486" s="83"/>
      <c r="H2486" t="s">
        <v>3375</v>
      </c>
      <c r="I2486">
        <v>4.1700000000000001E-3</v>
      </c>
      <c r="J2486" t="s">
        <v>707</v>
      </c>
      <c r="K2486" t="s">
        <v>3375</v>
      </c>
      <c r="L2486" s="166">
        <f t="shared" si="195"/>
        <v>41.7</v>
      </c>
      <c r="M2486" s="127" t="s">
        <v>3376</v>
      </c>
    </row>
    <row r="2487" spans="1:13" x14ac:dyDescent="0.2">
      <c r="A2487" s="1217"/>
      <c r="B2487" s="166"/>
      <c r="E2487" s="83"/>
      <c r="H2487" t="s">
        <v>708</v>
      </c>
      <c r="I2487">
        <v>1.7658199999999999</v>
      </c>
      <c r="J2487" t="s">
        <v>709</v>
      </c>
      <c r="K2487" t="s">
        <v>708</v>
      </c>
      <c r="L2487" s="166">
        <f t="shared" si="195"/>
        <v>17658.2</v>
      </c>
      <c r="M2487" s="127" t="s">
        <v>3377</v>
      </c>
    </row>
    <row r="2488" spans="1:13" x14ac:dyDescent="0.2">
      <c r="A2488" s="1217"/>
      <c r="B2488" s="166"/>
      <c r="E2488" s="83"/>
      <c r="H2488" t="s">
        <v>3378</v>
      </c>
      <c r="I2488" s="33">
        <v>3.4665800000000001E-7</v>
      </c>
      <c r="J2488" t="s">
        <v>704</v>
      </c>
      <c r="K2488" t="s">
        <v>3378</v>
      </c>
      <c r="L2488" s="166">
        <f t="shared" si="195"/>
        <v>3.4665799999999999E-3</v>
      </c>
      <c r="M2488" s="127" t="s">
        <v>3368</v>
      </c>
    </row>
    <row r="2489" spans="1:13" x14ac:dyDescent="0.2">
      <c r="A2489" s="1217"/>
      <c r="B2489" s="166"/>
      <c r="E2489" s="83"/>
      <c r="H2489" t="s">
        <v>710</v>
      </c>
      <c r="I2489" s="33">
        <v>5.15501E-8</v>
      </c>
      <c r="J2489" t="s">
        <v>3379</v>
      </c>
      <c r="K2489" t="s">
        <v>710</v>
      </c>
      <c r="L2489" s="166">
        <f t="shared" si="195"/>
        <v>5.1550100000000002E-4</v>
      </c>
      <c r="M2489" s="127" t="s">
        <v>3380</v>
      </c>
    </row>
    <row r="2490" spans="1:13" x14ac:dyDescent="0.2">
      <c r="A2490" s="1217"/>
      <c r="B2490" s="166"/>
      <c r="E2490" s="83"/>
      <c r="H2490" t="s">
        <v>3381</v>
      </c>
      <c r="I2490">
        <v>2.7299999999999998E-3</v>
      </c>
      <c r="J2490" t="s">
        <v>3382</v>
      </c>
      <c r="K2490" t="s">
        <v>3381</v>
      </c>
      <c r="L2490" s="166">
        <f t="shared" si="195"/>
        <v>27.299999999999997</v>
      </c>
      <c r="M2490" s="127" t="s">
        <v>3383</v>
      </c>
    </row>
    <row r="2491" spans="1:13" x14ac:dyDescent="0.2">
      <c r="A2491" s="1217"/>
      <c r="B2491" s="166"/>
      <c r="E2491" s="83"/>
      <c r="H2491" t="s">
        <v>3384</v>
      </c>
      <c r="I2491">
        <v>0.10051</v>
      </c>
      <c r="J2491" t="s">
        <v>711</v>
      </c>
      <c r="K2491" t="s">
        <v>3384</v>
      </c>
      <c r="L2491" s="166">
        <f t="shared" si="195"/>
        <v>1005.1</v>
      </c>
      <c r="M2491" s="127" t="s">
        <v>3385</v>
      </c>
    </row>
    <row r="2492" spans="1:13" x14ac:dyDescent="0.2">
      <c r="A2492" s="1217"/>
      <c r="B2492" s="166"/>
      <c r="E2492" s="83"/>
      <c r="L2492" s="166"/>
      <c r="M2492" s="127"/>
    </row>
    <row r="2493" spans="1:13" ht="16" x14ac:dyDescent="0.2">
      <c r="A2493" s="486" t="s">
        <v>1026</v>
      </c>
      <c r="B2493" s="220">
        <v>23139.944312763451</v>
      </c>
      <c r="C2493" s="220" t="s">
        <v>267</v>
      </c>
      <c r="D2493" s="220">
        <v>2</v>
      </c>
      <c r="E2493" s="1216" t="s">
        <v>3393</v>
      </c>
      <c r="F2493" s="110"/>
      <c r="G2493" s="110"/>
      <c r="H2493" s="110"/>
      <c r="I2493" s="110"/>
      <c r="J2493" s="110"/>
      <c r="K2493" s="110"/>
      <c r="L2493" s="845"/>
      <c r="M2493" s="112"/>
    </row>
    <row r="2494" spans="1:13" x14ac:dyDescent="0.2">
      <c r="A2494" s="1217"/>
      <c r="B2494" s="166">
        <f>B2493/1000</f>
        <v>23.139944312763451</v>
      </c>
      <c r="C2494" s="133" t="s">
        <v>444</v>
      </c>
      <c r="F2494">
        <v>1</v>
      </c>
      <c r="G2494" t="s">
        <v>15</v>
      </c>
      <c r="H2494" t="s">
        <v>701</v>
      </c>
      <c r="I2494">
        <v>6.0200000000000002E-3</v>
      </c>
      <c r="J2494" t="s">
        <v>702</v>
      </c>
      <c r="K2494" t="s">
        <v>701</v>
      </c>
      <c r="L2494" s="166">
        <f>I2494*B$2498</f>
        <v>60.2</v>
      </c>
      <c r="M2494" s="127" t="s">
        <v>3367</v>
      </c>
    </row>
    <row r="2495" spans="1:13" x14ac:dyDescent="0.2">
      <c r="A2495" s="1217"/>
      <c r="B2495" s="166">
        <v>30</v>
      </c>
      <c r="C2495" s="133" t="s">
        <v>444</v>
      </c>
      <c r="E2495" s="83"/>
      <c r="H2495" t="s">
        <v>703</v>
      </c>
      <c r="I2495" s="33">
        <v>1.2843299999999999E-6</v>
      </c>
      <c r="J2495" t="s">
        <v>704</v>
      </c>
      <c r="K2495" t="s">
        <v>703</v>
      </c>
      <c r="L2495" s="166">
        <f t="shared" ref="L2495:L2503" si="196">I2495*B$2498</f>
        <v>1.2843299999999998E-2</v>
      </c>
      <c r="M2495" s="127" t="s">
        <v>3368</v>
      </c>
    </row>
    <row r="2496" spans="1:13" x14ac:dyDescent="0.2">
      <c r="A2496" s="1217"/>
      <c r="B2496" s="166">
        <f>ROUNDUP(B2494/B2495,0)*D2493</f>
        <v>2</v>
      </c>
      <c r="C2496" s="133" t="s">
        <v>3409</v>
      </c>
      <c r="E2496" s="83"/>
      <c r="H2496" t="s">
        <v>705</v>
      </c>
      <c r="I2496">
        <v>67.217029999999994</v>
      </c>
      <c r="J2496" t="s">
        <v>706</v>
      </c>
      <c r="K2496" t="s">
        <v>705</v>
      </c>
      <c r="L2496" s="166">
        <f t="shared" si="196"/>
        <v>672170.29999999993</v>
      </c>
      <c r="M2496" s="127" t="s">
        <v>3370</v>
      </c>
    </row>
    <row r="2497" spans="1:13" x14ac:dyDescent="0.2">
      <c r="A2497" s="1217"/>
      <c r="B2497" s="166">
        <v>5000</v>
      </c>
      <c r="C2497" s="133" t="s">
        <v>3410</v>
      </c>
      <c r="E2497" s="83"/>
      <c r="H2497" t="s">
        <v>3372</v>
      </c>
      <c r="I2497">
        <v>7.6999999999999996E-4</v>
      </c>
      <c r="J2497" t="s">
        <v>3373</v>
      </c>
      <c r="K2497" t="s">
        <v>3372</v>
      </c>
      <c r="L2497" s="166">
        <f t="shared" si="196"/>
        <v>7.6999999999999993</v>
      </c>
      <c r="M2497" s="127" t="s">
        <v>3374</v>
      </c>
    </row>
    <row r="2498" spans="1:13" x14ac:dyDescent="0.2">
      <c r="A2498" s="1217"/>
      <c r="B2498" s="1218">
        <f>B2496*B2497</f>
        <v>10000</v>
      </c>
      <c r="C2498" s="1114" t="s">
        <v>3411</v>
      </c>
      <c r="D2498" s="6" t="s">
        <v>577</v>
      </c>
      <c r="E2498" s="83"/>
      <c r="H2498" t="s">
        <v>3375</v>
      </c>
      <c r="I2498">
        <v>4.1700000000000001E-3</v>
      </c>
      <c r="J2498" t="s">
        <v>707</v>
      </c>
      <c r="K2498" t="s">
        <v>3375</v>
      </c>
      <c r="L2498" s="166">
        <f t="shared" si="196"/>
        <v>41.7</v>
      </c>
      <c r="M2498" s="127" t="s">
        <v>3376</v>
      </c>
    </row>
    <row r="2499" spans="1:13" x14ac:dyDescent="0.2">
      <c r="A2499" s="1217"/>
      <c r="B2499" s="166"/>
      <c r="E2499" s="83"/>
      <c r="H2499" t="s">
        <v>708</v>
      </c>
      <c r="I2499">
        <v>1.7658199999999999</v>
      </c>
      <c r="J2499" t="s">
        <v>709</v>
      </c>
      <c r="K2499" t="s">
        <v>708</v>
      </c>
      <c r="L2499" s="166">
        <f t="shared" si="196"/>
        <v>17658.2</v>
      </c>
      <c r="M2499" s="127" t="s">
        <v>3377</v>
      </c>
    </row>
    <row r="2500" spans="1:13" x14ac:dyDescent="0.2">
      <c r="A2500" s="1217"/>
      <c r="B2500" s="166"/>
      <c r="E2500" s="83"/>
      <c r="H2500" t="s">
        <v>3378</v>
      </c>
      <c r="I2500" s="33">
        <v>3.4665800000000001E-7</v>
      </c>
      <c r="J2500" t="s">
        <v>704</v>
      </c>
      <c r="K2500" t="s">
        <v>3378</v>
      </c>
      <c r="L2500" s="166">
        <f t="shared" si="196"/>
        <v>3.4665799999999999E-3</v>
      </c>
      <c r="M2500" s="127" t="s">
        <v>3368</v>
      </c>
    </row>
    <row r="2501" spans="1:13" x14ac:dyDescent="0.2">
      <c r="A2501" s="1217"/>
      <c r="B2501" s="166"/>
      <c r="E2501" s="83"/>
      <c r="H2501" t="s">
        <v>710</v>
      </c>
      <c r="I2501" s="33">
        <v>5.15501E-8</v>
      </c>
      <c r="J2501" t="s">
        <v>3379</v>
      </c>
      <c r="K2501" t="s">
        <v>710</v>
      </c>
      <c r="L2501" s="166">
        <f t="shared" si="196"/>
        <v>5.1550100000000002E-4</v>
      </c>
      <c r="M2501" s="127" t="s">
        <v>3380</v>
      </c>
    </row>
    <row r="2502" spans="1:13" x14ac:dyDescent="0.2">
      <c r="A2502" s="1217"/>
      <c r="B2502" s="166"/>
      <c r="E2502" s="83"/>
      <c r="H2502" t="s">
        <v>3381</v>
      </c>
      <c r="I2502">
        <v>2.7299999999999998E-3</v>
      </c>
      <c r="J2502" t="s">
        <v>3382</v>
      </c>
      <c r="K2502" t="s">
        <v>3381</v>
      </c>
      <c r="L2502" s="166">
        <f t="shared" si="196"/>
        <v>27.299999999999997</v>
      </c>
      <c r="M2502" s="127" t="s">
        <v>3383</v>
      </c>
    </row>
    <row r="2503" spans="1:13" x14ac:dyDescent="0.2">
      <c r="A2503" s="1217"/>
      <c r="B2503" s="166"/>
      <c r="E2503" s="83"/>
      <c r="H2503" t="s">
        <v>3384</v>
      </c>
      <c r="I2503">
        <v>0.10051</v>
      </c>
      <c r="J2503" t="s">
        <v>711</v>
      </c>
      <c r="K2503" t="s">
        <v>3384</v>
      </c>
      <c r="L2503" s="166">
        <f t="shared" si="196"/>
        <v>1005.1</v>
      </c>
      <c r="M2503" s="127" t="s">
        <v>3385</v>
      </c>
    </row>
    <row r="2504" spans="1:13" x14ac:dyDescent="0.2">
      <c r="A2504" s="1219"/>
      <c r="B2504" s="833"/>
      <c r="C2504" s="1102"/>
      <c r="D2504" s="118"/>
      <c r="E2504" s="1220"/>
      <c r="F2504" s="118"/>
      <c r="G2504" s="118"/>
      <c r="H2504" s="118"/>
      <c r="I2504" s="118"/>
      <c r="J2504" s="118"/>
      <c r="K2504" s="118"/>
      <c r="L2504" s="833"/>
      <c r="M2504" s="120"/>
    </row>
    <row r="2505" spans="1:13" ht="16" x14ac:dyDescent="0.2">
      <c r="A2505" s="486" t="s">
        <v>1027</v>
      </c>
      <c r="B2505" s="220">
        <v>1880.8825686554187</v>
      </c>
      <c r="C2505" s="220" t="s">
        <v>267</v>
      </c>
      <c r="D2505" s="220">
        <v>2</v>
      </c>
      <c r="E2505" s="1216" t="s">
        <v>3388</v>
      </c>
      <c r="F2505" s="110"/>
      <c r="G2505" s="110"/>
      <c r="H2505" s="110"/>
      <c r="I2505" s="110"/>
      <c r="J2505" s="110"/>
      <c r="K2505" s="110"/>
      <c r="L2505" s="845"/>
      <c r="M2505" s="112"/>
    </row>
    <row r="2506" spans="1:13" x14ac:dyDescent="0.2">
      <c r="A2506" s="1217"/>
      <c r="B2506" s="166">
        <f>B2505/1000</f>
        <v>1.8808825686554187</v>
      </c>
      <c r="C2506" s="133" t="s">
        <v>444</v>
      </c>
      <c r="F2506">
        <v>1</v>
      </c>
      <c r="G2506" t="s">
        <v>713</v>
      </c>
      <c r="H2506" t="s">
        <v>701</v>
      </c>
      <c r="I2506">
        <v>0.14229</v>
      </c>
      <c r="J2506" t="s">
        <v>702</v>
      </c>
      <c r="K2506" t="s">
        <v>701</v>
      </c>
      <c r="L2506" s="166">
        <f>I2506*B$2511</f>
        <v>0.42686999999999997</v>
      </c>
      <c r="M2506" s="127" t="s">
        <v>3367</v>
      </c>
    </row>
    <row r="2507" spans="1:13" x14ac:dyDescent="0.2">
      <c r="A2507" s="1217"/>
      <c r="B2507" s="166">
        <v>20</v>
      </c>
      <c r="C2507" s="133" t="s">
        <v>10</v>
      </c>
      <c r="D2507" t="s">
        <v>3390</v>
      </c>
      <c r="E2507" s="83"/>
      <c r="F2507">
        <v>40</v>
      </c>
      <c r="G2507" t="s">
        <v>12</v>
      </c>
      <c r="H2507" t="s">
        <v>703</v>
      </c>
      <c r="I2507" s="33">
        <v>2.2291000000000001E-5</v>
      </c>
      <c r="J2507" t="s">
        <v>704</v>
      </c>
      <c r="K2507" t="s">
        <v>703</v>
      </c>
      <c r="L2507" s="166">
        <f t="shared" ref="L2507:L2515" si="197">I2507*B$2511</f>
        <v>6.6873000000000008E-5</v>
      </c>
      <c r="M2507" s="127" t="s">
        <v>3368</v>
      </c>
    </row>
    <row r="2508" spans="1:13" x14ac:dyDescent="0.2">
      <c r="A2508" s="1217"/>
      <c r="B2508" s="166">
        <v>0.7</v>
      </c>
      <c r="D2508" s="24" t="s">
        <v>3391</v>
      </c>
      <c r="E2508" s="83"/>
      <c r="H2508" t="s">
        <v>705</v>
      </c>
      <c r="I2508">
        <v>3203.5834399999999</v>
      </c>
      <c r="J2508" t="s">
        <v>706</v>
      </c>
      <c r="K2508" t="s">
        <v>705</v>
      </c>
      <c r="L2508" s="166">
        <f t="shared" si="197"/>
        <v>9610.7503199999992</v>
      </c>
      <c r="M2508" s="127" t="s">
        <v>3370</v>
      </c>
    </row>
    <row r="2509" spans="1:13" x14ac:dyDescent="0.2">
      <c r="A2509" s="1217"/>
      <c r="B2509" s="166">
        <f>B2506*B2507/B2508</f>
        <v>53.739501961583393</v>
      </c>
      <c r="C2509" s="133" t="s">
        <v>12</v>
      </c>
      <c r="D2509" s="6"/>
      <c r="E2509" s="83"/>
      <c r="H2509" t="s">
        <v>3372</v>
      </c>
      <c r="I2509">
        <v>1.278E-2</v>
      </c>
      <c r="J2509" t="s">
        <v>3373</v>
      </c>
      <c r="K2509" t="s">
        <v>3372</v>
      </c>
      <c r="L2509" s="166">
        <f t="shared" si="197"/>
        <v>3.8339999999999999E-2</v>
      </c>
      <c r="M2509" s="127" t="s">
        <v>3374</v>
      </c>
    </row>
    <row r="2510" spans="1:13" x14ac:dyDescent="0.2">
      <c r="A2510" s="1217"/>
      <c r="B2510" s="166">
        <f>B2509*D2505</f>
        <v>107.47900392316679</v>
      </c>
      <c r="C2510" s="133" t="s">
        <v>12</v>
      </c>
      <c r="E2510" s="83"/>
      <c r="H2510" t="s">
        <v>3375</v>
      </c>
      <c r="I2510">
        <v>3.7339999999999998E-2</v>
      </c>
      <c r="J2510" t="s">
        <v>707</v>
      </c>
      <c r="K2510" t="s">
        <v>3375</v>
      </c>
      <c r="L2510" s="166">
        <f t="shared" si="197"/>
        <v>0.11201999999999999</v>
      </c>
      <c r="M2510" s="127" t="s">
        <v>3376</v>
      </c>
    </row>
    <row r="2511" spans="1:13" x14ac:dyDescent="0.2">
      <c r="A2511" s="1217"/>
      <c r="B2511" s="1218">
        <f>ROUNDUP(B2510/F2507,0)</f>
        <v>3</v>
      </c>
      <c r="C2511" s="1114" t="s">
        <v>3392</v>
      </c>
      <c r="D2511" s="6" t="s">
        <v>577</v>
      </c>
      <c r="E2511" s="83"/>
      <c r="H2511" t="s">
        <v>708</v>
      </c>
      <c r="I2511">
        <v>9.0477000000000007</v>
      </c>
      <c r="J2511" t="s">
        <v>709</v>
      </c>
      <c r="K2511" t="s">
        <v>708</v>
      </c>
      <c r="L2511" s="166">
        <f t="shared" si="197"/>
        <v>27.143100000000004</v>
      </c>
      <c r="M2511" s="127" t="s">
        <v>3377</v>
      </c>
    </row>
    <row r="2512" spans="1:13" x14ac:dyDescent="0.2">
      <c r="A2512" s="1217"/>
      <c r="B2512" s="166"/>
      <c r="E2512" s="83"/>
      <c r="H2512" t="s">
        <v>3378</v>
      </c>
      <c r="I2512" s="33">
        <v>3.5905399999999997E-5</v>
      </c>
      <c r="J2512" t="s">
        <v>704</v>
      </c>
      <c r="K2512" t="s">
        <v>3378</v>
      </c>
      <c r="L2512" s="166">
        <f t="shared" si="197"/>
        <v>1.0771619999999998E-4</v>
      </c>
      <c r="M2512" s="127" t="s">
        <v>3368</v>
      </c>
    </row>
    <row r="2513" spans="1:13" x14ac:dyDescent="0.2">
      <c r="A2513" s="1217"/>
      <c r="B2513" s="166"/>
      <c r="E2513" s="83"/>
      <c r="H2513" t="s">
        <v>710</v>
      </c>
      <c r="I2513" s="33">
        <v>1.7364199999999999E-7</v>
      </c>
      <c r="J2513" t="s">
        <v>3379</v>
      </c>
      <c r="K2513" t="s">
        <v>710</v>
      </c>
      <c r="L2513" s="166">
        <f t="shared" si="197"/>
        <v>5.2092599999999994E-7</v>
      </c>
      <c r="M2513" s="127" t="s">
        <v>3380</v>
      </c>
    </row>
    <row r="2514" spans="1:13" x14ac:dyDescent="0.2">
      <c r="A2514" s="1217"/>
      <c r="B2514" s="166"/>
      <c r="E2514" s="83"/>
      <c r="H2514" t="s">
        <v>3381</v>
      </c>
      <c r="I2514">
        <v>2.9360000000000001E-2</v>
      </c>
      <c r="J2514" t="s">
        <v>3382</v>
      </c>
      <c r="K2514" t="s">
        <v>3381</v>
      </c>
      <c r="L2514" s="166">
        <f t="shared" si="197"/>
        <v>8.8080000000000006E-2</v>
      </c>
      <c r="M2514" s="127" t="s">
        <v>3383</v>
      </c>
    </row>
    <row r="2515" spans="1:13" x14ac:dyDescent="0.2">
      <c r="A2515" s="1217"/>
      <c r="B2515" s="166"/>
      <c r="E2515" s="83"/>
      <c r="H2515" t="s">
        <v>3384</v>
      </c>
      <c r="I2515">
        <v>0.84404000000000001</v>
      </c>
      <c r="J2515" t="s">
        <v>711</v>
      </c>
      <c r="K2515" t="s">
        <v>3384</v>
      </c>
      <c r="L2515" s="166">
        <f t="shared" si="197"/>
        <v>2.5321199999999999</v>
      </c>
      <c r="M2515" s="127" t="s">
        <v>3385</v>
      </c>
    </row>
    <row r="2516" spans="1:13" x14ac:dyDescent="0.2">
      <c r="A2516" s="1219"/>
      <c r="B2516" s="833"/>
      <c r="C2516" s="1102"/>
      <c r="D2516" s="118"/>
      <c r="E2516" s="1220"/>
      <c r="F2516" s="118"/>
      <c r="G2516" s="118"/>
      <c r="H2516" s="118"/>
      <c r="I2516" s="118"/>
      <c r="J2516" s="118"/>
      <c r="K2516" s="118"/>
      <c r="L2516" s="833"/>
      <c r="M2516" s="120"/>
    </row>
    <row r="2517" spans="1:13" ht="32" x14ac:dyDescent="0.2">
      <c r="A2517" s="637" t="s">
        <v>3020</v>
      </c>
      <c r="B2517" s="76">
        <v>1.8808825686554187</v>
      </c>
      <c r="C2517" s="76" t="s">
        <v>999</v>
      </c>
      <c r="D2517" s="76">
        <v>2</v>
      </c>
      <c r="E2517" s="1236" t="s">
        <v>3427</v>
      </c>
      <c r="F2517">
        <v>1</v>
      </c>
      <c r="G2517" t="s">
        <v>3428</v>
      </c>
      <c r="L2517" s="166"/>
      <c r="M2517" s="127"/>
    </row>
    <row r="2518" spans="1:13" x14ac:dyDescent="0.2">
      <c r="A2518" s="1217"/>
      <c r="B2518" s="1218">
        <f>B2530</f>
        <v>356.54599999999999</v>
      </c>
      <c r="C2518" s="1218" t="str">
        <f t="shared" ref="C2518:D2518" si="198">C2530</f>
        <v>item</v>
      </c>
      <c r="D2518" s="1218" t="str">
        <f t="shared" si="198"/>
        <v>TOTAL</v>
      </c>
      <c r="E2518" s="83"/>
      <c r="F2518">
        <v>2500</v>
      </c>
      <c r="G2518" t="s">
        <v>3421</v>
      </c>
      <c r="H2518" t="s">
        <v>701</v>
      </c>
      <c r="I2518">
        <v>131.79313999999999</v>
      </c>
      <c r="J2518" t="s">
        <v>702</v>
      </c>
      <c r="K2518" t="s">
        <v>701</v>
      </c>
      <c r="L2518" s="166">
        <f>I2518*B$2518</f>
        <v>46990.316894439995</v>
      </c>
      <c r="M2518" s="127" t="s">
        <v>3367</v>
      </c>
    </row>
    <row r="2519" spans="1:13" x14ac:dyDescent="0.2">
      <c r="A2519" s="1217"/>
      <c r="B2519" s="166"/>
      <c r="E2519" s="83"/>
      <c r="H2519" t="s">
        <v>703</v>
      </c>
      <c r="I2519">
        <v>1.6650000000000002E-2</v>
      </c>
      <c r="J2519" t="s">
        <v>704</v>
      </c>
      <c r="K2519" t="s">
        <v>703</v>
      </c>
      <c r="L2519" s="166">
        <f t="shared" ref="L2519:L2527" si="199">I2519*B$2518</f>
        <v>5.9364909000000008</v>
      </c>
      <c r="M2519" s="127" t="s">
        <v>3368</v>
      </c>
    </row>
    <row r="2520" spans="1:13" x14ac:dyDescent="0.2">
      <c r="A2520" s="1217"/>
      <c r="B2520" s="166"/>
      <c r="E2520" s="83"/>
      <c r="H2520" t="s">
        <v>705</v>
      </c>
      <c r="I2520" s="33">
        <v>3506090</v>
      </c>
      <c r="J2520" t="s">
        <v>706</v>
      </c>
      <c r="K2520" t="s">
        <v>705</v>
      </c>
      <c r="L2520" s="166">
        <f t="shared" si="199"/>
        <v>1250082365.1399999</v>
      </c>
      <c r="M2520" s="127" t="s">
        <v>3370</v>
      </c>
    </row>
    <row r="2521" spans="1:13" x14ac:dyDescent="0.2">
      <c r="A2521" s="1217"/>
      <c r="B2521" s="166"/>
      <c r="E2521" s="83"/>
      <c r="H2521" t="s">
        <v>3372</v>
      </c>
      <c r="I2521">
        <v>23.977810000000002</v>
      </c>
      <c r="J2521" t="s">
        <v>3373</v>
      </c>
      <c r="K2521" t="s">
        <v>3372</v>
      </c>
      <c r="L2521" s="166">
        <f t="shared" si="199"/>
        <v>8549.1922442600007</v>
      </c>
      <c r="M2521" s="127" t="s">
        <v>3374</v>
      </c>
    </row>
    <row r="2522" spans="1:13" x14ac:dyDescent="0.2">
      <c r="A2522" s="1217"/>
      <c r="B2522" s="166"/>
      <c r="E2522" s="83"/>
      <c r="H2522" t="s">
        <v>3375</v>
      </c>
      <c r="I2522">
        <v>72.539479999999998</v>
      </c>
      <c r="J2522" t="s">
        <v>707</v>
      </c>
      <c r="K2522" t="s">
        <v>3375</v>
      </c>
      <c r="L2522" s="166">
        <f t="shared" si="199"/>
        <v>25863.661436079998</v>
      </c>
      <c r="M2522" s="127" t="s">
        <v>3376</v>
      </c>
    </row>
    <row r="2523" spans="1:13" x14ac:dyDescent="0.2">
      <c r="A2523" s="1217"/>
      <c r="B2523" s="166"/>
      <c r="E2523" s="83"/>
      <c r="H2523" t="s">
        <v>708</v>
      </c>
      <c r="I2523" s="33">
        <v>22858.9</v>
      </c>
      <c r="J2523" t="s">
        <v>709</v>
      </c>
      <c r="K2523" t="s">
        <v>708</v>
      </c>
      <c r="L2523" s="166">
        <f t="shared" si="199"/>
        <v>8150249.3594000004</v>
      </c>
      <c r="M2523" s="127" t="s">
        <v>3377</v>
      </c>
    </row>
    <row r="2524" spans="1:13" x14ac:dyDescent="0.2">
      <c r="A2524" s="1217"/>
      <c r="B2524" s="166"/>
      <c r="E2524" s="83"/>
      <c r="H2524" t="s">
        <v>3378</v>
      </c>
      <c r="I2524">
        <v>3.8490000000000003E-2</v>
      </c>
      <c r="J2524" t="s">
        <v>704</v>
      </c>
      <c r="K2524" t="s">
        <v>3378</v>
      </c>
      <c r="L2524" s="166">
        <f t="shared" si="199"/>
        <v>13.723455540000002</v>
      </c>
      <c r="M2524" s="127" t="s">
        <v>3368</v>
      </c>
    </row>
    <row r="2525" spans="1:13" x14ac:dyDescent="0.2">
      <c r="A2525" s="1217"/>
      <c r="B2525" s="166"/>
      <c r="E2525" s="83"/>
      <c r="H2525" t="s">
        <v>710</v>
      </c>
      <c r="I2525">
        <v>1.14E-3</v>
      </c>
      <c r="J2525" t="s">
        <v>3379</v>
      </c>
      <c r="K2525" t="s">
        <v>710</v>
      </c>
      <c r="L2525" s="166">
        <f t="shared" si="199"/>
        <v>0.40646243999999998</v>
      </c>
      <c r="M2525" s="127" t="s">
        <v>3380</v>
      </c>
    </row>
    <row r="2526" spans="1:13" x14ac:dyDescent="0.2">
      <c r="A2526" s="1217"/>
      <c r="B2526" s="166"/>
      <c r="E2526" s="83"/>
      <c r="H2526" t="s">
        <v>3381</v>
      </c>
      <c r="I2526">
        <v>34.951729999999998</v>
      </c>
      <c r="J2526" t="s">
        <v>3382</v>
      </c>
      <c r="K2526" t="s">
        <v>3381</v>
      </c>
      <c r="L2526" s="166">
        <f t="shared" si="199"/>
        <v>12461.89952458</v>
      </c>
      <c r="M2526" s="127" t="s">
        <v>3383</v>
      </c>
    </row>
    <row r="2527" spans="1:13" x14ac:dyDescent="0.2">
      <c r="A2527" s="1217"/>
      <c r="B2527" s="166"/>
      <c r="E2527" s="83"/>
      <c r="H2527" t="s">
        <v>3384</v>
      </c>
      <c r="I2527">
        <v>1697.46082</v>
      </c>
      <c r="J2527" t="s">
        <v>711</v>
      </c>
      <c r="K2527" t="s">
        <v>3384</v>
      </c>
      <c r="L2527" s="166">
        <f t="shared" si="199"/>
        <v>605222.86552771996</v>
      </c>
      <c r="M2527" s="127" t="s">
        <v>3385</v>
      </c>
    </row>
    <row r="2528" spans="1:13" x14ac:dyDescent="0.2">
      <c r="A2528" s="1217"/>
      <c r="B2528" s="166"/>
      <c r="E2528" s="83"/>
      <c r="L2528" s="166"/>
      <c r="M2528" s="127"/>
    </row>
    <row r="2529" spans="1:13" ht="16" x14ac:dyDescent="0.2">
      <c r="A2529" s="486" t="s">
        <v>538</v>
      </c>
      <c r="B2529" s="220">
        <v>1.8808825686554187</v>
      </c>
      <c r="C2529" s="220" t="s">
        <v>999</v>
      </c>
      <c r="D2529" s="220">
        <v>2</v>
      </c>
      <c r="E2529" s="1230" t="s">
        <v>3439</v>
      </c>
      <c r="F2529" s="110">
        <v>1</v>
      </c>
      <c r="G2529" s="110" t="s">
        <v>3429</v>
      </c>
      <c r="H2529" s="110"/>
      <c r="I2529" s="110"/>
      <c r="J2529" s="110"/>
      <c r="K2529" s="110"/>
      <c r="L2529" s="845"/>
      <c r="M2529" s="112"/>
    </row>
    <row r="2530" spans="1:13" x14ac:dyDescent="0.2">
      <c r="A2530" s="1217"/>
      <c r="B2530" s="1218">
        <v>356.54599999999999</v>
      </c>
      <c r="C2530" s="1114" t="s">
        <v>3429</v>
      </c>
      <c r="D2530" s="6" t="s">
        <v>577</v>
      </c>
      <c r="E2530" s="83"/>
      <c r="F2530">
        <v>10</v>
      </c>
      <c r="G2530" t="s">
        <v>545</v>
      </c>
      <c r="H2530" t="s">
        <v>701</v>
      </c>
      <c r="I2530">
        <v>4.3418599999999996</v>
      </c>
      <c r="J2530" t="s">
        <v>702</v>
      </c>
      <c r="K2530" t="s">
        <v>701</v>
      </c>
      <c r="L2530" s="166">
        <f>B$2530*I2530</f>
        <v>1548.0728155599998</v>
      </c>
      <c r="M2530" s="127" t="s">
        <v>3367</v>
      </c>
    </row>
    <row r="2531" spans="1:13" x14ac:dyDescent="0.2">
      <c r="A2531" s="1217"/>
      <c r="B2531" s="166"/>
      <c r="E2531" s="83"/>
      <c r="H2531" t="s">
        <v>703</v>
      </c>
      <c r="I2531">
        <v>6.0999999999999997E-4</v>
      </c>
      <c r="J2531" t="s">
        <v>704</v>
      </c>
      <c r="K2531" t="s">
        <v>703</v>
      </c>
      <c r="L2531" s="166">
        <f t="shared" ref="L2531:L2539" si="200">B$2530*I2531</f>
        <v>0.21749305999999999</v>
      </c>
      <c r="M2531" s="127" t="s">
        <v>3368</v>
      </c>
    </row>
    <row r="2532" spans="1:13" x14ac:dyDescent="0.2">
      <c r="A2532" s="1217"/>
      <c r="B2532" s="166"/>
      <c r="E2532" s="83"/>
      <c r="H2532" t="s">
        <v>705</v>
      </c>
      <c r="I2532" s="33">
        <v>86927.7</v>
      </c>
      <c r="J2532" t="s">
        <v>706</v>
      </c>
      <c r="K2532" t="s">
        <v>705</v>
      </c>
      <c r="L2532" s="166">
        <f t="shared" si="200"/>
        <v>30993723.724199999</v>
      </c>
      <c r="M2532" s="127" t="s">
        <v>3370</v>
      </c>
    </row>
    <row r="2533" spans="1:13" x14ac:dyDescent="0.2">
      <c r="A2533" s="1217"/>
      <c r="B2533" s="166"/>
      <c r="E2533" s="83"/>
      <c r="H2533" t="s">
        <v>3372</v>
      </c>
      <c r="I2533">
        <v>0.40986</v>
      </c>
      <c r="J2533" t="s">
        <v>3373</v>
      </c>
      <c r="K2533" t="s">
        <v>3372</v>
      </c>
      <c r="L2533" s="166">
        <f t="shared" si="200"/>
        <v>146.13394356000001</v>
      </c>
      <c r="M2533" s="127" t="s">
        <v>3374</v>
      </c>
    </row>
    <row r="2534" spans="1:13" x14ac:dyDescent="0.2">
      <c r="A2534" s="1217"/>
      <c r="B2534" s="166"/>
      <c r="E2534" s="83"/>
      <c r="H2534" t="s">
        <v>3375</v>
      </c>
      <c r="I2534">
        <v>1.53471</v>
      </c>
      <c r="J2534" t="s">
        <v>707</v>
      </c>
      <c r="K2534" t="s">
        <v>3375</v>
      </c>
      <c r="L2534" s="166">
        <f t="shared" si="200"/>
        <v>547.19471165999994</v>
      </c>
      <c r="M2534" s="127" t="s">
        <v>3376</v>
      </c>
    </row>
    <row r="2535" spans="1:13" x14ac:dyDescent="0.2">
      <c r="A2535" s="1217"/>
      <c r="B2535" s="166"/>
      <c r="E2535" s="83"/>
      <c r="H2535" t="s">
        <v>708</v>
      </c>
      <c r="I2535">
        <v>5000.6099599999998</v>
      </c>
      <c r="J2535" t="s">
        <v>709</v>
      </c>
      <c r="K2535" t="s">
        <v>708</v>
      </c>
      <c r="L2535" s="166">
        <f t="shared" si="200"/>
        <v>1782947.4787981599</v>
      </c>
      <c r="M2535" s="127" t="s">
        <v>3377</v>
      </c>
    </row>
    <row r="2536" spans="1:13" x14ac:dyDescent="0.2">
      <c r="A2536" s="1217"/>
      <c r="B2536" s="166"/>
      <c r="E2536" s="83"/>
      <c r="H2536" t="s">
        <v>3378</v>
      </c>
      <c r="I2536">
        <v>8.8000000000000003E-4</v>
      </c>
      <c r="J2536" t="s">
        <v>704</v>
      </c>
      <c r="K2536" t="s">
        <v>3378</v>
      </c>
      <c r="L2536" s="166">
        <f t="shared" si="200"/>
        <v>0.31376048000000001</v>
      </c>
      <c r="M2536" s="127" t="s">
        <v>3368</v>
      </c>
    </row>
    <row r="2537" spans="1:13" x14ac:dyDescent="0.2">
      <c r="A2537" s="1217"/>
      <c r="B2537" s="166"/>
      <c r="E2537" s="83"/>
      <c r="H2537" t="s">
        <v>710</v>
      </c>
      <c r="I2537" s="33">
        <v>9.7167100000000004E-6</v>
      </c>
      <c r="J2537" t="s">
        <v>3379</v>
      </c>
      <c r="K2537" t="s">
        <v>710</v>
      </c>
      <c r="L2537" s="166">
        <f t="shared" si="200"/>
        <v>3.46445408366E-3</v>
      </c>
      <c r="M2537" s="127" t="s">
        <v>3380</v>
      </c>
    </row>
    <row r="2538" spans="1:13" x14ac:dyDescent="0.2">
      <c r="A2538" s="1217"/>
      <c r="B2538" s="166"/>
      <c r="E2538" s="83"/>
      <c r="H2538" t="s">
        <v>3381</v>
      </c>
      <c r="I2538">
        <v>0.88400999999999996</v>
      </c>
      <c r="J2538" t="s">
        <v>3382</v>
      </c>
      <c r="K2538" t="s">
        <v>3381</v>
      </c>
      <c r="L2538" s="166">
        <f t="shared" si="200"/>
        <v>315.19022945999995</v>
      </c>
      <c r="M2538" s="127" t="s">
        <v>3383</v>
      </c>
    </row>
    <row r="2539" spans="1:13" x14ac:dyDescent="0.2">
      <c r="A2539" s="1217"/>
      <c r="B2539" s="166"/>
      <c r="E2539" s="83"/>
      <c r="H2539" t="s">
        <v>3384</v>
      </c>
      <c r="I2539">
        <v>35.439450000000001</v>
      </c>
      <c r="J2539" t="s">
        <v>711</v>
      </c>
      <c r="K2539" t="s">
        <v>3384</v>
      </c>
      <c r="L2539" s="166">
        <f t="shared" si="200"/>
        <v>12635.7941397</v>
      </c>
      <c r="M2539" s="127" t="s">
        <v>3385</v>
      </c>
    </row>
    <row r="2540" spans="1:13" x14ac:dyDescent="0.2">
      <c r="A2540" s="1219"/>
      <c r="B2540" s="833"/>
      <c r="C2540" s="1102"/>
      <c r="D2540" s="118"/>
      <c r="E2540" s="1220"/>
      <c r="F2540" s="118"/>
      <c r="G2540" s="118"/>
      <c r="H2540" s="118"/>
      <c r="I2540" s="118"/>
      <c r="J2540" s="118"/>
      <c r="K2540" s="118"/>
      <c r="L2540" s="833"/>
      <c r="M2540" s="120"/>
    </row>
    <row r="2541" spans="1:13" ht="32" x14ac:dyDescent="0.2">
      <c r="A2541" s="1215" t="s">
        <v>714</v>
      </c>
      <c r="B2541" s="1231">
        <v>105076.20224988177</v>
      </c>
      <c r="C2541" s="1232" t="s">
        <v>3446</v>
      </c>
      <c r="D2541" s="179" t="s">
        <v>577</v>
      </c>
      <c r="E2541" s="1216" t="s">
        <v>3404</v>
      </c>
      <c r="F2541" s="110">
        <v>1</v>
      </c>
      <c r="G2541" s="110" t="s">
        <v>378</v>
      </c>
      <c r="H2541" s="110"/>
      <c r="I2541" s="110"/>
      <c r="J2541" s="110"/>
      <c r="K2541" s="110"/>
      <c r="L2541" s="845"/>
      <c r="M2541" s="112"/>
    </row>
    <row r="2542" spans="1:13" x14ac:dyDescent="0.2">
      <c r="A2542" s="637"/>
      <c r="B2542" s="166"/>
      <c r="E2542" s="83"/>
      <c r="H2542" t="s">
        <v>701</v>
      </c>
      <c r="I2542">
        <v>7.5000000000000002E-4</v>
      </c>
      <c r="J2542" t="s">
        <v>702</v>
      </c>
      <c r="K2542" t="s">
        <v>701</v>
      </c>
      <c r="L2542" s="166">
        <f>I2542*B$2541</f>
        <v>78.807151687411334</v>
      </c>
      <c r="M2542" s="127" t="s">
        <v>3367</v>
      </c>
    </row>
    <row r="2543" spans="1:13" x14ac:dyDescent="0.2">
      <c r="A2543" s="1217"/>
      <c r="B2543" s="166"/>
      <c r="E2543" s="83"/>
      <c r="H2543" t="s">
        <v>703</v>
      </c>
      <c r="I2543" s="33">
        <v>3.3111200000000002E-8</v>
      </c>
      <c r="J2543" t="s">
        <v>704</v>
      </c>
      <c r="K2543" t="s">
        <v>703</v>
      </c>
      <c r="L2543" s="166">
        <f t="shared" ref="L2543:L2551" si="201">I2543*B$2541</f>
        <v>3.4791991479362853E-3</v>
      </c>
      <c r="M2543" s="127" t="s">
        <v>3368</v>
      </c>
    </row>
    <row r="2544" spans="1:13" x14ac:dyDescent="0.2">
      <c r="A2544" s="1217"/>
      <c r="B2544" s="166"/>
      <c r="E2544" s="83"/>
      <c r="H2544" t="s">
        <v>705</v>
      </c>
      <c r="I2544">
        <v>4.1968100000000002</v>
      </c>
      <c r="J2544" t="s">
        <v>706</v>
      </c>
      <c r="K2544" t="s">
        <v>705</v>
      </c>
      <c r="L2544" s="166">
        <f t="shared" si="201"/>
        <v>440984.85636432632</v>
      </c>
      <c r="M2544" s="127" t="s">
        <v>3370</v>
      </c>
    </row>
    <row r="2545" spans="1:13" x14ac:dyDescent="0.2">
      <c r="A2545" s="1217"/>
      <c r="B2545" s="166"/>
      <c r="E2545" s="83"/>
      <c r="H2545" t="s">
        <v>3372</v>
      </c>
      <c r="I2545">
        <v>3.2000000000000003E-4</v>
      </c>
      <c r="J2545" t="s">
        <v>3373</v>
      </c>
      <c r="K2545" t="s">
        <v>3372</v>
      </c>
      <c r="L2545" s="166">
        <f t="shared" si="201"/>
        <v>33.624384719962165</v>
      </c>
      <c r="M2545" s="127" t="s">
        <v>3374</v>
      </c>
    </row>
    <row r="2546" spans="1:13" x14ac:dyDescent="0.2">
      <c r="A2546" s="1217"/>
      <c r="B2546" s="166"/>
      <c r="E2546" s="83"/>
      <c r="H2546" t="s">
        <v>3375</v>
      </c>
      <c r="I2546">
        <v>5.2999999999999998E-4</v>
      </c>
      <c r="J2546" t="s">
        <v>707</v>
      </c>
      <c r="K2546" t="s">
        <v>3375</v>
      </c>
      <c r="L2546" s="166">
        <f t="shared" si="201"/>
        <v>55.690387192437335</v>
      </c>
      <c r="M2546" s="127" t="s">
        <v>3376</v>
      </c>
    </row>
    <row r="2547" spans="1:13" x14ac:dyDescent="0.2">
      <c r="A2547" s="1217"/>
      <c r="B2547" s="166"/>
      <c r="E2547" s="83"/>
      <c r="H2547" t="s">
        <v>708</v>
      </c>
      <c r="I2547">
        <v>0.39150000000000001</v>
      </c>
      <c r="J2547" t="s">
        <v>709</v>
      </c>
      <c r="K2547" t="s">
        <v>708</v>
      </c>
      <c r="L2547" s="166">
        <f t="shared" si="201"/>
        <v>41137.333180828711</v>
      </c>
      <c r="M2547" s="127" t="s">
        <v>3377</v>
      </c>
    </row>
    <row r="2548" spans="1:13" x14ac:dyDescent="0.2">
      <c r="A2548" s="1217"/>
      <c r="B2548" s="166"/>
      <c r="E2548" s="83"/>
      <c r="H2548" t="s">
        <v>3378</v>
      </c>
      <c r="I2548" s="33">
        <v>9.8849699999999999E-8</v>
      </c>
      <c r="J2548" t="s">
        <v>704</v>
      </c>
      <c r="K2548" t="s">
        <v>3378</v>
      </c>
      <c r="L2548" s="166">
        <f t="shared" si="201"/>
        <v>1.0386751069540137E-2</v>
      </c>
      <c r="M2548" s="127" t="s">
        <v>3368</v>
      </c>
    </row>
    <row r="2549" spans="1:13" x14ac:dyDescent="0.2">
      <c r="A2549" s="1217"/>
      <c r="B2549" s="166"/>
      <c r="E2549" s="83"/>
      <c r="H2549" t="s">
        <v>710</v>
      </c>
      <c r="I2549" s="33">
        <v>1.51061E-9</v>
      </c>
      <c r="J2549" t="s">
        <v>3379</v>
      </c>
      <c r="K2549" t="s">
        <v>710</v>
      </c>
      <c r="L2549" s="166">
        <f t="shared" si="201"/>
        <v>1.5872916188069391E-4</v>
      </c>
      <c r="M2549" s="127" t="s">
        <v>3380</v>
      </c>
    </row>
    <row r="2550" spans="1:13" x14ac:dyDescent="0.2">
      <c r="A2550" s="1217"/>
      <c r="B2550" s="166"/>
      <c r="E2550" s="83"/>
      <c r="H2550" t="s">
        <v>3381</v>
      </c>
      <c r="I2550">
        <v>1.01E-3</v>
      </c>
      <c r="J2550" t="s">
        <v>3382</v>
      </c>
      <c r="K2550" t="s">
        <v>3381</v>
      </c>
      <c r="L2550" s="166">
        <f t="shared" si="201"/>
        <v>106.12696427238059</v>
      </c>
      <c r="M2550" s="127" t="s">
        <v>3383</v>
      </c>
    </row>
    <row r="2551" spans="1:13" x14ac:dyDescent="0.2">
      <c r="A2551" s="1217"/>
      <c r="B2551" s="166"/>
      <c r="E2551" s="83"/>
      <c r="H2551" t="s">
        <v>3384</v>
      </c>
      <c r="I2551">
        <v>1.2200000000000001E-2</v>
      </c>
      <c r="J2551" t="s">
        <v>711</v>
      </c>
      <c r="K2551" t="s">
        <v>3384</v>
      </c>
      <c r="L2551" s="166">
        <f t="shared" si="201"/>
        <v>1281.9296674485577</v>
      </c>
      <c r="M2551" s="127" t="s">
        <v>3385</v>
      </c>
    </row>
    <row r="2552" spans="1:13" x14ac:dyDescent="0.2">
      <c r="A2552" s="1219"/>
      <c r="B2552" s="833"/>
      <c r="C2552" s="1102"/>
      <c r="D2552" s="118"/>
      <c r="E2552" s="1220"/>
      <c r="F2552" s="118"/>
      <c r="G2552" s="118"/>
      <c r="H2552" s="118"/>
      <c r="I2552" s="118"/>
      <c r="J2552" s="118"/>
      <c r="K2552" s="118"/>
      <c r="L2552" s="833"/>
      <c r="M2552" s="120"/>
    </row>
    <row r="2553" spans="1:13" ht="32" x14ac:dyDescent="0.2">
      <c r="A2553" s="1215" t="s">
        <v>2433</v>
      </c>
      <c r="B2553" s="845">
        <v>17408451.218773615</v>
      </c>
      <c r="C2553" s="845" t="s">
        <v>2959</v>
      </c>
      <c r="D2553" s="845"/>
      <c r="E2553" s="1216" t="s">
        <v>3444</v>
      </c>
      <c r="F2553" s="110">
        <v>1</v>
      </c>
      <c r="G2553" s="110" t="s">
        <v>1</v>
      </c>
      <c r="H2553" s="110"/>
      <c r="I2553" s="110"/>
      <c r="J2553" s="110"/>
      <c r="K2553" s="110"/>
      <c r="L2553" s="845"/>
      <c r="M2553" s="112"/>
    </row>
    <row r="2554" spans="1:13" x14ac:dyDescent="0.2">
      <c r="A2554" s="1217"/>
      <c r="B2554" s="166">
        <v>7896.4216723095415</v>
      </c>
      <c r="C2554" s="133" t="s">
        <v>3225</v>
      </c>
      <c r="E2554" s="83"/>
      <c r="H2554" t="s">
        <v>701</v>
      </c>
      <c r="I2554">
        <v>1.14E-3</v>
      </c>
      <c r="J2554" t="s">
        <v>702</v>
      </c>
      <c r="K2554" t="s">
        <v>701</v>
      </c>
      <c r="L2554" s="166">
        <f>I2554*B$2555</f>
        <v>270.05762119298629</v>
      </c>
      <c r="M2554" s="127" t="s">
        <v>3367</v>
      </c>
    </row>
    <row r="2555" spans="1:13" x14ac:dyDescent="0.2">
      <c r="A2555" s="1217"/>
      <c r="B2555" s="1218">
        <f>B2554*30</f>
        <v>236892.65016928624</v>
      </c>
      <c r="C2555" s="1114" t="s">
        <v>3445</v>
      </c>
      <c r="D2555" s="6" t="s">
        <v>577</v>
      </c>
      <c r="E2555" s="83"/>
      <c r="H2555" t="s">
        <v>703</v>
      </c>
      <c r="I2555" s="33">
        <v>5.4967900000000001E-8</v>
      </c>
      <c r="J2555" t="s">
        <v>704</v>
      </c>
      <c r="K2555" t="s">
        <v>703</v>
      </c>
      <c r="L2555" s="166">
        <f t="shared" ref="L2555:L2563" si="202">I2555*B$2555</f>
        <v>1.3021491505240309E-2</v>
      </c>
      <c r="M2555" s="127" t="s">
        <v>3368</v>
      </c>
    </row>
    <row r="2556" spans="1:13" x14ac:dyDescent="0.2">
      <c r="A2556" s="1217"/>
      <c r="B2556" s="166"/>
      <c r="E2556" s="83"/>
      <c r="H2556" t="s">
        <v>705</v>
      </c>
      <c r="I2556">
        <v>9.5996699999999997</v>
      </c>
      <c r="J2556" t="s">
        <v>706</v>
      </c>
      <c r="K2556" t="s">
        <v>705</v>
      </c>
      <c r="L2556" s="166">
        <f t="shared" si="202"/>
        <v>2274091.2670505918</v>
      </c>
      <c r="M2556" s="127" t="s">
        <v>3370</v>
      </c>
    </row>
    <row r="2557" spans="1:13" x14ac:dyDescent="0.2">
      <c r="A2557" s="1217"/>
      <c r="B2557" s="166"/>
      <c r="E2557" s="83"/>
      <c r="H2557" t="s">
        <v>3372</v>
      </c>
      <c r="I2557">
        <v>2.3600000000000001E-3</v>
      </c>
      <c r="J2557" t="s">
        <v>3373</v>
      </c>
      <c r="K2557" t="s">
        <v>3372</v>
      </c>
      <c r="L2557" s="166">
        <f t="shared" si="202"/>
        <v>559.06665439951553</v>
      </c>
      <c r="M2557" s="127" t="s">
        <v>3374</v>
      </c>
    </row>
    <row r="2558" spans="1:13" x14ac:dyDescent="0.2">
      <c r="A2558" s="1217"/>
      <c r="B2558" s="166"/>
      <c r="E2558" s="83"/>
      <c r="H2558" t="s">
        <v>3375</v>
      </c>
      <c r="I2558">
        <v>7.0000000000000001E-3</v>
      </c>
      <c r="J2558" t="s">
        <v>707</v>
      </c>
      <c r="K2558" t="s">
        <v>3375</v>
      </c>
      <c r="L2558" s="166">
        <f t="shared" si="202"/>
        <v>1658.2485511850036</v>
      </c>
      <c r="M2558" s="127" t="s">
        <v>3376</v>
      </c>
    </row>
    <row r="2559" spans="1:13" x14ac:dyDescent="0.2">
      <c r="A2559" s="1217"/>
      <c r="B2559" s="166"/>
      <c r="E2559" s="83"/>
      <c r="H2559" t="s">
        <v>708</v>
      </c>
      <c r="I2559">
        <v>0.20222999999999999</v>
      </c>
      <c r="J2559" t="s">
        <v>709</v>
      </c>
      <c r="K2559" t="s">
        <v>708</v>
      </c>
      <c r="L2559" s="166">
        <f t="shared" si="202"/>
        <v>47906.800643734758</v>
      </c>
      <c r="M2559" s="127" t="s">
        <v>3377</v>
      </c>
    </row>
    <row r="2560" spans="1:13" x14ac:dyDescent="0.2">
      <c r="A2560" s="1217"/>
      <c r="B2560" s="166"/>
      <c r="E2560" s="83"/>
      <c r="H2560" t="s">
        <v>3378</v>
      </c>
      <c r="I2560" s="33">
        <v>5.2573200000000002E-6</v>
      </c>
      <c r="J2560" t="s">
        <v>704</v>
      </c>
      <c r="K2560" t="s">
        <v>3378</v>
      </c>
      <c r="L2560" s="166">
        <f t="shared" si="202"/>
        <v>1.2454204675879919</v>
      </c>
      <c r="M2560" s="127" t="s">
        <v>3368</v>
      </c>
    </row>
    <row r="2561" spans="1:13" x14ac:dyDescent="0.2">
      <c r="A2561" s="1217"/>
      <c r="B2561" s="166"/>
      <c r="E2561" s="83"/>
      <c r="H2561" t="s">
        <v>710</v>
      </c>
      <c r="I2561" s="33">
        <v>1.8080899999999999E-9</v>
      </c>
      <c r="J2561" t="s">
        <v>3379</v>
      </c>
      <c r="K2561" t="s">
        <v>710</v>
      </c>
      <c r="L2561" s="166">
        <f t="shared" si="202"/>
        <v>4.2832323184458475E-4</v>
      </c>
      <c r="M2561" s="127" t="s">
        <v>3380</v>
      </c>
    </row>
    <row r="2562" spans="1:13" x14ac:dyDescent="0.2">
      <c r="A2562" s="1217"/>
      <c r="B2562" s="166"/>
      <c r="E2562" s="83"/>
      <c r="H2562" t="s">
        <v>3381</v>
      </c>
      <c r="I2562">
        <v>1.4999999999999999E-4</v>
      </c>
      <c r="J2562" t="s">
        <v>3382</v>
      </c>
      <c r="K2562" t="s">
        <v>3381</v>
      </c>
      <c r="L2562" s="166">
        <f t="shared" si="202"/>
        <v>35.533897525392931</v>
      </c>
      <c r="M2562" s="127" t="s">
        <v>3383</v>
      </c>
    </row>
    <row r="2563" spans="1:13" x14ac:dyDescent="0.2">
      <c r="A2563" s="1217"/>
      <c r="B2563" s="166"/>
      <c r="E2563" s="83"/>
      <c r="H2563" t="s">
        <v>3384</v>
      </c>
      <c r="I2563">
        <v>1.456E-2</v>
      </c>
      <c r="J2563" t="s">
        <v>711</v>
      </c>
      <c r="K2563" t="s">
        <v>3384</v>
      </c>
      <c r="L2563" s="166">
        <f t="shared" si="202"/>
        <v>3449.1569864648077</v>
      </c>
      <c r="M2563" s="127" t="s">
        <v>3385</v>
      </c>
    </row>
    <row r="2564" spans="1:13" x14ac:dyDescent="0.2">
      <c r="A2564" s="1219"/>
      <c r="B2564" s="833"/>
      <c r="C2564" s="1102"/>
      <c r="D2564" s="118"/>
      <c r="E2564" s="1220"/>
      <c r="F2564" s="118"/>
      <c r="G2564" s="118"/>
      <c r="H2564" s="118"/>
      <c r="I2564" s="118"/>
      <c r="J2564" s="118"/>
      <c r="K2564" s="118"/>
      <c r="L2564" s="833"/>
      <c r="M2564" s="120"/>
    </row>
    <row r="2565" spans="1:13" ht="16" x14ac:dyDescent="0.2">
      <c r="A2565" s="1215" t="s">
        <v>1567</v>
      </c>
      <c r="B2565" s="1245">
        <v>713286.3769334387</v>
      </c>
      <c r="C2565" s="1245" t="s">
        <v>566</v>
      </c>
      <c r="D2565" s="1246"/>
      <c r="E2565" s="1216" t="s">
        <v>3447</v>
      </c>
      <c r="F2565" s="110">
        <v>1</v>
      </c>
      <c r="G2565" s="110" t="s">
        <v>15</v>
      </c>
      <c r="H2565" s="110"/>
      <c r="I2565" s="110"/>
      <c r="J2565" s="110"/>
      <c r="K2565" s="110"/>
      <c r="L2565" s="845"/>
      <c r="M2565" s="112"/>
    </row>
    <row r="2566" spans="1:13" ht="16" x14ac:dyDescent="0.2">
      <c r="A2566" s="1217"/>
      <c r="B2566" s="1218">
        <f>B2565*30</f>
        <v>21398591.308003161</v>
      </c>
      <c r="C2566" s="1114" t="s">
        <v>715</v>
      </c>
      <c r="D2566" s="6" t="s">
        <v>577</v>
      </c>
      <c r="E2566" s="83" t="s">
        <v>712</v>
      </c>
      <c r="H2566" t="s">
        <v>701</v>
      </c>
      <c r="I2566">
        <v>1.949E-2</v>
      </c>
      <c r="J2566" t="s">
        <v>702</v>
      </c>
      <c r="K2566" t="s">
        <v>701</v>
      </c>
      <c r="L2566" s="166">
        <f>I2566*B$2566</f>
        <v>417058.54459298163</v>
      </c>
      <c r="M2566" s="127" t="s">
        <v>3367</v>
      </c>
    </row>
    <row r="2567" spans="1:13" x14ac:dyDescent="0.2">
      <c r="A2567" s="1217"/>
      <c r="B2567" s="166"/>
      <c r="E2567" s="83"/>
      <c r="H2567" t="s">
        <v>703</v>
      </c>
      <c r="I2567" s="33">
        <v>3.1389299999999999E-7</v>
      </c>
      <c r="J2567" t="s">
        <v>704</v>
      </c>
      <c r="K2567" t="s">
        <v>703</v>
      </c>
      <c r="L2567" s="166">
        <f t="shared" ref="L2567:L2575" si="203">I2567*B$2566</f>
        <v>6.7168680214430356</v>
      </c>
      <c r="M2567" s="127" t="s">
        <v>3368</v>
      </c>
    </row>
    <row r="2568" spans="1:13" x14ac:dyDescent="0.2">
      <c r="A2568" s="1217"/>
      <c r="B2568" s="166"/>
      <c r="E2568" s="83"/>
      <c r="H2568" t="s">
        <v>705</v>
      </c>
      <c r="I2568">
        <v>49.286259999999999</v>
      </c>
      <c r="J2568" t="s">
        <v>706</v>
      </c>
      <c r="K2568" t="s">
        <v>705</v>
      </c>
      <c r="L2568" s="166">
        <f t="shared" si="203"/>
        <v>1054656534.8399838</v>
      </c>
      <c r="M2568" s="127" t="s">
        <v>3370</v>
      </c>
    </row>
    <row r="2569" spans="1:13" x14ac:dyDescent="0.2">
      <c r="A2569" s="1217"/>
      <c r="B2569" s="166"/>
      <c r="E2569" s="83"/>
      <c r="H2569" t="s">
        <v>3372</v>
      </c>
      <c r="I2569">
        <v>1.32E-3</v>
      </c>
      <c r="J2569" t="s">
        <v>3373</v>
      </c>
      <c r="K2569" t="s">
        <v>3372</v>
      </c>
      <c r="L2569" s="166">
        <f t="shared" si="203"/>
        <v>28246.140526564173</v>
      </c>
      <c r="M2569" s="127" t="s">
        <v>3374</v>
      </c>
    </row>
    <row r="2570" spans="1:13" x14ac:dyDescent="0.2">
      <c r="A2570" s="1217"/>
      <c r="B2570" s="166"/>
      <c r="E2570" s="83"/>
      <c r="H2570" t="s">
        <v>3375</v>
      </c>
      <c r="I2570">
        <v>9.6100000000000005E-3</v>
      </c>
      <c r="J2570" t="s">
        <v>707</v>
      </c>
      <c r="K2570" t="s">
        <v>3375</v>
      </c>
      <c r="L2570" s="166">
        <f t="shared" si="203"/>
        <v>205640.46246991039</v>
      </c>
      <c r="M2570" s="127" t="s">
        <v>3376</v>
      </c>
    </row>
    <row r="2571" spans="1:13" x14ac:dyDescent="0.2">
      <c r="A2571" s="1217"/>
      <c r="B2571" s="166"/>
      <c r="E2571" s="83"/>
      <c r="H2571" t="s">
        <v>708</v>
      </c>
      <c r="I2571">
        <v>4.2835599999999996</v>
      </c>
      <c r="J2571" t="s">
        <v>709</v>
      </c>
      <c r="K2571" t="s">
        <v>708</v>
      </c>
      <c r="L2571" s="166">
        <f t="shared" si="203"/>
        <v>91662149.783310011</v>
      </c>
      <c r="M2571" s="127" t="s">
        <v>3377</v>
      </c>
    </row>
    <row r="2572" spans="1:13" x14ac:dyDescent="0.2">
      <c r="A2572" s="1217"/>
      <c r="B2572" s="166"/>
      <c r="E2572" s="83"/>
      <c r="H2572" t="s">
        <v>3378</v>
      </c>
      <c r="I2572" s="33">
        <v>9.1881099999999998E-7</v>
      </c>
      <c r="J2572" t="s">
        <v>704</v>
      </c>
      <c r="K2572" t="s">
        <v>3378</v>
      </c>
      <c r="L2572" s="166">
        <f t="shared" si="203"/>
        <v>19.661261078297692</v>
      </c>
      <c r="M2572" s="127" t="s">
        <v>3368</v>
      </c>
    </row>
    <row r="2573" spans="1:13" x14ac:dyDescent="0.2">
      <c r="A2573" s="1217"/>
      <c r="B2573" s="166"/>
      <c r="E2573" s="83"/>
      <c r="H2573" t="s">
        <v>710</v>
      </c>
      <c r="I2573" s="33">
        <v>7.7615100000000003E-8</v>
      </c>
      <c r="J2573" t="s">
        <v>3379</v>
      </c>
      <c r="K2573" t="s">
        <v>710</v>
      </c>
      <c r="L2573" s="166">
        <f t="shared" si="203"/>
        <v>1.6608538042297962</v>
      </c>
      <c r="M2573" s="127" t="s">
        <v>3380</v>
      </c>
    </row>
    <row r="2574" spans="1:13" x14ac:dyDescent="0.2">
      <c r="A2574" s="1217"/>
      <c r="B2574" s="166"/>
      <c r="E2574" s="83"/>
      <c r="H2574" t="s">
        <v>3381</v>
      </c>
      <c r="I2574">
        <v>3.1700000000000001E-3</v>
      </c>
      <c r="J2574" t="s">
        <v>3382</v>
      </c>
      <c r="K2574" t="s">
        <v>3381</v>
      </c>
      <c r="L2574" s="166">
        <f t="shared" si="203"/>
        <v>67833.534446370017</v>
      </c>
      <c r="M2574" s="127" t="s">
        <v>3383</v>
      </c>
    </row>
    <row r="2575" spans="1:13" x14ac:dyDescent="0.2">
      <c r="A2575" s="1217"/>
      <c r="B2575" s="166"/>
      <c r="E2575" s="83"/>
      <c r="H2575" t="s">
        <v>3384</v>
      </c>
      <c r="I2575">
        <v>0.24757000000000001</v>
      </c>
      <c r="J2575" t="s">
        <v>711</v>
      </c>
      <c r="K2575" t="s">
        <v>3384</v>
      </c>
      <c r="L2575" s="166">
        <f t="shared" si="203"/>
        <v>5297649.2501223432</v>
      </c>
      <c r="M2575" s="127" t="s">
        <v>3385</v>
      </c>
    </row>
    <row r="2576" spans="1:13" x14ac:dyDescent="0.2">
      <c r="A2576" s="1219"/>
      <c r="B2576" s="833"/>
      <c r="C2576" s="1102"/>
      <c r="D2576" s="118"/>
      <c r="E2576" s="1220"/>
      <c r="F2576" s="118"/>
      <c r="G2576" s="118"/>
      <c r="H2576" s="118"/>
      <c r="I2576" s="118"/>
      <c r="J2576" s="118"/>
      <c r="K2576" s="118"/>
      <c r="L2576" s="833"/>
      <c r="M2576" s="120"/>
    </row>
    <row r="2577" spans="1:15" x14ac:dyDescent="0.2">
      <c r="A2577" s="1222"/>
      <c r="E2577" s="83"/>
    </row>
    <row r="2578" spans="1:15" x14ac:dyDescent="0.2">
      <c r="A2578" s="1222"/>
      <c r="E2578" s="83"/>
    </row>
    <row r="2579" spans="1:15" x14ac:dyDescent="0.2">
      <c r="A2579" s="1222"/>
      <c r="E2579" s="83"/>
    </row>
    <row r="2581" spans="1:15" ht="16" thickBot="1" x14ac:dyDescent="0.25"/>
    <row r="2582" spans="1:15" ht="14.5" customHeight="1" x14ac:dyDescent="0.2">
      <c r="A2582" s="1789" t="s">
        <v>755</v>
      </c>
      <c r="B2582" s="1790"/>
      <c r="C2582" s="1790"/>
      <c r="D2582" s="1790"/>
      <c r="E2582" s="1790"/>
      <c r="F2582" s="1790"/>
      <c r="G2582" s="1790"/>
      <c r="H2582" s="1790"/>
      <c r="I2582" s="1790"/>
      <c r="J2582" s="1790"/>
      <c r="K2582" s="1790"/>
      <c r="L2582" s="1790"/>
      <c r="M2582" s="1790"/>
      <c r="N2582" s="1790"/>
      <c r="O2582" s="1791"/>
    </row>
    <row r="2583" spans="1:15" ht="15" customHeight="1" thickBot="1" x14ac:dyDescent="0.25">
      <c r="A2583" s="1792"/>
      <c r="B2583" s="1793"/>
      <c r="C2583" s="1793"/>
      <c r="D2583" s="1793"/>
      <c r="E2583" s="1793"/>
      <c r="F2583" s="1793"/>
      <c r="G2583" s="1793"/>
      <c r="H2583" s="1793"/>
      <c r="I2583" s="1793"/>
      <c r="J2583" s="1793"/>
      <c r="K2583" s="1793"/>
      <c r="L2583" s="1793"/>
      <c r="M2583" s="1793"/>
      <c r="N2583" s="1793"/>
      <c r="O2583" s="1794"/>
    </row>
    <row r="2584" spans="1:15" s="6" customFormat="1" x14ac:dyDescent="0.2">
      <c r="A2584" s="1929" t="s">
        <v>697</v>
      </c>
      <c r="B2584" s="1931" t="s">
        <v>698</v>
      </c>
      <c r="C2584" s="1932"/>
      <c r="D2584" s="1933"/>
      <c r="E2584" s="1921" t="s">
        <v>3362</v>
      </c>
      <c r="F2584" s="1931" t="s">
        <v>699</v>
      </c>
      <c r="G2584" s="1933"/>
      <c r="H2584" s="1931" t="s">
        <v>3363</v>
      </c>
      <c r="I2584" s="1932"/>
      <c r="J2584" s="1933"/>
      <c r="K2584" s="1931" t="s">
        <v>700</v>
      </c>
      <c r="L2584" s="1932"/>
      <c r="M2584" s="1933"/>
    </row>
    <row r="2585" spans="1:15" s="6" customFormat="1" ht="15.75" customHeight="1" x14ac:dyDescent="0.2">
      <c r="A2585" s="1930"/>
      <c r="B2585" s="1214" t="s">
        <v>515</v>
      </c>
      <c r="C2585" s="969" t="s">
        <v>372</v>
      </c>
      <c r="D2585" s="969" t="s">
        <v>583</v>
      </c>
      <c r="E2585" s="1922"/>
      <c r="F2585" s="969" t="s">
        <v>42</v>
      </c>
      <c r="G2585" s="969" t="s">
        <v>372</v>
      </c>
      <c r="H2585" s="29" t="s">
        <v>697</v>
      </c>
      <c r="I2585" s="969" t="s">
        <v>42</v>
      </c>
      <c r="J2585" s="969" t="s">
        <v>372</v>
      </c>
      <c r="K2585" s="969" t="s">
        <v>697</v>
      </c>
      <c r="L2585" s="1214" t="s">
        <v>42</v>
      </c>
      <c r="M2585" s="969" t="s">
        <v>372</v>
      </c>
    </row>
    <row r="2586" spans="1:15" ht="16" x14ac:dyDescent="0.2">
      <c r="A2586" s="486" t="s">
        <v>2377</v>
      </c>
      <c r="B2586" s="220">
        <v>1875.4740817837121</v>
      </c>
      <c r="C2586" s="220" t="s">
        <v>267</v>
      </c>
      <c r="D2586" s="220">
        <v>3</v>
      </c>
      <c r="E2586" s="159" t="s">
        <v>3400</v>
      </c>
      <c r="F2586" s="110">
        <v>1</v>
      </c>
      <c r="G2586" s="110" t="s">
        <v>1</v>
      </c>
      <c r="H2586" s="110"/>
      <c r="I2586" s="110"/>
      <c r="J2586" s="110"/>
      <c r="K2586" s="110"/>
      <c r="L2586" s="845"/>
      <c r="M2586" s="112"/>
    </row>
    <row r="2587" spans="1:15" x14ac:dyDescent="0.2">
      <c r="A2587" s="1217"/>
      <c r="B2587" s="166">
        <f>B2586*10/1000</f>
        <v>18.754740817837124</v>
      </c>
      <c r="C2587" s="133" t="s">
        <v>1</v>
      </c>
      <c r="E2587" s="83"/>
      <c r="H2587" t="s">
        <v>701</v>
      </c>
      <c r="I2587">
        <v>7.5000000000000002E-4</v>
      </c>
      <c r="J2587" t="s">
        <v>702</v>
      </c>
      <c r="K2587" t="s">
        <v>701</v>
      </c>
      <c r="L2587" s="166">
        <f>I2587*B$2588</f>
        <v>4.2198166840133527E-2</v>
      </c>
      <c r="M2587" s="127" t="s">
        <v>3367</v>
      </c>
    </row>
    <row r="2588" spans="1:15" x14ac:dyDescent="0.2">
      <c r="A2588" s="1217"/>
      <c r="B2588" s="1218">
        <f>B2587*D2586</f>
        <v>56.264222453511373</v>
      </c>
      <c r="C2588" s="1114" t="s">
        <v>1</v>
      </c>
      <c r="D2588" s="6" t="s">
        <v>577</v>
      </c>
      <c r="E2588" s="83"/>
      <c r="H2588" t="s">
        <v>703</v>
      </c>
      <c r="I2588" s="33">
        <v>3.3111200000000002E-8</v>
      </c>
      <c r="J2588" t="s">
        <v>704</v>
      </c>
      <c r="K2588" t="s">
        <v>703</v>
      </c>
      <c r="L2588" s="166">
        <f t="shared" ref="L2588:L2596" si="204">I2588*B$2588</f>
        <v>1.8629759225027059E-6</v>
      </c>
      <c r="M2588" s="127" t="s">
        <v>3368</v>
      </c>
    </row>
    <row r="2589" spans="1:15" x14ac:dyDescent="0.2">
      <c r="A2589" s="1217"/>
      <c r="B2589" s="166"/>
      <c r="E2589" s="83"/>
      <c r="H2589" t="s">
        <v>705</v>
      </c>
      <c r="I2589">
        <v>4.1968100000000002</v>
      </c>
      <c r="J2589" t="s">
        <v>706</v>
      </c>
      <c r="K2589" t="s">
        <v>705</v>
      </c>
      <c r="L2589" s="166">
        <f t="shared" si="204"/>
        <v>236.13025143512107</v>
      </c>
      <c r="M2589" s="127" t="s">
        <v>3370</v>
      </c>
    </row>
    <row r="2590" spans="1:15" x14ac:dyDescent="0.2">
      <c r="A2590" s="1217"/>
      <c r="B2590" s="166"/>
      <c r="E2590" s="83"/>
      <c r="H2590" t="s">
        <v>3372</v>
      </c>
      <c r="I2590">
        <v>3.2000000000000003E-4</v>
      </c>
      <c r="J2590" t="s">
        <v>3373</v>
      </c>
      <c r="K2590" t="s">
        <v>3372</v>
      </c>
      <c r="L2590" s="166">
        <f t="shared" si="204"/>
        <v>1.8004551185123639E-2</v>
      </c>
      <c r="M2590" s="127" t="s">
        <v>3374</v>
      </c>
    </row>
    <row r="2591" spans="1:15" x14ac:dyDescent="0.2">
      <c r="A2591" s="1217"/>
      <c r="B2591" s="166"/>
      <c r="E2591" s="83"/>
      <c r="H2591" t="s">
        <v>3375</v>
      </c>
      <c r="I2591">
        <v>5.2999999999999998E-4</v>
      </c>
      <c r="J2591" t="s">
        <v>707</v>
      </c>
      <c r="K2591" t="s">
        <v>3375</v>
      </c>
      <c r="L2591" s="166">
        <f t="shared" si="204"/>
        <v>2.9820037900361026E-2</v>
      </c>
      <c r="M2591" s="127" t="s">
        <v>3376</v>
      </c>
    </row>
    <row r="2592" spans="1:15" x14ac:dyDescent="0.2">
      <c r="A2592" s="1217"/>
      <c r="B2592" s="166"/>
      <c r="E2592" s="83"/>
      <c r="H2592" t="s">
        <v>708</v>
      </c>
      <c r="I2592">
        <v>0.39150000000000001</v>
      </c>
      <c r="J2592" t="s">
        <v>709</v>
      </c>
      <c r="K2592" t="s">
        <v>708</v>
      </c>
      <c r="L2592" s="166">
        <f t="shared" si="204"/>
        <v>22.027443090549703</v>
      </c>
      <c r="M2592" s="127" t="s">
        <v>3377</v>
      </c>
    </row>
    <row r="2593" spans="1:13" x14ac:dyDescent="0.2">
      <c r="A2593" s="1217"/>
      <c r="B2593" s="166"/>
      <c r="E2593" s="83"/>
      <c r="H2593" t="s">
        <v>3378</v>
      </c>
      <c r="I2593" s="33">
        <v>9.8849699999999999E-8</v>
      </c>
      <c r="J2593" t="s">
        <v>704</v>
      </c>
      <c r="K2593" t="s">
        <v>3378</v>
      </c>
      <c r="L2593" s="166">
        <f t="shared" si="204"/>
        <v>5.5617015102628634E-6</v>
      </c>
      <c r="M2593" s="127" t="s">
        <v>3368</v>
      </c>
    </row>
    <row r="2594" spans="1:13" x14ac:dyDescent="0.2">
      <c r="A2594" s="1217"/>
      <c r="B2594" s="166"/>
      <c r="E2594" s="83"/>
      <c r="H2594" t="s">
        <v>710</v>
      </c>
      <c r="I2594" s="33">
        <v>1.51061E-9</v>
      </c>
      <c r="J2594" t="s">
        <v>3379</v>
      </c>
      <c r="K2594" t="s">
        <v>710</v>
      </c>
      <c r="L2594" s="166">
        <f t="shared" si="204"/>
        <v>8.4993297080498813E-8</v>
      </c>
      <c r="M2594" s="127" t="s">
        <v>3380</v>
      </c>
    </row>
    <row r="2595" spans="1:13" x14ac:dyDescent="0.2">
      <c r="A2595" s="1217"/>
      <c r="B2595" s="166"/>
      <c r="E2595" s="83"/>
      <c r="H2595" t="s">
        <v>3381</v>
      </c>
      <c r="I2595">
        <v>1.01E-3</v>
      </c>
      <c r="J2595" t="s">
        <v>3382</v>
      </c>
      <c r="K2595" t="s">
        <v>3381</v>
      </c>
      <c r="L2595" s="166">
        <f t="shared" si="204"/>
        <v>5.6826864678046492E-2</v>
      </c>
      <c r="M2595" s="127" t="s">
        <v>3383</v>
      </c>
    </row>
    <row r="2596" spans="1:13" x14ac:dyDescent="0.2">
      <c r="A2596" s="1217"/>
      <c r="B2596" s="166"/>
      <c r="E2596" s="83"/>
      <c r="H2596" t="s">
        <v>3384</v>
      </c>
      <c r="I2596">
        <v>1.2200000000000001E-2</v>
      </c>
      <c r="J2596" t="s">
        <v>711</v>
      </c>
      <c r="K2596" t="s">
        <v>3384</v>
      </c>
      <c r="L2596" s="166">
        <f t="shared" si="204"/>
        <v>0.68642351393283874</v>
      </c>
      <c r="M2596" s="127" t="s">
        <v>3385</v>
      </c>
    </row>
    <row r="2597" spans="1:13" x14ac:dyDescent="0.2">
      <c r="A2597" s="1219"/>
      <c r="B2597" s="833"/>
      <c r="C2597" s="1102"/>
      <c r="D2597" s="118"/>
      <c r="E2597" s="1220"/>
      <c r="F2597" s="118"/>
      <c r="G2597" s="118"/>
      <c r="H2597" s="118"/>
      <c r="I2597" s="118"/>
      <c r="J2597" s="118"/>
      <c r="K2597" s="118"/>
      <c r="L2597" s="833"/>
      <c r="M2597" s="120"/>
    </row>
    <row r="2598" spans="1:13" ht="16" x14ac:dyDescent="0.2">
      <c r="A2598" s="486" t="s">
        <v>1027</v>
      </c>
      <c r="B2598" s="220">
        <v>118.31115665918918</v>
      </c>
      <c r="C2598" s="220" t="s">
        <v>1091</v>
      </c>
      <c r="D2598" s="220">
        <v>3</v>
      </c>
      <c r="E2598" s="1216" t="s">
        <v>3388</v>
      </c>
      <c r="F2598" s="110"/>
      <c r="G2598" s="110"/>
      <c r="H2598" s="110"/>
      <c r="I2598" s="110"/>
      <c r="J2598" s="110"/>
      <c r="K2598" s="110"/>
      <c r="L2598" s="845"/>
      <c r="M2598" s="112"/>
    </row>
    <row r="2599" spans="1:13" x14ac:dyDescent="0.2">
      <c r="A2599" s="1217"/>
      <c r="B2599" s="166">
        <f>B2598/1000</f>
        <v>0.11831115665918918</v>
      </c>
      <c r="C2599" s="133" t="s">
        <v>444</v>
      </c>
      <c r="F2599">
        <v>1</v>
      </c>
      <c r="G2599" t="s">
        <v>713</v>
      </c>
      <c r="H2599" t="s">
        <v>701</v>
      </c>
      <c r="I2599">
        <v>0.14229</v>
      </c>
      <c r="J2599" t="s">
        <v>702</v>
      </c>
      <c r="K2599" t="s">
        <v>701</v>
      </c>
      <c r="L2599" s="166">
        <f>I2599*B$2604</f>
        <v>0.14229</v>
      </c>
      <c r="M2599" s="127" t="s">
        <v>3367</v>
      </c>
    </row>
    <row r="2600" spans="1:13" x14ac:dyDescent="0.2">
      <c r="A2600" s="1217"/>
      <c r="B2600" s="166">
        <v>20</v>
      </c>
      <c r="C2600" s="133" t="s">
        <v>10</v>
      </c>
      <c r="D2600" t="s">
        <v>3390</v>
      </c>
      <c r="E2600" s="83"/>
      <c r="F2600">
        <v>40</v>
      </c>
      <c r="G2600" t="s">
        <v>12</v>
      </c>
      <c r="H2600" t="s">
        <v>703</v>
      </c>
      <c r="I2600" s="33">
        <v>2.2291000000000001E-5</v>
      </c>
      <c r="J2600" t="s">
        <v>704</v>
      </c>
      <c r="K2600" t="s">
        <v>703</v>
      </c>
      <c r="L2600" s="166">
        <f t="shared" ref="L2600:L2608" si="205">I2600*B$2604</f>
        <v>2.2291000000000001E-5</v>
      </c>
      <c r="M2600" s="127" t="s">
        <v>3368</v>
      </c>
    </row>
    <row r="2601" spans="1:13" x14ac:dyDescent="0.2">
      <c r="A2601" s="1217"/>
      <c r="B2601" s="166">
        <v>0.7</v>
      </c>
      <c r="D2601" s="24" t="s">
        <v>3391</v>
      </c>
      <c r="E2601" s="83"/>
      <c r="H2601" t="s">
        <v>705</v>
      </c>
      <c r="I2601">
        <v>3203.5834399999999</v>
      </c>
      <c r="J2601" t="s">
        <v>706</v>
      </c>
      <c r="K2601" t="s">
        <v>705</v>
      </c>
      <c r="L2601" s="166">
        <f t="shared" si="205"/>
        <v>3203.5834399999999</v>
      </c>
      <c r="M2601" s="127" t="s">
        <v>3370</v>
      </c>
    </row>
    <row r="2602" spans="1:13" x14ac:dyDescent="0.2">
      <c r="A2602" s="1217"/>
      <c r="B2602" s="166">
        <f>B2599*B2600/B2601</f>
        <v>3.3803187616911199</v>
      </c>
      <c r="C2602" s="133" t="s">
        <v>12</v>
      </c>
      <c r="D2602" s="6"/>
      <c r="E2602" s="83"/>
      <c r="H2602" t="s">
        <v>3372</v>
      </c>
      <c r="I2602">
        <v>1.278E-2</v>
      </c>
      <c r="J2602" t="s">
        <v>3373</v>
      </c>
      <c r="K2602" t="s">
        <v>3372</v>
      </c>
      <c r="L2602" s="166">
        <f t="shared" si="205"/>
        <v>1.278E-2</v>
      </c>
      <c r="M2602" s="127" t="s">
        <v>3374</v>
      </c>
    </row>
    <row r="2603" spans="1:13" x14ac:dyDescent="0.2">
      <c r="A2603" s="1217"/>
      <c r="B2603" s="166">
        <f>B2602*D2598</f>
        <v>10.14095628507336</v>
      </c>
      <c r="C2603" s="133" t="s">
        <v>12</v>
      </c>
      <c r="E2603" s="83"/>
      <c r="H2603" t="s">
        <v>3375</v>
      </c>
      <c r="I2603">
        <v>3.7339999999999998E-2</v>
      </c>
      <c r="J2603" t="s">
        <v>707</v>
      </c>
      <c r="K2603" t="s">
        <v>3375</v>
      </c>
      <c r="L2603" s="166">
        <f t="shared" si="205"/>
        <v>3.7339999999999998E-2</v>
      </c>
      <c r="M2603" s="127" t="s">
        <v>3376</v>
      </c>
    </row>
    <row r="2604" spans="1:13" x14ac:dyDescent="0.2">
      <c r="A2604" s="1217"/>
      <c r="B2604" s="1218">
        <f>ROUNDUP(B2603/F2600,0)</f>
        <v>1</v>
      </c>
      <c r="C2604" s="1114" t="s">
        <v>3392</v>
      </c>
      <c r="D2604" s="6" t="s">
        <v>577</v>
      </c>
      <c r="E2604" s="83"/>
      <c r="H2604" t="s">
        <v>708</v>
      </c>
      <c r="I2604">
        <v>9.0477000000000007</v>
      </c>
      <c r="J2604" t="s">
        <v>709</v>
      </c>
      <c r="K2604" t="s">
        <v>708</v>
      </c>
      <c r="L2604" s="166">
        <f t="shared" si="205"/>
        <v>9.0477000000000007</v>
      </c>
      <c r="M2604" s="127" t="s">
        <v>3377</v>
      </c>
    </row>
    <row r="2605" spans="1:13" x14ac:dyDescent="0.2">
      <c r="A2605" s="1217"/>
      <c r="B2605" s="166"/>
      <c r="E2605" s="83"/>
      <c r="H2605" t="s">
        <v>3378</v>
      </c>
      <c r="I2605" s="33">
        <v>3.5905399999999997E-5</v>
      </c>
      <c r="J2605" t="s">
        <v>704</v>
      </c>
      <c r="K2605" t="s">
        <v>3378</v>
      </c>
      <c r="L2605" s="166">
        <f t="shared" si="205"/>
        <v>3.5905399999999997E-5</v>
      </c>
      <c r="M2605" s="127" t="s">
        <v>3368</v>
      </c>
    </row>
    <row r="2606" spans="1:13" x14ac:dyDescent="0.2">
      <c r="A2606" s="1217"/>
      <c r="B2606" s="166"/>
      <c r="E2606" s="83"/>
      <c r="H2606" t="s">
        <v>710</v>
      </c>
      <c r="I2606" s="33">
        <v>1.7364199999999999E-7</v>
      </c>
      <c r="J2606" t="s">
        <v>3379</v>
      </c>
      <c r="K2606" t="s">
        <v>710</v>
      </c>
      <c r="L2606" s="166">
        <f t="shared" si="205"/>
        <v>1.7364199999999999E-7</v>
      </c>
      <c r="M2606" s="127" t="s">
        <v>3380</v>
      </c>
    </row>
    <row r="2607" spans="1:13" x14ac:dyDescent="0.2">
      <c r="A2607" s="1217"/>
      <c r="B2607" s="166"/>
      <c r="E2607" s="83"/>
      <c r="H2607" t="s">
        <v>3381</v>
      </c>
      <c r="I2607">
        <v>2.9360000000000001E-2</v>
      </c>
      <c r="J2607" t="s">
        <v>3382</v>
      </c>
      <c r="K2607" t="s">
        <v>3381</v>
      </c>
      <c r="L2607" s="166">
        <f t="shared" si="205"/>
        <v>2.9360000000000001E-2</v>
      </c>
      <c r="M2607" s="127" t="s">
        <v>3383</v>
      </c>
    </row>
    <row r="2608" spans="1:13" x14ac:dyDescent="0.2">
      <c r="A2608" s="1217"/>
      <c r="B2608" s="166"/>
      <c r="E2608" s="83"/>
      <c r="H2608" t="s">
        <v>3384</v>
      </c>
      <c r="I2608">
        <v>0.84404000000000001</v>
      </c>
      <c r="J2608" t="s">
        <v>711</v>
      </c>
      <c r="K2608" t="s">
        <v>3384</v>
      </c>
      <c r="L2608" s="166">
        <f t="shared" si="205"/>
        <v>0.84404000000000001</v>
      </c>
      <c r="M2608" s="127" t="s">
        <v>3385</v>
      </c>
    </row>
    <row r="2609" spans="1:13" x14ac:dyDescent="0.2">
      <c r="A2609" s="1219"/>
      <c r="B2609" s="833"/>
      <c r="C2609" s="1102"/>
      <c r="D2609" s="118"/>
      <c r="E2609" s="1220"/>
      <c r="F2609" s="118"/>
      <c r="G2609" s="118"/>
      <c r="H2609" s="118"/>
      <c r="I2609" s="118"/>
      <c r="J2609" s="118"/>
      <c r="K2609" s="118"/>
      <c r="L2609" s="833"/>
      <c r="M2609" s="120"/>
    </row>
    <row r="2610" spans="1:13" ht="48" x14ac:dyDescent="0.2">
      <c r="A2610" s="486" t="s">
        <v>2484</v>
      </c>
      <c r="B2610" s="220">
        <v>750.18963271348491</v>
      </c>
      <c r="C2610" s="220" t="s">
        <v>1</v>
      </c>
      <c r="D2610" s="220">
        <v>3</v>
      </c>
      <c r="E2610" s="159" t="s">
        <v>3423</v>
      </c>
      <c r="F2610" s="110">
        <v>1</v>
      </c>
      <c r="G2610" s="110" t="s">
        <v>3424</v>
      </c>
      <c r="H2610" s="110"/>
      <c r="I2610" s="110"/>
      <c r="J2610" s="110"/>
      <c r="K2610" s="110"/>
      <c r="L2610" s="845"/>
      <c r="M2610" s="112"/>
    </row>
    <row r="2611" spans="1:13" x14ac:dyDescent="0.2">
      <c r="A2611" s="1217"/>
      <c r="B2611" s="166">
        <f>B2610*10/1000*D2610</f>
        <v>22.505688981404546</v>
      </c>
      <c r="C2611" s="133" t="s">
        <v>1</v>
      </c>
      <c r="E2611" s="83"/>
      <c r="F2611">
        <v>500</v>
      </c>
      <c r="G2611" t="s">
        <v>3425</v>
      </c>
      <c r="H2611" t="s">
        <v>701</v>
      </c>
      <c r="I2611">
        <v>500.29457000000002</v>
      </c>
      <c r="J2611" t="s">
        <v>702</v>
      </c>
      <c r="K2611" t="s">
        <v>701</v>
      </c>
      <c r="L2611" s="166">
        <f>I2611*B$2612</f>
        <v>22.518947983011053</v>
      </c>
      <c r="M2611" s="127" t="s">
        <v>3367</v>
      </c>
    </row>
    <row r="2612" spans="1:13" x14ac:dyDescent="0.2">
      <c r="A2612" s="1217"/>
      <c r="B2612" s="1218">
        <f>B2611/F2611</f>
        <v>4.5011377962809095E-2</v>
      </c>
      <c r="C2612" s="1114" t="s">
        <v>3429</v>
      </c>
      <c r="D2612" s="6" t="s">
        <v>577</v>
      </c>
      <c r="E2612" s="83"/>
      <c r="H2612" t="s">
        <v>703</v>
      </c>
      <c r="I2612" s="33">
        <v>5.0630000000000001E-2</v>
      </c>
      <c r="J2612" t="s">
        <v>704</v>
      </c>
      <c r="K2612" t="s">
        <v>703</v>
      </c>
      <c r="L2612" s="166">
        <f t="shared" ref="L2612:L2620" si="206">I2612*B$2612</f>
        <v>2.2789260662570247E-3</v>
      </c>
      <c r="M2612" s="127" t="s">
        <v>3368</v>
      </c>
    </row>
    <row r="2613" spans="1:13" x14ac:dyDescent="0.2">
      <c r="A2613" s="1217"/>
      <c r="B2613" s="166"/>
      <c r="E2613" s="83"/>
      <c r="H2613" t="s">
        <v>705</v>
      </c>
      <c r="I2613" s="33">
        <v>4.7383300000000004E-6</v>
      </c>
      <c r="J2613" t="s">
        <v>706</v>
      </c>
      <c r="K2613" t="s">
        <v>705</v>
      </c>
      <c r="L2613" s="166">
        <f t="shared" si="206"/>
        <v>2.1327876254251724E-7</v>
      </c>
      <c r="M2613" s="127" t="s">
        <v>3370</v>
      </c>
    </row>
    <row r="2614" spans="1:13" x14ac:dyDescent="0.2">
      <c r="A2614" s="1217"/>
      <c r="B2614" s="166"/>
      <c r="E2614" s="83"/>
      <c r="H2614" t="s">
        <v>3372</v>
      </c>
      <c r="I2614">
        <v>32.336289999999998</v>
      </c>
      <c r="J2614" t="s">
        <v>3373</v>
      </c>
      <c r="K2614" t="s">
        <v>3372</v>
      </c>
      <c r="L2614" s="166">
        <f t="shared" si="206"/>
        <v>1.455500971105004</v>
      </c>
      <c r="M2614" s="127" t="s">
        <v>3374</v>
      </c>
    </row>
    <row r="2615" spans="1:13" x14ac:dyDescent="0.2">
      <c r="A2615" s="1217"/>
      <c r="B2615" s="166"/>
      <c r="E2615" s="83"/>
      <c r="H2615" t="s">
        <v>3375</v>
      </c>
      <c r="I2615">
        <v>330.76024999999998</v>
      </c>
      <c r="J2615" t="s">
        <v>707</v>
      </c>
      <c r="K2615" t="s">
        <v>3375</v>
      </c>
      <c r="L2615" s="166">
        <f t="shared" si="206"/>
        <v>14.887974627823226</v>
      </c>
      <c r="M2615" s="127" t="s">
        <v>3376</v>
      </c>
    </row>
    <row r="2616" spans="1:13" x14ac:dyDescent="0.2">
      <c r="A2616" s="1217"/>
      <c r="B2616" s="166"/>
      <c r="E2616" s="83"/>
      <c r="H2616" t="s">
        <v>708</v>
      </c>
      <c r="I2616" s="33">
        <v>96090.3</v>
      </c>
      <c r="J2616" t="s">
        <v>709</v>
      </c>
      <c r="K2616" t="s">
        <v>708</v>
      </c>
      <c r="L2616" s="166">
        <f t="shared" si="206"/>
        <v>4325.1568118597152</v>
      </c>
      <c r="M2616" s="127" t="s">
        <v>3377</v>
      </c>
    </row>
    <row r="2617" spans="1:13" x14ac:dyDescent="0.2">
      <c r="A2617" s="1217"/>
      <c r="B2617" s="166"/>
      <c r="E2617" s="83"/>
      <c r="H2617" t="s">
        <v>3378</v>
      </c>
      <c r="I2617" s="33">
        <v>5.6300000000000003E-2</v>
      </c>
      <c r="J2617" t="s">
        <v>704</v>
      </c>
      <c r="K2617" t="s">
        <v>3378</v>
      </c>
      <c r="L2617" s="166">
        <f t="shared" si="206"/>
        <v>2.5341405793061524E-3</v>
      </c>
      <c r="M2617" s="127" t="s">
        <v>3368</v>
      </c>
    </row>
    <row r="2618" spans="1:13" x14ac:dyDescent="0.2">
      <c r="A2618" s="1217"/>
      <c r="B2618" s="166"/>
      <c r="E2618" s="83"/>
      <c r="H2618" t="s">
        <v>710</v>
      </c>
      <c r="I2618" s="33">
        <v>1.3699999999999999E-3</v>
      </c>
      <c r="J2618" t="s">
        <v>3379</v>
      </c>
      <c r="K2618" t="s">
        <v>710</v>
      </c>
      <c r="L2618" s="166">
        <f t="shared" si="206"/>
        <v>6.1665587809048452E-5</v>
      </c>
      <c r="M2618" s="127" t="s">
        <v>3380</v>
      </c>
    </row>
    <row r="2619" spans="1:13" x14ac:dyDescent="0.2">
      <c r="A2619" s="1217"/>
      <c r="B2619" s="166"/>
      <c r="E2619" s="83"/>
      <c r="H2619" t="s">
        <v>3381</v>
      </c>
      <c r="I2619">
        <v>145.08896999999999</v>
      </c>
      <c r="J2619" t="s">
        <v>3382</v>
      </c>
      <c r="K2619" t="s">
        <v>3381</v>
      </c>
      <c r="L2619" s="166">
        <f t="shared" si="206"/>
        <v>6.5306544669046698</v>
      </c>
      <c r="M2619" s="127" t="s">
        <v>3383</v>
      </c>
    </row>
    <row r="2620" spans="1:13" x14ac:dyDescent="0.2">
      <c r="A2620" s="1217"/>
      <c r="B2620" s="166"/>
      <c r="E2620" s="83"/>
      <c r="H2620" t="s">
        <v>3384</v>
      </c>
      <c r="I2620">
        <v>7926.5570900000002</v>
      </c>
      <c r="J2620" t="s">
        <v>711</v>
      </c>
      <c r="K2620" t="s">
        <v>3384</v>
      </c>
      <c r="L2620" s="166">
        <f t="shared" si="206"/>
        <v>356.78525712177418</v>
      </c>
      <c r="M2620" s="127" t="s">
        <v>3385</v>
      </c>
    </row>
    <row r="2621" spans="1:13" x14ac:dyDescent="0.2">
      <c r="A2621" s="1219"/>
      <c r="B2621" s="833"/>
      <c r="C2621" s="1102"/>
      <c r="D2621" s="118"/>
      <c r="E2621" s="1220"/>
      <c r="F2621" s="118"/>
      <c r="G2621" s="118"/>
      <c r="H2621" s="118"/>
      <c r="I2621" s="118"/>
      <c r="J2621" s="118"/>
      <c r="K2621" s="118"/>
      <c r="L2621" s="833"/>
      <c r="M2621" s="120"/>
    </row>
    <row r="2622" spans="1:13" ht="48" x14ac:dyDescent="0.2">
      <c r="A2622" s="1247" t="s">
        <v>1088</v>
      </c>
      <c r="B2622" s="1248">
        <v>8.5571860200354586E-4</v>
      </c>
      <c r="C2622" s="1248" t="s">
        <v>999</v>
      </c>
      <c r="D2622" s="1248">
        <v>3</v>
      </c>
      <c r="E2622" s="1230" t="s">
        <v>3437</v>
      </c>
      <c r="F2622" s="110">
        <v>1</v>
      </c>
      <c r="G2622" s="110" t="s">
        <v>3429</v>
      </c>
      <c r="H2622" s="110"/>
      <c r="I2622" s="110"/>
      <c r="J2622" s="110"/>
      <c r="K2622" s="110"/>
      <c r="L2622" s="845"/>
      <c r="M2622" s="112"/>
    </row>
    <row r="2623" spans="1:13" x14ac:dyDescent="0.2">
      <c r="A2623" s="1217"/>
      <c r="B2623" s="1218">
        <f>B2530</f>
        <v>356.54599999999999</v>
      </c>
      <c r="C2623" s="1114" t="s">
        <v>3429</v>
      </c>
      <c r="D2623" s="6" t="s">
        <v>577</v>
      </c>
      <c r="E2623" s="83"/>
      <c r="F2623" t="s">
        <v>3448</v>
      </c>
      <c r="G2623" t="s">
        <v>3438</v>
      </c>
      <c r="H2623" t="s">
        <v>701</v>
      </c>
      <c r="I2623">
        <v>12.44168</v>
      </c>
      <c r="J2623" t="s">
        <v>702</v>
      </c>
      <c r="K2623" t="s">
        <v>701</v>
      </c>
      <c r="L2623" s="166">
        <f>I2623*B$2623</f>
        <v>4436.0312372799999</v>
      </c>
      <c r="M2623" s="127" t="s">
        <v>3367</v>
      </c>
    </row>
    <row r="2624" spans="1:13" x14ac:dyDescent="0.2">
      <c r="A2624" s="1217"/>
      <c r="B2624" s="166"/>
      <c r="E2624" s="83"/>
      <c r="H2624" t="s">
        <v>703</v>
      </c>
      <c r="I2624">
        <v>4.8000000000000001E-4</v>
      </c>
      <c r="J2624" t="s">
        <v>704</v>
      </c>
      <c r="K2624" t="s">
        <v>703</v>
      </c>
      <c r="L2624" s="166">
        <f t="shared" ref="L2624:L2632" si="207">I2624*B$2623</f>
        <v>0.17114208</v>
      </c>
      <c r="M2624" s="127" t="s">
        <v>3368</v>
      </c>
    </row>
    <row r="2625" spans="1:13" x14ac:dyDescent="0.2">
      <c r="A2625" s="1217"/>
      <c r="B2625" s="166"/>
      <c r="E2625" s="83"/>
      <c r="H2625" t="s">
        <v>705</v>
      </c>
      <c r="I2625" s="33">
        <v>71800.399999999994</v>
      </c>
      <c r="J2625" t="s">
        <v>706</v>
      </c>
      <c r="K2625" t="s">
        <v>705</v>
      </c>
      <c r="L2625" s="166">
        <f t="shared" si="207"/>
        <v>25600145.418399997</v>
      </c>
      <c r="M2625" s="127" t="s">
        <v>3370</v>
      </c>
    </row>
    <row r="2626" spans="1:13" x14ac:dyDescent="0.2">
      <c r="A2626" s="1217"/>
      <c r="B2626" s="166"/>
      <c r="E2626" s="83"/>
      <c r="H2626" t="s">
        <v>3372</v>
      </c>
      <c r="I2626">
        <v>0.48496</v>
      </c>
      <c r="J2626" t="s">
        <v>3373</v>
      </c>
      <c r="K2626" t="s">
        <v>3372</v>
      </c>
      <c r="L2626" s="166">
        <f t="shared" si="207"/>
        <v>172.91054815999999</v>
      </c>
      <c r="M2626" s="127" t="s">
        <v>3374</v>
      </c>
    </row>
    <row r="2627" spans="1:13" x14ac:dyDescent="0.2">
      <c r="A2627" s="1217"/>
      <c r="B2627" s="166"/>
      <c r="E2627" s="83"/>
      <c r="H2627" t="s">
        <v>3375</v>
      </c>
      <c r="I2627">
        <v>5.6584000000000003</v>
      </c>
      <c r="J2627" t="s">
        <v>707</v>
      </c>
      <c r="K2627" t="s">
        <v>3375</v>
      </c>
      <c r="L2627" s="166">
        <f t="shared" si="207"/>
        <v>2017.4798864000002</v>
      </c>
      <c r="M2627" s="127" t="s">
        <v>3376</v>
      </c>
    </row>
    <row r="2628" spans="1:13" x14ac:dyDescent="0.2">
      <c r="A2628" s="1217"/>
      <c r="B2628" s="166"/>
      <c r="E2628" s="83"/>
      <c r="H2628" t="s">
        <v>708</v>
      </c>
      <c r="I2628">
        <v>950.53150000000005</v>
      </c>
      <c r="J2628" t="s">
        <v>709</v>
      </c>
      <c r="K2628" t="s">
        <v>708</v>
      </c>
      <c r="L2628" s="166">
        <f t="shared" si="207"/>
        <v>338908.20419900003</v>
      </c>
      <c r="M2628" s="127" t="s">
        <v>3377</v>
      </c>
    </row>
    <row r="2629" spans="1:13" x14ac:dyDescent="0.2">
      <c r="A2629" s="1217"/>
      <c r="B2629" s="166"/>
      <c r="E2629" s="83"/>
      <c r="H2629" t="s">
        <v>3378</v>
      </c>
      <c r="I2629">
        <v>9.6000000000000002E-4</v>
      </c>
      <c r="J2629" t="s">
        <v>704</v>
      </c>
      <c r="K2629" t="s">
        <v>3378</v>
      </c>
      <c r="L2629" s="166">
        <f t="shared" si="207"/>
        <v>0.34228416</v>
      </c>
      <c r="M2629" s="127" t="s">
        <v>3368</v>
      </c>
    </row>
    <row r="2630" spans="1:13" x14ac:dyDescent="0.2">
      <c r="A2630" s="1217"/>
      <c r="B2630" s="166"/>
      <c r="E2630" s="83"/>
      <c r="H2630" t="s">
        <v>710</v>
      </c>
      <c r="I2630" s="33">
        <v>1.9998899999999999E-5</v>
      </c>
      <c r="J2630" t="s">
        <v>3379</v>
      </c>
      <c r="K2630" t="s">
        <v>710</v>
      </c>
      <c r="L2630" s="166">
        <f t="shared" si="207"/>
        <v>7.1305277993999995E-3</v>
      </c>
      <c r="M2630" s="127" t="s">
        <v>3380</v>
      </c>
    </row>
    <row r="2631" spans="1:13" x14ac:dyDescent="0.2">
      <c r="A2631" s="1217"/>
      <c r="B2631" s="166"/>
      <c r="E2631" s="83"/>
      <c r="H2631" t="s">
        <v>3381</v>
      </c>
      <c r="I2631">
        <v>1.43174</v>
      </c>
      <c r="J2631" t="s">
        <v>3382</v>
      </c>
      <c r="K2631" t="s">
        <v>3381</v>
      </c>
      <c r="L2631" s="166">
        <f t="shared" si="207"/>
        <v>510.48117003999999</v>
      </c>
      <c r="M2631" s="127" t="s">
        <v>3383</v>
      </c>
    </row>
    <row r="2632" spans="1:13" x14ac:dyDescent="0.2">
      <c r="A2632" s="1217"/>
      <c r="B2632" s="166"/>
      <c r="E2632" s="83"/>
      <c r="H2632" t="s">
        <v>3384</v>
      </c>
      <c r="I2632">
        <v>65.748800000000003</v>
      </c>
      <c r="J2632" t="s">
        <v>711</v>
      </c>
      <c r="K2632" t="s">
        <v>3384</v>
      </c>
      <c r="L2632" s="166">
        <f t="shared" si="207"/>
        <v>23442.4716448</v>
      </c>
      <c r="M2632" s="127" t="s">
        <v>3385</v>
      </c>
    </row>
    <row r="2633" spans="1:13" x14ac:dyDescent="0.2">
      <c r="A2633" s="1219"/>
      <c r="B2633" s="833"/>
      <c r="C2633" s="1102"/>
      <c r="D2633" s="118"/>
      <c r="E2633" s="1220"/>
      <c r="F2633" s="118"/>
      <c r="G2633" s="118"/>
      <c r="H2633" s="118"/>
      <c r="I2633" s="118"/>
      <c r="J2633" s="118"/>
      <c r="K2633" s="118"/>
      <c r="L2633" s="833"/>
      <c r="M2633" s="120"/>
    </row>
    <row r="2634" spans="1:13" ht="16" x14ac:dyDescent="0.2">
      <c r="A2634" s="486" t="s">
        <v>1089</v>
      </c>
      <c r="B2634" s="220">
        <v>188.26584758794687</v>
      </c>
      <c r="C2634" s="220" t="s">
        <v>267</v>
      </c>
      <c r="D2634" s="220">
        <v>3</v>
      </c>
      <c r="E2634" s="1216" t="s">
        <v>3393</v>
      </c>
      <c r="F2634" s="110"/>
      <c r="G2634" s="110"/>
      <c r="H2634" s="110"/>
      <c r="I2634" s="110"/>
      <c r="J2634" s="110"/>
      <c r="K2634" s="110"/>
      <c r="L2634" s="845"/>
      <c r="M2634" s="112"/>
    </row>
    <row r="2635" spans="1:13" x14ac:dyDescent="0.2">
      <c r="A2635" s="1217"/>
      <c r="B2635" s="1218">
        <f>B2634*100*D2634</f>
        <v>56479.754276384061</v>
      </c>
      <c r="C2635" s="1114" t="s">
        <v>15</v>
      </c>
      <c r="D2635" s="6" t="s">
        <v>577</v>
      </c>
      <c r="F2635">
        <v>1</v>
      </c>
      <c r="G2635" t="s">
        <v>15</v>
      </c>
      <c r="H2635" t="s">
        <v>701</v>
      </c>
      <c r="I2635">
        <v>6.0200000000000002E-3</v>
      </c>
      <c r="J2635" t="s">
        <v>702</v>
      </c>
      <c r="K2635" t="s">
        <v>701</v>
      </c>
      <c r="L2635" s="166">
        <f>I2635*B$2635</f>
        <v>340.00812074383208</v>
      </c>
      <c r="M2635" s="127" t="s">
        <v>3367</v>
      </c>
    </row>
    <row r="2636" spans="1:13" x14ac:dyDescent="0.2">
      <c r="A2636" s="1217"/>
      <c r="B2636" s="166"/>
      <c r="E2636" s="83"/>
      <c r="H2636" t="s">
        <v>703</v>
      </c>
      <c r="I2636" s="33">
        <v>1.2843299999999999E-6</v>
      </c>
      <c r="J2636" t="s">
        <v>704</v>
      </c>
      <c r="K2636" t="s">
        <v>703</v>
      </c>
      <c r="L2636" s="166">
        <f t="shared" ref="L2636:L2644" si="208">I2636*B$2635</f>
        <v>7.2538642809788334E-2</v>
      </c>
      <c r="M2636" s="127" t="s">
        <v>3368</v>
      </c>
    </row>
    <row r="2637" spans="1:13" x14ac:dyDescent="0.2">
      <c r="A2637" s="1217"/>
      <c r="B2637" s="166"/>
      <c r="E2637" s="83"/>
      <c r="H2637" t="s">
        <v>705</v>
      </c>
      <c r="I2637">
        <v>67.217029999999994</v>
      </c>
      <c r="J2637" t="s">
        <v>706</v>
      </c>
      <c r="K2637" t="s">
        <v>705</v>
      </c>
      <c r="L2637" s="166">
        <f t="shared" si="208"/>
        <v>3796401.3375883354</v>
      </c>
      <c r="M2637" s="127" t="s">
        <v>3370</v>
      </c>
    </row>
    <row r="2638" spans="1:13" x14ac:dyDescent="0.2">
      <c r="A2638" s="1217"/>
      <c r="B2638" s="166"/>
      <c r="E2638" s="83"/>
      <c r="H2638" t="s">
        <v>3372</v>
      </c>
      <c r="I2638">
        <v>7.6999999999999996E-4</v>
      </c>
      <c r="J2638" t="s">
        <v>3373</v>
      </c>
      <c r="K2638" t="s">
        <v>3372</v>
      </c>
      <c r="L2638" s="166">
        <f t="shared" si="208"/>
        <v>43.489410792815725</v>
      </c>
      <c r="M2638" s="127" t="s">
        <v>3374</v>
      </c>
    </row>
    <row r="2639" spans="1:13" x14ac:dyDescent="0.2">
      <c r="A2639" s="1217"/>
      <c r="B2639" s="166"/>
      <c r="E2639" s="83"/>
      <c r="H2639" t="s">
        <v>3375</v>
      </c>
      <c r="I2639">
        <v>4.1700000000000001E-3</v>
      </c>
      <c r="J2639" t="s">
        <v>707</v>
      </c>
      <c r="K2639" t="s">
        <v>3375</v>
      </c>
      <c r="L2639" s="166">
        <f t="shared" si="208"/>
        <v>235.52057533252153</v>
      </c>
      <c r="M2639" s="127" t="s">
        <v>3376</v>
      </c>
    </row>
    <row r="2640" spans="1:13" x14ac:dyDescent="0.2">
      <c r="A2640" s="1217"/>
      <c r="B2640" s="166"/>
      <c r="E2640" s="83"/>
      <c r="H2640" t="s">
        <v>708</v>
      </c>
      <c r="I2640">
        <v>1.7658199999999999</v>
      </c>
      <c r="J2640" t="s">
        <v>709</v>
      </c>
      <c r="K2640" t="s">
        <v>708</v>
      </c>
      <c r="L2640" s="166">
        <f t="shared" si="208"/>
        <v>99733.079696324494</v>
      </c>
      <c r="M2640" s="127" t="s">
        <v>3377</v>
      </c>
    </row>
    <row r="2641" spans="1:13" x14ac:dyDescent="0.2">
      <c r="A2641" s="1217"/>
      <c r="B2641" s="166"/>
      <c r="E2641" s="83"/>
      <c r="H2641" t="s">
        <v>3378</v>
      </c>
      <c r="I2641" s="33">
        <v>3.4665800000000001E-7</v>
      </c>
      <c r="J2641" t="s">
        <v>704</v>
      </c>
      <c r="K2641" t="s">
        <v>3378</v>
      </c>
      <c r="L2641" s="166">
        <f t="shared" si="208"/>
        <v>1.9579158657942745E-2</v>
      </c>
      <c r="M2641" s="127" t="s">
        <v>3368</v>
      </c>
    </row>
    <row r="2642" spans="1:13" x14ac:dyDescent="0.2">
      <c r="A2642" s="1217"/>
      <c r="B2642" s="166"/>
      <c r="E2642" s="83"/>
      <c r="H2642" t="s">
        <v>710</v>
      </c>
      <c r="I2642" s="33">
        <v>5.15501E-8</v>
      </c>
      <c r="J2642" t="s">
        <v>3379</v>
      </c>
      <c r="K2642" t="s">
        <v>710</v>
      </c>
      <c r="L2642" s="166">
        <f t="shared" si="208"/>
        <v>2.9115369809230261E-3</v>
      </c>
      <c r="M2642" s="127" t="s">
        <v>3380</v>
      </c>
    </row>
    <row r="2643" spans="1:13" x14ac:dyDescent="0.2">
      <c r="A2643" s="1217"/>
      <c r="B2643" s="166"/>
      <c r="E2643" s="83"/>
      <c r="H2643" t="s">
        <v>3381</v>
      </c>
      <c r="I2643">
        <v>2.7299999999999998E-3</v>
      </c>
      <c r="J2643" t="s">
        <v>3382</v>
      </c>
      <c r="K2643" t="s">
        <v>3381</v>
      </c>
      <c r="L2643" s="166">
        <f t="shared" si="208"/>
        <v>154.18972917452848</v>
      </c>
      <c r="M2643" s="127" t="s">
        <v>3383</v>
      </c>
    </row>
    <row r="2644" spans="1:13" x14ac:dyDescent="0.2">
      <c r="A2644" s="1217"/>
      <c r="B2644" s="166"/>
      <c r="E2644" s="83"/>
      <c r="H2644" t="s">
        <v>3384</v>
      </c>
      <c r="I2644">
        <v>0.10051</v>
      </c>
      <c r="J2644" t="s">
        <v>711</v>
      </c>
      <c r="K2644" t="s">
        <v>3384</v>
      </c>
      <c r="L2644" s="166">
        <f t="shared" si="208"/>
        <v>5676.7801023193624</v>
      </c>
      <c r="M2644" s="127" t="s">
        <v>3385</v>
      </c>
    </row>
    <row r="2645" spans="1:13" x14ac:dyDescent="0.2">
      <c r="A2645" s="1219"/>
      <c r="B2645" s="833"/>
      <c r="C2645" s="1102"/>
      <c r="D2645" s="118"/>
      <c r="E2645" s="1220"/>
      <c r="F2645" s="118"/>
      <c r="G2645" s="118"/>
      <c r="H2645" s="118"/>
      <c r="I2645" s="118"/>
      <c r="J2645" s="118"/>
      <c r="K2645" s="118"/>
      <c r="L2645" s="833"/>
      <c r="M2645" s="120"/>
    </row>
    <row r="2646" spans="1:13" ht="16" x14ac:dyDescent="0.2">
      <c r="A2646" s="486" t="s">
        <v>2485</v>
      </c>
      <c r="B2646" s="220">
        <v>187.54740817837123</v>
      </c>
      <c r="C2646" s="220" t="s">
        <v>444</v>
      </c>
      <c r="D2646" s="220">
        <v>3</v>
      </c>
      <c r="E2646" s="1216" t="s">
        <v>3388</v>
      </c>
      <c r="F2646" s="110"/>
      <c r="G2646" s="110"/>
      <c r="H2646" s="110"/>
      <c r="I2646" s="110"/>
      <c r="J2646" s="110"/>
      <c r="K2646" s="110"/>
      <c r="L2646" s="845"/>
      <c r="M2646" s="112"/>
    </row>
    <row r="2647" spans="1:13" x14ac:dyDescent="0.2">
      <c r="A2647" s="1217"/>
      <c r="B2647" s="166">
        <v>5.1042036140799736</v>
      </c>
      <c r="C2647" s="133" t="s">
        <v>444</v>
      </c>
      <c r="D2647" s="1059">
        <f>D2646</f>
        <v>3</v>
      </c>
      <c r="F2647">
        <v>1</v>
      </c>
      <c r="G2647" t="s">
        <v>713</v>
      </c>
      <c r="H2647" t="s">
        <v>701</v>
      </c>
      <c r="I2647">
        <v>0.14229</v>
      </c>
      <c r="J2647" t="s">
        <v>702</v>
      </c>
      <c r="K2647" t="s">
        <v>701</v>
      </c>
      <c r="L2647" s="166">
        <f>I2647*B$2652</f>
        <v>1.5651900000000001</v>
      </c>
      <c r="M2647" s="127" t="s">
        <v>3367</v>
      </c>
    </row>
    <row r="2648" spans="1:13" x14ac:dyDescent="0.2">
      <c r="A2648" s="1217"/>
      <c r="B2648" s="166">
        <v>20</v>
      </c>
      <c r="C2648" s="133" t="s">
        <v>10</v>
      </c>
      <c r="D2648" t="s">
        <v>3390</v>
      </c>
      <c r="E2648" s="83"/>
      <c r="F2648">
        <v>40</v>
      </c>
      <c r="G2648" t="s">
        <v>12</v>
      </c>
      <c r="H2648" t="s">
        <v>703</v>
      </c>
      <c r="I2648" s="33">
        <v>2.2291000000000001E-5</v>
      </c>
      <c r="J2648" t="s">
        <v>704</v>
      </c>
      <c r="K2648" t="s">
        <v>703</v>
      </c>
      <c r="L2648" s="166">
        <f t="shared" ref="L2648:L2656" si="209">I2648*B$2652</f>
        <v>2.4520100000000001E-4</v>
      </c>
      <c r="M2648" s="127" t="s">
        <v>3368</v>
      </c>
    </row>
    <row r="2649" spans="1:13" x14ac:dyDescent="0.2">
      <c r="A2649" s="1217"/>
      <c r="B2649" s="166">
        <v>0.7</v>
      </c>
      <c r="D2649" t="s">
        <v>3391</v>
      </c>
      <c r="E2649" s="83"/>
      <c r="H2649" t="s">
        <v>705</v>
      </c>
      <c r="I2649">
        <v>3203.5834399999999</v>
      </c>
      <c r="J2649" t="s">
        <v>706</v>
      </c>
      <c r="K2649" t="s">
        <v>705</v>
      </c>
      <c r="L2649" s="166">
        <f t="shared" si="209"/>
        <v>35239.417840000002</v>
      </c>
      <c r="M2649" s="127" t="s">
        <v>3370</v>
      </c>
    </row>
    <row r="2650" spans="1:13" x14ac:dyDescent="0.2">
      <c r="A2650" s="1217"/>
      <c r="B2650" s="166">
        <f>B2647*B2648/B2649</f>
        <v>145.83438897371354</v>
      </c>
      <c r="C2650" s="133" t="s">
        <v>12</v>
      </c>
      <c r="E2650" s="83"/>
      <c r="H2650" t="s">
        <v>3372</v>
      </c>
      <c r="I2650">
        <v>1.278E-2</v>
      </c>
      <c r="J2650" t="s">
        <v>3373</v>
      </c>
      <c r="K2650" t="s">
        <v>3372</v>
      </c>
      <c r="L2650" s="166">
        <f t="shared" si="209"/>
        <v>0.14057999999999998</v>
      </c>
      <c r="M2650" s="127" t="s">
        <v>3374</v>
      </c>
    </row>
    <row r="2651" spans="1:13" x14ac:dyDescent="0.2">
      <c r="A2651" s="1217"/>
      <c r="B2651" s="166">
        <f>B2650*D2647</f>
        <v>437.50316692114063</v>
      </c>
      <c r="C2651" s="133" t="s">
        <v>12</v>
      </c>
      <c r="E2651" s="83"/>
      <c r="H2651" t="s">
        <v>3375</v>
      </c>
      <c r="I2651">
        <v>3.7339999999999998E-2</v>
      </c>
      <c r="J2651" t="s">
        <v>707</v>
      </c>
      <c r="K2651" t="s">
        <v>3375</v>
      </c>
      <c r="L2651" s="166">
        <f t="shared" si="209"/>
        <v>0.41073999999999999</v>
      </c>
      <c r="M2651" s="127" t="s">
        <v>3376</v>
      </c>
    </row>
    <row r="2652" spans="1:13" x14ac:dyDescent="0.2">
      <c r="A2652" s="1217"/>
      <c r="B2652" s="1218">
        <f>ROUNDUP(B2651/F2648,0)</f>
        <v>11</v>
      </c>
      <c r="C2652" s="1114" t="s">
        <v>3392</v>
      </c>
      <c r="D2652" s="6" t="s">
        <v>577</v>
      </c>
      <c r="E2652" s="83"/>
      <c r="H2652" t="s">
        <v>708</v>
      </c>
      <c r="I2652">
        <v>9.0477000000000007</v>
      </c>
      <c r="J2652" t="s">
        <v>709</v>
      </c>
      <c r="K2652" t="s">
        <v>708</v>
      </c>
      <c r="L2652" s="166">
        <f t="shared" si="209"/>
        <v>99.52470000000001</v>
      </c>
      <c r="M2652" s="127" t="s">
        <v>3377</v>
      </c>
    </row>
    <row r="2653" spans="1:13" x14ac:dyDescent="0.2">
      <c r="A2653" s="1217"/>
      <c r="B2653" s="166"/>
      <c r="E2653" s="83"/>
      <c r="H2653" t="s">
        <v>3378</v>
      </c>
      <c r="I2653" s="33">
        <v>3.5905399999999997E-5</v>
      </c>
      <c r="J2653" t="s">
        <v>704</v>
      </c>
      <c r="K2653" t="s">
        <v>3378</v>
      </c>
      <c r="L2653" s="166">
        <f t="shared" si="209"/>
        <v>3.9495939999999998E-4</v>
      </c>
      <c r="M2653" s="127" t="s">
        <v>3368</v>
      </c>
    </row>
    <row r="2654" spans="1:13" x14ac:dyDescent="0.2">
      <c r="A2654" s="1217"/>
      <c r="B2654" s="166"/>
      <c r="E2654" s="83"/>
      <c r="H2654" t="s">
        <v>710</v>
      </c>
      <c r="I2654" s="33">
        <v>1.7364199999999999E-7</v>
      </c>
      <c r="J2654" t="s">
        <v>3379</v>
      </c>
      <c r="K2654" t="s">
        <v>710</v>
      </c>
      <c r="L2654" s="166">
        <f t="shared" si="209"/>
        <v>1.9100619999999999E-6</v>
      </c>
      <c r="M2654" s="127" t="s">
        <v>3380</v>
      </c>
    </row>
    <row r="2655" spans="1:13" x14ac:dyDescent="0.2">
      <c r="A2655" s="1217"/>
      <c r="B2655" s="166"/>
      <c r="E2655" s="83"/>
      <c r="H2655" t="s">
        <v>3381</v>
      </c>
      <c r="I2655">
        <v>2.9360000000000001E-2</v>
      </c>
      <c r="J2655" t="s">
        <v>3382</v>
      </c>
      <c r="K2655" t="s">
        <v>3381</v>
      </c>
      <c r="L2655" s="166">
        <f t="shared" si="209"/>
        <v>0.32296000000000002</v>
      </c>
      <c r="M2655" s="127" t="s">
        <v>3383</v>
      </c>
    </row>
    <row r="2656" spans="1:13" x14ac:dyDescent="0.2">
      <c r="A2656" s="1217"/>
      <c r="B2656" s="166"/>
      <c r="E2656" s="83"/>
      <c r="H2656" t="s">
        <v>3384</v>
      </c>
      <c r="I2656">
        <v>0.84404000000000001</v>
      </c>
      <c r="J2656" t="s">
        <v>711</v>
      </c>
      <c r="K2656" t="s">
        <v>3384</v>
      </c>
      <c r="L2656" s="166">
        <f t="shared" si="209"/>
        <v>9.28444</v>
      </c>
      <c r="M2656" s="127" t="s">
        <v>3385</v>
      </c>
    </row>
    <row r="2657" spans="1:13" x14ac:dyDescent="0.2">
      <c r="A2657" s="1219"/>
      <c r="B2657" s="833"/>
      <c r="C2657" s="1102"/>
      <c r="D2657" s="118"/>
      <c r="E2657" s="1220"/>
      <c r="F2657" s="118"/>
      <c r="G2657" s="118"/>
      <c r="H2657" s="118"/>
      <c r="I2657" s="118"/>
      <c r="J2657" s="118"/>
      <c r="K2657" s="118"/>
      <c r="L2657" s="833"/>
      <c r="M2657" s="120"/>
    </row>
    <row r="2658" spans="1:13" ht="48" x14ac:dyDescent="0.2">
      <c r="A2658" s="1217" t="s">
        <v>906</v>
      </c>
      <c r="B2658" s="38">
        <v>750.18963271348491</v>
      </c>
      <c r="C2658" s="38" t="s">
        <v>1</v>
      </c>
      <c r="D2658" s="38">
        <v>3</v>
      </c>
      <c r="E2658" s="8" t="s">
        <v>3423</v>
      </c>
      <c r="F2658">
        <v>1</v>
      </c>
      <c r="G2658" t="s">
        <v>3424</v>
      </c>
      <c r="L2658" s="166"/>
      <c r="M2658" s="127"/>
    </row>
    <row r="2659" spans="1:13" x14ac:dyDescent="0.2">
      <c r="A2659" s="1217"/>
      <c r="B2659" s="1218">
        <f>B2658*3/F2659</f>
        <v>4.5011377962809096</v>
      </c>
      <c r="C2659" s="1114" t="s">
        <v>3463</v>
      </c>
      <c r="D2659" s="6" t="s">
        <v>577</v>
      </c>
      <c r="E2659" s="83"/>
      <c r="F2659">
        <v>500</v>
      </c>
      <c r="G2659" t="s">
        <v>3425</v>
      </c>
      <c r="H2659" t="s">
        <v>701</v>
      </c>
      <c r="I2659">
        <v>500.29457000000002</v>
      </c>
      <c r="J2659" t="s">
        <v>702</v>
      </c>
      <c r="K2659" t="s">
        <v>701</v>
      </c>
      <c r="L2659" s="166">
        <f>I2659*B$2659</f>
        <v>2251.8947983011053</v>
      </c>
      <c r="M2659" s="127" t="s">
        <v>3367</v>
      </c>
    </row>
    <row r="2660" spans="1:13" x14ac:dyDescent="0.2">
      <c r="A2660" s="1217"/>
      <c r="B2660" s="166"/>
      <c r="E2660" s="83"/>
      <c r="H2660" t="s">
        <v>703</v>
      </c>
      <c r="I2660" s="33">
        <v>5.0630000000000001E-2</v>
      </c>
      <c r="J2660" t="s">
        <v>704</v>
      </c>
      <c r="K2660" t="s">
        <v>703</v>
      </c>
      <c r="L2660" s="166">
        <f t="shared" ref="L2660:L2668" si="210">I2660*B$2659</f>
        <v>0.22789260662570246</v>
      </c>
      <c r="M2660" s="127" t="s">
        <v>3368</v>
      </c>
    </row>
    <row r="2661" spans="1:13" x14ac:dyDescent="0.2">
      <c r="A2661" s="1217"/>
      <c r="B2661" s="166"/>
      <c r="E2661" s="83"/>
      <c r="H2661" t="s">
        <v>705</v>
      </c>
      <c r="I2661" s="33">
        <v>4.7383300000000004E-6</v>
      </c>
      <c r="J2661" t="s">
        <v>706</v>
      </c>
      <c r="K2661" t="s">
        <v>705</v>
      </c>
      <c r="L2661" s="166">
        <f t="shared" si="210"/>
        <v>2.1327876254251726E-5</v>
      </c>
      <c r="M2661" s="127" t="s">
        <v>3370</v>
      </c>
    </row>
    <row r="2662" spans="1:13" x14ac:dyDescent="0.2">
      <c r="A2662" s="1217"/>
      <c r="B2662" s="166"/>
      <c r="E2662" s="83"/>
      <c r="H2662" t="s">
        <v>3372</v>
      </c>
      <c r="I2662">
        <v>32.336289999999998</v>
      </c>
      <c r="J2662" t="s">
        <v>3373</v>
      </c>
      <c r="K2662" t="s">
        <v>3372</v>
      </c>
      <c r="L2662" s="166">
        <f t="shared" si="210"/>
        <v>145.55009711050042</v>
      </c>
      <c r="M2662" s="127" t="s">
        <v>3374</v>
      </c>
    </row>
    <row r="2663" spans="1:13" x14ac:dyDescent="0.2">
      <c r="A2663" s="1217"/>
      <c r="B2663" s="166"/>
      <c r="E2663" s="83"/>
      <c r="H2663" t="s">
        <v>3375</v>
      </c>
      <c r="I2663">
        <v>330.76024999999998</v>
      </c>
      <c r="J2663" t="s">
        <v>707</v>
      </c>
      <c r="K2663" t="s">
        <v>3375</v>
      </c>
      <c r="L2663" s="166">
        <f t="shared" si="210"/>
        <v>1488.7974627823226</v>
      </c>
      <c r="M2663" s="127" t="s">
        <v>3376</v>
      </c>
    </row>
    <row r="2664" spans="1:13" x14ac:dyDescent="0.2">
      <c r="A2664" s="1217"/>
      <c r="B2664" s="166"/>
      <c r="E2664" s="83"/>
      <c r="H2664" t="s">
        <v>708</v>
      </c>
      <c r="I2664" s="33">
        <v>96090.3</v>
      </c>
      <c r="J2664" t="s">
        <v>709</v>
      </c>
      <c r="K2664" t="s">
        <v>708</v>
      </c>
      <c r="L2664" s="166">
        <f t="shared" si="210"/>
        <v>432515.68118597148</v>
      </c>
      <c r="M2664" s="127" t="s">
        <v>3377</v>
      </c>
    </row>
    <row r="2665" spans="1:13" x14ac:dyDescent="0.2">
      <c r="A2665" s="1217"/>
      <c r="B2665" s="166"/>
      <c r="E2665" s="83"/>
      <c r="H2665" t="s">
        <v>3378</v>
      </c>
      <c r="I2665" s="33">
        <v>5.6300000000000003E-2</v>
      </c>
      <c r="J2665" t="s">
        <v>704</v>
      </c>
      <c r="K2665" t="s">
        <v>3378</v>
      </c>
      <c r="L2665" s="166">
        <f t="shared" si="210"/>
        <v>0.25341405793061522</v>
      </c>
      <c r="M2665" s="127" t="s">
        <v>3368</v>
      </c>
    </row>
    <row r="2666" spans="1:13" x14ac:dyDescent="0.2">
      <c r="A2666" s="1217"/>
      <c r="B2666" s="166"/>
      <c r="E2666" s="83"/>
      <c r="H2666" t="s">
        <v>710</v>
      </c>
      <c r="I2666" s="33">
        <v>1.3699999999999999E-3</v>
      </c>
      <c r="J2666" t="s">
        <v>3379</v>
      </c>
      <c r="K2666" t="s">
        <v>710</v>
      </c>
      <c r="L2666" s="166">
        <f t="shared" si="210"/>
        <v>6.1665587809048459E-3</v>
      </c>
      <c r="M2666" s="127" t="s">
        <v>3380</v>
      </c>
    </row>
    <row r="2667" spans="1:13" x14ac:dyDescent="0.2">
      <c r="A2667" s="1217"/>
      <c r="B2667" s="166"/>
      <c r="E2667" s="83"/>
      <c r="H2667" t="s">
        <v>3381</v>
      </c>
      <c r="I2667">
        <v>145.08896999999999</v>
      </c>
      <c r="J2667" t="s">
        <v>3382</v>
      </c>
      <c r="K2667" t="s">
        <v>3381</v>
      </c>
      <c r="L2667" s="166">
        <f t="shared" si="210"/>
        <v>653.06544669046696</v>
      </c>
      <c r="M2667" s="127" t="s">
        <v>3383</v>
      </c>
    </row>
    <row r="2668" spans="1:13" x14ac:dyDescent="0.2">
      <c r="A2668" s="1217"/>
      <c r="B2668" s="166"/>
      <c r="E2668" s="83"/>
      <c r="H2668" t="s">
        <v>3384</v>
      </c>
      <c r="I2668">
        <v>7926.5570900000002</v>
      </c>
      <c r="J2668" t="s">
        <v>711</v>
      </c>
      <c r="K2668" t="s">
        <v>3384</v>
      </c>
      <c r="L2668" s="166">
        <f t="shared" si="210"/>
        <v>35678.525712177419</v>
      </c>
      <c r="M2668" s="127" t="s">
        <v>3385</v>
      </c>
    </row>
    <row r="2669" spans="1:13" x14ac:dyDescent="0.2">
      <c r="A2669" s="1217"/>
      <c r="B2669" s="166"/>
      <c r="E2669" s="83"/>
      <c r="L2669" s="166"/>
      <c r="M2669" s="127"/>
    </row>
    <row r="2670" spans="1:13" ht="32" x14ac:dyDescent="0.2">
      <c r="A2670" s="1215" t="s">
        <v>714</v>
      </c>
      <c r="B2670" s="1231">
        <v>11559.468920006599</v>
      </c>
      <c r="C2670" s="1232" t="s">
        <v>717</v>
      </c>
      <c r="D2670" s="179" t="s">
        <v>577</v>
      </c>
      <c r="E2670" s="1216" t="s">
        <v>3404</v>
      </c>
      <c r="F2670" s="110">
        <v>1</v>
      </c>
      <c r="G2670" s="110" t="s">
        <v>378</v>
      </c>
      <c r="H2670" s="110"/>
      <c r="I2670" s="110"/>
      <c r="J2670" s="110"/>
      <c r="K2670" s="110"/>
      <c r="L2670" s="845"/>
      <c r="M2670" s="112"/>
    </row>
    <row r="2671" spans="1:13" x14ac:dyDescent="0.2">
      <c r="A2671" s="637"/>
      <c r="B2671" s="166"/>
      <c r="E2671" s="83"/>
      <c r="H2671" t="s">
        <v>701</v>
      </c>
      <c r="I2671">
        <v>7.5000000000000002E-4</v>
      </c>
      <c r="J2671" t="s">
        <v>702</v>
      </c>
      <c r="K2671" t="s">
        <v>701</v>
      </c>
      <c r="L2671" s="166">
        <f>I2671*B$2670</f>
        <v>8.6696016900049493</v>
      </c>
      <c r="M2671" s="127" t="s">
        <v>3367</v>
      </c>
    </row>
    <row r="2672" spans="1:13" x14ac:dyDescent="0.2">
      <c r="A2672" s="1217"/>
      <c r="B2672" s="166"/>
      <c r="E2672" s="83"/>
      <c r="H2672" t="s">
        <v>703</v>
      </c>
      <c r="I2672" s="33">
        <v>3.3111200000000002E-8</v>
      </c>
      <c r="J2672" t="s">
        <v>704</v>
      </c>
      <c r="K2672" t="s">
        <v>703</v>
      </c>
      <c r="L2672" s="166">
        <f t="shared" ref="L2672:L2680" si="211">I2672*B$2670</f>
        <v>3.827478873041225E-4</v>
      </c>
      <c r="M2672" s="127" t="s">
        <v>3368</v>
      </c>
    </row>
    <row r="2673" spans="1:13" x14ac:dyDescent="0.2">
      <c r="A2673" s="1217"/>
      <c r="B2673" s="166"/>
      <c r="E2673" s="83"/>
      <c r="H2673" t="s">
        <v>705</v>
      </c>
      <c r="I2673">
        <v>4.1968100000000002</v>
      </c>
      <c r="J2673" t="s">
        <v>706</v>
      </c>
      <c r="K2673" t="s">
        <v>705</v>
      </c>
      <c r="L2673" s="166">
        <f t="shared" si="211"/>
        <v>48512.894758172893</v>
      </c>
      <c r="M2673" s="127" t="s">
        <v>3370</v>
      </c>
    </row>
    <row r="2674" spans="1:13" x14ac:dyDescent="0.2">
      <c r="A2674" s="1217"/>
      <c r="B2674" s="166"/>
      <c r="E2674" s="83"/>
      <c r="H2674" t="s">
        <v>3372</v>
      </c>
      <c r="I2674">
        <v>3.2000000000000003E-4</v>
      </c>
      <c r="J2674" t="s">
        <v>3373</v>
      </c>
      <c r="K2674" t="s">
        <v>3372</v>
      </c>
      <c r="L2674" s="166">
        <f t="shared" si="211"/>
        <v>3.6990300544021117</v>
      </c>
      <c r="M2674" s="127" t="s">
        <v>3374</v>
      </c>
    </row>
    <row r="2675" spans="1:13" x14ac:dyDescent="0.2">
      <c r="A2675" s="1217"/>
      <c r="B2675" s="166"/>
      <c r="E2675" s="83"/>
      <c r="H2675" t="s">
        <v>3375</v>
      </c>
      <c r="I2675">
        <v>5.2999999999999998E-4</v>
      </c>
      <c r="J2675" t="s">
        <v>707</v>
      </c>
      <c r="K2675" t="s">
        <v>3375</v>
      </c>
      <c r="L2675" s="166">
        <f t="shared" si="211"/>
        <v>6.1265185276034968</v>
      </c>
      <c r="M2675" s="127" t="s">
        <v>3376</v>
      </c>
    </row>
    <row r="2676" spans="1:13" x14ac:dyDescent="0.2">
      <c r="A2676" s="1217"/>
      <c r="B2676" s="166"/>
      <c r="E2676" s="83"/>
      <c r="H2676" t="s">
        <v>708</v>
      </c>
      <c r="I2676">
        <v>0.39150000000000001</v>
      </c>
      <c r="J2676" t="s">
        <v>709</v>
      </c>
      <c r="K2676" t="s">
        <v>708</v>
      </c>
      <c r="L2676" s="166">
        <f t="shared" si="211"/>
        <v>4525.5320821825835</v>
      </c>
      <c r="M2676" s="127" t="s">
        <v>3377</v>
      </c>
    </row>
    <row r="2677" spans="1:13" x14ac:dyDescent="0.2">
      <c r="A2677" s="1217"/>
      <c r="B2677" s="166"/>
      <c r="E2677" s="83"/>
      <c r="H2677" t="s">
        <v>3378</v>
      </c>
      <c r="I2677" s="33">
        <v>9.8849699999999999E-8</v>
      </c>
      <c r="J2677" t="s">
        <v>704</v>
      </c>
      <c r="K2677" t="s">
        <v>3378</v>
      </c>
      <c r="L2677" s="166">
        <f t="shared" si="211"/>
        <v>1.1426500349019763E-3</v>
      </c>
      <c r="M2677" s="127" t="s">
        <v>3368</v>
      </c>
    </row>
    <row r="2678" spans="1:13" x14ac:dyDescent="0.2">
      <c r="A2678" s="1217"/>
      <c r="B2678" s="166"/>
      <c r="E2678" s="83"/>
      <c r="H2678" t="s">
        <v>710</v>
      </c>
      <c r="I2678" s="33">
        <v>1.51061E-9</v>
      </c>
      <c r="J2678" t="s">
        <v>3379</v>
      </c>
      <c r="K2678" t="s">
        <v>710</v>
      </c>
      <c r="L2678" s="166">
        <f t="shared" si="211"/>
        <v>1.7461849345251168E-5</v>
      </c>
      <c r="M2678" s="127" t="s">
        <v>3380</v>
      </c>
    </row>
    <row r="2679" spans="1:13" x14ac:dyDescent="0.2">
      <c r="A2679" s="1217"/>
      <c r="B2679" s="166"/>
      <c r="E2679" s="83"/>
      <c r="H2679" t="s">
        <v>3381</v>
      </c>
      <c r="I2679">
        <v>1.01E-3</v>
      </c>
      <c r="J2679" t="s">
        <v>3382</v>
      </c>
      <c r="K2679" t="s">
        <v>3381</v>
      </c>
      <c r="L2679" s="166">
        <f t="shared" si="211"/>
        <v>11.675063609206665</v>
      </c>
      <c r="M2679" s="127" t="s">
        <v>3383</v>
      </c>
    </row>
    <row r="2680" spans="1:13" x14ac:dyDescent="0.2">
      <c r="A2680" s="1217"/>
      <c r="B2680" s="166"/>
      <c r="E2680" s="83"/>
      <c r="H2680" t="s">
        <v>3384</v>
      </c>
      <c r="I2680">
        <v>1.2200000000000001E-2</v>
      </c>
      <c r="J2680" t="s">
        <v>711</v>
      </c>
      <c r="K2680" t="s">
        <v>3384</v>
      </c>
      <c r="L2680" s="166">
        <f t="shared" si="211"/>
        <v>141.0255208240805</v>
      </c>
      <c r="M2680" s="127" t="s">
        <v>3385</v>
      </c>
    </row>
    <row r="2681" spans="1:13" x14ac:dyDescent="0.2">
      <c r="A2681" s="1219"/>
      <c r="B2681" s="833"/>
      <c r="C2681" s="1102"/>
      <c r="D2681" s="118"/>
      <c r="E2681" s="1220"/>
      <c r="F2681" s="118"/>
      <c r="G2681" s="118"/>
      <c r="H2681" s="118"/>
      <c r="I2681" s="118"/>
      <c r="J2681" s="118"/>
      <c r="K2681" s="118"/>
      <c r="L2681" s="833"/>
      <c r="M2681" s="120"/>
    </row>
    <row r="2682" spans="1:13" ht="32" x14ac:dyDescent="0.2">
      <c r="A2682" s="1215" t="s">
        <v>2433</v>
      </c>
      <c r="B2682" s="845">
        <v>614850.75949583715</v>
      </c>
      <c r="C2682" s="1103" t="s">
        <v>2959</v>
      </c>
      <c r="D2682" s="110"/>
      <c r="E2682" s="1216" t="s">
        <v>3444</v>
      </c>
      <c r="F2682" s="110">
        <v>1</v>
      </c>
      <c r="G2682" s="110" t="s">
        <v>1</v>
      </c>
      <c r="H2682" s="110"/>
      <c r="I2682" s="110"/>
      <c r="J2682" s="110"/>
      <c r="K2682" s="110"/>
      <c r="L2682" s="845"/>
      <c r="M2682" s="112"/>
    </row>
    <row r="2683" spans="1:13" x14ac:dyDescent="0.2">
      <c r="A2683" s="1217"/>
      <c r="B2683" s="166">
        <v>278.89447495955602</v>
      </c>
      <c r="C2683" s="133" t="s">
        <v>3225</v>
      </c>
      <c r="E2683" s="83"/>
      <c r="H2683" t="s">
        <v>701</v>
      </c>
      <c r="I2683">
        <v>1.14E-3</v>
      </c>
      <c r="J2683" t="s">
        <v>702</v>
      </c>
      <c r="K2683" t="s">
        <v>701</v>
      </c>
      <c r="L2683" s="166">
        <f>I2683*B$2684</f>
        <v>9.5381910436168162</v>
      </c>
      <c r="M2683" s="127" t="s">
        <v>3367</v>
      </c>
    </row>
    <row r="2684" spans="1:13" x14ac:dyDescent="0.2">
      <c r="A2684" s="1217"/>
      <c r="B2684" s="1218">
        <f>B2683*30</f>
        <v>8366.8342487866812</v>
      </c>
      <c r="C2684" s="1114" t="s">
        <v>3445</v>
      </c>
      <c r="D2684" s="6" t="s">
        <v>577</v>
      </c>
      <c r="E2684" s="83"/>
      <c r="H2684" t="s">
        <v>703</v>
      </c>
      <c r="I2684" s="33">
        <v>5.4967900000000001E-8</v>
      </c>
      <c r="J2684" t="s">
        <v>704</v>
      </c>
      <c r="K2684" t="s">
        <v>703</v>
      </c>
      <c r="L2684" s="166">
        <f t="shared" ref="L2684:L2692" si="212">I2684*B$2684</f>
        <v>4.5990730830388141E-4</v>
      </c>
      <c r="M2684" s="127" t="s">
        <v>3368</v>
      </c>
    </row>
    <row r="2685" spans="1:13" x14ac:dyDescent="0.2">
      <c r="A2685" s="1217"/>
      <c r="B2685" s="166"/>
      <c r="E2685" s="83"/>
      <c r="H2685" t="s">
        <v>705</v>
      </c>
      <c r="I2685">
        <v>9.5996699999999997</v>
      </c>
      <c r="J2685" t="s">
        <v>706</v>
      </c>
      <c r="K2685" t="s">
        <v>705</v>
      </c>
      <c r="L2685" s="166">
        <f t="shared" si="212"/>
        <v>80318.847733050032</v>
      </c>
      <c r="M2685" s="127" t="s">
        <v>3370</v>
      </c>
    </row>
    <row r="2686" spans="1:13" x14ac:dyDescent="0.2">
      <c r="A2686" s="1217"/>
      <c r="B2686" s="166"/>
      <c r="E2686" s="83"/>
      <c r="H2686" t="s">
        <v>3372</v>
      </c>
      <c r="I2686">
        <v>2.3600000000000001E-3</v>
      </c>
      <c r="J2686" t="s">
        <v>3373</v>
      </c>
      <c r="K2686" t="s">
        <v>3372</v>
      </c>
      <c r="L2686" s="166">
        <f t="shared" si="212"/>
        <v>19.745728827136567</v>
      </c>
      <c r="M2686" s="127" t="s">
        <v>3374</v>
      </c>
    </row>
    <row r="2687" spans="1:13" x14ac:dyDescent="0.2">
      <c r="A2687" s="1217"/>
      <c r="B2687" s="166"/>
      <c r="E2687" s="83"/>
      <c r="H2687" t="s">
        <v>3375</v>
      </c>
      <c r="I2687">
        <v>7.0000000000000001E-3</v>
      </c>
      <c r="J2687" t="s">
        <v>707</v>
      </c>
      <c r="K2687" t="s">
        <v>3375</v>
      </c>
      <c r="L2687" s="166">
        <f t="shared" si="212"/>
        <v>58.567839741506766</v>
      </c>
      <c r="M2687" s="127" t="s">
        <v>3376</v>
      </c>
    </row>
    <row r="2688" spans="1:13" x14ac:dyDescent="0.2">
      <c r="A2688" s="1217"/>
      <c r="B2688" s="166"/>
      <c r="E2688" s="83"/>
      <c r="H2688" t="s">
        <v>708</v>
      </c>
      <c r="I2688">
        <v>0.20222999999999999</v>
      </c>
      <c r="J2688" t="s">
        <v>709</v>
      </c>
      <c r="K2688" t="s">
        <v>708</v>
      </c>
      <c r="L2688" s="166">
        <f t="shared" si="212"/>
        <v>1692.0248901321304</v>
      </c>
      <c r="M2688" s="127" t="s">
        <v>3377</v>
      </c>
    </row>
    <row r="2689" spans="1:13" x14ac:dyDescent="0.2">
      <c r="A2689" s="1217"/>
      <c r="B2689" s="166"/>
      <c r="E2689" s="83"/>
      <c r="H2689" t="s">
        <v>3378</v>
      </c>
      <c r="I2689" s="33">
        <v>5.2573200000000002E-6</v>
      </c>
      <c r="J2689" t="s">
        <v>704</v>
      </c>
      <c r="K2689" t="s">
        <v>3378</v>
      </c>
      <c r="L2689" s="166">
        <f t="shared" si="212"/>
        <v>4.3987125032831198E-2</v>
      </c>
      <c r="M2689" s="127" t="s">
        <v>3368</v>
      </c>
    </row>
    <row r="2690" spans="1:13" x14ac:dyDescent="0.2">
      <c r="A2690" s="1217"/>
      <c r="B2690" s="166"/>
      <c r="E2690" s="83"/>
      <c r="H2690" t="s">
        <v>710</v>
      </c>
      <c r="I2690" s="33">
        <v>1.8080899999999999E-9</v>
      </c>
      <c r="J2690" t="s">
        <v>3379</v>
      </c>
      <c r="K2690" t="s">
        <v>710</v>
      </c>
      <c r="L2690" s="166">
        <f t="shared" si="212"/>
        <v>1.512798933688871E-5</v>
      </c>
      <c r="M2690" s="127" t="s">
        <v>3380</v>
      </c>
    </row>
    <row r="2691" spans="1:13" x14ac:dyDescent="0.2">
      <c r="A2691" s="1217"/>
      <c r="B2691" s="166"/>
      <c r="E2691" s="83"/>
      <c r="H2691" t="s">
        <v>3381</v>
      </c>
      <c r="I2691">
        <v>1.4999999999999999E-4</v>
      </c>
      <c r="J2691" t="s">
        <v>3382</v>
      </c>
      <c r="K2691" t="s">
        <v>3381</v>
      </c>
      <c r="L2691" s="166">
        <f t="shared" si="212"/>
        <v>1.2550251373180021</v>
      </c>
      <c r="M2691" s="127" t="s">
        <v>3383</v>
      </c>
    </row>
    <row r="2692" spans="1:13" x14ac:dyDescent="0.2">
      <c r="A2692" s="1217"/>
      <c r="B2692" s="166"/>
      <c r="E2692" s="83"/>
      <c r="H2692" t="s">
        <v>3384</v>
      </c>
      <c r="I2692">
        <v>1.456E-2</v>
      </c>
      <c r="J2692" t="s">
        <v>711</v>
      </c>
      <c r="K2692" t="s">
        <v>3384</v>
      </c>
      <c r="L2692" s="166">
        <f t="shared" si="212"/>
        <v>121.82110666233407</v>
      </c>
      <c r="M2692" s="127" t="s">
        <v>3385</v>
      </c>
    </row>
    <row r="2693" spans="1:13" x14ac:dyDescent="0.2">
      <c r="A2693" s="1219"/>
      <c r="B2693" s="833"/>
      <c r="C2693" s="1102"/>
      <c r="D2693" s="118"/>
      <c r="E2693" s="1220"/>
      <c r="F2693" s="118"/>
      <c r="G2693" s="118"/>
      <c r="H2693" s="118"/>
      <c r="I2693" s="118"/>
      <c r="J2693" s="118"/>
      <c r="K2693" s="118"/>
      <c r="L2693" s="833"/>
      <c r="M2693" s="120"/>
    </row>
    <row r="2694" spans="1:13" ht="16" x14ac:dyDescent="0.2">
      <c r="A2694" s="1217" t="s">
        <v>1164</v>
      </c>
      <c r="B2694" s="38">
        <v>38.50973447929222</v>
      </c>
      <c r="C2694" s="38" t="s">
        <v>1522</v>
      </c>
      <c r="E2694" s="83" t="s">
        <v>3465</v>
      </c>
      <c r="F2694">
        <v>1</v>
      </c>
      <c r="G2694" t="s">
        <v>15</v>
      </c>
      <c r="L2694" s="166"/>
      <c r="M2694" s="127"/>
    </row>
    <row r="2695" spans="1:13" x14ac:dyDescent="0.2">
      <c r="A2695" s="1217"/>
      <c r="B2695" s="166">
        <f>B2694*30*1000</f>
        <v>1155292.0343787665</v>
      </c>
      <c r="C2695" s="133" t="s">
        <v>3458</v>
      </c>
      <c r="E2695" s="83"/>
      <c r="H2695" t="s">
        <v>701</v>
      </c>
      <c r="I2695">
        <v>1.073E-2</v>
      </c>
      <c r="J2695" t="s">
        <v>702</v>
      </c>
      <c r="K2695" t="s">
        <v>701</v>
      </c>
      <c r="L2695" s="166">
        <f>I2695*B$2695</f>
        <v>12396.283528884165</v>
      </c>
      <c r="M2695" s="127" t="s">
        <v>3367</v>
      </c>
    </row>
    <row r="2696" spans="1:13" x14ac:dyDescent="0.2">
      <c r="A2696" s="1217"/>
      <c r="B2696" s="166"/>
      <c r="E2696" s="83"/>
      <c r="H2696" t="s">
        <v>703</v>
      </c>
      <c r="I2696" s="33">
        <v>2.2224800000000001E-8</v>
      </c>
      <c r="J2696" t="s">
        <v>704</v>
      </c>
      <c r="K2696" t="s">
        <v>703</v>
      </c>
      <c r="L2696" s="166">
        <f t="shared" ref="L2696:L2704" si="213">I2696*B$2695</f>
        <v>2.5676134405661213E-2</v>
      </c>
      <c r="M2696" s="127" t="s">
        <v>3368</v>
      </c>
    </row>
    <row r="2697" spans="1:13" x14ac:dyDescent="0.2">
      <c r="A2697" s="1217"/>
      <c r="B2697" s="166"/>
      <c r="E2697" s="83"/>
      <c r="H2697" t="s">
        <v>705</v>
      </c>
      <c r="I2697">
        <v>6.1578200000000001</v>
      </c>
      <c r="J2697" t="s">
        <v>706</v>
      </c>
      <c r="K2697" t="s">
        <v>705</v>
      </c>
      <c r="L2697" s="166">
        <f t="shared" si="213"/>
        <v>7114080.3951382563</v>
      </c>
      <c r="M2697" s="127" t="s">
        <v>3370</v>
      </c>
    </row>
    <row r="2698" spans="1:13" x14ac:dyDescent="0.2">
      <c r="A2698" s="1217"/>
      <c r="B2698" s="166"/>
      <c r="E2698" s="83"/>
      <c r="H2698" t="s">
        <v>3372</v>
      </c>
      <c r="I2698" s="33">
        <v>4.46744E-5</v>
      </c>
      <c r="J2698" t="s">
        <v>3373</v>
      </c>
      <c r="K2698" t="s">
        <v>3372</v>
      </c>
      <c r="L2698" s="166">
        <f t="shared" si="213"/>
        <v>51.611978460650768</v>
      </c>
      <c r="M2698" s="127" t="s">
        <v>3374</v>
      </c>
    </row>
    <row r="2699" spans="1:13" x14ac:dyDescent="0.2">
      <c r="A2699" s="1217"/>
      <c r="B2699" s="166"/>
      <c r="E2699" s="83"/>
      <c r="H2699" t="s">
        <v>3375</v>
      </c>
      <c r="I2699">
        <v>2.7999999999999998E-4</v>
      </c>
      <c r="J2699" t="s">
        <v>707</v>
      </c>
      <c r="K2699" t="s">
        <v>3375</v>
      </c>
      <c r="L2699" s="166">
        <f>I2699*B$2695</f>
        <v>323.48176962605459</v>
      </c>
      <c r="M2699" s="127" t="s">
        <v>3376</v>
      </c>
    </row>
    <row r="2700" spans="1:13" x14ac:dyDescent="0.2">
      <c r="A2700" s="1217"/>
      <c r="B2700" s="166"/>
      <c r="E2700" s="83"/>
      <c r="H2700" t="s">
        <v>708</v>
      </c>
      <c r="I2700">
        <v>0.11157</v>
      </c>
      <c r="J2700" t="s">
        <v>709</v>
      </c>
      <c r="K2700" t="s">
        <v>708</v>
      </c>
      <c r="L2700" s="166">
        <f t="shared" si="213"/>
        <v>128895.93227563899</v>
      </c>
      <c r="M2700" s="127" t="s">
        <v>3377</v>
      </c>
    </row>
    <row r="2701" spans="1:13" x14ac:dyDescent="0.2">
      <c r="A2701" s="1217"/>
      <c r="B2701" s="166"/>
      <c r="E2701" s="83"/>
      <c r="H2701" t="s">
        <v>3378</v>
      </c>
      <c r="I2701" s="33">
        <v>7.2765599999999996E-8</v>
      </c>
      <c r="J2701" t="s">
        <v>704</v>
      </c>
      <c r="K2701" t="s">
        <v>3378</v>
      </c>
      <c r="L2701" s="166">
        <f t="shared" si="213"/>
        <v>8.4065518056791577E-2</v>
      </c>
      <c r="M2701" s="127" t="s">
        <v>3368</v>
      </c>
    </row>
    <row r="2702" spans="1:13" x14ac:dyDescent="0.2">
      <c r="A2702" s="1217"/>
      <c r="B2702" s="166"/>
      <c r="E2702" s="83"/>
      <c r="H2702" t="s">
        <v>710</v>
      </c>
      <c r="I2702" s="33">
        <v>1.58886E-9</v>
      </c>
      <c r="J2702" t="s">
        <v>3379</v>
      </c>
      <c r="K2702" t="s">
        <v>710</v>
      </c>
      <c r="L2702" s="166">
        <f t="shared" si="213"/>
        <v>1.835597301743047E-3</v>
      </c>
      <c r="M2702" s="127" t="s">
        <v>3380</v>
      </c>
    </row>
    <row r="2703" spans="1:13" x14ac:dyDescent="0.2">
      <c r="A2703" s="1217"/>
      <c r="B2703" s="166"/>
      <c r="E2703" s="83"/>
      <c r="H2703" t="s">
        <v>3381</v>
      </c>
      <c r="I2703">
        <v>7.2999999999999996E-4</v>
      </c>
      <c r="J2703" t="s">
        <v>3382</v>
      </c>
      <c r="K2703" t="s">
        <v>3381</v>
      </c>
      <c r="L2703" s="166">
        <f t="shared" si="213"/>
        <v>843.36318509649959</v>
      </c>
      <c r="M2703" s="127" t="s">
        <v>3383</v>
      </c>
    </row>
    <row r="2704" spans="1:13" x14ac:dyDescent="0.2">
      <c r="A2704" s="1217"/>
      <c r="B2704" s="166"/>
      <c r="E2704" s="83"/>
      <c r="H2704" t="s">
        <v>3384</v>
      </c>
      <c r="I2704">
        <v>6.7000000000000002E-3</v>
      </c>
      <c r="J2704" t="s">
        <v>711</v>
      </c>
      <c r="K2704" t="s">
        <v>3384</v>
      </c>
      <c r="L2704" s="166">
        <f t="shared" si="213"/>
        <v>7740.456630337736</v>
      </c>
      <c r="M2704" s="127" t="s">
        <v>3385</v>
      </c>
    </row>
    <row r="2705" spans="1:15" x14ac:dyDescent="0.2">
      <c r="A2705" s="1219"/>
      <c r="B2705" s="833"/>
      <c r="C2705" s="1102"/>
      <c r="D2705" s="118"/>
      <c r="E2705" s="1220"/>
      <c r="F2705" s="118"/>
      <c r="G2705" s="118"/>
      <c r="H2705" s="118"/>
      <c r="I2705" s="118"/>
      <c r="J2705" s="118"/>
      <c r="K2705" s="118"/>
      <c r="L2705" s="833"/>
      <c r="M2705" s="120"/>
    </row>
    <row r="2711" spans="1:15" ht="16" thickBot="1" x14ac:dyDescent="0.25"/>
    <row r="2712" spans="1:15" ht="14.5" customHeight="1" x14ac:dyDescent="0.2">
      <c r="A2712" s="1923" t="s">
        <v>2320</v>
      </c>
      <c r="B2712" s="1924"/>
      <c r="C2712" s="1924"/>
      <c r="D2712" s="1924"/>
      <c r="E2712" s="1924"/>
      <c r="F2712" s="1924"/>
      <c r="G2712" s="1924"/>
      <c r="H2712" s="1924"/>
      <c r="I2712" s="1924"/>
      <c r="J2712" s="1924"/>
      <c r="K2712" s="1924"/>
      <c r="L2712" s="1924"/>
      <c r="M2712" s="1924"/>
      <c r="N2712" s="1924"/>
      <c r="O2712" s="1925"/>
    </row>
    <row r="2713" spans="1:15" ht="15" customHeight="1" thickBot="1" x14ac:dyDescent="0.25">
      <c r="A2713" s="1926"/>
      <c r="B2713" s="1927"/>
      <c r="C2713" s="1927"/>
      <c r="D2713" s="1927"/>
      <c r="E2713" s="1927"/>
      <c r="F2713" s="1927"/>
      <c r="G2713" s="1927"/>
      <c r="H2713" s="1927"/>
      <c r="I2713" s="1927"/>
      <c r="J2713" s="1927"/>
      <c r="K2713" s="1927"/>
      <c r="L2713" s="1927"/>
      <c r="M2713" s="1927"/>
      <c r="N2713" s="1927"/>
      <c r="O2713" s="1928"/>
    </row>
    <row r="2714" spans="1:15" s="6" customFormat="1" x14ac:dyDescent="0.2">
      <c r="A2714" s="1920" t="s">
        <v>697</v>
      </c>
      <c r="B2714" s="1515" t="s">
        <v>698</v>
      </c>
      <c r="C2714" s="1515"/>
      <c r="D2714" s="1515"/>
      <c r="E2714" s="1921" t="s">
        <v>3362</v>
      </c>
      <c r="F2714" s="1515" t="s">
        <v>699</v>
      </c>
      <c r="G2714" s="1515"/>
      <c r="H2714" s="1515" t="s">
        <v>3363</v>
      </c>
      <c r="I2714" s="1515"/>
      <c r="J2714" s="1515"/>
      <c r="K2714" s="1515" t="s">
        <v>700</v>
      </c>
      <c r="L2714" s="1515"/>
      <c r="M2714" s="1515"/>
    </row>
    <row r="2715" spans="1:15" s="6" customFormat="1" ht="15.75" customHeight="1" x14ac:dyDescent="0.2">
      <c r="A2715" s="1520"/>
      <c r="B2715" s="1214" t="s">
        <v>515</v>
      </c>
      <c r="C2715" s="969" t="s">
        <v>372</v>
      </c>
      <c r="D2715" s="969" t="s">
        <v>583</v>
      </c>
      <c r="E2715" s="1922"/>
      <c r="F2715" s="969" t="s">
        <v>42</v>
      </c>
      <c r="G2715" s="969" t="s">
        <v>372</v>
      </c>
      <c r="H2715" s="29" t="s">
        <v>697</v>
      </c>
      <c r="I2715" s="969" t="s">
        <v>42</v>
      </c>
      <c r="J2715" s="969" t="s">
        <v>372</v>
      </c>
      <c r="K2715" s="969" t="s">
        <v>697</v>
      </c>
      <c r="L2715" s="1214" t="s">
        <v>42</v>
      </c>
      <c r="M2715" s="969" t="s">
        <v>372</v>
      </c>
    </row>
    <row r="2716" spans="1:15" ht="16" x14ac:dyDescent="0.2">
      <c r="A2716" s="486" t="s">
        <v>1026</v>
      </c>
      <c r="B2716" s="220">
        <v>5.3267700605353074E-2</v>
      </c>
      <c r="C2716" s="220" t="s">
        <v>2445</v>
      </c>
      <c r="D2716" s="220">
        <v>10</v>
      </c>
      <c r="E2716" s="1216" t="s">
        <v>3393</v>
      </c>
      <c r="F2716" s="110"/>
      <c r="G2716" s="110"/>
      <c r="H2716" s="110"/>
      <c r="I2716" s="110"/>
      <c r="J2716" s="110"/>
      <c r="K2716" s="110"/>
      <c r="L2716" s="845"/>
      <c r="M2716" s="112"/>
    </row>
    <row r="2717" spans="1:15" x14ac:dyDescent="0.2">
      <c r="A2717" s="637"/>
      <c r="B2717" s="166">
        <f>B2716/1000</f>
        <v>5.3267700605353073E-5</v>
      </c>
      <c r="C2717" s="133" t="s">
        <v>444</v>
      </c>
      <c r="F2717">
        <v>1</v>
      </c>
      <c r="G2717" t="s">
        <v>15</v>
      </c>
      <c r="H2717" t="s">
        <v>701</v>
      </c>
      <c r="I2717">
        <v>6.0200000000000002E-3</v>
      </c>
      <c r="J2717" t="s">
        <v>702</v>
      </c>
      <c r="K2717" t="s">
        <v>701</v>
      </c>
      <c r="L2717" s="166">
        <f>I2717*B$2721</f>
        <v>301</v>
      </c>
      <c r="M2717" s="127" t="s">
        <v>3367</v>
      </c>
    </row>
    <row r="2718" spans="1:15" x14ac:dyDescent="0.2">
      <c r="A2718" s="1217"/>
      <c r="B2718" s="166">
        <v>30</v>
      </c>
      <c r="C2718" s="133" t="s">
        <v>444</v>
      </c>
      <c r="E2718" s="83"/>
      <c r="H2718" t="s">
        <v>703</v>
      </c>
      <c r="I2718" s="33">
        <v>1.2843299999999999E-6</v>
      </c>
      <c r="J2718" t="s">
        <v>704</v>
      </c>
      <c r="K2718" t="s">
        <v>703</v>
      </c>
      <c r="L2718" s="166">
        <f t="shared" ref="L2718:L2726" si="214">I2718*B$2721</f>
        <v>6.4216499999999996E-2</v>
      </c>
      <c r="M2718" s="127" t="s">
        <v>3368</v>
      </c>
    </row>
    <row r="2719" spans="1:15" x14ac:dyDescent="0.2">
      <c r="A2719" s="1217"/>
      <c r="B2719" s="166">
        <f>ROUNDUP(B2717/B2718,0)*D2716</f>
        <v>10</v>
      </c>
      <c r="C2719" s="133" t="s">
        <v>3409</v>
      </c>
      <c r="E2719" s="83"/>
      <c r="H2719" t="s">
        <v>705</v>
      </c>
      <c r="I2719">
        <v>67.217029999999994</v>
      </c>
      <c r="J2719" t="s">
        <v>706</v>
      </c>
      <c r="K2719" t="s">
        <v>705</v>
      </c>
      <c r="L2719" s="166">
        <f t="shared" si="214"/>
        <v>3360851.4999999995</v>
      </c>
      <c r="M2719" s="127" t="s">
        <v>3370</v>
      </c>
    </row>
    <row r="2720" spans="1:15" x14ac:dyDescent="0.2">
      <c r="A2720" s="1217"/>
      <c r="B2720" s="166">
        <v>5000</v>
      </c>
      <c r="C2720" s="133" t="s">
        <v>3410</v>
      </c>
      <c r="E2720" s="83"/>
      <c r="H2720" t="s">
        <v>3372</v>
      </c>
      <c r="I2720">
        <v>7.6999999999999996E-4</v>
      </c>
      <c r="J2720" t="s">
        <v>3373</v>
      </c>
      <c r="K2720" t="s">
        <v>3372</v>
      </c>
      <c r="L2720" s="166">
        <f t="shared" si="214"/>
        <v>38.5</v>
      </c>
      <c r="M2720" s="127" t="s">
        <v>3374</v>
      </c>
    </row>
    <row r="2721" spans="1:13" x14ac:dyDescent="0.2">
      <c r="A2721" s="1217"/>
      <c r="B2721" s="1218">
        <f>B2719*B2720</f>
        <v>50000</v>
      </c>
      <c r="C2721" s="1114" t="s">
        <v>3411</v>
      </c>
      <c r="D2721" s="6" t="s">
        <v>577</v>
      </c>
      <c r="E2721" s="83"/>
      <c r="H2721" t="s">
        <v>3375</v>
      </c>
      <c r="I2721">
        <v>4.1700000000000001E-3</v>
      </c>
      <c r="J2721" t="s">
        <v>707</v>
      </c>
      <c r="K2721" t="s">
        <v>3375</v>
      </c>
      <c r="L2721" s="166">
        <f t="shared" si="214"/>
        <v>208.5</v>
      </c>
      <c r="M2721" s="127" t="s">
        <v>3376</v>
      </c>
    </row>
    <row r="2722" spans="1:13" x14ac:dyDescent="0.2">
      <c r="A2722" s="1217"/>
      <c r="B2722" s="166"/>
      <c r="E2722" s="83"/>
      <c r="H2722" t="s">
        <v>708</v>
      </c>
      <c r="I2722">
        <v>1.7658199999999999</v>
      </c>
      <c r="J2722" t="s">
        <v>709</v>
      </c>
      <c r="K2722" t="s">
        <v>708</v>
      </c>
      <c r="L2722" s="166">
        <f t="shared" si="214"/>
        <v>88291</v>
      </c>
      <c r="M2722" s="127" t="s">
        <v>3377</v>
      </c>
    </row>
    <row r="2723" spans="1:13" x14ac:dyDescent="0.2">
      <c r="A2723" s="1217"/>
      <c r="B2723" s="166"/>
      <c r="E2723" s="83"/>
      <c r="H2723" t="s">
        <v>3378</v>
      </c>
      <c r="I2723" s="33">
        <v>3.4665800000000001E-7</v>
      </c>
      <c r="J2723" t="s">
        <v>704</v>
      </c>
      <c r="K2723" t="s">
        <v>3378</v>
      </c>
      <c r="L2723" s="166">
        <f t="shared" si="214"/>
        <v>1.7332900000000002E-2</v>
      </c>
      <c r="M2723" s="127" t="s">
        <v>3368</v>
      </c>
    </row>
    <row r="2724" spans="1:13" x14ac:dyDescent="0.2">
      <c r="A2724" s="1217"/>
      <c r="B2724" s="166"/>
      <c r="E2724" s="83"/>
      <c r="H2724" t="s">
        <v>710</v>
      </c>
      <c r="I2724" s="33">
        <v>5.15501E-8</v>
      </c>
      <c r="J2724" t="s">
        <v>3379</v>
      </c>
      <c r="K2724" t="s">
        <v>710</v>
      </c>
      <c r="L2724" s="166">
        <f t="shared" si="214"/>
        <v>2.5775049999999999E-3</v>
      </c>
      <c r="M2724" s="127" t="s">
        <v>3380</v>
      </c>
    </row>
    <row r="2725" spans="1:13" x14ac:dyDescent="0.2">
      <c r="A2725" s="1217"/>
      <c r="B2725" s="166"/>
      <c r="E2725" s="83"/>
      <c r="H2725" t="s">
        <v>3381</v>
      </c>
      <c r="I2725">
        <v>2.7299999999999998E-3</v>
      </c>
      <c r="J2725" t="s">
        <v>3382</v>
      </c>
      <c r="K2725" t="s">
        <v>3381</v>
      </c>
      <c r="L2725" s="166">
        <f t="shared" si="214"/>
        <v>136.5</v>
      </c>
      <c r="M2725" s="127" t="s">
        <v>3383</v>
      </c>
    </row>
    <row r="2726" spans="1:13" x14ac:dyDescent="0.2">
      <c r="A2726" s="1217"/>
      <c r="B2726" s="166"/>
      <c r="E2726" s="83"/>
      <c r="H2726" t="s">
        <v>3384</v>
      </c>
      <c r="I2726">
        <v>0.10051</v>
      </c>
      <c r="J2726" t="s">
        <v>711</v>
      </c>
      <c r="K2726" t="s">
        <v>3384</v>
      </c>
      <c r="L2726" s="166">
        <f t="shared" si="214"/>
        <v>5025.5</v>
      </c>
      <c r="M2726" s="127" t="s">
        <v>3385</v>
      </c>
    </row>
    <row r="2727" spans="1:13" x14ac:dyDescent="0.2">
      <c r="A2727" s="1219"/>
      <c r="B2727" s="833"/>
      <c r="C2727" s="1102"/>
      <c r="D2727" s="118"/>
      <c r="E2727" s="1220"/>
      <c r="F2727" s="118"/>
      <c r="G2727" s="118"/>
      <c r="H2727" s="118"/>
      <c r="I2727" s="118"/>
      <c r="J2727" s="118"/>
      <c r="K2727" s="118"/>
      <c r="L2727" s="833"/>
      <c r="M2727" s="120"/>
    </row>
    <row r="2728" spans="1:13" ht="16" x14ac:dyDescent="0.2">
      <c r="A2728" s="486" t="s">
        <v>901</v>
      </c>
      <c r="B2728" s="220">
        <v>532677.00605353073</v>
      </c>
      <c r="C2728" s="220" t="s">
        <v>2445</v>
      </c>
      <c r="D2728" s="220">
        <v>10</v>
      </c>
      <c r="E2728" s="1216" t="s">
        <v>3393</v>
      </c>
      <c r="F2728" s="110"/>
      <c r="G2728" s="110"/>
      <c r="H2728" s="110"/>
      <c r="I2728" s="110"/>
      <c r="J2728" s="110"/>
      <c r="K2728" s="110"/>
      <c r="L2728" s="845"/>
      <c r="M2728" s="112"/>
    </row>
    <row r="2729" spans="1:13" x14ac:dyDescent="0.2">
      <c r="A2729" s="1217"/>
      <c r="B2729" s="166">
        <f>B2728/10000000</f>
        <v>5.3267700605353074E-2</v>
      </c>
      <c r="C2729" s="133" t="s">
        <v>444</v>
      </c>
      <c r="F2729">
        <v>1</v>
      </c>
      <c r="G2729" t="s">
        <v>15</v>
      </c>
      <c r="H2729" t="s">
        <v>701</v>
      </c>
      <c r="I2729">
        <v>6.0200000000000002E-3</v>
      </c>
      <c r="J2729" t="s">
        <v>702</v>
      </c>
      <c r="K2729" t="s">
        <v>701</v>
      </c>
      <c r="L2729" s="166">
        <f>I2729*B$2733</f>
        <v>301</v>
      </c>
      <c r="M2729" s="127" t="s">
        <v>3367</v>
      </c>
    </row>
    <row r="2730" spans="1:13" x14ac:dyDescent="0.2">
      <c r="A2730" s="1217"/>
      <c r="B2730" s="166">
        <v>30</v>
      </c>
      <c r="C2730" s="133" t="s">
        <v>444</v>
      </c>
      <c r="E2730" s="83"/>
      <c r="H2730" t="s">
        <v>703</v>
      </c>
      <c r="I2730" s="33">
        <v>1.2843299999999999E-6</v>
      </c>
      <c r="J2730" t="s">
        <v>704</v>
      </c>
      <c r="K2730" t="s">
        <v>703</v>
      </c>
      <c r="L2730" s="166">
        <f t="shared" ref="L2730:L2738" si="215">I2730*B$2733</f>
        <v>6.4216499999999996E-2</v>
      </c>
      <c r="M2730" s="127" t="s">
        <v>3368</v>
      </c>
    </row>
    <row r="2731" spans="1:13" x14ac:dyDescent="0.2">
      <c r="A2731" s="1217"/>
      <c r="B2731" s="166">
        <f>ROUNDUP(B2729/B2730,0)*D2728</f>
        <v>10</v>
      </c>
      <c r="C2731" s="133" t="s">
        <v>3409</v>
      </c>
      <c r="E2731" s="83"/>
      <c r="H2731" t="s">
        <v>705</v>
      </c>
      <c r="I2731">
        <v>67.217029999999994</v>
      </c>
      <c r="J2731" t="s">
        <v>706</v>
      </c>
      <c r="K2731" t="s">
        <v>705</v>
      </c>
      <c r="L2731" s="166">
        <f t="shared" si="215"/>
        <v>3360851.4999999995</v>
      </c>
      <c r="M2731" s="127" t="s">
        <v>3370</v>
      </c>
    </row>
    <row r="2732" spans="1:13" x14ac:dyDescent="0.2">
      <c r="A2732" s="1217"/>
      <c r="B2732" s="166">
        <v>5000</v>
      </c>
      <c r="C2732" s="133" t="s">
        <v>3410</v>
      </c>
      <c r="E2732" s="83"/>
      <c r="H2732" t="s">
        <v>3372</v>
      </c>
      <c r="I2732">
        <v>7.6999999999999996E-4</v>
      </c>
      <c r="J2732" t="s">
        <v>3373</v>
      </c>
      <c r="K2732" t="s">
        <v>3372</v>
      </c>
      <c r="L2732" s="166">
        <f t="shared" si="215"/>
        <v>38.5</v>
      </c>
      <c r="M2732" s="127" t="s">
        <v>3374</v>
      </c>
    </row>
    <row r="2733" spans="1:13" x14ac:dyDescent="0.2">
      <c r="A2733" s="1217"/>
      <c r="B2733" s="1218">
        <f>B2731*B2732</f>
        <v>50000</v>
      </c>
      <c r="C2733" s="1114" t="s">
        <v>3411</v>
      </c>
      <c r="D2733" s="6" t="s">
        <v>577</v>
      </c>
      <c r="E2733" s="83"/>
      <c r="H2733" t="s">
        <v>3375</v>
      </c>
      <c r="I2733">
        <v>4.1700000000000001E-3</v>
      </c>
      <c r="J2733" t="s">
        <v>707</v>
      </c>
      <c r="K2733" t="s">
        <v>3375</v>
      </c>
      <c r="L2733" s="166">
        <f t="shared" si="215"/>
        <v>208.5</v>
      </c>
      <c r="M2733" s="127" t="s">
        <v>3376</v>
      </c>
    </row>
    <row r="2734" spans="1:13" x14ac:dyDescent="0.2">
      <c r="A2734" s="1217"/>
      <c r="B2734" s="166"/>
      <c r="E2734" s="83"/>
      <c r="H2734" t="s">
        <v>708</v>
      </c>
      <c r="I2734">
        <v>1.7658199999999999</v>
      </c>
      <c r="J2734" t="s">
        <v>709</v>
      </c>
      <c r="K2734" t="s">
        <v>708</v>
      </c>
      <c r="L2734" s="166">
        <f t="shared" si="215"/>
        <v>88291</v>
      </c>
      <c r="M2734" s="127" t="s">
        <v>3377</v>
      </c>
    </row>
    <row r="2735" spans="1:13" x14ac:dyDescent="0.2">
      <c r="A2735" s="1217"/>
      <c r="B2735" s="166"/>
      <c r="E2735" s="83"/>
      <c r="H2735" t="s">
        <v>3378</v>
      </c>
      <c r="I2735" s="33">
        <v>3.4665800000000001E-7</v>
      </c>
      <c r="J2735" t="s">
        <v>704</v>
      </c>
      <c r="K2735" t="s">
        <v>3378</v>
      </c>
      <c r="L2735" s="166">
        <f t="shared" si="215"/>
        <v>1.7332900000000002E-2</v>
      </c>
      <c r="M2735" s="127" t="s">
        <v>3368</v>
      </c>
    </row>
    <row r="2736" spans="1:13" x14ac:dyDescent="0.2">
      <c r="A2736" s="1217"/>
      <c r="B2736" s="166"/>
      <c r="E2736" s="83"/>
      <c r="H2736" t="s">
        <v>710</v>
      </c>
      <c r="I2736" s="33">
        <v>5.15501E-8</v>
      </c>
      <c r="J2736" t="s">
        <v>3379</v>
      </c>
      <c r="K2736" t="s">
        <v>710</v>
      </c>
      <c r="L2736" s="166">
        <f t="shared" si="215"/>
        <v>2.5775049999999999E-3</v>
      </c>
      <c r="M2736" s="127" t="s">
        <v>3380</v>
      </c>
    </row>
    <row r="2737" spans="1:13" x14ac:dyDescent="0.2">
      <c r="A2737" s="1217"/>
      <c r="B2737" s="166"/>
      <c r="E2737" s="83"/>
      <c r="H2737" t="s">
        <v>3381</v>
      </c>
      <c r="I2737">
        <v>2.7299999999999998E-3</v>
      </c>
      <c r="J2737" t="s">
        <v>3382</v>
      </c>
      <c r="K2737" t="s">
        <v>3381</v>
      </c>
      <c r="L2737" s="166">
        <f t="shared" si="215"/>
        <v>136.5</v>
      </c>
      <c r="M2737" s="127" t="s">
        <v>3383</v>
      </c>
    </row>
    <row r="2738" spans="1:13" x14ac:dyDescent="0.2">
      <c r="A2738" s="1217"/>
      <c r="B2738" s="166"/>
      <c r="E2738" s="83"/>
      <c r="H2738" t="s">
        <v>3384</v>
      </c>
      <c r="I2738">
        <v>0.10051</v>
      </c>
      <c r="J2738" t="s">
        <v>711</v>
      </c>
      <c r="K2738" t="s">
        <v>3384</v>
      </c>
      <c r="L2738" s="166">
        <f t="shared" si="215"/>
        <v>5025.5</v>
      </c>
      <c r="M2738" s="127" t="s">
        <v>3385</v>
      </c>
    </row>
    <row r="2739" spans="1:13" x14ac:dyDescent="0.2">
      <c r="A2739" s="1219"/>
      <c r="B2739" s="833"/>
      <c r="C2739" s="1102"/>
      <c r="D2739" s="118"/>
      <c r="E2739" s="1220"/>
      <c r="F2739" s="118"/>
      <c r="G2739" s="118"/>
      <c r="H2739" s="118"/>
      <c r="I2739" s="118"/>
      <c r="J2739" s="118"/>
      <c r="K2739" s="118"/>
      <c r="L2739" s="833"/>
      <c r="M2739" s="120"/>
    </row>
    <row r="2740" spans="1:13" ht="16" x14ac:dyDescent="0.2">
      <c r="A2740" s="486" t="s">
        <v>1027</v>
      </c>
      <c r="B2740" s="220">
        <v>1875.4740817837121</v>
      </c>
      <c r="C2740" s="220" t="s">
        <v>267</v>
      </c>
      <c r="D2740" s="220">
        <v>10</v>
      </c>
      <c r="E2740" s="1216" t="s">
        <v>3388</v>
      </c>
      <c r="F2740" s="110"/>
      <c r="G2740" s="110"/>
      <c r="H2740" s="110"/>
      <c r="I2740" s="110"/>
      <c r="J2740" s="110"/>
      <c r="K2740" s="110"/>
      <c r="L2740" s="845"/>
      <c r="M2740" s="112"/>
    </row>
    <row r="2741" spans="1:13" x14ac:dyDescent="0.2">
      <c r="A2741" s="1217"/>
      <c r="B2741" s="166">
        <f>B2740/1000</f>
        <v>1.8754740817837121</v>
      </c>
      <c r="C2741" s="133" t="s">
        <v>444</v>
      </c>
      <c r="F2741">
        <v>1</v>
      </c>
      <c r="G2741" t="s">
        <v>713</v>
      </c>
      <c r="H2741" t="s">
        <v>701</v>
      </c>
      <c r="I2741">
        <v>0.14229</v>
      </c>
      <c r="J2741" t="s">
        <v>702</v>
      </c>
      <c r="K2741" t="s">
        <v>701</v>
      </c>
      <c r="L2741" s="166">
        <f>I2741*B$2746</f>
        <v>1.9920599999999999</v>
      </c>
      <c r="M2741" s="127" t="s">
        <v>3367</v>
      </c>
    </row>
    <row r="2742" spans="1:13" x14ac:dyDescent="0.2">
      <c r="A2742" s="1217"/>
      <c r="B2742" s="166">
        <v>20</v>
      </c>
      <c r="C2742" s="133" t="s">
        <v>10</v>
      </c>
      <c r="D2742" t="s">
        <v>3390</v>
      </c>
      <c r="E2742" s="83"/>
      <c r="F2742">
        <v>40</v>
      </c>
      <c r="G2742" t="s">
        <v>12</v>
      </c>
      <c r="H2742" t="s">
        <v>703</v>
      </c>
      <c r="I2742" s="33">
        <v>2.2291000000000001E-5</v>
      </c>
      <c r="J2742" t="s">
        <v>704</v>
      </c>
      <c r="K2742" t="s">
        <v>703</v>
      </c>
      <c r="L2742" s="166">
        <f t="shared" ref="L2742:L2750" si="216">I2742*B$2746</f>
        <v>3.1207400000000002E-4</v>
      </c>
      <c r="M2742" s="127" t="s">
        <v>3368</v>
      </c>
    </row>
    <row r="2743" spans="1:13" x14ac:dyDescent="0.2">
      <c r="A2743" s="1217"/>
      <c r="B2743" s="166">
        <v>0.7</v>
      </c>
      <c r="D2743" s="24" t="s">
        <v>3391</v>
      </c>
      <c r="E2743" s="83"/>
      <c r="H2743" t="s">
        <v>705</v>
      </c>
      <c r="I2743">
        <v>3203.5834399999999</v>
      </c>
      <c r="J2743" t="s">
        <v>706</v>
      </c>
      <c r="K2743" t="s">
        <v>705</v>
      </c>
      <c r="L2743" s="166">
        <f t="shared" si="216"/>
        <v>44850.168160000001</v>
      </c>
      <c r="M2743" s="127" t="s">
        <v>3370</v>
      </c>
    </row>
    <row r="2744" spans="1:13" x14ac:dyDescent="0.2">
      <c r="A2744" s="1217"/>
      <c r="B2744" s="166">
        <f>B2741*B2742/B2743</f>
        <v>53.584973765248918</v>
      </c>
      <c r="C2744" s="133" t="s">
        <v>12</v>
      </c>
      <c r="D2744" s="6"/>
      <c r="E2744" s="83"/>
      <c r="H2744" t="s">
        <v>3372</v>
      </c>
      <c r="I2744">
        <v>1.278E-2</v>
      </c>
      <c r="J2744" t="s">
        <v>3373</v>
      </c>
      <c r="K2744" t="s">
        <v>3372</v>
      </c>
      <c r="L2744" s="166">
        <f t="shared" si="216"/>
        <v>0.17892</v>
      </c>
      <c r="M2744" s="127" t="s">
        <v>3374</v>
      </c>
    </row>
    <row r="2745" spans="1:13" x14ac:dyDescent="0.2">
      <c r="A2745" s="1217"/>
      <c r="B2745" s="166">
        <f>B2744*D2740</f>
        <v>535.84973765248924</v>
      </c>
      <c r="C2745" s="133" t="s">
        <v>12</v>
      </c>
      <c r="E2745" s="83"/>
      <c r="H2745" t="s">
        <v>3375</v>
      </c>
      <c r="I2745">
        <v>3.7339999999999998E-2</v>
      </c>
      <c r="J2745" t="s">
        <v>707</v>
      </c>
      <c r="K2745" t="s">
        <v>3375</v>
      </c>
      <c r="L2745" s="166">
        <f t="shared" si="216"/>
        <v>0.52276</v>
      </c>
      <c r="M2745" s="127" t="s">
        <v>3376</v>
      </c>
    </row>
    <row r="2746" spans="1:13" x14ac:dyDescent="0.2">
      <c r="A2746" s="1217"/>
      <c r="B2746" s="1218">
        <f>ROUNDUP(B2745/F2742,0)</f>
        <v>14</v>
      </c>
      <c r="C2746" s="1114" t="s">
        <v>3392</v>
      </c>
      <c r="D2746" s="6" t="s">
        <v>577</v>
      </c>
      <c r="E2746" s="83"/>
      <c r="H2746" t="s">
        <v>708</v>
      </c>
      <c r="I2746">
        <v>9.0477000000000007</v>
      </c>
      <c r="J2746" t="s">
        <v>709</v>
      </c>
      <c r="K2746" t="s">
        <v>708</v>
      </c>
      <c r="L2746" s="166">
        <f t="shared" si="216"/>
        <v>126.66780000000001</v>
      </c>
      <c r="M2746" s="127" t="s">
        <v>3377</v>
      </c>
    </row>
    <row r="2747" spans="1:13" x14ac:dyDescent="0.2">
      <c r="A2747" s="1217"/>
      <c r="B2747" s="166"/>
      <c r="E2747" s="83"/>
      <c r="H2747" t="s">
        <v>3378</v>
      </c>
      <c r="I2747" s="33">
        <v>3.5905399999999997E-5</v>
      </c>
      <c r="J2747" t="s">
        <v>704</v>
      </c>
      <c r="K2747" t="s">
        <v>3378</v>
      </c>
      <c r="L2747" s="166">
        <f t="shared" si="216"/>
        <v>5.0267559999999994E-4</v>
      </c>
      <c r="M2747" s="127" t="s">
        <v>3368</v>
      </c>
    </row>
    <row r="2748" spans="1:13" x14ac:dyDescent="0.2">
      <c r="A2748" s="1217"/>
      <c r="B2748" s="166"/>
      <c r="E2748" s="83"/>
      <c r="H2748" t="s">
        <v>710</v>
      </c>
      <c r="I2748" s="33">
        <v>1.7364199999999999E-7</v>
      </c>
      <c r="J2748" t="s">
        <v>3379</v>
      </c>
      <c r="K2748" t="s">
        <v>710</v>
      </c>
      <c r="L2748" s="166">
        <f t="shared" si="216"/>
        <v>2.4309879999999998E-6</v>
      </c>
      <c r="M2748" s="127" t="s">
        <v>3380</v>
      </c>
    </row>
    <row r="2749" spans="1:13" x14ac:dyDescent="0.2">
      <c r="A2749" s="1217"/>
      <c r="B2749" s="166"/>
      <c r="E2749" s="83"/>
      <c r="H2749" t="s">
        <v>3381</v>
      </c>
      <c r="I2749">
        <v>2.9360000000000001E-2</v>
      </c>
      <c r="J2749" t="s">
        <v>3382</v>
      </c>
      <c r="K2749" t="s">
        <v>3381</v>
      </c>
      <c r="L2749" s="166">
        <f t="shared" si="216"/>
        <v>0.41104000000000002</v>
      </c>
      <c r="M2749" s="127" t="s">
        <v>3383</v>
      </c>
    </row>
    <row r="2750" spans="1:13" x14ac:dyDescent="0.2">
      <c r="A2750" s="1217"/>
      <c r="B2750" s="166"/>
      <c r="E2750" s="83"/>
      <c r="H2750" t="s">
        <v>3384</v>
      </c>
      <c r="I2750">
        <v>0.84404000000000001</v>
      </c>
      <c r="J2750" t="s">
        <v>711</v>
      </c>
      <c r="K2750" t="s">
        <v>3384</v>
      </c>
      <c r="L2750" s="166">
        <f t="shared" si="216"/>
        <v>11.816560000000001</v>
      </c>
      <c r="M2750" s="127" t="s">
        <v>3385</v>
      </c>
    </row>
    <row r="2751" spans="1:13" x14ac:dyDescent="0.2">
      <c r="A2751" s="1219"/>
      <c r="B2751" s="833"/>
      <c r="C2751" s="1102"/>
      <c r="D2751" s="118"/>
      <c r="E2751" s="1220"/>
      <c r="F2751" s="118"/>
      <c r="G2751" s="118"/>
      <c r="H2751" s="118"/>
      <c r="I2751" s="118"/>
      <c r="J2751" s="118"/>
      <c r="K2751" s="118"/>
      <c r="L2751" s="833"/>
      <c r="M2751" s="120"/>
    </row>
    <row r="2752" spans="1:13" ht="16" x14ac:dyDescent="0.2">
      <c r="A2752" s="486" t="s">
        <v>538</v>
      </c>
      <c r="B2752" s="220">
        <v>0.53267700605353074</v>
      </c>
      <c r="C2752" s="220" t="s">
        <v>999</v>
      </c>
      <c r="D2752" s="220">
        <v>10</v>
      </c>
      <c r="E2752" s="1230" t="s">
        <v>3439</v>
      </c>
      <c r="F2752" s="110">
        <v>1</v>
      </c>
      <c r="G2752" s="110" t="s">
        <v>3429</v>
      </c>
      <c r="H2752" s="110"/>
      <c r="I2752" s="110"/>
      <c r="J2752" s="110"/>
      <c r="K2752" s="110"/>
      <c r="L2752" s="845"/>
      <c r="M2752" s="112"/>
    </row>
    <row r="2753" spans="1:13" x14ac:dyDescent="0.2">
      <c r="A2753" s="1217"/>
      <c r="B2753" s="1218">
        <f>B2813/100000</f>
        <v>5.3267700605353074E-3</v>
      </c>
      <c r="C2753" s="1114" t="s">
        <v>3429</v>
      </c>
      <c r="D2753" s="6" t="s">
        <v>577</v>
      </c>
      <c r="E2753" s="83"/>
      <c r="F2753">
        <v>10</v>
      </c>
      <c r="G2753" t="s">
        <v>545</v>
      </c>
      <c r="H2753" t="s">
        <v>701</v>
      </c>
      <c r="I2753">
        <v>4.3418599999999996</v>
      </c>
      <c r="J2753" t="s">
        <v>702</v>
      </c>
      <c r="K2753" t="s">
        <v>701</v>
      </c>
      <c r="L2753" s="166">
        <f>I2753*B$2753</f>
        <v>2.3128089855035828E-2</v>
      </c>
      <c r="M2753" s="127" t="s">
        <v>3367</v>
      </c>
    </row>
    <row r="2754" spans="1:13" x14ac:dyDescent="0.2">
      <c r="A2754" s="1217"/>
      <c r="B2754" s="166"/>
      <c r="E2754" s="83"/>
      <c r="H2754" t="s">
        <v>703</v>
      </c>
      <c r="I2754">
        <v>6.0999999999999997E-4</v>
      </c>
      <c r="J2754" t="s">
        <v>704</v>
      </c>
      <c r="K2754" t="s">
        <v>703</v>
      </c>
      <c r="L2754" s="166">
        <f t="shared" ref="L2754:L2762" si="217">I2754*B$2753</f>
        <v>3.2493297369265374E-6</v>
      </c>
      <c r="M2754" s="127" t="s">
        <v>3368</v>
      </c>
    </row>
    <row r="2755" spans="1:13" x14ac:dyDescent="0.2">
      <c r="A2755" s="1217"/>
      <c r="B2755" s="166"/>
      <c r="E2755" s="83"/>
      <c r="H2755" t="s">
        <v>705</v>
      </c>
      <c r="I2755" s="33">
        <v>86927.7</v>
      </c>
      <c r="J2755" t="s">
        <v>706</v>
      </c>
      <c r="K2755" t="s">
        <v>705</v>
      </c>
      <c r="L2755" s="166">
        <f t="shared" si="217"/>
        <v>463.04386979119505</v>
      </c>
      <c r="M2755" s="127" t="s">
        <v>3370</v>
      </c>
    </row>
    <row r="2756" spans="1:13" x14ac:dyDescent="0.2">
      <c r="A2756" s="1217"/>
      <c r="B2756" s="166"/>
      <c r="E2756" s="83"/>
      <c r="H2756" t="s">
        <v>3372</v>
      </c>
      <c r="I2756">
        <v>0.40986</v>
      </c>
      <c r="J2756" t="s">
        <v>3373</v>
      </c>
      <c r="K2756" t="s">
        <v>3372</v>
      </c>
      <c r="L2756" s="166">
        <f t="shared" si="217"/>
        <v>2.1832299770110013E-3</v>
      </c>
      <c r="M2756" s="127" t="s">
        <v>3374</v>
      </c>
    </row>
    <row r="2757" spans="1:13" x14ac:dyDescent="0.2">
      <c r="A2757" s="1217"/>
      <c r="B2757" s="166"/>
      <c r="E2757" s="83"/>
      <c r="H2757" t="s">
        <v>3375</v>
      </c>
      <c r="I2757">
        <v>1.53471</v>
      </c>
      <c r="J2757" t="s">
        <v>707</v>
      </c>
      <c r="K2757" t="s">
        <v>3375</v>
      </c>
      <c r="L2757" s="166">
        <f t="shared" si="217"/>
        <v>8.1750472796041414E-3</v>
      </c>
      <c r="M2757" s="127" t="s">
        <v>3376</v>
      </c>
    </row>
    <row r="2758" spans="1:13" x14ac:dyDescent="0.2">
      <c r="A2758" s="1217"/>
      <c r="B2758" s="166"/>
      <c r="E2758" s="83"/>
      <c r="H2758" t="s">
        <v>708</v>
      </c>
      <c r="I2758">
        <v>5000.6099599999998</v>
      </c>
      <c r="J2758" t="s">
        <v>709</v>
      </c>
      <c r="K2758" t="s">
        <v>708</v>
      </c>
      <c r="L2758" s="166">
        <f t="shared" si="217"/>
        <v>26.637099419342661</v>
      </c>
      <c r="M2758" s="127" t="s">
        <v>3377</v>
      </c>
    </row>
    <row r="2759" spans="1:13" x14ac:dyDescent="0.2">
      <c r="A2759" s="1217"/>
      <c r="B2759" s="166"/>
      <c r="E2759" s="83"/>
      <c r="H2759" t="s">
        <v>3378</v>
      </c>
      <c r="I2759">
        <v>8.8000000000000003E-4</v>
      </c>
      <c r="J2759" t="s">
        <v>704</v>
      </c>
      <c r="K2759" t="s">
        <v>3378</v>
      </c>
      <c r="L2759" s="166">
        <f t="shared" si="217"/>
        <v>4.6875576532710711E-6</v>
      </c>
      <c r="M2759" s="127" t="s">
        <v>3368</v>
      </c>
    </row>
    <row r="2760" spans="1:13" x14ac:dyDescent="0.2">
      <c r="A2760" s="1217"/>
      <c r="B2760" s="166"/>
      <c r="E2760" s="83"/>
      <c r="H2760" t="s">
        <v>710</v>
      </c>
      <c r="I2760" s="33">
        <v>9.7167100000000004E-6</v>
      </c>
      <c r="J2760" t="s">
        <v>3379</v>
      </c>
      <c r="K2760" t="s">
        <v>710</v>
      </c>
      <c r="L2760" s="166">
        <f t="shared" si="217"/>
        <v>5.175867991490403E-8</v>
      </c>
      <c r="M2760" s="127" t="s">
        <v>3380</v>
      </c>
    </row>
    <row r="2761" spans="1:13" x14ac:dyDescent="0.2">
      <c r="A2761" s="1217"/>
      <c r="B2761" s="166"/>
      <c r="E2761" s="83"/>
      <c r="H2761" t="s">
        <v>3381</v>
      </c>
      <c r="I2761">
        <v>0.88400999999999996</v>
      </c>
      <c r="J2761" t="s">
        <v>3382</v>
      </c>
      <c r="K2761" t="s">
        <v>3381</v>
      </c>
      <c r="L2761" s="166">
        <f t="shared" si="217"/>
        <v>4.7089180012138167E-3</v>
      </c>
      <c r="M2761" s="127" t="s">
        <v>3383</v>
      </c>
    </row>
    <row r="2762" spans="1:13" x14ac:dyDescent="0.2">
      <c r="A2762" s="1217"/>
      <c r="B2762" s="166"/>
      <c r="E2762" s="83"/>
      <c r="H2762" t="s">
        <v>3384</v>
      </c>
      <c r="I2762">
        <v>35.439450000000001</v>
      </c>
      <c r="J2762" t="s">
        <v>711</v>
      </c>
      <c r="K2762" t="s">
        <v>3384</v>
      </c>
      <c r="L2762" s="166">
        <f t="shared" si="217"/>
        <v>0.18877780122183802</v>
      </c>
      <c r="M2762" s="127" t="s">
        <v>3385</v>
      </c>
    </row>
    <row r="2763" spans="1:13" x14ac:dyDescent="0.2">
      <c r="A2763" s="1219"/>
      <c r="B2763" s="833"/>
      <c r="C2763" s="1102"/>
      <c r="D2763" s="118"/>
      <c r="E2763" s="1220"/>
      <c r="F2763" s="118"/>
      <c r="G2763" s="118"/>
      <c r="H2763" s="118"/>
      <c r="I2763" s="118"/>
      <c r="J2763" s="118"/>
      <c r="K2763" s="118"/>
      <c r="L2763" s="833"/>
      <c r="M2763" s="120"/>
    </row>
    <row r="2764" spans="1:13" ht="16" x14ac:dyDescent="0.2">
      <c r="A2764" s="1215" t="s">
        <v>2537</v>
      </c>
      <c r="B2764" s="1245">
        <v>532677.00605353073</v>
      </c>
      <c r="C2764" s="1245" t="s">
        <v>2445</v>
      </c>
      <c r="D2764" s="1245">
        <v>10</v>
      </c>
      <c r="E2764" s="1216" t="s">
        <v>3388</v>
      </c>
      <c r="F2764" s="110"/>
      <c r="G2764" s="110"/>
      <c r="H2764" s="110"/>
      <c r="I2764" s="110"/>
      <c r="J2764" s="110"/>
      <c r="K2764" s="110"/>
      <c r="L2764" s="845"/>
      <c r="M2764" s="112"/>
    </row>
    <row r="2765" spans="1:13" x14ac:dyDescent="0.2">
      <c r="A2765" s="1217"/>
      <c r="B2765" s="166">
        <f>B2764/100000</f>
        <v>5.3267700605353072</v>
      </c>
      <c r="C2765" s="133" t="s">
        <v>444</v>
      </c>
      <c r="F2765">
        <v>1</v>
      </c>
      <c r="G2765" t="s">
        <v>713</v>
      </c>
      <c r="H2765" t="s">
        <v>701</v>
      </c>
      <c r="I2765">
        <v>0.14229</v>
      </c>
      <c r="J2765" t="s">
        <v>702</v>
      </c>
      <c r="K2765" t="s">
        <v>701</v>
      </c>
      <c r="L2765" s="166">
        <f>I2765*B$2770</f>
        <v>5.5493100000000002</v>
      </c>
      <c r="M2765" s="127" t="s">
        <v>3367</v>
      </c>
    </row>
    <row r="2766" spans="1:13" x14ac:dyDescent="0.2">
      <c r="A2766" s="1217"/>
      <c r="B2766" s="166">
        <v>20</v>
      </c>
      <c r="C2766" s="133" t="s">
        <v>10</v>
      </c>
      <c r="D2766" t="s">
        <v>3390</v>
      </c>
      <c r="E2766" s="83"/>
      <c r="F2766">
        <v>40</v>
      </c>
      <c r="G2766" t="s">
        <v>12</v>
      </c>
      <c r="H2766" t="s">
        <v>703</v>
      </c>
      <c r="I2766" s="33">
        <v>2.2291000000000001E-5</v>
      </c>
      <c r="J2766" t="s">
        <v>704</v>
      </c>
      <c r="K2766" t="s">
        <v>703</v>
      </c>
      <c r="L2766" s="166">
        <f t="shared" ref="L2766:L2774" si="218">I2766*B$2770</f>
        <v>8.6934900000000005E-4</v>
      </c>
      <c r="M2766" s="127" t="s">
        <v>3368</v>
      </c>
    </row>
    <row r="2767" spans="1:13" x14ac:dyDescent="0.2">
      <c r="A2767" s="1217"/>
      <c r="B2767" s="166">
        <v>0.7</v>
      </c>
      <c r="D2767" s="24" t="s">
        <v>3391</v>
      </c>
      <c r="E2767" s="83"/>
      <c r="H2767" t="s">
        <v>705</v>
      </c>
      <c r="I2767">
        <v>3203.5834399999999</v>
      </c>
      <c r="J2767" t="s">
        <v>706</v>
      </c>
      <c r="K2767" t="s">
        <v>705</v>
      </c>
      <c r="L2767" s="166">
        <f t="shared" si="218"/>
        <v>124939.75416</v>
      </c>
      <c r="M2767" s="127" t="s">
        <v>3370</v>
      </c>
    </row>
    <row r="2768" spans="1:13" x14ac:dyDescent="0.2">
      <c r="A2768" s="1217"/>
      <c r="B2768" s="166">
        <f>B2765*B2766/B2767</f>
        <v>152.19343030100879</v>
      </c>
      <c r="C2768" s="133" t="s">
        <v>12</v>
      </c>
      <c r="D2768" s="6"/>
      <c r="E2768" s="83"/>
      <c r="H2768" t="s">
        <v>3372</v>
      </c>
      <c r="I2768">
        <v>1.278E-2</v>
      </c>
      <c r="J2768" t="s">
        <v>3373</v>
      </c>
      <c r="K2768" t="s">
        <v>3372</v>
      </c>
      <c r="L2768" s="166">
        <f t="shared" si="218"/>
        <v>0.49841999999999997</v>
      </c>
      <c r="M2768" s="127" t="s">
        <v>3374</v>
      </c>
    </row>
    <row r="2769" spans="1:13" x14ac:dyDescent="0.2">
      <c r="A2769" s="1217"/>
      <c r="B2769" s="166">
        <f>B2768*D2764</f>
        <v>1521.9343030100879</v>
      </c>
      <c r="C2769" s="133" t="s">
        <v>12</v>
      </c>
      <c r="E2769" s="83"/>
      <c r="H2769" t="s">
        <v>3375</v>
      </c>
      <c r="I2769">
        <v>3.7339999999999998E-2</v>
      </c>
      <c r="J2769" t="s">
        <v>707</v>
      </c>
      <c r="K2769" t="s">
        <v>3375</v>
      </c>
      <c r="L2769" s="166">
        <f t="shared" si="218"/>
        <v>1.4562599999999999</v>
      </c>
      <c r="M2769" s="127" t="s">
        <v>3376</v>
      </c>
    </row>
    <row r="2770" spans="1:13" x14ac:dyDescent="0.2">
      <c r="A2770" s="1217"/>
      <c r="B2770" s="1218">
        <f>ROUNDUP(B2769/F2766,0)</f>
        <v>39</v>
      </c>
      <c r="C2770" s="1114" t="s">
        <v>3392</v>
      </c>
      <c r="D2770" s="6" t="s">
        <v>577</v>
      </c>
      <c r="E2770" s="83"/>
      <c r="H2770" t="s">
        <v>708</v>
      </c>
      <c r="I2770">
        <v>9.0477000000000007</v>
      </c>
      <c r="J2770" t="s">
        <v>709</v>
      </c>
      <c r="K2770" t="s">
        <v>708</v>
      </c>
      <c r="L2770" s="166">
        <f t="shared" si="218"/>
        <v>352.86030000000005</v>
      </c>
      <c r="M2770" s="127" t="s">
        <v>3377</v>
      </c>
    </row>
    <row r="2771" spans="1:13" x14ac:dyDescent="0.2">
      <c r="A2771" s="1217"/>
      <c r="B2771" s="166"/>
      <c r="E2771" s="83"/>
      <c r="H2771" t="s">
        <v>3378</v>
      </c>
      <c r="I2771" s="33">
        <v>3.5905399999999997E-5</v>
      </c>
      <c r="J2771" t="s">
        <v>704</v>
      </c>
      <c r="K2771" t="s">
        <v>3378</v>
      </c>
      <c r="L2771" s="166">
        <f t="shared" si="218"/>
        <v>1.4003105999999999E-3</v>
      </c>
      <c r="M2771" s="127" t="s">
        <v>3368</v>
      </c>
    </row>
    <row r="2772" spans="1:13" x14ac:dyDescent="0.2">
      <c r="A2772" s="1217"/>
      <c r="B2772" s="166"/>
      <c r="E2772" s="83"/>
      <c r="H2772" t="s">
        <v>710</v>
      </c>
      <c r="I2772" s="33">
        <v>1.7364199999999999E-7</v>
      </c>
      <c r="J2772" t="s">
        <v>3379</v>
      </c>
      <c r="K2772" t="s">
        <v>710</v>
      </c>
      <c r="L2772" s="166">
        <f t="shared" si="218"/>
        <v>6.7720379999999995E-6</v>
      </c>
      <c r="M2772" s="127" t="s">
        <v>3380</v>
      </c>
    </row>
    <row r="2773" spans="1:13" x14ac:dyDescent="0.2">
      <c r="A2773" s="1217"/>
      <c r="B2773" s="166"/>
      <c r="E2773" s="83"/>
      <c r="H2773" t="s">
        <v>3381</v>
      </c>
      <c r="I2773">
        <v>2.9360000000000001E-2</v>
      </c>
      <c r="J2773" t="s">
        <v>3382</v>
      </c>
      <c r="K2773" t="s">
        <v>3381</v>
      </c>
      <c r="L2773" s="166">
        <f t="shared" si="218"/>
        <v>1.1450400000000001</v>
      </c>
      <c r="M2773" s="127" t="s">
        <v>3383</v>
      </c>
    </row>
    <row r="2774" spans="1:13" x14ac:dyDescent="0.2">
      <c r="A2774" s="1217"/>
      <c r="B2774" s="166"/>
      <c r="E2774" s="83"/>
      <c r="H2774" t="s">
        <v>3384</v>
      </c>
      <c r="I2774">
        <v>0.84404000000000001</v>
      </c>
      <c r="J2774" t="s">
        <v>711</v>
      </c>
      <c r="K2774" t="s">
        <v>3384</v>
      </c>
      <c r="L2774" s="166">
        <f t="shared" si="218"/>
        <v>32.917560000000002</v>
      </c>
      <c r="M2774" s="127" t="s">
        <v>3385</v>
      </c>
    </row>
    <row r="2775" spans="1:13" x14ac:dyDescent="0.2">
      <c r="A2775" s="1219"/>
      <c r="B2775" s="833"/>
      <c r="C2775" s="1102"/>
      <c r="D2775" s="118"/>
      <c r="E2775" s="1220"/>
      <c r="F2775" s="118"/>
      <c r="G2775" s="118"/>
      <c r="H2775" s="118"/>
      <c r="I2775" s="118"/>
      <c r="J2775" s="118"/>
      <c r="K2775" s="118"/>
      <c r="L2775" s="833"/>
      <c r="M2775" s="120"/>
    </row>
    <row r="2776" spans="1:13" ht="16" x14ac:dyDescent="0.2">
      <c r="A2776" s="1215" t="s">
        <v>2538</v>
      </c>
      <c r="B2776" s="1245">
        <v>532677.00605353073</v>
      </c>
      <c r="C2776" s="1245" t="s">
        <v>2445</v>
      </c>
      <c r="D2776" s="1245">
        <v>10</v>
      </c>
      <c r="E2776" s="1216" t="s">
        <v>3388</v>
      </c>
      <c r="F2776" s="110"/>
      <c r="G2776" s="110"/>
      <c r="H2776" s="110"/>
      <c r="I2776" s="110"/>
      <c r="J2776" s="110"/>
      <c r="K2776" s="110"/>
      <c r="L2776" s="845"/>
      <c r="M2776" s="112"/>
    </row>
    <row r="2777" spans="1:13" x14ac:dyDescent="0.2">
      <c r="A2777" s="1217"/>
      <c r="B2777" s="166">
        <f>B2776/100000</f>
        <v>5.3267700605353072</v>
      </c>
      <c r="C2777" s="133" t="s">
        <v>444</v>
      </c>
      <c r="F2777">
        <v>1</v>
      </c>
      <c r="G2777" t="s">
        <v>713</v>
      </c>
      <c r="H2777" t="s">
        <v>701</v>
      </c>
      <c r="I2777">
        <v>0.14229</v>
      </c>
      <c r="J2777" t="s">
        <v>702</v>
      </c>
      <c r="K2777" t="s">
        <v>701</v>
      </c>
      <c r="L2777" s="166">
        <f>I2777*B$2782</f>
        <v>5.5493100000000002</v>
      </c>
      <c r="M2777" s="127" t="s">
        <v>3367</v>
      </c>
    </row>
    <row r="2778" spans="1:13" x14ac:dyDescent="0.2">
      <c r="A2778" s="1217"/>
      <c r="B2778" s="166">
        <v>20</v>
      </c>
      <c r="C2778" s="133" t="s">
        <v>10</v>
      </c>
      <c r="D2778" t="s">
        <v>3390</v>
      </c>
      <c r="E2778" s="83"/>
      <c r="F2778">
        <v>40</v>
      </c>
      <c r="G2778" t="s">
        <v>12</v>
      </c>
      <c r="H2778" t="s">
        <v>703</v>
      </c>
      <c r="I2778" s="33">
        <v>2.2291000000000001E-5</v>
      </c>
      <c r="J2778" t="s">
        <v>704</v>
      </c>
      <c r="K2778" t="s">
        <v>703</v>
      </c>
      <c r="L2778" s="166">
        <f t="shared" ref="L2778:L2786" si="219">I2778*B$2782</f>
        <v>8.6934900000000005E-4</v>
      </c>
      <c r="M2778" s="127" t="s">
        <v>3368</v>
      </c>
    </row>
    <row r="2779" spans="1:13" x14ac:dyDescent="0.2">
      <c r="A2779" s="1217"/>
      <c r="B2779" s="166">
        <v>0.7</v>
      </c>
      <c r="D2779" s="24" t="s">
        <v>3391</v>
      </c>
      <c r="E2779" s="83"/>
      <c r="H2779" t="s">
        <v>705</v>
      </c>
      <c r="I2779">
        <v>3203.5834399999999</v>
      </c>
      <c r="J2779" t="s">
        <v>706</v>
      </c>
      <c r="K2779" t="s">
        <v>705</v>
      </c>
      <c r="L2779" s="166">
        <f t="shared" si="219"/>
        <v>124939.75416</v>
      </c>
      <c r="M2779" s="127" t="s">
        <v>3370</v>
      </c>
    </row>
    <row r="2780" spans="1:13" x14ac:dyDescent="0.2">
      <c r="A2780" s="1217"/>
      <c r="B2780" s="166">
        <f>B2777*B2778/B2779</f>
        <v>152.19343030100879</v>
      </c>
      <c r="C2780" s="133" t="s">
        <v>12</v>
      </c>
      <c r="D2780" s="6"/>
      <c r="E2780" s="83"/>
      <c r="H2780" t="s">
        <v>3372</v>
      </c>
      <c r="I2780">
        <v>1.278E-2</v>
      </c>
      <c r="J2780" t="s">
        <v>3373</v>
      </c>
      <c r="K2780" t="s">
        <v>3372</v>
      </c>
      <c r="L2780" s="166">
        <f t="shared" si="219"/>
        <v>0.49841999999999997</v>
      </c>
      <c r="M2780" s="127" t="s">
        <v>3374</v>
      </c>
    </row>
    <row r="2781" spans="1:13" x14ac:dyDescent="0.2">
      <c r="A2781" s="1217"/>
      <c r="B2781" s="166">
        <f>B2780*D2776</f>
        <v>1521.9343030100879</v>
      </c>
      <c r="C2781" s="133" t="s">
        <v>12</v>
      </c>
      <c r="E2781" s="83"/>
      <c r="H2781" t="s">
        <v>3375</v>
      </c>
      <c r="I2781">
        <v>3.7339999999999998E-2</v>
      </c>
      <c r="J2781" t="s">
        <v>707</v>
      </c>
      <c r="K2781" t="s">
        <v>3375</v>
      </c>
      <c r="L2781" s="166">
        <f t="shared" si="219"/>
        <v>1.4562599999999999</v>
      </c>
      <c r="M2781" s="127" t="s">
        <v>3376</v>
      </c>
    </row>
    <row r="2782" spans="1:13" x14ac:dyDescent="0.2">
      <c r="A2782" s="1217"/>
      <c r="B2782" s="1218">
        <f>ROUNDUP(B2781/F2778,0)</f>
        <v>39</v>
      </c>
      <c r="C2782" s="1114" t="s">
        <v>3392</v>
      </c>
      <c r="D2782" s="6" t="s">
        <v>577</v>
      </c>
      <c r="E2782" s="83"/>
      <c r="H2782" t="s">
        <v>708</v>
      </c>
      <c r="I2782">
        <v>9.0477000000000007</v>
      </c>
      <c r="J2782" t="s">
        <v>709</v>
      </c>
      <c r="K2782" t="s">
        <v>708</v>
      </c>
      <c r="L2782" s="166">
        <f t="shared" si="219"/>
        <v>352.86030000000005</v>
      </c>
      <c r="M2782" s="127" t="s">
        <v>3377</v>
      </c>
    </row>
    <row r="2783" spans="1:13" x14ac:dyDescent="0.2">
      <c r="A2783" s="1217"/>
      <c r="B2783" s="166"/>
      <c r="E2783" s="83"/>
      <c r="H2783" t="s">
        <v>3378</v>
      </c>
      <c r="I2783" s="33">
        <v>3.5905399999999997E-5</v>
      </c>
      <c r="J2783" t="s">
        <v>704</v>
      </c>
      <c r="K2783" t="s">
        <v>3378</v>
      </c>
      <c r="L2783" s="166">
        <f t="shared" si="219"/>
        <v>1.4003105999999999E-3</v>
      </c>
      <c r="M2783" s="127" t="s">
        <v>3368</v>
      </c>
    </row>
    <row r="2784" spans="1:13" x14ac:dyDescent="0.2">
      <c r="A2784" s="1217"/>
      <c r="B2784" s="166"/>
      <c r="E2784" s="83"/>
      <c r="H2784" t="s">
        <v>710</v>
      </c>
      <c r="I2784" s="33">
        <v>1.7364199999999999E-7</v>
      </c>
      <c r="J2784" t="s">
        <v>3379</v>
      </c>
      <c r="K2784" t="s">
        <v>710</v>
      </c>
      <c r="L2784" s="166">
        <f t="shared" si="219"/>
        <v>6.7720379999999995E-6</v>
      </c>
      <c r="M2784" s="127" t="s">
        <v>3380</v>
      </c>
    </row>
    <row r="2785" spans="1:13" x14ac:dyDescent="0.2">
      <c r="A2785" s="1217"/>
      <c r="B2785" s="166"/>
      <c r="E2785" s="83"/>
      <c r="H2785" t="s">
        <v>3381</v>
      </c>
      <c r="I2785">
        <v>2.9360000000000001E-2</v>
      </c>
      <c r="J2785" t="s">
        <v>3382</v>
      </c>
      <c r="K2785" t="s">
        <v>3381</v>
      </c>
      <c r="L2785" s="166">
        <f t="shared" si="219"/>
        <v>1.1450400000000001</v>
      </c>
      <c r="M2785" s="127" t="s">
        <v>3383</v>
      </c>
    </row>
    <row r="2786" spans="1:13" x14ac:dyDescent="0.2">
      <c r="A2786" s="1217"/>
      <c r="B2786" s="166"/>
      <c r="E2786" s="83"/>
      <c r="H2786" t="s">
        <v>3384</v>
      </c>
      <c r="I2786">
        <v>0.84404000000000001</v>
      </c>
      <c r="J2786" t="s">
        <v>711</v>
      </c>
      <c r="K2786" t="s">
        <v>3384</v>
      </c>
      <c r="L2786" s="166">
        <f t="shared" si="219"/>
        <v>32.917560000000002</v>
      </c>
      <c r="M2786" s="127" t="s">
        <v>3385</v>
      </c>
    </row>
    <row r="2787" spans="1:13" x14ac:dyDescent="0.2">
      <c r="A2787" s="1219"/>
      <c r="B2787" s="833"/>
      <c r="C2787" s="1102"/>
      <c r="D2787" s="118"/>
      <c r="E2787" s="1220"/>
      <c r="F2787" s="118"/>
      <c r="G2787" s="118"/>
      <c r="H2787" s="118"/>
      <c r="I2787" s="118"/>
      <c r="J2787" s="118"/>
      <c r="K2787" s="118"/>
      <c r="L2787" s="833"/>
      <c r="M2787" s="120"/>
    </row>
    <row r="2788" spans="1:13" ht="16" x14ac:dyDescent="0.2">
      <c r="A2788" s="1217" t="s">
        <v>2539</v>
      </c>
      <c r="B2788" s="1249">
        <v>532677.00605353073</v>
      </c>
      <c r="C2788" s="1249" t="s">
        <v>2445</v>
      </c>
      <c r="D2788" s="1249">
        <v>10</v>
      </c>
      <c r="E2788" s="83" t="s">
        <v>3393</v>
      </c>
      <c r="L2788" s="166"/>
      <c r="M2788" s="127"/>
    </row>
    <row r="2789" spans="1:13" x14ac:dyDescent="0.2">
      <c r="A2789" s="1217"/>
      <c r="B2789" s="1218">
        <v>12784.248145284739</v>
      </c>
      <c r="C2789" s="1218" t="s">
        <v>3443</v>
      </c>
      <c r="D2789" s="1218" t="str">
        <f t="shared" ref="D2789" si="220">D2753</f>
        <v>TOTAL</v>
      </c>
      <c r="F2789">
        <v>1</v>
      </c>
      <c r="G2789" t="s">
        <v>15</v>
      </c>
      <c r="H2789" t="s">
        <v>701</v>
      </c>
      <c r="I2789">
        <v>6.0200000000000002E-3</v>
      </c>
      <c r="J2789" t="s">
        <v>702</v>
      </c>
      <c r="K2789" t="s">
        <v>701</v>
      </c>
      <c r="L2789" s="166">
        <f>I2789*B$2789</f>
        <v>76.961173834614129</v>
      </c>
      <c r="M2789" s="127" t="s">
        <v>3367</v>
      </c>
    </row>
    <row r="2790" spans="1:13" x14ac:dyDescent="0.2">
      <c r="A2790" s="1217"/>
      <c r="B2790" s="166"/>
      <c r="E2790" s="83"/>
      <c r="H2790" t="s">
        <v>703</v>
      </c>
      <c r="I2790" s="33">
        <v>1.2843299999999999E-6</v>
      </c>
      <c r="J2790" t="s">
        <v>704</v>
      </c>
      <c r="K2790" t="s">
        <v>703</v>
      </c>
      <c r="L2790" s="166">
        <f t="shared" ref="L2790:L2798" si="221">I2790*B$2789</f>
        <v>1.6419193420433548E-2</v>
      </c>
      <c r="M2790" s="127" t="s">
        <v>3368</v>
      </c>
    </row>
    <row r="2791" spans="1:13" x14ac:dyDescent="0.2">
      <c r="A2791" s="1217"/>
      <c r="B2791" s="166"/>
      <c r="E2791" s="83"/>
      <c r="H2791" t="s">
        <v>705</v>
      </c>
      <c r="I2791">
        <v>67.217029999999994</v>
      </c>
      <c r="J2791" t="s">
        <v>706</v>
      </c>
      <c r="K2791" t="s">
        <v>705</v>
      </c>
      <c r="L2791" s="166">
        <f t="shared" si="221"/>
        <v>859319.19110904855</v>
      </c>
      <c r="M2791" s="127" t="s">
        <v>3370</v>
      </c>
    </row>
    <row r="2792" spans="1:13" x14ac:dyDescent="0.2">
      <c r="A2792" s="1217"/>
      <c r="B2792" s="166"/>
      <c r="E2792" s="83"/>
      <c r="H2792" t="s">
        <v>3372</v>
      </c>
      <c r="I2792">
        <v>7.6999999999999996E-4</v>
      </c>
      <c r="J2792" t="s">
        <v>3373</v>
      </c>
      <c r="K2792" t="s">
        <v>3372</v>
      </c>
      <c r="L2792" s="166">
        <f t="shared" si="221"/>
        <v>9.8438710718692484</v>
      </c>
      <c r="M2792" s="127" t="s">
        <v>3374</v>
      </c>
    </row>
    <row r="2793" spans="1:13" x14ac:dyDescent="0.2">
      <c r="A2793" s="1217"/>
      <c r="B2793" s="166"/>
      <c r="E2793" s="83"/>
      <c r="H2793" t="s">
        <v>3375</v>
      </c>
      <c r="I2793">
        <v>4.1700000000000001E-3</v>
      </c>
      <c r="J2793" t="s">
        <v>707</v>
      </c>
      <c r="K2793" t="s">
        <v>3375</v>
      </c>
      <c r="L2793" s="166">
        <f t="shared" si="221"/>
        <v>53.310314765837362</v>
      </c>
      <c r="M2793" s="127" t="s">
        <v>3376</v>
      </c>
    </row>
    <row r="2794" spans="1:13" x14ac:dyDescent="0.2">
      <c r="A2794" s="1217"/>
      <c r="B2794" s="166"/>
      <c r="E2794" s="83"/>
      <c r="H2794" t="s">
        <v>708</v>
      </c>
      <c r="I2794">
        <v>1.7658199999999999</v>
      </c>
      <c r="J2794" t="s">
        <v>709</v>
      </c>
      <c r="K2794" t="s">
        <v>708</v>
      </c>
      <c r="L2794" s="166">
        <f t="shared" si="221"/>
        <v>22574.681059906696</v>
      </c>
      <c r="M2794" s="127" t="s">
        <v>3377</v>
      </c>
    </row>
    <row r="2795" spans="1:13" x14ac:dyDescent="0.2">
      <c r="A2795" s="1217"/>
      <c r="B2795" s="166"/>
      <c r="E2795" s="83"/>
      <c r="H2795" t="s">
        <v>3378</v>
      </c>
      <c r="I2795" s="33">
        <v>3.4665800000000001E-7</v>
      </c>
      <c r="J2795" t="s">
        <v>704</v>
      </c>
      <c r="K2795" t="s">
        <v>3378</v>
      </c>
      <c r="L2795" s="166">
        <f t="shared" si="221"/>
        <v>4.4317618935481168E-3</v>
      </c>
      <c r="M2795" s="127" t="s">
        <v>3368</v>
      </c>
    </row>
    <row r="2796" spans="1:13" x14ac:dyDescent="0.2">
      <c r="A2796" s="1217"/>
      <c r="B2796" s="166"/>
      <c r="E2796" s="83"/>
      <c r="H2796" t="s">
        <v>710</v>
      </c>
      <c r="I2796" s="33">
        <v>5.15501E-8</v>
      </c>
      <c r="J2796" t="s">
        <v>3379</v>
      </c>
      <c r="K2796" t="s">
        <v>710</v>
      </c>
      <c r="L2796" s="166">
        <f t="shared" si="221"/>
        <v>6.5902927031424277E-4</v>
      </c>
      <c r="M2796" s="127" t="s">
        <v>3380</v>
      </c>
    </row>
    <row r="2797" spans="1:13" x14ac:dyDescent="0.2">
      <c r="A2797" s="1217"/>
      <c r="B2797" s="166"/>
      <c r="E2797" s="83"/>
      <c r="H2797" t="s">
        <v>3381</v>
      </c>
      <c r="I2797">
        <v>2.7299999999999998E-3</v>
      </c>
      <c r="J2797" t="s">
        <v>3382</v>
      </c>
      <c r="K2797" t="s">
        <v>3381</v>
      </c>
      <c r="L2797" s="166">
        <f t="shared" si="221"/>
        <v>34.900997436627335</v>
      </c>
      <c r="M2797" s="127" t="s">
        <v>3383</v>
      </c>
    </row>
    <row r="2798" spans="1:13" x14ac:dyDescent="0.2">
      <c r="A2798" s="1217"/>
      <c r="B2798" s="166"/>
      <c r="E2798" s="83"/>
      <c r="H2798" t="s">
        <v>3384</v>
      </c>
      <c r="I2798">
        <v>0.10051</v>
      </c>
      <c r="J2798" t="s">
        <v>711</v>
      </c>
      <c r="K2798" t="s">
        <v>3384</v>
      </c>
      <c r="L2798" s="166">
        <f t="shared" si="221"/>
        <v>1284.9447810825691</v>
      </c>
      <c r="M2798" s="127" t="s">
        <v>3385</v>
      </c>
    </row>
    <row r="2799" spans="1:13" x14ac:dyDescent="0.2">
      <c r="A2799" s="1217"/>
      <c r="B2799" s="166"/>
      <c r="E2799" s="83"/>
      <c r="L2799" s="166"/>
      <c r="M2799" s="127"/>
    </row>
    <row r="2800" spans="1:13" ht="16" x14ac:dyDescent="0.2">
      <c r="A2800" s="1215" t="s">
        <v>1089</v>
      </c>
      <c r="B2800" s="1245">
        <v>532677.00605353073</v>
      </c>
      <c r="C2800" s="1245" t="s">
        <v>2445</v>
      </c>
      <c r="D2800" s="1245">
        <v>10</v>
      </c>
      <c r="E2800" s="1216" t="s">
        <v>3393</v>
      </c>
      <c r="F2800" s="110"/>
      <c r="G2800" s="110"/>
      <c r="H2800" s="110"/>
      <c r="I2800" s="110"/>
      <c r="J2800" s="110"/>
      <c r="K2800" s="110"/>
      <c r="L2800" s="845"/>
      <c r="M2800" s="112"/>
    </row>
    <row r="2801" spans="1:13" x14ac:dyDescent="0.2">
      <c r="A2801" s="1217"/>
      <c r="B2801" s="1218">
        <v>12784.248145284739</v>
      </c>
      <c r="C2801" s="1218" t="s">
        <v>3443</v>
      </c>
      <c r="D2801" s="1218" t="s">
        <v>586</v>
      </c>
      <c r="F2801">
        <v>1</v>
      </c>
      <c r="G2801" t="s">
        <v>15</v>
      </c>
      <c r="H2801" t="s">
        <v>701</v>
      </c>
      <c r="I2801">
        <v>6.0200000000000002E-3</v>
      </c>
      <c r="J2801" t="s">
        <v>702</v>
      </c>
      <c r="K2801" t="s">
        <v>701</v>
      </c>
      <c r="L2801" s="166">
        <f>B$2801*I2801</f>
        <v>76.961173834614129</v>
      </c>
      <c r="M2801" s="127" t="s">
        <v>3367</v>
      </c>
    </row>
    <row r="2802" spans="1:13" x14ac:dyDescent="0.2">
      <c r="A2802" s="1217"/>
      <c r="B2802" s="166"/>
      <c r="E2802" s="83"/>
      <c r="H2802" t="s">
        <v>703</v>
      </c>
      <c r="I2802" s="33">
        <v>1.2843299999999999E-6</v>
      </c>
      <c r="J2802" t="s">
        <v>704</v>
      </c>
      <c r="K2802" t="s">
        <v>703</v>
      </c>
      <c r="L2802" s="166">
        <f t="shared" ref="L2802:L2810" si="222">B$2801*I2802</f>
        <v>1.6419193420433548E-2</v>
      </c>
      <c r="M2802" s="127" t="s">
        <v>3368</v>
      </c>
    </row>
    <row r="2803" spans="1:13" x14ac:dyDescent="0.2">
      <c r="A2803" s="1217"/>
      <c r="B2803" s="166"/>
      <c r="E2803" s="83"/>
      <c r="H2803" t="s">
        <v>705</v>
      </c>
      <c r="I2803">
        <v>67.217029999999994</v>
      </c>
      <c r="J2803" t="s">
        <v>706</v>
      </c>
      <c r="K2803" t="s">
        <v>705</v>
      </c>
      <c r="L2803" s="166">
        <f t="shared" si="222"/>
        <v>859319.19110904855</v>
      </c>
      <c r="M2803" s="127" t="s">
        <v>3370</v>
      </c>
    </row>
    <row r="2804" spans="1:13" x14ac:dyDescent="0.2">
      <c r="A2804" s="1217"/>
      <c r="B2804" s="166"/>
      <c r="E2804" s="83"/>
      <c r="H2804" t="s">
        <v>3372</v>
      </c>
      <c r="I2804">
        <v>7.6999999999999996E-4</v>
      </c>
      <c r="J2804" t="s">
        <v>3373</v>
      </c>
      <c r="K2804" t="s">
        <v>3372</v>
      </c>
      <c r="L2804" s="166">
        <f t="shared" si="222"/>
        <v>9.8438710718692484</v>
      </c>
      <c r="M2804" s="127" t="s">
        <v>3374</v>
      </c>
    </row>
    <row r="2805" spans="1:13" x14ac:dyDescent="0.2">
      <c r="A2805" s="1217"/>
      <c r="B2805" s="166"/>
      <c r="E2805" s="83"/>
      <c r="H2805" t="s">
        <v>3375</v>
      </c>
      <c r="I2805">
        <v>4.1700000000000001E-3</v>
      </c>
      <c r="J2805" t="s">
        <v>707</v>
      </c>
      <c r="K2805" t="s">
        <v>3375</v>
      </c>
      <c r="L2805" s="166">
        <f t="shared" si="222"/>
        <v>53.310314765837362</v>
      </c>
      <c r="M2805" s="127" t="s">
        <v>3376</v>
      </c>
    </row>
    <row r="2806" spans="1:13" x14ac:dyDescent="0.2">
      <c r="A2806" s="1217"/>
      <c r="B2806" s="166"/>
      <c r="E2806" s="83"/>
      <c r="H2806" t="s">
        <v>708</v>
      </c>
      <c r="I2806">
        <v>1.7658199999999999</v>
      </c>
      <c r="J2806" t="s">
        <v>709</v>
      </c>
      <c r="K2806" t="s">
        <v>708</v>
      </c>
      <c r="L2806" s="166">
        <f t="shared" si="222"/>
        <v>22574.681059906696</v>
      </c>
      <c r="M2806" s="127" t="s">
        <v>3377</v>
      </c>
    </row>
    <row r="2807" spans="1:13" x14ac:dyDescent="0.2">
      <c r="A2807" s="1217"/>
      <c r="B2807" s="166"/>
      <c r="E2807" s="83"/>
      <c r="H2807" t="s">
        <v>3378</v>
      </c>
      <c r="I2807" s="33">
        <v>3.4665800000000001E-7</v>
      </c>
      <c r="J2807" t="s">
        <v>704</v>
      </c>
      <c r="K2807" t="s">
        <v>3378</v>
      </c>
      <c r="L2807" s="166">
        <f t="shared" si="222"/>
        <v>4.4317618935481168E-3</v>
      </c>
      <c r="M2807" s="127" t="s">
        <v>3368</v>
      </c>
    </row>
    <row r="2808" spans="1:13" x14ac:dyDescent="0.2">
      <c r="A2808" s="1217"/>
      <c r="B2808" s="166"/>
      <c r="E2808" s="83"/>
      <c r="H2808" t="s">
        <v>710</v>
      </c>
      <c r="I2808" s="33">
        <v>5.15501E-8</v>
      </c>
      <c r="J2808" t="s">
        <v>3379</v>
      </c>
      <c r="K2808" t="s">
        <v>710</v>
      </c>
      <c r="L2808" s="166">
        <f t="shared" si="222"/>
        <v>6.5902927031424277E-4</v>
      </c>
      <c r="M2808" s="127" t="s">
        <v>3380</v>
      </c>
    </row>
    <row r="2809" spans="1:13" x14ac:dyDescent="0.2">
      <c r="A2809" s="1217"/>
      <c r="B2809" s="166"/>
      <c r="E2809" s="83"/>
      <c r="H2809" t="s">
        <v>3381</v>
      </c>
      <c r="I2809">
        <v>2.7299999999999998E-3</v>
      </c>
      <c r="J2809" t="s">
        <v>3382</v>
      </c>
      <c r="K2809" t="s">
        <v>3381</v>
      </c>
      <c r="L2809" s="166">
        <f t="shared" si="222"/>
        <v>34.900997436627335</v>
      </c>
      <c r="M2809" s="127" t="s">
        <v>3383</v>
      </c>
    </row>
    <row r="2810" spans="1:13" x14ac:dyDescent="0.2">
      <c r="A2810" s="1217"/>
      <c r="B2810" s="166"/>
      <c r="E2810" s="83"/>
      <c r="H2810" t="s">
        <v>3384</v>
      </c>
      <c r="I2810">
        <v>0.10051</v>
      </c>
      <c r="J2810" t="s">
        <v>711</v>
      </c>
      <c r="K2810" t="s">
        <v>3384</v>
      </c>
      <c r="L2810" s="166">
        <f t="shared" si="222"/>
        <v>1284.9447810825691</v>
      </c>
      <c r="M2810" s="127" t="s">
        <v>3385</v>
      </c>
    </row>
    <row r="2811" spans="1:13" x14ac:dyDescent="0.2">
      <c r="A2811" s="1219"/>
      <c r="B2811" s="833"/>
      <c r="C2811" s="1102"/>
      <c r="D2811" s="118"/>
      <c r="E2811" s="1220"/>
      <c r="F2811" s="118"/>
      <c r="G2811" s="118"/>
      <c r="H2811" s="118"/>
      <c r="I2811" s="118"/>
      <c r="J2811" s="118"/>
      <c r="K2811" s="118"/>
      <c r="L2811" s="833"/>
      <c r="M2811" s="120"/>
    </row>
    <row r="2812" spans="1:13" ht="48" x14ac:dyDescent="0.2">
      <c r="A2812" s="637" t="s">
        <v>2544</v>
      </c>
      <c r="B2812" s="387">
        <v>532677.00605353073</v>
      </c>
      <c r="C2812" s="220" t="s">
        <v>2445</v>
      </c>
      <c r="D2812" s="220">
        <v>10</v>
      </c>
      <c r="E2812" s="1230" t="s">
        <v>3437</v>
      </c>
      <c r="F2812" s="110">
        <v>1</v>
      </c>
      <c r="G2812" s="110" t="s">
        <v>3429</v>
      </c>
      <c r="H2812" s="110"/>
      <c r="I2812" s="110"/>
      <c r="J2812" s="110"/>
      <c r="K2812" s="110"/>
      <c r="L2812" s="845"/>
      <c r="M2812" s="112"/>
    </row>
    <row r="2813" spans="1:13" x14ac:dyDescent="0.2">
      <c r="A2813" s="1217"/>
      <c r="B2813" s="1250">
        <f>B2812/1000000*1000</f>
        <v>532.6770060535307</v>
      </c>
      <c r="C2813" s="1237" t="s">
        <v>3445</v>
      </c>
      <c r="D2813" s="1237" t="s">
        <v>586</v>
      </c>
      <c r="E2813" s="83"/>
      <c r="F2813">
        <v>600</v>
      </c>
      <c r="G2813" t="s">
        <v>3438</v>
      </c>
      <c r="H2813" t="s">
        <v>701</v>
      </c>
      <c r="I2813">
        <v>12.44168</v>
      </c>
      <c r="J2813" t="s">
        <v>702</v>
      </c>
      <c r="K2813" t="s">
        <v>701</v>
      </c>
      <c r="L2813" s="166">
        <f>B$2814*I2813</f>
        <v>124.41679999999999</v>
      </c>
      <c r="M2813" s="127" t="s">
        <v>3367</v>
      </c>
    </row>
    <row r="2814" spans="1:13" x14ac:dyDescent="0.2">
      <c r="A2814" s="1217"/>
      <c r="B2814" s="1251">
        <f>ROUNDUP(B2813/F2813,0)*D2812</f>
        <v>10</v>
      </c>
      <c r="C2814" s="1114" t="s">
        <v>3429</v>
      </c>
      <c r="D2814" s="6" t="s">
        <v>586</v>
      </c>
      <c r="E2814" s="83"/>
      <c r="H2814" t="s">
        <v>703</v>
      </c>
      <c r="I2814">
        <v>4.8000000000000001E-4</v>
      </c>
      <c r="J2814" t="s">
        <v>704</v>
      </c>
      <c r="K2814" t="s">
        <v>703</v>
      </c>
      <c r="L2814" s="166">
        <f t="shared" ref="L2814:L2822" si="223">B$2814*I2814</f>
        <v>4.8000000000000004E-3</v>
      </c>
      <c r="M2814" s="127" t="s">
        <v>3368</v>
      </c>
    </row>
    <row r="2815" spans="1:13" x14ac:dyDescent="0.2">
      <c r="A2815" s="1217"/>
      <c r="B2815" s="1119"/>
      <c r="E2815" s="83"/>
      <c r="H2815" t="s">
        <v>705</v>
      </c>
      <c r="I2815" s="33">
        <v>71800.399999999994</v>
      </c>
      <c r="J2815" t="s">
        <v>706</v>
      </c>
      <c r="K2815" t="s">
        <v>705</v>
      </c>
      <c r="L2815" s="166">
        <f t="shared" si="223"/>
        <v>718004</v>
      </c>
      <c r="M2815" s="127" t="s">
        <v>3370</v>
      </c>
    </row>
    <row r="2816" spans="1:13" x14ac:dyDescent="0.2">
      <c r="A2816" s="1217"/>
      <c r="B2816" s="1119"/>
      <c r="E2816" s="83"/>
      <c r="H2816" t="s">
        <v>3372</v>
      </c>
      <c r="I2816">
        <v>0.48496</v>
      </c>
      <c r="J2816" t="s">
        <v>3373</v>
      </c>
      <c r="K2816" t="s">
        <v>3372</v>
      </c>
      <c r="L2816" s="166">
        <f t="shared" si="223"/>
        <v>4.8495999999999997</v>
      </c>
      <c r="M2816" s="127" t="s">
        <v>3374</v>
      </c>
    </row>
    <row r="2817" spans="1:13" x14ac:dyDescent="0.2">
      <c r="A2817" s="1217"/>
      <c r="B2817" s="1119"/>
      <c r="E2817" s="83"/>
      <c r="H2817" t="s">
        <v>3375</v>
      </c>
      <c r="I2817">
        <v>5.6584000000000003</v>
      </c>
      <c r="J2817" t="s">
        <v>707</v>
      </c>
      <c r="K2817" t="s">
        <v>3375</v>
      </c>
      <c r="L2817" s="166">
        <f t="shared" si="223"/>
        <v>56.584000000000003</v>
      </c>
      <c r="M2817" s="127" t="s">
        <v>3376</v>
      </c>
    </row>
    <row r="2818" spans="1:13" x14ac:dyDescent="0.2">
      <c r="A2818" s="1217"/>
      <c r="B2818" s="1119"/>
      <c r="E2818" s="83"/>
      <c r="H2818" t="s">
        <v>708</v>
      </c>
      <c r="I2818">
        <v>950.53150000000005</v>
      </c>
      <c r="J2818" t="s">
        <v>709</v>
      </c>
      <c r="K2818" t="s">
        <v>708</v>
      </c>
      <c r="L2818" s="166">
        <f t="shared" si="223"/>
        <v>9505.3150000000005</v>
      </c>
      <c r="M2818" s="127" t="s">
        <v>3377</v>
      </c>
    </row>
    <row r="2819" spans="1:13" x14ac:dyDescent="0.2">
      <c r="A2819" s="1217"/>
      <c r="B2819" s="1119"/>
      <c r="E2819" s="83"/>
      <c r="H2819" t="s">
        <v>3378</v>
      </c>
      <c r="I2819">
        <v>9.6000000000000002E-4</v>
      </c>
      <c r="J2819" t="s">
        <v>704</v>
      </c>
      <c r="K2819" t="s">
        <v>3378</v>
      </c>
      <c r="L2819" s="166">
        <f t="shared" si="223"/>
        <v>9.6000000000000009E-3</v>
      </c>
      <c r="M2819" s="127" t="s">
        <v>3368</v>
      </c>
    </row>
    <row r="2820" spans="1:13" x14ac:dyDescent="0.2">
      <c r="A2820" s="1217"/>
      <c r="B2820" s="1119"/>
      <c r="E2820" s="83"/>
      <c r="H2820" t="s">
        <v>710</v>
      </c>
      <c r="I2820" s="33">
        <v>1.9998899999999999E-5</v>
      </c>
      <c r="J2820" t="s">
        <v>3379</v>
      </c>
      <c r="K2820" t="s">
        <v>710</v>
      </c>
      <c r="L2820" s="166">
        <f t="shared" si="223"/>
        <v>1.99989E-4</v>
      </c>
      <c r="M2820" s="127" t="s">
        <v>3380</v>
      </c>
    </row>
    <row r="2821" spans="1:13" x14ac:dyDescent="0.2">
      <c r="A2821" s="1217"/>
      <c r="B2821" s="1119"/>
      <c r="E2821" s="83"/>
      <c r="H2821" t="s">
        <v>3381</v>
      </c>
      <c r="I2821">
        <v>1.43174</v>
      </c>
      <c r="J2821" t="s">
        <v>3382</v>
      </c>
      <c r="K2821" t="s">
        <v>3381</v>
      </c>
      <c r="L2821" s="166">
        <f t="shared" si="223"/>
        <v>14.317399999999999</v>
      </c>
      <c r="M2821" s="127" t="s">
        <v>3383</v>
      </c>
    </row>
    <row r="2822" spans="1:13" x14ac:dyDescent="0.2">
      <c r="A2822" s="1217"/>
      <c r="B2822" s="1119"/>
      <c r="E2822" s="83"/>
      <c r="H2822" t="s">
        <v>3384</v>
      </c>
      <c r="I2822">
        <v>65.748800000000003</v>
      </c>
      <c r="J2822" t="s">
        <v>711</v>
      </c>
      <c r="K2822" t="s">
        <v>3384</v>
      </c>
      <c r="L2822" s="166">
        <f t="shared" si="223"/>
        <v>657.48800000000006</v>
      </c>
      <c r="M2822" s="127" t="s">
        <v>3385</v>
      </c>
    </row>
    <row r="2823" spans="1:13" x14ac:dyDescent="0.2">
      <c r="A2823" s="1217"/>
      <c r="B2823" s="1252"/>
      <c r="C2823" s="1102"/>
      <c r="D2823" s="118"/>
      <c r="E2823" s="1220"/>
      <c r="F2823" s="118"/>
      <c r="G2823" s="118"/>
      <c r="H2823" s="118"/>
      <c r="I2823" s="118"/>
      <c r="J2823" s="118"/>
      <c r="K2823" s="118"/>
      <c r="L2823" s="833"/>
      <c r="M2823" s="120"/>
    </row>
    <row r="2824" spans="1:13" s="110" customFormat="1" ht="32" x14ac:dyDescent="0.2">
      <c r="A2824" s="1215" t="s">
        <v>2532</v>
      </c>
      <c r="B2824" s="1253">
        <v>122165342.43665083</v>
      </c>
      <c r="C2824" s="1246" t="s">
        <v>3458</v>
      </c>
      <c r="D2824" s="1246" t="s">
        <v>2279</v>
      </c>
      <c r="E2824" s="159" t="s">
        <v>3466</v>
      </c>
      <c r="F2824" s="110">
        <v>1</v>
      </c>
      <c r="G2824" s="110" t="s">
        <v>15</v>
      </c>
      <c r="L2824" s="845"/>
      <c r="M2824" s="112"/>
    </row>
    <row r="2825" spans="1:13" x14ac:dyDescent="0.2">
      <c r="A2825" s="1217"/>
      <c r="B2825" s="166"/>
      <c r="G2825" t="s">
        <v>3467</v>
      </c>
      <c r="H2825" t="s">
        <v>701</v>
      </c>
      <c r="I2825">
        <v>5.5500000000000002E-3</v>
      </c>
      <c r="J2825" t="s">
        <v>702</v>
      </c>
      <c r="K2825" t="s">
        <v>701</v>
      </c>
      <c r="L2825" s="166">
        <f>I2825*B$2824</f>
        <v>678017.65052341216</v>
      </c>
      <c r="M2825" s="127" t="s">
        <v>3367</v>
      </c>
    </row>
    <row r="2826" spans="1:13" x14ac:dyDescent="0.2">
      <c r="A2826" s="1217"/>
      <c r="B2826" s="166"/>
      <c r="H2826" t="s">
        <v>703</v>
      </c>
      <c r="I2826" s="33">
        <v>1.03831E-7</v>
      </c>
      <c r="J2826" t="s">
        <v>704</v>
      </c>
      <c r="K2826" t="s">
        <v>703</v>
      </c>
      <c r="L2826" s="166">
        <f t="shared" ref="L2826:L2834" si="224">I2826*B$2824</f>
        <v>12.684549670539893</v>
      </c>
      <c r="M2826" s="127" t="s">
        <v>3368</v>
      </c>
    </row>
    <row r="2827" spans="1:13" x14ac:dyDescent="0.2">
      <c r="A2827" s="1217"/>
      <c r="B2827" s="166"/>
      <c r="H2827" t="s">
        <v>705</v>
      </c>
      <c r="I2827">
        <v>16.271909999999998</v>
      </c>
      <c r="J2827" t="s">
        <v>706</v>
      </c>
      <c r="K2827" t="s">
        <v>705</v>
      </c>
      <c r="L2827" s="166">
        <f t="shared" si="224"/>
        <v>1987863457.2483628</v>
      </c>
      <c r="M2827" s="127" t="s">
        <v>3370</v>
      </c>
    </row>
    <row r="2828" spans="1:13" x14ac:dyDescent="0.2">
      <c r="A2828" s="1217"/>
      <c r="B2828" s="1237"/>
      <c r="H2828" t="s">
        <v>3372</v>
      </c>
      <c r="I2828">
        <v>1.7000000000000001E-4</v>
      </c>
      <c r="J2828" t="s">
        <v>3373</v>
      </c>
      <c r="K2828" t="s">
        <v>3372</v>
      </c>
      <c r="L2828" s="166">
        <f t="shared" si="224"/>
        <v>20768.10821423064</v>
      </c>
      <c r="M2828" s="127" t="s">
        <v>3374</v>
      </c>
    </row>
    <row r="2829" spans="1:13" x14ac:dyDescent="0.2">
      <c r="A2829" s="1217"/>
      <c r="B2829" s="166"/>
      <c r="H2829" t="s">
        <v>3375</v>
      </c>
      <c r="I2829">
        <v>3.0000000000000001E-3</v>
      </c>
      <c r="J2829" t="s">
        <v>707</v>
      </c>
      <c r="K2829" t="s">
        <v>3375</v>
      </c>
      <c r="L2829" s="166">
        <f t="shared" si="224"/>
        <v>366496.02730995248</v>
      </c>
      <c r="M2829" s="127" t="s">
        <v>3376</v>
      </c>
    </row>
    <row r="2830" spans="1:13" x14ac:dyDescent="0.2">
      <c r="A2830" s="1217"/>
      <c r="B2830" s="166"/>
      <c r="H2830" t="s">
        <v>708</v>
      </c>
      <c r="I2830">
        <v>1.17967</v>
      </c>
      <c r="J2830" t="s">
        <v>709</v>
      </c>
      <c r="K2830" t="s">
        <v>708</v>
      </c>
      <c r="L2830" s="166">
        <f t="shared" si="224"/>
        <v>144114789.51224387</v>
      </c>
      <c r="M2830" s="127" t="s">
        <v>3377</v>
      </c>
    </row>
    <row r="2831" spans="1:13" x14ac:dyDescent="0.2">
      <c r="A2831" s="1217"/>
      <c r="B2831" s="166"/>
      <c r="H2831" t="s">
        <v>3378</v>
      </c>
      <c r="I2831" s="33">
        <v>2.4951099999999999E-7</v>
      </c>
      <c r="J2831" t="s">
        <v>704</v>
      </c>
      <c r="K2831" t="s">
        <v>3378</v>
      </c>
      <c r="L2831" s="166">
        <f t="shared" si="224"/>
        <v>30.481596756711184</v>
      </c>
      <c r="M2831" s="127" t="s">
        <v>3368</v>
      </c>
    </row>
    <row r="2832" spans="1:13" x14ac:dyDescent="0.2">
      <c r="A2832" s="1217"/>
      <c r="B2832" s="166"/>
      <c r="H2832" t="s">
        <v>710</v>
      </c>
      <c r="I2832" s="33">
        <v>7.05582E-8</v>
      </c>
      <c r="J2832" t="s">
        <v>3379</v>
      </c>
      <c r="K2832" t="s">
        <v>710</v>
      </c>
      <c r="L2832" s="166">
        <f t="shared" si="224"/>
        <v>8.6197666647136959</v>
      </c>
      <c r="M2832" s="127" t="s">
        <v>3380</v>
      </c>
    </row>
    <row r="2833" spans="1:13" x14ac:dyDescent="0.2">
      <c r="A2833" s="1217"/>
      <c r="B2833" s="166"/>
      <c r="H2833" t="s">
        <v>3381</v>
      </c>
      <c r="I2833">
        <v>6.8000000000000005E-4</v>
      </c>
      <c r="J2833" t="s">
        <v>3382</v>
      </c>
      <c r="K2833" t="s">
        <v>3381</v>
      </c>
      <c r="L2833" s="166">
        <f t="shared" si="224"/>
        <v>83072.432856922562</v>
      </c>
      <c r="M2833" s="127" t="s">
        <v>3383</v>
      </c>
    </row>
    <row r="2834" spans="1:13" x14ac:dyDescent="0.2">
      <c r="A2834" s="1217"/>
      <c r="B2834" s="166"/>
      <c r="H2834" t="s">
        <v>3384</v>
      </c>
      <c r="I2834">
        <v>7.639E-2</v>
      </c>
      <c r="J2834" t="s">
        <v>711</v>
      </c>
      <c r="K2834" t="s">
        <v>3384</v>
      </c>
      <c r="L2834" s="166">
        <f t="shared" si="224"/>
        <v>9332210.5087357573</v>
      </c>
      <c r="M2834" s="127" t="s">
        <v>3385</v>
      </c>
    </row>
    <row r="2835" spans="1:13" x14ac:dyDescent="0.2">
      <c r="A2835" s="1219"/>
      <c r="B2835" s="833"/>
      <c r="C2835" s="1102"/>
      <c r="D2835" s="118"/>
      <c r="E2835" s="1220"/>
      <c r="F2835" s="118"/>
      <c r="G2835" s="118"/>
      <c r="H2835" s="118"/>
      <c r="I2835" s="118"/>
      <c r="J2835" s="118"/>
      <c r="K2835" s="118"/>
      <c r="L2835" s="833"/>
      <c r="M2835" s="120"/>
    </row>
    <row r="2836" spans="1:13" ht="16" x14ac:dyDescent="0.2">
      <c r="A2836" s="1215" t="s">
        <v>2377</v>
      </c>
      <c r="B2836" s="1245">
        <v>1875.4740817837121</v>
      </c>
      <c r="C2836" s="1245" t="s">
        <v>267</v>
      </c>
      <c r="D2836" s="1245">
        <v>10</v>
      </c>
      <c r="E2836" s="159" t="s">
        <v>3400</v>
      </c>
      <c r="F2836" s="110">
        <v>1</v>
      </c>
      <c r="G2836" s="110" t="s">
        <v>1</v>
      </c>
      <c r="H2836" s="110"/>
      <c r="I2836" s="110"/>
      <c r="J2836" s="110"/>
      <c r="K2836" s="110"/>
      <c r="L2836" s="845"/>
      <c r="M2836" s="112"/>
    </row>
    <row r="2837" spans="1:13" x14ac:dyDescent="0.2">
      <c r="A2837" s="1217"/>
      <c r="B2837" s="166">
        <f>B2836*10/1000</f>
        <v>18.754740817837124</v>
      </c>
      <c r="C2837" s="133" t="s">
        <v>1</v>
      </c>
      <c r="E2837" s="83"/>
      <c r="F2837">
        <v>1</v>
      </c>
      <c r="H2837" t="s">
        <v>701</v>
      </c>
      <c r="I2837">
        <v>7.5000000000000002E-4</v>
      </c>
      <c r="J2837" t="s">
        <v>702</v>
      </c>
      <c r="K2837" t="s">
        <v>701</v>
      </c>
      <c r="L2837" s="166">
        <f>I2837*B$2838</f>
        <v>0.14066055613377845</v>
      </c>
      <c r="M2837" s="127" t="s">
        <v>3367</v>
      </c>
    </row>
    <row r="2838" spans="1:13" x14ac:dyDescent="0.2">
      <c r="A2838" s="1217"/>
      <c r="B2838" s="1218">
        <f>B2837*D2836</f>
        <v>187.54740817837126</v>
      </c>
      <c r="C2838" s="1114" t="s">
        <v>1</v>
      </c>
      <c r="D2838" s="6" t="s">
        <v>577</v>
      </c>
      <c r="E2838" s="83"/>
      <c r="H2838" t="s">
        <v>703</v>
      </c>
      <c r="I2838" s="33">
        <v>3.3111200000000002E-8</v>
      </c>
      <c r="J2838" t="s">
        <v>704</v>
      </c>
      <c r="K2838" t="s">
        <v>703</v>
      </c>
      <c r="L2838" s="166">
        <f t="shared" ref="L2838:L2846" si="225">I2838*B$2838</f>
        <v>6.2099197416756866E-6</v>
      </c>
      <c r="M2838" s="127" t="s">
        <v>3368</v>
      </c>
    </row>
    <row r="2839" spans="1:13" x14ac:dyDescent="0.2">
      <c r="A2839" s="1217"/>
      <c r="B2839"/>
      <c r="C2839"/>
      <c r="E2839" s="83"/>
      <c r="H2839" t="s">
        <v>705</v>
      </c>
      <c r="I2839">
        <v>4.1968100000000002</v>
      </c>
      <c r="J2839" t="s">
        <v>706</v>
      </c>
      <c r="K2839" t="s">
        <v>705</v>
      </c>
      <c r="L2839" s="166">
        <f t="shared" si="225"/>
        <v>787.10083811707034</v>
      </c>
      <c r="M2839" s="127" t="s">
        <v>3370</v>
      </c>
    </row>
    <row r="2840" spans="1:13" x14ac:dyDescent="0.2">
      <c r="A2840" s="1217"/>
      <c r="B2840"/>
      <c r="C2840"/>
      <c r="E2840" s="83"/>
      <c r="H2840" t="s">
        <v>3372</v>
      </c>
      <c r="I2840">
        <v>3.2000000000000003E-4</v>
      </c>
      <c r="J2840" t="s">
        <v>3373</v>
      </c>
      <c r="K2840" t="s">
        <v>3372</v>
      </c>
      <c r="L2840" s="166">
        <f t="shared" si="225"/>
        <v>6.0015170617078804E-2</v>
      </c>
      <c r="M2840" s="127" t="s">
        <v>3374</v>
      </c>
    </row>
    <row r="2841" spans="1:13" x14ac:dyDescent="0.2">
      <c r="A2841" s="1217"/>
      <c r="B2841"/>
      <c r="C2841"/>
      <c r="E2841" s="83"/>
      <c r="H2841" t="s">
        <v>3375</v>
      </c>
      <c r="I2841">
        <v>5.2999999999999998E-4</v>
      </c>
      <c r="J2841" t="s">
        <v>707</v>
      </c>
      <c r="K2841" t="s">
        <v>3375</v>
      </c>
      <c r="L2841" s="166">
        <f t="shared" si="225"/>
        <v>9.9400126334536765E-2</v>
      </c>
      <c r="M2841" s="127" t="s">
        <v>3376</v>
      </c>
    </row>
    <row r="2842" spans="1:13" x14ac:dyDescent="0.2">
      <c r="A2842" s="1217"/>
      <c r="B2842" s="166"/>
      <c r="E2842" s="83"/>
      <c r="H2842" t="s">
        <v>708</v>
      </c>
      <c r="I2842">
        <v>0.39150000000000001</v>
      </c>
      <c r="J2842" t="s">
        <v>709</v>
      </c>
      <c r="K2842" t="s">
        <v>708</v>
      </c>
      <c r="L2842" s="166">
        <f t="shared" si="225"/>
        <v>73.424810301832352</v>
      </c>
      <c r="M2842" s="127" t="s">
        <v>3377</v>
      </c>
    </row>
    <row r="2843" spans="1:13" x14ac:dyDescent="0.2">
      <c r="A2843" s="1217"/>
      <c r="B2843" s="166"/>
      <c r="E2843" s="83"/>
      <c r="H2843" t="s">
        <v>3378</v>
      </c>
      <c r="I2843" s="33">
        <v>9.8849699999999999E-8</v>
      </c>
      <c r="J2843" t="s">
        <v>704</v>
      </c>
      <c r="K2843" t="s">
        <v>3378</v>
      </c>
      <c r="L2843" s="166">
        <f t="shared" si="225"/>
        <v>1.8539005034209543E-5</v>
      </c>
      <c r="M2843" s="127" t="s">
        <v>3368</v>
      </c>
    </row>
    <row r="2844" spans="1:13" x14ac:dyDescent="0.2">
      <c r="A2844" s="1217"/>
      <c r="B2844" s="166"/>
      <c r="E2844" s="83"/>
      <c r="H2844" t="s">
        <v>710</v>
      </c>
      <c r="I2844" s="33">
        <v>1.51061E-9</v>
      </c>
      <c r="J2844" t="s">
        <v>3379</v>
      </c>
      <c r="K2844" t="s">
        <v>710</v>
      </c>
      <c r="L2844" s="166">
        <f t="shared" si="225"/>
        <v>2.833109902683294E-7</v>
      </c>
      <c r="M2844" s="127" t="s">
        <v>3380</v>
      </c>
    </row>
    <row r="2845" spans="1:13" x14ac:dyDescent="0.2">
      <c r="A2845" s="1217"/>
      <c r="B2845" s="166"/>
      <c r="E2845" s="83"/>
      <c r="H2845" t="s">
        <v>3381</v>
      </c>
      <c r="I2845">
        <v>1.01E-3</v>
      </c>
      <c r="J2845" t="s">
        <v>3382</v>
      </c>
      <c r="K2845" t="s">
        <v>3381</v>
      </c>
      <c r="L2845" s="166">
        <f t="shared" si="225"/>
        <v>0.18942288226015497</v>
      </c>
      <c r="M2845" s="127" t="s">
        <v>3383</v>
      </c>
    </row>
    <row r="2846" spans="1:13" x14ac:dyDescent="0.2">
      <c r="A2846" s="1217"/>
      <c r="B2846" s="166"/>
      <c r="E2846" s="83"/>
      <c r="H2846" t="s">
        <v>3384</v>
      </c>
      <c r="I2846">
        <v>1.2200000000000001E-2</v>
      </c>
      <c r="J2846" t="s">
        <v>711</v>
      </c>
      <c r="K2846" t="s">
        <v>3384</v>
      </c>
      <c r="L2846" s="166">
        <f t="shared" si="225"/>
        <v>2.2880783797761293</v>
      </c>
      <c r="M2846" s="127" t="s">
        <v>3385</v>
      </c>
    </row>
    <row r="2847" spans="1:13" x14ac:dyDescent="0.2">
      <c r="A2847" s="1219"/>
      <c r="B2847" s="833"/>
      <c r="C2847" s="1102"/>
      <c r="D2847" s="118"/>
      <c r="E2847" s="1220"/>
      <c r="F2847" s="118"/>
      <c r="G2847" s="118"/>
      <c r="H2847" s="118"/>
      <c r="I2847" s="118"/>
      <c r="J2847" s="118"/>
      <c r="K2847" s="118"/>
      <c r="L2847" s="833"/>
      <c r="M2847" s="120"/>
    </row>
    <row r="2848" spans="1:13" ht="16" x14ac:dyDescent="0.2">
      <c r="A2848" s="1215" t="s">
        <v>2378</v>
      </c>
      <c r="B2848" s="1245">
        <v>1875.4740817837121</v>
      </c>
      <c r="C2848" s="1245" t="s">
        <v>267</v>
      </c>
      <c r="D2848" s="1245">
        <v>10</v>
      </c>
      <c r="E2848" s="159" t="s">
        <v>3400</v>
      </c>
      <c r="F2848" s="110">
        <v>1</v>
      </c>
      <c r="G2848" s="110" t="s">
        <v>1</v>
      </c>
      <c r="H2848" s="110"/>
      <c r="I2848" s="110"/>
      <c r="J2848" s="110"/>
      <c r="K2848" s="110"/>
      <c r="L2848" s="845"/>
      <c r="M2848" s="112"/>
    </row>
    <row r="2849" spans="1:13" x14ac:dyDescent="0.2">
      <c r="A2849" s="1217"/>
      <c r="B2849" s="166">
        <f>B2848*10/1000</f>
        <v>18.754740817837124</v>
      </c>
      <c r="C2849" s="133" t="s">
        <v>1</v>
      </c>
      <c r="E2849" s="83"/>
      <c r="H2849" t="s">
        <v>701</v>
      </c>
      <c r="I2849">
        <v>7.5000000000000002E-4</v>
      </c>
      <c r="J2849" t="s">
        <v>702</v>
      </c>
      <c r="K2849" t="s">
        <v>701</v>
      </c>
      <c r="L2849" s="166">
        <f>I2849*B$2850</f>
        <v>0.14066055613377845</v>
      </c>
      <c r="M2849" s="127" t="s">
        <v>3367</v>
      </c>
    </row>
    <row r="2850" spans="1:13" x14ac:dyDescent="0.2">
      <c r="A2850" s="1217"/>
      <c r="B2850" s="1218">
        <f>B2849*D2848</f>
        <v>187.54740817837126</v>
      </c>
      <c r="C2850" s="1114" t="s">
        <v>1</v>
      </c>
      <c r="D2850" s="6" t="s">
        <v>577</v>
      </c>
      <c r="E2850" s="83"/>
      <c r="H2850" t="s">
        <v>703</v>
      </c>
      <c r="I2850" s="33">
        <v>3.3111200000000002E-8</v>
      </c>
      <c r="J2850" t="s">
        <v>704</v>
      </c>
      <c r="K2850" t="s">
        <v>703</v>
      </c>
      <c r="L2850" s="166">
        <f t="shared" ref="L2850:L2858" si="226">I2850*B$2850</f>
        <v>6.2099197416756866E-6</v>
      </c>
      <c r="M2850" s="127" t="s">
        <v>3368</v>
      </c>
    </row>
    <row r="2851" spans="1:13" x14ac:dyDescent="0.2">
      <c r="A2851" s="1217"/>
      <c r="B2851" s="166"/>
      <c r="E2851" s="83"/>
      <c r="H2851" t="s">
        <v>705</v>
      </c>
      <c r="I2851">
        <v>4.1968100000000002</v>
      </c>
      <c r="J2851" t="s">
        <v>706</v>
      </c>
      <c r="K2851" t="s">
        <v>705</v>
      </c>
      <c r="L2851" s="166">
        <f t="shared" si="226"/>
        <v>787.10083811707034</v>
      </c>
      <c r="M2851" s="127" t="s">
        <v>3370</v>
      </c>
    </row>
    <row r="2852" spans="1:13" x14ac:dyDescent="0.2">
      <c r="A2852" s="1217"/>
      <c r="B2852" s="166"/>
      <c r="E2852" s="83"/>
      <c r="H2852" t="s">
        <v>3372</v>
      </c>
      <c r="I2852">
        <v>3.2000000000000003E-4</v>
      </c>
      <c r="J2852" t="s">
        <v>3373</v>
      </c>
      <c r="K2852" t="s">
        <v>3372</v>
      </c>
      <c r="L2852" s="166">
        <f t="shared" si="226"/>
        <v>6.0015170617078804E-2</v>
      </c>
      <c r="M2852" s="127" t="s">
        <v>3374</v>
      </c>
    </row>
    <row r="2853" spans="1:13" x14ac:dyDescent="0.2">
      <c r="A2853" s="1217"/>
      <c r="B2853" s="166"/>
      <c r="E2853" s="83"/>
      <c r="H2853" t="s">
        <v>3375</v>
      </c>
      <c r="I2853">
        <v>5.2999999999999998E-4</v>
      </c>
      <c r="J2853" t="s">
        <v>707</v>
      </c>
      <c r="K2853" t="s">
        <v>3375</v>
      </c>
      <c r="L2853" s="166">
        <f t="shared" si="226"/>
        <v>9.9400126334536765E-2</v>
      </c>
      <c r="M2853" s="127" t="s">
        <v>3376</v>
      </c>
    </row>
    <row r="2854" spans="1:13" x14ac:dyDescent="0.2">
      <c r="A2854" s="1217"/>
      <c r="B2854" s="166"/>
      <c r="E2854" s="83"/>
      <c r="H2854" t="s">
        <v>708</v>
      </c>
      <c r="I2854">
        <v>0.39150000000000001</v>
      </c>
      <c r="J2854" t="s">
        <v>709</v>
      </c>
      <c r="K2854" t="s">
        <v>708</v>
      </c>
      <c r="L2854" s="166">
        <f t="shared" si="226"/>
        <v>73.424810301832352</v>
      </c>
      <c r="M2854" s="127" t="s">
        <v>3377</v>
      </c>
    </row>
    <row r="2855" spans="1:13" x14ac:dyDescent="0.2">
      <c r="A2855" s="1217"/>
      <c r="B2855" s="166"/>
      <c r="E2855" s="83"/>
      <c r="H2855" t="s">
        <v>3378</v>
      </c>
      <c r="I2855" s="33">
        <v>9.8849699999999999E-8</v>
      </c>
      <c r="J2855" t="s">
        <v>704</v>
      </c>
      <c r="K2855" t="s">
        <v>3378</v>
      </c>
      <c r="L2855" s="166">
        <f t="shared" si="226"/>
        <v>1.8539005034209543E-5</v>
      </c>
      <c r="M2855" s="127" t="s">
        <v>3368</v>
      </c>
    </row>
    <row r="2856" spans="1:13" x14ac:dyDescent="0.2">
      <c r="A2856" s="1217"/>
      <c r="B2856" s="166"/>
      <c r="E2856" s="83"/>
      <c r="H2856" t="s">
        <v>710</v>
      </c>
      <c r="I2856" s="33">
        <v>1.51061E-9</v>
      </c>
      <c r="J2856" t="s">
        <v>3379</v>
      </c>
      <c r="K2856" t="s">
        <v>710</v>
      </c>
      <c r="L2856" s="166">
        <f t="shared" si="226"/>
        <v>2.833109902683294E-7</v>
      </c>
      <c r="M2856" s="127" t="s">
        <v>3380</v>
      </c>
    </row>
    <row r="2857" spans="1:13" x14ac:dyDescent="0.2">
      <c r="A2857" s="1217"/>
      <c r="B2857" s="166"/>
      <c r="E2857" s="83"/>
      <c r="H2857" t="s">
        <v>3381</v>
      </c>
      <c r="I2857">
        <v>1.01E-3</v>
      </c>
      <c r="J2857" t="s">
        <v>3382</v>
      </c>
      <c r="K2857" t="s">
        <v>3381</v>
      </c>
      <c r="L2857" s="166">
        <f t="shared" si="226"/>
        <v>0.18942288226015497</v>
      </c>
      <c r="M2857" s="127" t="s">
        <v>3383</v>
      </c>
    </row>
    <row r="2858" spans="1:13" x14ac:dyDescent="0.2">
      <c r="A2858" s="1217"/>
      <c r="B2858" s="166"/>
      <c r="E2858" s="83"/>
      <c r="H2858" t="s">
        <v>3384</v>
      </c>
      <c r="I2858">
        <v>1.2200000000000001E-2</v>
      </c>
      <c r="J2858" t="s">
        <v>711</v>
      </c>
      <c r="K2858" t="s">
        <v>3384</v>
      </c>
      <c r="L2858" s="166">
        <f t="shared" si="226"/>
        <v>2.2880783797761293</v>
      </c>
      <c r="M2858" s="127" t="s">
        <v>3385</v>
      </c>
    </row>
    <row r="2859" spans="1:13" x14ac:dyDescent="0.2">
      <c r="A2859" s="1219"/>
      <c r="B2859" s="833"/>
      <c r="C2859" s="1102"/>
      <c r="D2859" s="118"/>
      <c r="E2859" s="1220"/>
      <c r="F2859" s="118"/>
      <c r="G2859" s="118"/>
      <c r="H2859" s="118"/>
      <c r="I2859" s="118"/>
      <c r="J2859" s="118"/>
      <c r="K2859" s="118"/>
      <c r="L2859" s="833"/>
      <c r="M2859" s="120"/>
    </row>
    <row r="2860" spans="1:13" ht="16" x14ac:dyDescent="0.2">
      <c r="A2860" s="1215" t="s">
        <v>2484</v>
      </c>
      <c r="B2860" s="1243">
        <v>750.18963271348491</v>
      </c>
      <c r="C2860" s="1245" t="s">
        <v>1</v>
      </c>
      <c r="D2860" s="1245">
        <v>10</v>
      </c>
      <c r="E2860" s="159" t="s">
        <v>3400</v>
      </c>
      <c r="F2860" s="110">
        <v>1</v>
      </c>
      <c r="G2860" s="110" t="s">
        <v>1</v>
      </c>
      <c r="H2860" s="110"/>
      <c r="I2860" s="110"/>
      <c r="J2860" s="110"/>
      <c r="K2860" s="110"/>
      <c r="L2860" s="845"/>
      <c r="M2860" s="112"/>
    </row>
    <row r="2861" spans="1:13" x14ac:dyDescent="0.2">
      <c r="A2861" s="1217"/>
      <c r="B2861" s="166"/>
      <c r="E2861" s="83"/>
      <c r="H2861" t="s">
        <v>701</v>
      </c>
      <c r="I2861">
        <v>7.5000000000000002E-4</v>
      </c>
      <c r="J2861" t="s">
        <v>702</v>
      </c>
      <c r="K2861" t="s">
        <v>701</v>
      </c>
      <c r="L2861" s="166">
        <f>I2861*B$2862</f>
        <v>5.6264222453511374</v>
      </c>
      <c r="M2861" s="127" t="s">
        <v>3367</v>
      </c>
    </row>
    <row r="2862" spans="1:13" x14ac:dyDescent="0.2">
      <c r="A2862" s="1217"/>
      <c r="B2862" s="1218">
        <f>B2860*D2860</f>
        <v>7501.8963271348493</v>
      </c>
      <c r="C2862" s="1114" t="s">
        <v>1</v>
      </c>
      <c r="D2862" s="6" t="s">
        <v>577</v>
      </c>
      <c r="E2862" s="83"/>
      <c r="H2862" t="s">
        <v>703</v>
      </c>
      <c r="I2862" s="33">
        <v>3.3111200000000002E-8</v>
      </c>
      <c r="J2862" t="s">
        <v>704</v>
      </c>
      <c r="K2862" t="s">
        <v>703</v>
      </c>
      <c r="L2862" s="166">
        <f t="shared" ref="L2862:L2870" si="227">I2862*B$2862</f>
        <v>2.4839678966702742E-4</v>
      </c>
      <c r="M2862" s="127" t="s">
        <v>3368</v>
      </c>
    </row>
    <row r="2863" spans="1:13" x14ac:dyDescent="0.2">
      <c r="A2863" s="1217"/>
      <c r="B2863" s="166"/>
      <c r="E2863" s="83"/>
      <c r="H2863" t="s">
        <v>705</v>
      </c>
      <c r="I2863">
        <v>4.1968100000000002</v>
      </c>
      <c r="J2863" t="s">
        <v>706</v>
      </c>
      <c r="K2863" t="s">
        <v>705</v>
      </c>
      <c r="L2863" s="166">
        <f t="shared" si="227"/>
        <v>31484.033524682807</v>
      </c>
      <c r="M2863" s="127" t="s">
        <v>3370</v>
      </c>
    </row>
    <row r="2864" spans="1:13" x14ac:dyDescent="0.2">
      <c r="A2864" s="1217"/>
      <c r="B2864" s="166"/>
      <c r="E2864" s="83"/>
      <c r="H2864" t="s">
        <v>3372</v>
      </c>
      <c r="I2864">
        <v>3.2000000000000003E-4</v>
      </c>
      <c r="J2864" t="s">
        <v>3373</v>
      </c>
      <c r="K2864" t="s">
        <v>3372</v>
      </c>
      <c r="L2864" s="166">
        <f t="shared" si="227"/>
        <v>2.4006068246831518</v>
      </c>
      <c r="M2864" s="127" t="s">
        <v>3374</v>
      </c>
    </row>
    <row r="2865" spans="1:13" x14ac:dyDescent="0.2">
      <c r="A2865" s="1217"/>
      <c r="B2865" s="166"/>
      <c r="E2865" s="83"/>
      <c r="H2865" t="s">
        <v>3375</v>
      </c>
      <c r="I2865">
        <v>5.2999999999999998E-4</v>
      </c>
      <c r="J2865" t="s">
        <v>707</v>
      </c>
      <c r="K2865" t="s">
        <v>3375</v>
      </c>
      <c r="L2865" s="166">
        <f t="shared" si="227"/>
        <v>3.9760050533814701</v>
      </c>
      <c r="M2865" s="127" t="s">
        <v>3376</v>
      </c>
    </row>
    <row r="2866" spans="1:13" x14ac:dyDescent="0.2">
      <c r="A2866" s="1217"/>
      <c r="B2866" s="166"/>
      <c r="E2866" s="83"/>
      <c r="H2866" t="s">
        <v>708</v>
      </c>
      <c r="I2866">
        <v>0.39150000000000001</v>
      </c>
      <c r="J2866" t="s">
        <v>709</v>
      </c>
      <c r="K2866" t="s">
        <v>708</v>
      </c>
      <c r="L2866" s="166">
        <f t="shared" si="227"/>
        <v>2936.9924120732935</v>
      </c>
      <c r="M2866" s="127" t="s">
        <v>3377</v>
      </c>
    </row>
    <row r="2867" spans="1:13" x14ac:dyDescent="0.2">
      <c r="A2867" s="1217"/>
      <c r="B2867" s="166"/>
      <c r="E2867" s="83"/>
      <c r="H2867" t="s">
        <v>3378</v>
      </c>
      <c r="I2867" s="33">
        <v>9.8849699999999999E-8</v>
      </c>
      <c r="J2867" t="s">
        <v>704</v>
      </c>
      <c r="K2867" t="s">
        <v>3378</v>
      </c>
      <c r="L2867" s="166">
        <f t="shared" si="227"/>
        <v>7.4156020136838165E-4</v>
      </c>
      <c r="M2867" s="127" t="s">
        <v>3368</v>
      </c>
    </row>
    <row r="2868" spans="1:13" x14ac:dyDescent="0.2">
      <c r="A2868" s="1217"/>
      <c r="B2868" s="166"/>
      <c r="E2868" s="83"/>
      <c r="H2868" t="s">
        <v>710</v>
      </c>
      <c r="I2868" s="33">
        <v>1.51061E-9</v>
      </c>
      <c r="J2868" t="s">
        <v>3379</v>
      </c>
      <c r="K2868" t="s">
        <v>710</v>
      </c>
      <c r="L2868" s="166">
        <f t="shared" si="227"/>
        <v>1.1332439610733174E-5</v>
      </c>
      <c r="M2868" s="127" t="s">
        <v>3380</v>
      </c>
    </row>
    <row r="2869" spans="1:13" x14ac:dyDescent="0.2">
      <c r="A2869" s="1217"/>
      <c r="B2869" s="166"/>
      <c r="E2869" s="83"/>
      <c r="H2869" t="s">
        <v>3381</v>
      </c>
      <c r="I2869">
        <v>1.01E-3</v>
      </c>
      <c r="J2869" t="s">
        <v>3382</v>
      </c>
      <c r="K2869" t="s">
        <v>3381</v>
      </c>
      <c r="L2869" s="166">
        <f t="shared" si="227"/>
        <v>7.5769152904061983</v>
      </c>
      <c r="M2869" s="127" t="s">
        <v>3383</v>
      </c>
    </row>
    <row r="2870" spans="1:13" x14ac:dyDescent="0.2">
      <c r="A2870" s="1217"/>
      <c r="B2870" s="166"/>
      <c r="E2870" s="83"/>
      <c r="H2870" t="s">
        <v>3384</v>
      </c>
      <c r="I2870">
        <v>1.2200000000000001E-2</v>
      </c>
      <c r="J2870" t="s">
        <v>711</v>
      </c>
      <c r="K2870" t="s">
        <v>3384</v>
      </c>
      <c r="L2870" s="166">
        <f t="shared" si="227"/>
        <v>91.523135191045171</v>
      </c>
      <c r="M2870" s="127" t="s">
        <v>3385</v>
      </c>
    </row>
    <row r="2871" spans="1:13" x14ac:dyDescent="0.2">
      <c r="A2871" s="1219"/>
      <c r="B2871" s="833"/>
      <c r="C2871" s="1102"/>
      <c r="D2871" s="118"/>
      <c r="E2871" s="1220"/>
      <c r="F2871" s="118"/>
      <c r="G2871" s="118"/>
      <c r="H2871" s="118"/>
      <c r="I2871" s="118"/>
      <c r="J2871" s="118"/>
      <c r="K2871" s="118"/>
      <c r="L2871" s="833"/>
      <c r="M2871" s="120"/>
    </row>
    <row r="2872" spans="1:13" ht="32" x14ac:dyDescent="0.2">
      <c r="A2872" s="1215" t="s">
        <v>714</v>
      </c>
      <c r="B2872" s="1254">
        <v>4377751.5771719171</v>
      </c>
      <c r="C2872" s="1232" t="s">
        <v>3430</v>
      </c>
      <c r="D2872" s="110"/>
      <c r="E2872" s="1216" t="s">
        <v>3404</v>
      </c>
      <c r="F2872" s="110">
        <v>1</v>
      </c>
      <c r="G2872" s="110" t="s">
        <v>378</v>
      </c>
      <c r="H2872" s="110"/>
      <c r="I2872" s="110"/>
      <c r="J2872" s="110"/>
      <c r="K2872" s="110"/>
      <c r="L2872" s="845"/>
      <c r="M2872" s="112"/>
    </row>
    <row r="2873" spans="1:13" x14ac:dyDescent="0.2">
      <c r="A2873" s="637"/>
      <c r="B2873" s="166"/>
      <c r="E2873" s="83"/>
      <c r="H2873" t="s">
        <v>701</v>
      </c>
      <c r="I2873">
        <v>7.5000000000000002E-4</v>
      </c>
      <c r="J2873" t="s">
        <v>702</v>
      </c>
      <c r="K2873" t="s">
        <v>701</v>
      </c>
      <c r="L2873" s="166">
        <f>I2873*B$2872</f>
        <v>3283.3136828789379</v>
      </c>
      <c r="M2873" s="127" t="s">
        <v>3367</v>
      </c>
    </row>
    <row r="2874" spans="1:13" x14ac:dyDescent="0.2">
      <c r="A2874" s="1217"/>
      <c r="B2874" s="166"/>
      <c r="E2874" s="83"/>
      <c r="H2874" t="s">
        <v>703</v>
      </c>
      <c r="I2874" s="33">
        <v>3.3111200000000002E-8</v>
      </c>
      <c r="J2874" t="s">
        <v>704</v>
      </c>
      <c r="K2874" t="s">
        <v>703</v>
      </c>
      <c r="L2874" s="166">
        <f t="shared" ref="L2874:L2882" si="228">I2874*B$2872</f>
        <v>0.14495260802205479</v>
      </c>
      <c r="M2874" s="127" t="s">
        <v>3368</v>
      </c>
    </row>
    <row r="2875" spans="1:13" x14ac:dyDescent="0.2">
      <c r="A2875" s="1217"/>
      <c r="B2875" s="166"/>
      <c r="E2875" s="83"/>
      <c r="H2875" t="s">
        <v>705</v>
      </c>
      <c r="I2875">
        <v>4.1968100000000002</v>
      </c>
      <c r="J2875" t="s">
        <v>706</v>
      </c>
      <c r="K2875" t="s">
        <v>705</v>
      </c>
      <c r="L2875" s="166">
        <f t="shared" si="228"/>
        <v>18372591.596590873</v>
      </c>
      <c r="M2875" s="127" t="s">
        <v>3370</v>
      </c>
    </row>
    <row r="2876" spans="1:13" x14ac:dyDescent="0.2">
      <c r="A2876" s="1217"/>
      <c r="B2876" s="166"/>
      <c r="E2876" s="83"/>
      <c r="H2876" t="s">
        <v>3372</v>
      </c>
      <c r="I2876">
        <v>3.2000000000000003E-4</v>
      </c>
      <c r="J2876" t="s">
        <v>3373</v>
      </c>
      <c r="K2876" t="s">
        <v>3372</v>
      </c>
      <c r="L2876" s="166">
        <f t="shared" si="228"/>
        <v>1400.8805046950135</v>
      </c>
      <c r="M2876" s="127" t="s">
        <v>3374</v>
      </c>
    </row>
    <row r="2877" spans="1:13" x14ac:dyDescent="0.2">
      <c r="A2877" s="1217"/>
      <c r="B2877" s="166"/>
      <c r="E2877" s="83"/>
      <c r="H2877" t="s">
        <v>3375</v>
      </c>
      <c r="I2877">
        <v>5.2999999999999998E-4</v>
      </c>
      <c r="J2877" t="s">
        <v>707</v>
      </c>
      <c r="K2877" t="s">
        <v>3375</v>
      </c>
      <c r="L2877" s="166">
        <f t="shared" si="228"/>
        <v>2320.2083359011158</v>
      </c>
      <c r="M2877" s="127" t="s">
        <v>3376</v>
      </c>
    </row>
    <row r="2878" spans="1:13" x14ac:dyDescent="0.2">
      <c r="A2878" s="1217"/>
      <c r="B2878" s="166"/>
      <c r="E2878" s="83"/>
      <c r="H2878" t="s">
        <v>708</v>
      </c>
      <c r="I2878">
        <v>0.39150000000000001</v>
      </c>
      <c r="J2878" t="s">
        <v>709</v>
      </c>
      <c r="K2878" t="s">
        <v>708</v>
      </c>
      <c r="L2878" s="166">
        <f t="shared" si="228"/>
        <v>1713889.7424628057</v>
      </c>
      <c r="M2878" s="127" t="s">
        <v>3377</v>
      </c>
    </row>
    <row r="2879" spans="1:13" x14ac:dyDescent="0.2">
      <c r="A2879" s="1217"/>
      <c r="B2879" s="166"/>
      <c r="E2879" s="83"/>
      <c r="H2879" t="s">
        <v>3378</v>
      </c>
      <c r="I2879" s="33">
        <v>9.8849699999999999E-8</v>
      </c>
      <c r="J2879" t="s">
        <v>704</v>
      </c>
      <c r="K2879" t="s">
        <v>3378</v>
      </c>
      <c r="L2879" s="166">
        <f t="shared" si="228"/>
        <v>0.43273943007797083</v>
      </c>
      <c r="M2879" s="127" t="s">
        <v>3368</v>
      </c>
    </row>
    <row r="2880" spans="1:13" x14ac:dyDescent="0.2">
      <c r="A2880" s="1217"/>
      <c r="B2880" s="166"/>
      <c r="E2880" s="83"/>
      <c r="H2880" t="s">
        <v>710</v>
      </c>
      <c r="I2880" s="33">
        <v>1.51061E-9</v>
      </c>
      <c r="J2880" t="s">
        <v>3379</v>
      </c>
      <c r="K2880" t="s">
        <v>710</v>
      </c>
      <c r="L2880" s="166">
        <f t="shared" si="228"/>
        <v>6.6130753099916699E-3</v>
      </c>
      <c r="M2880" s="127" t="s">
        <v>3380</v>
      </c>
    </row>
    <row r="2881" spans="1:15" x14ac:dyDescent="0.2">
      <c r="A2881" s="1217"/>
      <c r="B2881" s="166"/>
      <c r="E2881" s="83"/>
      <c r="H2881" t="s">
        <v>3381</v>
      </c>
      <c r="I2881">
        <v>1.01E-3</v>
      </c>
      <c r="J2881" t="s">
        <v>3382</v>
      </c>
      <c r="K2881" t="s">
        <v>3381</v>
      </c>
      <c r="L2881" s="166">
        <f t="shared" si="228"/>
        <v>4421.5290929436369</v>
      </c>
      <c r="M2881" s="127" t="s">
        <v>3383</v>
      </c>
    </row>
    <row r="2882" spans="1:15" x14ac:dyDescent="0.2">
      <c r="A2882" s="1217"/>
      <c r="B2882" s="166"/>
      <c r="E2882" s="83"/>
      <c r="H2882" t="s">
        <v>3384</v>
      </c>
      <c r="I2882">
        <v>1.2200000000000001E-2</v>
      </c>
      <c r="J2882" t="s">
        <v>711</v>
      </c>
      <c r="K2882" t="s">
        <v>3384</v>
      </c>
      <c r="L2882" s="166">
        <f t="shared" si="228"/>
        <v>53408.569241497389</v>
      </c>
      <c r="M2882" s="127" t="s">
        <v>3385</v>
      </c>
    </row>
    <row r="2883" spans="1:15" x14ac:dyDescent="0.2">
      <c r="A2883" s="1219"/>
      <c r="B2883" s="833"/>
      <c r="C2883" s="1102"/>
      <c r="D2883" s="118"/>
      <c r="E2883" s="1220"/>
      <c r="F2883" s="118"/>
      <c r="G2883" s="118"/>
      <c r="H2883" s="118"/>
      <c r="I2883" s="118"/>
      <c r="J2883" s="118"/>
      <c r="K2883" s="118"/>
      <c r="L2883" s="833"/>
      <c r="M2883" s="120"/>
    </row>
    <row r="2887" spans="1:15" ht="16" thickBot="1" x14ac:dyDescent="0.25"/>
    <row r="2888" spans="1:15" ht="14.5" customHeight="1" x14ac:dyDescent="0.2">
      <c r="A2888" s="1914" t="s">
        <v>539</v>
      </c>
      <c r="B2888" s="1915"/>
      <c r="C2888" s="1915"/>
      <c r="D2888" s="1915"/>
      <c r="E2888" s="1915"/>
      <c r="F2888" s="1915"/>
      <c r="G2888" s="1915"/>
      <c r="H2888" s="1915"/>
      <c r="I2888" s="1915"/>
      <c r="J2888" s="1915"/>
      <c r="K2888" s="1915"/>
      <c r="L2888" s="1915"/>
      <c r="M2888" s="1915"/>
      <c r="N2888" s="1915"/>
      <c r="O2888" s="1916"/>
    </row>
    <row r="2889" spans="1:15" ht="15" customHeight="1" thickBot="1" x14ac:dyDescent="0.25">
      <c r="A2889" s="1917"/>
      <c r="B2889" s="1918"/>
      <c r="C2889" s="1918"/>
      <c r="D2889" s="1918"/>
      <c r="E2889" s="1918"/>
      <c r="F2889" s="1918"/>
      <c r="G2889" s="1918"/>
      <c r="H2889" s="1918"/>
      <c r="I2889" s="1918"/>
      <c r="J2889" s="1918"/>
      <c r="K2889" s="1918"/>
      <c r="L2889" s="1918"/>
      <c r="M2889" s="1918"/>
      <c r="N2889" s="1918"/>
      <c r="O2889" s="1919"/>
    </row>
    <row r="2890" spans="1:15" s="6" customFormat="1" x14ac:dyDescent="0.2">
      <c r="A2890" s="1920" t="s">
        <v>697</v>
      </c>
      <c r="B2890" s="1515" t="s">
        <v>698</v>
      </c>
      <c r="C2890" s="1515"/>
      <c r="D2890" s="1515"/>
      <c r="E2890" s="1921" t="s">
        <v>3362</v>
      </c>
      <c r="F2890" s="1515" t="s">
        <v>699</v>
      </c>
      <c r="G2890" s="1515"/>
      <c r="H2890" s="1515" t="s">
        <v>3363</v>
      </c>
      <c r="I2890" s="1515"/>
      <c r="J2890" s="1515"/>
      <c r="K2890" s="1515" t="s">
        <v>700</v>
      </c>
      <c r="L2890" s="1515"/>
      <c r="M2890" s="1515"/>
    </row>
    <row r="2891" spans="1:15" s="6" customFormat="1" ht="15.75" customHeight="1" x14ac:dyDescent="0.2">
      <c r="A2891" s="1520"/>
      <c r="B2891" s="1214" t="s">
        <v>515</v>
      </c>
      <c r="C2891" s="969" t="s">
        <v>372</v>
      </c>
      <c r="D2891" s="969" t="s">
        <v>583</v>
      </c>
      <c r="E2891" s="1922"/>
      <c r="F2891" s="969" t="s">
        <v>42</v>
      </c>
      <c r="G2891" s="969" t="s">
        <v>372</v>
      </c>
      <c r="H2891" s="29" t="s">
        <v>697</v>
      </c>
      <c r="I2891" s="969" t="s">
        <v>42</v>
      </c>
      <c r="J2891" s="969" t="s">
        <v>372</v>
      </c>
      <c r="K2891" s="969" t="s">
        <v>697</v>
      </c>
      <c r="L2891" s="1214" t="s">
        <v>42</v>
      </c>
      <c r="M2891" s="969" t="s">
        <v>372</v>
      </c>
    </row>
    <row r="2892" spans="1:15" ht="32" x14ac:dyDescent="0.2">
      <c r="A2892" s="486" t="s">
        <v>2317</v>
      </c>
      <c r="B2892" s="220">
        <v>0.12453669384729429</v>
      </c>
      <c r="C2892" s="220" t="s">
        <v>6</v>
      </c>
      <c r="D2892" s="220">
        <v>1</v>
      </c>
      <c r="E2892" s="159" t="s">
        <v>3468</v>
      </c>
      <c r="F2892" s="110">
        <v>1</v>
      </c>
      <c r="G2892" s="110" t="s">
        <v>3469</v>
      </c>
      <c r="H2892" s="110"/>
      <c r="I2892" s="110"/>
      <c r="J2892" s="110"/>
      <c r="K2892" s="110"/>
      <c r="L2892" s="845"/>
      <c r="M2892" s="112"/>
    </row>
    <row r="2893" spans="1:15" x14ac:dyDescent="0.2">
      <c r="A2893" s="637" t="s">
        <v>2318</v>
      </c>
      <c r="B2893" s="76">
        <v>527.43148745560734</v>
      </c>
      <c r="C2893" s="76" t="s">
        <v>6</v>
      </c>
      <c r="D2893" s="76">
        <v>1</v>
      </c>
      <c r="H2893" t="s">
        <v>701</v>
      </c>
      <c r="I2893">
        <v>6.0899999999999999E-3</v>
      </c>
      <c r="J2893" t="s">
        <v>702</v>
      </c>
      <c r="K2893" t="s">
        <v>701</v>
      </c>
      <c r="L2893" s="166">
        <f>I2893*B$2899</f>
        <v>1.5951873531558045</v>
      </c>
      <c r="M2893" s="127" t="s">
        <v>3367</v>
      </c>
    </row>
    <row r="2894" spans="1:15" x14ac:dyDescent="0.2">
      <c r="A2894" s="637" t="s">
        <v>2473</v>
      </c>
      <c r="B2894" s="76">
        <v>2.2051582751790884</v>
      </c>
      <c r="C2894" s="76" t="s">
        <v>6</v>
      </c>
      <c r="D2894" s="76">
        <v>1</v>
      </c>
      <c r="H2894" t="s">
        <v>703</v>
      </c>
      <c r="I2894" s="33">
        <v>4.3173099999999998E-8</v>
      </c>
      <c r="J2894" t="s">
        <v>704</v>
      </c>
      <c r="K2894" t="s">
        <v>703</v>
      </c>
      <c r="L2894" s="166">
        <f t="shared" ref="L2894:L2902" si="229">I2894*B$2899</f>
        <v>1.1308568656244805E-5</v>
      </c>
      <c r="M2894" s="127" t="s">
        <v>3368</v>
      </c>
    </row>
    <row r="2895" spans="1:15" x14ac:dyDescent="0.2">
      <c r="A2895" s="637" t="s">
        <v>2474</v>
      </c>
      <c r="B2895" s="76">
        <v>38.897645023769108</v>
      </c>
      <c r="C2895" s="76" t="s">
        <v>6</v>
      </c>
      <c r="D2895" s="76">
        <v>1</v>
      </c>
      <c r="H2895" t="s">
        <v>705</v>
      </c>
      <c r="I2895">
        <v>2.27515</v>
      </c>
      <c r="J2895" t="s">
        <v>706</v>
      </c>
      <c r="K2895" t="s">
        <v>705</v>
      </c>
      <c r="L2895" s="166">
        <f t="shared" si="229"/>
        <v>595.94261191008684</v>
      </c>
      <c r="M2895" s="127" t="s">
        <v>3370</v>
      </c>
    </row>
    <row r="2896" spans="1:15" x14ac:dyDescent="0.2">
      <c r="A2896" s="637" t="s">
        <v>2475</v>
      </c>
      <c r="B2896" s="76">
        <v>78.598020756115645</v>
      </c>
      <c r="C2896" s="76" t="s">
        <v>6</v>
      </c>
      <c r="D2896" s="76">
        <v>1</v>
      </c>
      <c r="H2896" t="s">
        <v>3372</v>
      </c>
      <c r="I2896">
        <v>3.8000000000000002E-4</v>
      </c>
      <c r="J2896" t="s">
        <v>3373</v>
      </c>
      <c r="K2896" t="s">
        <v>3372</v>
      </c>
      <c r="L2896" s="166">
        <f t="shared" si="229"/>
        <v>9.9535499868506697E-2</v>
      </c>
      <c r="M2896" s="127" t="s">
        <v>3374</v>
      </c>
    </row>
    <row r="2897" spans="1:13" x14ac:dyDescent="0.2">
      <c r="A2897" s="637"/>
      <c r="B2897" s="166"/>
      <c r="H2897" t="s">
        <v>3375</v>
      </c>
      <c r="I2897">
        <v>7.79E-3</v>
      </c>
      <c r="J2897" t="s">
        <v>707</v>
      </c>
      <c r="K2897" t="s">
        <v>3375</v>
      </c>
      <c r="L2897" s="166">
        <f t="shared" si="229"/>
        <v>2.0404777473043874</v>
      </c>
      <c r="M2897" s="127" t="s">
        <v>3376</v>
      </c>
    </row>
    <row r="2898" spans="1:13" x14ac:dyDescent="0.2">
      <c r="A2898" s="637" t="s">
        <v>586</v>
      </c>
      <c r="B2898" s="1237">
        <f>SUM(B2892:B2896)</f>
        <v>647.25684820451841</v>
      </c>
      <c r="C2898" s="133" t="s">
        <v>6</v>
      </c>
      <c r="H2898" t="s">
        <v>708</v>
      </c>
      <c r="I2898">
        <v>136.64240000000001</v>
      </c>
      <c r="J2898" t="s">
        <v>709</v>
      </c>
      <c r="K2898" t="s">
        <v>708</v>
      </c>
      <c r="L2898" s="166">
        <f t="shared" si="229"/>
        <v>35791.498913769581</v>
      </c>
      <c r="M2898" s="127" t="s">
        <v>3377</v>
      </c>
    </row>
    <row r="2899" spans="1:13" x14ac:dyDescent="0.2">
      <c r="A2899" s="637"/>
      <c r="B2899" s="1218">
        <f>B2898*0.4046856</f>
        <v>261.93552596975445</v>
      </c>
      <c r="C2899" s="1114" t="s">
        <v>3469</v>
      </c>
      <c r="H2899" t="s">
        <v>3378</v>
      </c>
      <c r="I2899" s="33">
        <v>3.5152600000000002E-8</v>
      </c>
      <c r="J2899" t="s">
        <v>704</v>
      </c>
      <c r="K2899" t="s">
        <v>3378</v>
      </c>
      <c r="L2899" s="166">
        <f t="shared" si="229"/>
        <v>9.2077147702043907E-6</v>
      </c>
      <c r="M2899" s="127" t="s">
        <v>3368</v>
      </c>
    </row>
    <row r="2900" spans="1:13" x14ac:dyDescent="0.2">
      <c r="A2900" s="637"/>
      <c r="B2900" s="166"/>
      <c r="H2900" t="s">
        <v>710</v>
      </c>
      <c r="I2900" s="33">
        <v>1.3704599999999999E-8</v>
      </c>
      <c r="J2900" t="s">
        <v>3379</v>
      </c>
      <c r="K2900" t="s">
        <v>710</v>
      </c>
      <c r="L2900" s="166">
        <f t="shared" si="229"/>
        <v>3.5897216092050968E-6</v>
      </c>
      <c r="M2900" s="127" t="s">
        <v>3380</v>
      </c>
    </row>
    <row r="2901" spans="1:13" x14ac:dyDescent="0.2">
      <c r="A2901" s="637"/>
      <c r="B2901" s="166"/>
      <c r="H2901" t="s">
        <v>3381</v>
      </c>
      <c r="I2901">
        <v>8.5999999999999998E-4</v>
      </c>
      <c r="J2901" t="s">
        <v>3382</v>
      </c>
      <c r="K2901" t="s">
        <v>3381</v>
      </c>
      <c r="L2901" s="166">
        <f t="shared" si="229"/>
        <v>0.22526455233398882</v>
      </c>
      <c r="M2901" s="127" t="s">
        <v>3383</v>
      </c>
    </row>
    <row r="2902" spans="1:13" x14ac:dyDescent="0.2">
      <c r="A2902" s="637"/>
      <c r="B2902" s="166"/>
      <c r="H2902" t="s">
        <v>3384</v>
      </c>
      <c r="I2902">
        <v>0.19822999999999999</v>
      </c>
      <c r="J2902" t="s">
        <v>711</v>
      </c>
      <c r="K2902" t="s">
        <v>3384</v>
      </c>
      <c r="L2902" s="166">
        <f t="shared" si="229"/>
        <v>51.923479312984419</v>
      </c>
      <c r="M2902" s="127" t="s">
        <v>3385</v>
      </c>
    </row>
    <row r="2903" spans="1:13" x14ac:dyDescent="0.2">
      <c r="A2903" s="414"/>
      <c r="B2903" s="833"/>
      <c r="C2903" s="1102"/>
      <c r="D2903" s="118"/>
      <c r="E2903" s="1235"/>
      <c r="F2903" s="118"/>
      <c r="G2903" s="118"/>
      <c r="H2903" s="118"/>
      <c r="I2903" s="118"/>
      <c r="J2903" s="118"/>
      <c r="K2903" s="118"/>
      <c r="L2903" s="833"/>
      <c r="M2903" s="120"/>
    </row>
  </sheetData>
  <mergeCells count="163">
    <mergeCell ref="A2:P3"/>
    <mergeCell ref="A4:A5"/>
    <mergeCell ref="B4:D4"/>
    <mergeCell ref="E4:E5"/>
    <mergeCell ref="F4:G4"/>
    <mergeCell ref="H4:J4"/>
    <mergeCell ref="K4:M4"/>
    <mergeCell ref="A280:O281"/>
    <mergeCell ref="A282:A283"/>
    <mergeCell ref="B282:D282"/>
    <mergeCell ref="E282:E283"/>
    <mergeCell ref="F282:G282"/>
    <mergeCell ref="H282:J282"/>
    <mergeCell ref="K282:M282"/>
    <mergeCell ref="A70:P71"/>
    <mergeCell ref="A72:A73"/>
    <mergeCell ref="B72:D72"/>
    <mergeCell ref="E72:E73"/>
    <mergeCell ref="F72:G72"/>
    <mergeCell ref="H72:J72"/>
    <mergeCell ref="K72:M72"/>
    <mergeCell ref="A658:O659"/>
    <mergeCell ref="A660:A661"/>
    <mergeCell ref="B660:D660"/>
    <mergeCell ref="E660:E661"/>
    <mergeCell ref="F660:G660"/>
    <mergeCell ref="H660:J660"/>
    <mergeCell ref="K660:M660"/>
    <mergeCell ref="A541:O542"/>
    <mergeCell ref="A543:A544"/>
    <mergeCell ref="B543:D543"/>
    <mergeCell ref="E543:E544"/>
    <mergeCell ref="F543:G543"/>
    <mergeCell ref="H543:J543"/>
    <mergeCell ref="K543:M543"/>
    <mergeCell ref="A754:O755"/>
    <mergeCell ref="A756:A757"/>
    <mergeCell ref="B756:D756"/>
    <mergeCell ref="E756:E757"/>
    <mergeCell ref="F756:G756"/>
    <mergeCell ref="H756:J756"/>
    <mergeCell ref="K756:M756"/>
    <mergeCell ref="A700:O701"/>
    <mergeCell ref="A702:A703"/>
    <mergeCell ref="B702:D702"/>
    <mergeCell ref="E702:E703"/>
    <mergeCell ref="F702:G702"/>
    <mergeCell ref="H702:J702"/>
    <mergeCell ref="K702:M702"/>
    <mergeCell ref="A884:O885"/>
    <mergeCell ref="A886:A887"/>
    <mergeCell ref="B886:D886"/>
    <mergeCell ref="E886:E887"/>
    <mergeCell ref="F886:G886"/>
    <mergeCell ref="H886:J886"/>
    <mergeCell ref="K886:M886"/>
    <mergeCell ref="A810:O811"/>
    <mergeCell ref="A812:A813"/>
    <mergeCell ref="B812:D812"/>
    <mergeCell ref="E812:E813"/>
    <mergeCell ref="F812:G812"/>
    <mergeCell ref="H812:J812"/>
    <mergeCell ref="K812:M812"/>
    <mergeCell ref="A1152:O1153"/>
    <mergeCell ref="A1154:A1155"/>
    <mergeCell ref="B1154:D1154"/>
    <mergeCell ref="E1154:E1155"/>
    <mergeCell ref="F1154:G1154"/>
    <mergeCell ref="H1154:J1154"/>
    <mergeCell ref="K1154:M1154"/>
    <mergeCell ref="A1072:O1073"/>
    <mergeCell ref="A1074:A1075"/>
    <mergeCell ref="B1074:D1074"/>
    <mergeCell ref="E1074:E1075"/>
    <mergeCell ref="F1074:G1074"/>
    <mergeCell ref="H1074:J1074"/>
    <mergeCell ref="K1074:M1074"/>
    <mergeCell ref="A1374:O1375"/>
    <mergeCell ref="A1376:A1377"/>
    <mergeCell ref="B1376:D1376"/>
    <mergeCell ref="E1376:E1377"/>
    <mergeCell ref="F1376:G1376"/>
    <mergeCell ref="H1376:J1376"/>
    <mergeCell ref="K1376:M1376"/>
    <mergeCell ref="A1231:O1232"/>
    <mergeCell ref="A1235:O1236"/>
    <mergeCell ref="A1237:A1238"/>
    <mergeCell ref="B1237:D1237"/>
    <mergeCell ref="E1237:E1238"/>
    <mergeCell ref="F1237:G1237"/>
    <mergeCell ref="H1237:J1237"/>
    <mergeCell ref="K1237:M1237"/>
    <mergeCell ref="A1655:O1656"/>
    <mergeCell ref="A1657:A1658"/>
    <mergeCell ref="B1657:D1657"/>
    <mergeCell ref="E1657:E1658"/>
    <mergeCell ref="F1657:G1657"/>
    <mergeCell ref="H1657:J1657"/>
    <mergeCell ref="K1657:M1657"/>
    <mergeCell ref="A1540:O1541"/>
    <mergeCell ref="A1542:A1543"/>
    <mergeCell ref="B1542:D1542"/>
    <mergeCell ref="E1542:E1543"/>
    <mergeCell ref="F1542:G1542"/>
    <mergeCell ref="H1542:J1542"/>
    <mergeCell ref="K1542:M1542"/>
    <mergeCell ref="A1875:O1876"/>
    <mergeCell ref="A1880:O1881"/>
    <mergeCell ref="A1882:A1883"/>
    <mergeCell ref="B1882:D1882"/>
    <mergeCell ref="E1882:E1883"/>
    <mergeCell ref="F1882:G1882"/>
    <mergeCell ref="H1882:J1882"/>
    <mergeCell ref="K1882:M1882"/>
    <mergeCell ref="A1795:O1796"/>
    <mergeCell ref="A1797:A1798"/>
    <mergeCell ref="B1797:D1797"/>
    <mergeCell ref="E1797:E1798"/>
    <mergeCell ref="F1797:G1797"/>
    <mergeCell ref="H1797:J1797"/>
    <mergeCell ref="K1797:M1797"/>
    <mergeCell ref="A2278:O2279"/>
    <mergeCell ref="A2280:A2281"/>
    <mergeCell ref="B2280:D2280"/>
    <mergeCell ref="E2280:E2281"/>
    <mergeCell ref="F2280:G2280"/>
    <mergeCell ref="H2280:J2280"/>
    <mergeCell ref="K2280:M2280"/>
    <mergeCell ref="A2139:O2140"/>
    <mergeCell ref="A2141:A2142"/>
    <mergeCell ref="B2141:D2141"/>
    <mergeCell ref="E2141:E2142"/>
    <mergeCell ref="F2141:G2141"/>
    <mergeCell ref="H2141:J2141"/>
    <mergeCell ref="K2141:M2141"/>
    <mergeCell ref="A2582:O2583"/>
    <mergeCell ref="A2584:A2585"/>
    <mergeCell ref="B2584:D2584"/>
    <mergeCell ref="E2584:E2585"/>
    <mergeCell ref="F2584:G2584"/>
    <mergeCell ref="H2584:J2584"/>
    <mergeCell ref="K2584:M2584"/>
    <mergeCell ref="A2417:O2418"/>
    <mergeCell ref="A2419:A2420"/>
    <mergeCell ref="B2419:D2419"/>
    <mergeCell ref="E2419:E2420"/>
    <mergeCell ref="F2419:G2419"/>
    <mergeCell ref="H2419:J2419"/>
    <mergeCell ref="K2419:M2419"/>
    <mergeCell ref="A2888:O2889"/>
    <mergeCell ref="A2890:A2891"/>
    <mergeCell ref="B2890:D2890"/>
    <mergeCell ref="E2890:E2891"/>
    <mergeCell ref="F2890:G2890"/>
    <mergeCell ref="H2890:J2890"/>
    <mergeCell ref="K2890:M2890"/>
    <mergeCell ref="A2712:O2713"/>
    <mergeCell ref="A2714:A2715"/>
    <mergeCell ref="B2714:D2714"/>
    <mergeCell ref="E2714:E2715"/>
    <mergeCell ref="F2714:G2714"/>
    <mergeCell ref="H2714:J2714"/>
    <mergeCell ref="K2714:M2714"/>
  </mergeCells>
  <pageMargins left="0.7" right="0.7" top="0.75" bottom="0.75" header="0.3" footer="0.3"/>
  <pageSetup orientation="landscape" horizontalDpi="0" verticalDpi="0"/>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F35A6-6220-4066-95AB-F7BB020B7E3D}">
  <sheetPr codeName="Sheet19"/>
  <dimension ref="A2:AC710"/>
  <sheetViews>
    <sheetView zoomScale="130" zoomScaleNormal="130" workbookViewId="0">
      <selection activeCell="H685" sqref="H685"/>
    </sheetView>
  </sheetViews>
  <sheetFormatPr baseColWidth="10" defaultColWidth="8.83203125" defaultRowHeight="15" x14ac:dyDescent="0.2"/>
  <cols>
    <col min="1" max="1" width="39.1640625" customWidth="1"/>
    <col min="2" max="2" width="20.33203125" customWidth="1"/>
    <col min="3" max="3" width="17.33203125" customWidth="1"/>
    <col min="4" max="4" width="19" customWidth="1"/>
    <col min="5" max="5" width="13.83203125" bestFit="1" customWidth="1"/>
    <col min="6" max="6" width="11.83203125" customWidth="1"/>
    <col min="7" max="7" width="14.1640625" customWidth="1"/>
    <col min="8" max="10" width="11.83203125" customWidth="1"/>
    <col min="11" max="11" width="15.1640625" customWidth="1"/>
    <col min="12" max="19" width="11.83203125" customWidth="1"/>
    <col min="20" max="21" width="11.83203125" bestFit="1" customWidth="1"/>
    <col min="22" max="22" width="9.33203125" bestFit="1" customWidth="1"/>
  </cols>
  <sheetData>
    <row r="2" spans="1:22" ht="14.5" customHeight="1" x14ac:dyDescent="0.2">
      <c r="A2" s="1961" t="s">
        <v>2317</v>
      </c>
      <c r="B2" s="1962"/>
      <c r="C2" s="1962"/>
      <c r="D2" s="1962"/>
      <c r="E2" s="1962"/>
      <c r="F2" s="1962"/>
      <c r="G2" s="1962"/>
      <c r="H2" s="1962"/>
      <c r="I2" s="1962"/>
      <c r="J2" s="1962"/>
      <c r="K2" s="1962"/>
      <c r="L2" s="1962"/>
      <c r="M2" s="1962"/>
      <c r="N2" s="1962"/>
      <c r="O2" s="1962"/>
      <c r="P2" s="1962"/>
      <c r="Q2" s="1962"/>
      <c r="R2" s="1962"/>
      <c r="S2" s="1962"/>
    </row>
    <row r="3" spans="1:22" ht="14.5" customHeight="1" x14ac:dyDescent="0.2">
      <c r="A3" s="1961"/>
      <c r="B3" s="1962"/>
      <c r="C3" s="1962"/>
      <c r="D3" s="1962"/>
      <c r="E3" s="1962"/>
      <c r="F3" s="1962"/>
      <c r="G3" s="1962"/>
      <c r="H3" s="1962"/>
      <c r="I3" s="1962"/>
      <c r="J3" s="1962"/>
      <c r="K3" s="1962"/>
      <c r="L3" s="1962"/>
      <c r="M3" s="1962"/>
      <c r="N3" s="1962"/>
      <c r="O3" s="1962"/>
      <c r="P3" s="1962"/>
      <c r="Q3" s="1962"/>
      <c r="R3" s="1962"/>
      <c r="S3" s="1962"/>
    </row>
    <row r="4" spans="1:22" ht="16" x14ac:dyDescent="0.2">
      <c r="A4" s="1963" t="s">
        <v>586</v>
      </c>
      <c r="B4" s="1964"/>
      <c r="C4" s="1965"/>
      <c r="D4" s="1966" t="s">
        <v>691</v>
      </c>
      <c r="E4" s="1966"/>
      <c r="F4" s="1966"/>
      <c r="G4" s="1966"/>
      <c r="H4" s="1966"/>
      <c r="I4" s="1966"/>
      <c r="J4" s="1966"/>
      <c r="K4" s="1966"/>
      <c r="L4" s="1966"/>
      <c r="M4" s="1966"/>
      <c r="N4" s="1966"/>
      <c r="O4" s="1966"/>
      <c r="P4" s="1966"/>
      <c r="Q4" s="1966"/>
      <c r="R4" s="1966"/>
      <c r="S4" s="1967"/>
    </row>
    <row r="5" spans="1:22" s="8" customFormat="1" ht="48" x14ac:dyDescent="0.2">
      <c r="A5" s="1255" t="s">
        <v>3470</v>
      </c>
      <c r="B5" s="1255" t="s">
        <v>42</v>
      </c>
      <c r="C5" s="1255" t="s">
        <v>372</v>
      </c>
      <c r="D5" s="1256" t="s">
        <v>1027</v>
      </c>
      <c r="E5" s="1256" t="s">
        <v>2889</v>
      </c>
      <c r="F5" s="1256" t="s">
        <v>533</v>
      </c>
      <c r="G5" s="1256" t="s">
        <v>799</v>
      </c>
      <c r="H5" s="1256" t="s">
        <v>800</v>
      </c>
      <c r="I5" s="1256" t="s">
        <v>802</v>
      </c>
      <c r="J5" s="1256" t="s">
        <v>812</v>
      </c>
      <c r="K5" s="1256" t="s">
        <v>834</v>
      </c>
      <c r="L5" s="1256" t="s">
        <v>835</v>
      </c>
      <c r="M5" s="1256" t="s">
        <v>836</v>
      </c>
      <c r="N5" s="1256" t="s">
        <v>837</v>
      </c>
      <c r="O5" s="1256" t="s">
        <v>745</v>
      </c>
      <c r="P5" s="1177" t="s">
        <v>3471</v>
      </c>
      <c r="Q5" s="1177" t="s">
        <v>3472</v>
      </c>
      <c r="R5" s="1177" t="s">
        <v>2380</v>
      </c>
      <c r="S5" s="1177" t="s">
        <v>2381</v>
      </c>
      <c r="T5" s="1177" t="s">
        <v>2382</v>
      </c>
      <c r="U5" s="1177" t="s">
        <v>2383</v>
      </c>
      <c r="V5" s="1177" t="s">
        <v>714</v>
      </c>
    </row>
    <row r="6" spans="1:22" x14ac:dyDescent="0.2">
      <c r="A6" s="109" t="s">
        <v>701</v>
      </c>
      <c r="B6" s="160">
        <f>LCI_AB!L75+LCI_AB!L87+LCI_AB!L99+LCI_AB!L111+LCI_AB!L123+LCI_AB!L135+LCI_AB!L147+LCI_AB!L159+LCI_AB!L171+LCI_AB!L183+LCI_AB!L195+LCI_AB!L207+LCI_AB!L219+LCI_AB!L231+LCI_AB!L243+LCI_AB!L255+LCI_AB!L267+LCI_AB!L7+LCI_AB!L19</f>
        <v>37820.055430822278</v>
      </c>
      <c r="C6" s="112" t="s">
        <v>3367</v>
      </c>
      <c r="D6" s="122">
        <f>LCI_AB!L75/B6</f>
        <v>3.6870437764180777E-4</v>
      </c>
      <c r="E6" s="122">
        <f>LCI_AB!L87/B6</f>
        <v>8.647890413940017E-5</v>
      </c>
      <c r="F6" s="122">
        <f>LCI_AB!L99/B6</f>
        <v>1.0079504139641733E-3</v>
      </c>
      <c r="G6" s="122">
        <f>LCI_AB!L111/B6</f>
        <v>5.9298275437541854E-2</v>
      </c>
      <c r="H6" s="122">
        <f>LCI_AB!L123/B6</f>
        <v>5.9298275437541854E-2</v>
      </c>
      <c r="I6" s="122">
        <f>LCI_AB!L135/B6</f>
        <v>0.11859655087508371</v>
      </c>
      <c r="J6" s="122">
        <f>LCI_AB!L147/B6</f>
        <v>0.15001174568931566</v>
      </c>
      <c r="K6" s="122">
        <f>LCI_AB!L159/B6</f>
        <v>6.6029964839079544E-3</v>
      </c>
      <c r="L6" s="122">
        <f>LCI_AB!L171/B6</f>
        <v>2.8000983885836188E-3</v>
      </c>
      <c r="M6" s="122">
        <f>LCI_AB!L183/B6</f>
        <v>2.8000983885836188E-3</v>
      </c>
      <c r="N6" s="122">
        <f>LCI_AB!L195/B6</f>
        <v>2.8000983885836188E-3</v>
      </c>
      <c r="O6" s="122">
        <f>LCI_AB!L207/B6</f>
        <v>1.4635306418639105E-3</v>
      </c>
      <c r="P6" s="122">
        <f>LCI_AB!L7/B6</f>
        <v>9.2563913065946517E-3</v>
      </c>
      <c r="Q6" s="122">
        <f>LCI_AB!L19/B6</f>
        <v>3.7512743716199372E-2</v>
      </c>
      <c r="R6" s="122">
        <f>LCI_AB!L219/B6</f>
        <v>2.0709765706204962E-6</v>
      </c>
      <c r="S6" s="122">
        <f>LCI_AB!L231/B6</f>
        <v>2.0709765706204962E-6</v>
      </c>
      <c r="T6" s="122">
        <f>LCI_AB!L243/B6</f>
        <v>2.0709765706204962E-6</v>
      </c>
      <c r="U6" s="122">
        <f>LCI_AB!L255/B6</f>
        <v>3.2321849553762521E-5</v>
      </c>
      <c r="V6" s="122">
        <f>LCI_AB!L267/B6</f>
        <v>0.54805752677118902</v>
      </c>
    </row>
    <row r="7" spans="1:22" x14ac:dyDescent="0.2">
      <c r="A7" s="126" t="s">
        <v>703</v>
      </c>
      <c r="B7" s="100">
        <f>LCI_AB!L76+LCI_AB!L88+LCI_AB!L100+LCI_AB!L112+LCI_AB!L124+LCI_AB!L136+LCI_AB!L148+LCI_AB!L160+LCI_AB!L172+LCI_AB!L184+LCI_AB!L196+LCI_AB!L208+LCI_AB!L220+LCI_AB!L232+LCI_AB!L244+LCI_AB!L256+LCI_AB!L268+LCI_AB!L8+LCI_AB!L20</f>
        <v>1.2129987392954749</v>
      </c>
      <c r="C7" s="127" t="s">
        <v>3368</v>
      </c>
      <c r="D7" s="122">
        <f>LCI_AB!L76/B7</f>
        <v>3.5657182054524089E-2</v>
      </c>
      <c r="E7" s="122">
        <f>LCI_AB!L88/B7</f>
        <v>5.7524403642117178E-4</v>
      </c>
      <c r="F7" s="122">
        <f>LCI_AB!L100/B7</f>
        <v>4.9568457881331957E-4</v>
      </c>
      <c r="G7" s="122">
        <f>LCI_AB!L112/B7</f>
        <v>2.9161395518469326E-2</v>
      </c>
      <c r="H7" s="122">
        <f>LCI_AB!L124/B7</f>
        <v>2.9161395518469326E-2</v>
      </c>
      <c r="I7" s="122">
        <f>LCI_AB!L136/B7</f>
        <v>5.8322791036938652E-2</v>
      </c>
      <c r="J7" s="122">
        <f>LCI_AB!L148/B7</f>
        <v>5.9158178821342236E-2</v>
      </c>
      <c r="K7" s="122">
        <f>LCI_AB!L160/B7</f>
        <v>2.8221099518873478E-3</v>
      </c>
      <c r="L7" s="122">
        <f>LCI_AB!L172/B7</f>
        <v>1.1967574945623298E-3</v>
      </c>
      <c r="M7" s="122">
        <f>LCI_AB!L184/B7</f>
        <v>1.1967574945623298E-3</v>
      </c>
      <c r="N7" s="122">
        <f>LCI_AB!L196/B7</f>
        <v>1.1967574945623298E-3</v>
      </c>
      <c r="O7" s="122">
        <f>LCI_AB!L208/B7</f>
        <v>7.1485639012587466E-3</v>
      </c>
      <c r="P7" s="122">
        <f>LCI_AB!L8/B7</f>
        <v>8.4425555813520865E-4</v>
      </c>
      <c r="Q7" s="122">
        <f>LCI_AB!L20/B7</f>
        <v>1.8609995594883001E-2</v>
      </c>
      <c r="R7" s="122">
        <f>LCI_AB!L220/B7</f>
        <v>2.8506943458114612E-6</v>
      </c>
      <c r="S7" s="122">
        <f>LCI_AB!L232/B7</f>
        <v>2.8506943458114612E-6</v>
      </c>
      <c r="T7" s="122">
        <f>LCI_AB!L244/B7</f>
        <v>2.8506943458114612E-6</v>
      </c>
      <c r="U7" s="122">
        <f>LCI_AB!L256/B7</f>
        <v>4.4490949379245292E-5</v>
      </c>
      <c r="V7" s="122">
        <f>LCI_AB!L268/B7</f>
        <v>0.75439988791275403</v>
      </c>
    </row>
    <row r="8" spans="1:22" x14ac:dyDescent="0.2">
      <c r="A8" s="126" t="s">
        <v>705</v>
      </c>
      <c r="B8" s="100">
        <f>LCI_AB!L77+LCI_AB!L89+LCI_AB!L101+LCI_AB!L113+LCI_AB!L125+LCI_AB!L137+LCI_AB!L149+LCI_AB!L161+LCI_AB!L173+LCI_AB!L185+LCI_AB!L197+LCI_AB!L209+LCI_AB!L221+LCI_AB!L233+LCI_AB!L245+LCI_AB!L257+LCI_AB!L269+LCI_AB!L9+LCI_AB!L21</f>
        <v>179236660.48022214</v>
      </c>
      <c r="C8" s="127" t="s">
        <v>3370</v>
      </c>
      <c r="D8" s="122">
        <f>LCI_AB!L77/B8</f>
        <v>3.4680632740594665E-2</v>
      </c>
      <c r="E8" s="122">
        <f>LCI_AB!L89/B8</f>
        <v>2.0374563953177058E-4</v>
      </c>
      <c r="F8" s="122">
        <f>LCI_AB!L101/B8</f>
        <v>8.8650414718351969E-4</v>
      </c>
      <c r="G8" s="122">
        <f>LCI_AB!L113/B8</f>
        <v>5.2153524982906527E-2</v>
      </c>
      <c r="H8" s="122">
        <f>LCI_AB!L125/B8</f>
        <v>5.2153524982906527E-2</v>
      </c>
      <c r="I8" s="122">
        <f>LCI_AB!L137/B8</f>
        <v>0.10430704996581305</v>
      </c>
      <c r="J8" s="122">
        <f>LCI_AB!L149/B8</f>
        <v>5.5867699826246356E-2</v>
      </c>
      <c r="K8" s="122">
        <f>LCI_AB!L161/B8</f>
        <v>2.7036433172453879E-3</v>
      </c>
      <c r="L8" s="122">
        <f>LCI_AB!L173/B8</f>
        <v>1.1465199647423001E-3</v>
      </c>
      <c r="M8" s="122">
        <f>LCI_AB!L185/B8</f>
        <v>1.1465199647423001E-3</v>
      </c>
      <c r="N8" s="122">
        <f>LCI_AB!L197/B8</f>
        <v>1.1465199647423001E-3</v>
      </c>
      <c r="O8" s="122">
        <f>LCI_AB!L209/B8</f>
        <v>6.9527849649793664E-3</v>
      </c>
      <c r="P8" s="122">
        <f>LCI_AB!L9/B8</f>
        <v>3.1928967416464083E-4</v>
      </c>
      <c r="Q8" s="122">
        <f>LCI_AB!L21/B8</f>
        <v>3.9174458113227249E-2</v>
      </c>
      <c r="R8" s="122">
        <f>LCI_AB!L221/B8</f>
        <v>2.4452797298239845E-6</v>
      </c>
      <c r="S8" s="122">
        <f>LCI_AB!L233/B8</f>
        <v>2.4452797298239845E-6</v>
      </c>
      <c r="T8" s="122">
        <f>LCI_AB!L245/B8</f>
        <v>2.4452797298239845E-6</v>
      </c>
      <c r="U8" s="122">
        <f>LCI_AB!L257/B8</f>
        <v>3.816362032553342E-5</v>
      </c>
      <c r="V8" s="122">
        <f>LCI_AB!L269/B8</f>
        <v>0.647112082291459</v>
      </c>
    </row>
    <row r="9" spans="1:22" x14ac:dyDescent="0.2">
      <c r="A9" s="126" t="s">
        <v>3372</v>
      </c>
      <c r="B9" s="100">
        <f>LCI_AB!L78+LCI_AB!L90+LCI_AB!L102+LCI_AB!L114+LCI_AB!L126+LCI_AB!L138+LCI_AB!L150+LCI_AB!L162+LCI_AB!L174+LCI_AB!L186+LCI_AB!L198+LCI_AB!L210+LCI_AB!L222+LCI_AB!L234+LCI_AB!L246+LCI_AB!L258+LCI_AB!L270+LCI_AB!L10+LCI_AB!L22</f>
        <v>9533.201790962632</v>
      </c>
      <c r="C9" s="127" t="s">
        <v>3374</v>
      </c>
      <c r="D9" s="122">
        <f>LCI_AB!L78/B9</f>
        <v>2.6011768723772184E-3</v>
      </c>
      <c r="E9" s="122">
        <f>LCI_AB!L90/B9</f>
        <v>4.3882138785956839E-5</v>
      </c>
      <c r="F9" s="122">
        <f>LCI_AB!L102/B9</f>
        <v>2.3804065648709496E-4</v>
      </c>
      <c r="G9" s="122">
        <f>LCI_AB!L114/B9</f>
        <v>1.4004062321072432E-2</v>
      </c>
      <c r="H9" s="122">
        <f>LCI_AB!L126/B9</f>
        <v>1.4004062321072432E-2</v>
      </c>
      <c r="I9" s="122">
        <f>LCI_AB!L138/B9</f>
        <v>2.8008124642144864E-2</v>
      </c>
      <c r="J9" s="122">
        <f>LCI_AB!L150/B9</f>
        <v>7.9833923379146656E-3</v>
      </c>
      <c r="K9" s="122">
        <f>LCI_AB!L162/B9</f>
        <v>9.4107501433066468E-4</v>
      </c>
      <c r="L9" s="122">
        <f>LCI_AB!L174/B9</f>
        <v>3.9907678848316244E-4</v>
      </c>
      <c r="M9" s="122">
        <f>LCI_AB!L186/B9</f>
        <v>3.9907678848316244E-4</v>
      </c>
      <c r="N9" s="122">
        <f>LCI_AB!L198/B9</f>
        <v>3.9907678848316244E-4</v>
      </c>
      <c r="O9" s="122">
        <f>LCI_AB!L210/B9</f>
        <v>5.2148481790376556E-4</v>
      </c>
      <c r="P9" s="122">
        <f>LCI_AB!L10/B9</f>
        <v>5.3330434577732218E-5</v>
      </c>
      <c r="Q9" s="122">
        <f>LCI_AB!L22/B9</f>
        <v>2.6588197946564806E-3</v>
      </c>
      <c r="R9" s="122">
        <f>LCI_AB!L222/B9</f>
        <v>3.5054782408622567E-6</v>
      </c>
      <c r="S9" s="122">
        <f>LCI_AB!L234/B9</f>
        <v>3.5054782408622567E-6</v>
      </c>
      <c r="T9" s="122">
        <f>LCI_AB!L246/B9</f>
        <v>3.5054782408622567E-6</v>
      </c>
      <c r="U9" s="122">
        <f>LCI_AB!L258/B9</f>
        <v>5.4710199005868259E-5</v>
      </c>
      <c r="V9" s="122">
        <f>LCI_AB!L270/B9</f>
        <v>0.92768009164949872</v>
      </c>
    </row>
    <row r="10" spans="1:22" x14ac:dyDescent="0.2">
      <c r="A10" s="126" t="s">
        <v>3375</v>
      </c>
      <c r="B10" s="100">
        <f>LCI_AB!L79+LCI_AB!L91+LCI_AB!L103+LCI_AB!L115+LCI_AB!L127+LCI_AB!L139+LCI_AB!L151+LCI_AB!L163+LCI_AB!L175+LCI_AB!L187+LCI_AB!L199+LCI_AB!L211+LCI_AB!L223+LCI_AB!L235+LCI_AB!L247+LCI_AB!L259+LCI_AB!L271+LCI_AB!L11+LCI_AB!L23</f>
        <v>23835.992333494814</v>
      </c>
      <c r="C10" s="127" t="s">
        <v>3376</v>
      </c>
      <c r="D10" s="122">
        <f>LCI_AB!L79/B10</f>
        <v>3.039617194612038E-3</v>
      </c>
      <c r="E10" s="122">
        <f>LCI_AB!L91/B10</f>
        <v>9.5047055073085605E-5</v>
      </c>
      <c r="F10" s="122">
        <f>LCI_AB!L103/B10</f>
        <v>7.2621876271117714E-4</v>
      </c>
      <c r="G10" s="122">
        <f>LCI_AB!L115/B10</f>
        <v>4.2723847941877911E-2</v>
      </c>
      <c r="H10" s="122">
        <f>LCI_AB!L127/B10</f>
        <v>4.2723847941877911E-2</v>
      </c>
      <c r="I10" s="122">
        <f>LCI_AB!L139/B10</f>
        <v>8.5447695883755823E-2</v>
      </c>
      <c r="J10" s="122">
        <f>LCI_AB!L151/B10</f>
        <v>0.11610751439775455</v>
      </c>
      <c r="K10" s="122">
        <f>LCI_AB!L163/B10</f>
        <v>8.6986481326710424E-3</v>
      </c>
      <c r="L10" s="122">
        <f>LCI_AB!L175/B10</f>
        <v>3.6887904875473245E-3</v>
      </c>
      <c r="M10" s="122">
        <f>LCI_AB!L187/B10</f>
        <v>3.6887904875473245E-3</v>
      </c>
      <c r="N10" s="122">
        <f>LCI_AB!L199/B10</f>
        <v>3.6887904875473245E-3</v>
      </c>
      <c r="O10" s="122">
        <f>LCI_AB!L211/B10</f>
        <v>6.0938348178560253E-4</v>
      </c>
      <c r="P10" s="122">
        <f>LCI_AB!L11/B10</f>
        <v>1.0821938572856606E-2</v>
      </c>
      <c r="Q10" s="122">
        <f>LCI_AB!L23/B10</f>
        <v>6.3385640212445832E-2</v>
      </c>
      <c r="R10" s="122">
        <f>LCI_AB!L223/B10</f>
        <v>2.322088222913844E-6</v>
      </c>
      <c r="S10" s="122">
        <f>LCI_AB!L235/B10</f>
        <v>2.322088222913844E-6</v>
      </c>
      <c r="T10" s="122">
        <f>LCI_AB!L247/B10</f>
        <v>2.322088222913844E-6</v>
      </c>
      <c r="U10" s="122">
        <f>LCI_AB!L259/B10</f>
        <v>3.624096344513335E-5</v>
      </c>
      <c r="V10" s="122">
        <f>LCI_AB!L271/B10</f>
        <v>0.61451102173182237</v>
      </c>
    </row>
    <row r="11" spans="1:22" x14ac:dyDescent="0.2">
      <c r="A11" s="126" t="s">
        <v>708</v>
      </c>
      <c r="B11" s="100">
        <f>LCI_AB!L80+LCI_AB!L92+LCI_AB!L104+LCI_AB!L116+LCI_AB!L128+LCI_AB!L140+LCI_AB!L152+LCI_AB!L164+LCI_AB!L176+LCI_AB!L188+LCI_AB!L200+LCI_AB!L212+LCI_AB!L224+LCI_AB!L236+LCI_AB!L248+LCI_AB!L260+LCI_AB!L272+LCI_AB!L12+LCI_AB!L24</f>
        <v>15527294.430675903</v>
      </c>
      <c r="C11" s="127" t="s">
        <v>3377</v>
      </c>
      <c r="D11" s="122">
        <f>LCI_AB!L80/B11</f>
        <v>1.1306292580350421E-3</v>
      </c>
      <c r="E11" s="122">
        <f>LCI_AB!L92/B11</f>
        <v>6.1785489328620841E-5</v>
      </c>
      <c r="F11" s="122">
        <f>LCI_AB!L104/B11</f>
        <v>6.9790848252025695E-4</v>
      </c>
      <c r="G11" s="122">
        <f>LCI_AB!L116/B11</f>
        <v>4.10583386378311E-2</v>
      </c>
      <c r="H11" s="122">
        <f>LCI_AB!L128/B11</f>
        <v>4.10583386378311E-2</v>
      </c>
      <c r="I11" s="122">
        <f>LCI_AB!L140/B11</f>
        <v>8.21166772756622E-2</v>
      </c>
      <c r="J11" s="122">
        <f>LCI_AB!L152/B11</f>
        <v>0.10230623513597106</v>
      </c>
      <c r="K11" s="122">
        <f>LCI_AB!L164/B11</f>
        <v>4.7258256520955151E-3</v>
      </c>
      <c r="L11" s="122">
        <f>LCI_AB!L176/B11</f>
        <v>2.0040563137371263E-3</v>
      </c>
      <c r="M11" s="122">
        <f>LCI_AB!L188/B11</f>
        <v>2.0040563137371263E-3</v>
      </c>
      <c r="N11" s="122">
        <f>LCI_AB!L200/B11</f>
        <v>2.0040563137371263E-3</v>
      </c>
      <c r="O11" s="122">
        <f>LCI_AB!L212/B11</f>
        <v>2.2666893551311337E-4</v>
      </c>
      <c r="P11" s="122">
        <f>LCI_AB!L12/B11</f>
        <v>9.5642191645312828E-4</v>
      </c>
      <c r="Q11" s="122">
        <f>LCI_AB!L24/B11</f>
        <v>2.2776131841689015E-2</v>
      </c>
      <c r="R11" s="122">
        <f>LCI_AB!L224/B11</f>
        <v>2.6331285467838323E-6</v>
      </c>
      <c r="S11" s="122">
        <f>LCI_AB!L236/B11</f>
        <v>2.6331285467838323E-6</v>
      </c>
      <c r="T11" s="122">
        <f>LCI_AB!L248/B11</f>
        <v>2.6331285467838323E-6</v>
      </c>
      <c r="U11" s="122">
        <f>LCI_AB!L260/B11</f>
        <v>4.1095387534666702E-5</v>
      </c>
      <c r="V11" s="122">
        <f>LCI_AB!L272/B11</f>
        <v>0.69682387502268339</v>
      </c>
    </row>
    <row r="12" spans="1:22" x14ac:dyDescent="0.2">
      <c r="A12" s="126" t="s">
        <v>3378</v>
      </c>
      <c r="B12" s="100">
        <f>LCI_AB!L81+LCI_AB!L93+LCI_AB!L105+LCI_AB!L117+LCI_AB!L129+LCI_AB!L141+LCI_AB!L153+LCI_AB!L165+LCI_AB!L177+LCI_AB!L189+LCI_AB!L201+LCI_AB!L213+LCI_AB!L225+LCI_AB!L237+LCI_AB!L249+LCI_AB!L261+LCI_AB!L273+LCI_AB!L13+LCI_AB!L25</f>
        <v>3.6869265016147224</v>
      </c>
      <c r="C12" s="127" t="s">
        <v>3368</v>
      </c>
      <c r="D12" s="122">
        <f>LCI_AB!L81/B12</f>
        <v>1.8896140317867228E-2</v>
      </c>
      <c r="E12" s="122">
        <f>LCI_AB!L93/B12</f>
        <v>5.1082553011166601E-5</v>
      </c>
      <c r="F12" s="122">
        <f>LCI_AB!L105/B12</f>
        <v>7.2606643780255802E-4</v>
      </c>
      <c r="G12" s="122">
        <f>LCI_AB!L117/B12</f>
        <v>4.271488658399545E-2</v>
      </c>
      <c r="H12" s="122">
        <f>LCI_AB!L129/B12</f>
        <v>4.271488658399545E-2</v>
      </c>
      <c r="I12" s="122">
        <f>LCI_AB!L141/B12</f>
        <v>8.5429773167990899E-2</v>
      </c>
      <c r="J12" s="122">
        <f>LCI_AB!L153/B12</f>
        <v>3.8760751642457486E-2</v>
      </c>
      <c r="K12" s="122">
        <f>LCI_AB!L165/B12</f>
        <v>2.9250691743010677E-3</v>
      </c>
      <c r="L12" s="122">
        <f>LCI_AB!L177/B12</f>
        <v>1.2404188767049797E-3</v>
      </c>
      <c r="M12" s="122">
        <f>LCI_AB!L189/B12</f>
        <v>1.2404188767049797E-3</v>
      </c>
      <c r="N12" s="122">
        <f>LCI_AB!L201/B12</f>
        <v>1.2404188767049797E-3</v>
      </c>
      <c r="O12" s="122">
        <f>LCI_AB!L213/B12</f>
        <v>3.7883045929673234E-3</v>
      </c>
      <c r="P12" s="122">
        <f>LCI_AB!L13/B12</f>
        <v>2.0998406095238938E-4</v>
      </c>
      <c r="Q12" s="122">
        <f>LCI_AB!L25/B12</f>
        <v>1.904431521827752E-2</v>
      </c>
      <c r="R12" s="122">
        <f>LCI_AB!L225/B12</f>
        <v>2.7999286136943167E-6</v>
      </c>
      <c r="S12" s="122">
        <f>LCI_AB!L237/B12</f>
        <v>2.7999286136943167E-6</v>
      </c>
      <c r="T12" s="122">
        <f>LCI_AB!L249/B12</f>
        <v>2.7999286136943167E-6</v>
      </c>
      <c r="U12" s="122">
        <f>LCI_AB!L261/B12</f>
        <v>4.3698645700268692E-5</v>
      </c>
      <c r="V12" s="122">
        <f>LCI_AB!L273/B12</f>
        <v>0.74096538460472516</v>
      </c>
    </row>
    <row r="13" spans="1:22" x14ac:dyDescent="0.2">
      <c r="A13" s="126" t="s">
        <v>710</v>
      </c>
      <c r="B13" s="100">
        <f>LCI_AB!L82+LCI_AB!L94+LCI_AB!L106+LCI_AB!L118+LCI_AB!L130+LCI_AB!L142+LCI_AB!L154+LCI_AB!L166+LCI_AB!L178+LCI_AB!L190+LCI_AB!L202+LCI_AB!L214+LCI_AB!L226+LCI_AB!L238+LCI_AB!L250+LCI_AB!L262+LCI_AB!L274+LCI_AB!L14+LCI_AB!L26</f>
        <v>0.14983851229663195</v>
      </c>
      <c r="C13" s="127" t="s">
        <v>3380</v>
      </c>
      <c r="D13" s="122">
        <f>LCI_AB!L82/B13</f>
        <v>2.2485841394233996E-3</v>
      </c>
      <c r="E13" s="122">
        <f>LCI_AB!L94/B13</f>
        <v>1.8691403248518944E-4</v>
      </c>
      <c r="F13" s="122">
        <f>LCI_AB!L106/B13</f>
        <v>7.8375331122080693E-4</v>
      </c>
      <c r="G13" s="122">
        <f>LCI_AB!L118/B13</f>
        <v>4.6108636972600904E-2</v>
      </c>
      <c r="H13" s="122">
        <f>LCI_AB!L130/B13</f>
        <v>4.6108636972600904E-2</v>
      </c>
      <c r="I13" s="122">
        <f>LCI_AB!L142/B13</f>
        <v>9.2217273945201808E-2</v>
      </c>
      <c r="J13" s="122">
        <f>LCI_AB!L154/B13</f>
        <v>0.43243023128800112</v>
      </c>
      <c r="K13" s="122">
        <f>LCI_AB!L166/B13</f>
        <v>3.1474621972259302E-3</v>
      </c>
      <c r="L13" s="122">
        <f>LCI_AB!L178/B13</f>
        <v>1.3347279296693079E-3</v>
      </c>
      <c r="M13" s="122">
        <f>LCI_AB!L190/B13</f>
        <v>1.3347279296693079E-3</v>
      </c>
      <c r="N13" s="122">
        <f>LCI_AB!L202/B13</f>
        <v>1.3347279296693079E-3</v>
      </c>
      <c r="O13" s="122">
        <f>LCI_AB!L214/B13</f>
        <v>4.5079690771541585E-4</v>
      </c>
      <c r="P13" s="122">
        <f>LCI_AB!L14/B13</f>
        <v>1.6161610120621779E-3</v>
      </c>
      <c r="Q13" s="122">
        <f>LCI_AB!L26/B13</f>
        <v>9.2055427499753636E-2</v>
      </c>
      <c r="R13" s="122">
        <f>LCI_AB!L226/B13</f>
        <v>1.0528463266430397E-6</v>
      </c>
      <c r="S13" s="122">
        <f>LCI_AB!L238/B13</f>
        <v>1.0528463266430397E-6</v>
      </c>
      <c r="T13" s="122">
        <f>LCI_AB!L250/B13</f>
        <v>1.0528463266430397E-6</v>
      </c>
      <c r="U13" s="122">
        <f>LCI_AB!L262/B13</f>
        <v>1.6431832718798913E-5</v>
      </c>
      <c r="V13" s="122">
        <f>LCI_AB!L274/B13</f>
        <v>0.2786223475610019</v>
      </c>
    </row>
    <row r="14" spans="1:22" x14ac:dyDescent="0.2">
      <c r="A14" s="126" t="s">
        <v>3381</v>
      </c>
      <c r="B14" s="100">
        <f>LCI_AB!L83+LCI_AB!L95+LCI_AB!L107+LCI_AB!L119+LCI_AB!L131+LCI_AB!L143+LCI_AB!L155+LCI_AB!L167+LCI_AB!L179+LCI_AB!L191+LCI_AB!L203+LCI_AB!L215+LCI_AB!L227+LCI_AB!L239+LCI_AB!L251+LCI_AB!L263+LCI_AB!L275+LCI_AB!L15+LCI_AB!L27</f>
        <v>31445.566789920802</v>
      </c>
      <c r="C14" s="127" t="s">
        <v>3383</v>
      </c>
      <c r="D14" s="122">
        <f>LCI_AB!L83/B14</f>
        <v>1.8116505918292086E-3</v>
      </c>
      <c r="E14" s="122">
        <f>LCI_AB!L95/B14</f>
        <v>4.716708829680678E-5</v>
      </c>
      <c r="F14" s="122">
        <f>LCI_AB!L107/B14</f>
        <v>2.5669176039886554E-4</v>
      </c>
      <c r="G14" s="122">
        <f>LCI_AB!L119/B14</f>
        <v>1.5101316989210994E-2</v>
      </c>
      <c r="H14" s="122">
        <f>LCI_AB!L131/B14</f>
        <v>1.5101316989210993E-2</v>
      </c>
      <c r="I14" s="122">
        <f>LCI_AB!L143/B14</f>
        <v>3.0202633978421989E-2</v>
      </c>
      <c r="J14" s="122">
        <f>LCI_AB!L155/B14</f>
        <v>3.7404432321174234E-2</v>
      </c>
      <c r="K14" s="122">
        <f>LCI_AB!L167/B14</f>
        <v>1.1051016375516107E-3</v>
      </c>
      <c r="L14" s="122">
        <f>LCI_AB!L179/B14</f>
        <v>4.6863470578405956E-4</v>
      </c>
      <c r="M14" s="122">
        <f>LCI_AB!L191/B14</f>
        <v>4.6863470578405956E-4</v>
      </c>
      <c r="N14" s="122">
        <f>LCI_AB!L203/B14</f>
        <v>4.6863470578405956E-4</v>
      </c>
      <c r="O14" s="122">
        <f>LCI_AB!L215/B14</f>
        <v>3.632003225224348E-4</v>
      </c>
      <c r="P14" s="122">
        <f>LCI_AB!L15/B14</f>
        <v>6.843332675012569E-4</v>
      </c>
      <c r="Q14" s="122">
        <f>LCI_AB!L27/B14</f>
        <v>8.7890532930217143E-3</v>
      </c>
      <c r="R14" s="122">
        <f>LCI_AB!L227/B14</f>
        <v>3.3542700931323087E-6</v>
      </c>
      <c r="S14" s="122">
        <f>LCI_AB!L239/B14</f>
        <v>3.3542700931323087E-6</v>
      </c>
      <c r="T14" s="122">
        <f>LCI_AB!L251/B14</f>
        <v>3.3542700931323087E-6</v>
      </c>
      <c r="U14" s="122">
        <f>LCI_AB!L263/B14</f>
        <v>5.2350284812939392E-5</v>
      </c>
      <c r="V14" s="122">
        <f>LCI_AB!L275/B14</f>
        <v>0.88766478454841546</v>
      </c>
    </row>
    <row r="15" spans="1:22" x14ac:dyDescent="0.2">
      <c r="A15" s="117" t="s">
        <v>3384</v>
      </c>
      <c r="B15" s="168">
        <f>LCI_AB!L84+LCI_AB!L96+LCI_AB!L108+LCI_AB!L120+LCI_AB!L132+LCI_AB!L144+LCI_AB!L156+LCI_AB!L168+LCI_AB!L180+LCI_AB!L192+LCI_AB!L204+LCI_AB!L216+LCI_AB!L228+LCI_AB!L240+LCI_AB!L252+LCI_AB!L264+LCI_AB!L276+LCI_AB!L16+LCI_AB!L28</f>
        <v>555890.45317443693</v>
      </c>
      <c r="C15" s="120" t="s">
        <v>3385</v>
      </c>
      <c r="D15" s="122">
        <f>LCI_AB!L84/B15</f>
        <v>2.9461281196816592E-3</v>
      </c>
      <c r="E15" s="122">
        <f>LCI_AB!L96/B15</f>
        <v>9.8232660118687527E-5</v>
      </c>
      <c r="F15" s="122">
        <f>LCI_AB!L108/B15</f>
        <v>7.3816805880378496E-4</v>
      </c>
      <c r="G15" s="122">
        <f>LCI_AB!L120/B15</f>
        <v>4.342683158191378E-2</v>
      </c>
      <c r="H15" s="122">
        <f>LCI_AB!L132/B15</f>
        <v>4.3426831581913773E-2</v>
      </c>
      <c r="I15" s="122">
        <f>LCI_AB!L144/B15</f>
        <v>8.685366316382756E-2</v>
      </c>
      <c r="J15" s="122">
        <f>LCI_AB!L156/B15</f>
        <v>0.11927401706037058</v>
      </c>
      <c r="K15" s="122">
        <f>LCI_AB!L168/B15</f>
        <v>8.9903926583075142E-3</v>
      </c>
      <c r="L15" s="122">
        <f>LCI_AB!L180/B15</f>
        <v>3.812509071693729E-3</v>
      </c>
      <c r="M15" s="122">
        <f>LCI_AB!L192/B15</f>
        <v>3.812509071693729E-3</v>
      </c>
      <c r="N15" s="122">
        <f>LCI_AB!L204/B15</f>
        <v>3.812509071693729E-3</v>
      </c>
      <c r="O15" s="122">
        <f>LCI_AB!L216/B15</f>
        <v>5.9064076046826889E-4</v>
      </c>
      <c r="P15" s="122">
        <f>LCI_AB!L16/B15</f>
        <v>1.0971071466099628E-2</v>
      </c>
      <c r="Q15" s="122">
        <f>LCI_AB!L28/B15</f>
        <v>6.4666345711058532E-2</v>
      </c>
      <c r="R15" s="122">
        <f>LCI_AB!L228/B15</f>
        <v>2.291958229405859E-6</v>
      </c>
      <c r="S15" s="122">
        <f>LCI_AB!L240/B15</f>
        <v>2.291958229405859E-6</v>
      </c>
      <c r="T15" s="122">
        <f>LCI_AB!L252/B15</f>
        <v>2.291958229405859E-6</v>
      </c>
      <c r="U15" s="122">
        <f>LCI_AB!L264/B15</f>
        <v>3.5770722916565143E-5</v>
      </c>
      <c r="V15" s="122">
        <f>LCI_AB!L276/B15</f>
        <v>0.60653750336475032</v>
      </c>
    </row>
    <row r="17" spans="1:6" x14ac:dyDescent="0.2">
      <c r="A17" s="1091" t="s">
        <v>3473</v>
      </c>
      <c r="B17" s="1259"/>
      <c r="C17" s="1259"/>
      <c r="D17" s="1260" t="s">
        <v>518</v>
      </c>
      <c r="E17" s="1259"/>
      <c r="F17" s="1261"/>
    </row>
    <row r="18" spans="1:6" x14ac:dyDescent="0.2">
      <c r="A18" s="126" t="s">
        <v>3474</v>
      </c>
      <c r="B18" s="1237">
        <f ca="1">ExpBase!Q102*Inputs!F3*30</f>
        <v>8149427.6116666459</v>
      </c>
      <c r="C18" t="s">
        <v>3445</v>
      </c>
      <c r="D18" s="1283">
        <f ca="1">B18*1</f>
        <v>8149427.6116666459</v>
      </c>
      <c r="E18" t="s">
        <v>3475</v>
      </c>
      <c r="F18" s="1295">
        <f ca="1">D18/D$21</f>
        <v>2.0408163265306121E-2</v>
      </c>
    </row>
    <row r="19" spans="1:6" x14ac:dyDescent="0.2">
      <c r="A19" s="126" t="s">
        <v>1687</v>
      </c>
      <c r="B19" s="1237">
        <f ca="1">ExpBase!N102*8000*30</f>
        <v>1629885.5223333293</v>
      </c>
      <c r="C19" t="s">
        <v>3445</v>
      </c>
      <c r="D19" s="1283">
        <f ca="1">B19*40</f>
        <v>65195420.893333174</v>
      </c>
      <c r="E19" t="s">
        <v>3475</v>
      </c>
      <c r="F19" s="1295">
        <f ca="1">D19/D$21</f>
        <v>0.16326530612244899</v>
      </c>
    </row>
    <row r="20" spans="1:6" x14ac:dyDescent="0.2">
      <c r="A20" s="126" t="s">
        <v>3476</v>
      </c>
      <c r="B20" s="1237">
        <f ca="1">ExpBase!O102*8000*30</f>
        <v>1629885.5223333293</v>
      </c>
      <c r="C20" t="s">
        <v>3445</v>
      </c>
      <c r="D20" s="1283">
        <f ca="1">B20*200</f>
        <v>325977104.46666586</v>
      </c>
      <c r="E20" t="s">
        <v>3475</v>
      </c>
      <c r="F20" s="1295">
        <f ca="1">D20/D$21</f>
        <v>0.81632653061224492</v>
      </c>
    </row>
    <row r="21" spans="1:6" x14ac:dyDescent="0.2">
      <c r="A21" s="30" t="s">
        <v>586</v>
      </c>
      <c r="B21" s="1264"/>
      <c r="C21" s="1259"/>
      <c r="D21" s="1296">
        <f ca="1">SUM(D18:D20)</f>
        <v>399321952.97166568</v>
      </c>
      <c r="E21" s="31"/>
      <c r="F21" s="32"/>
    </row>
    <row r="22" spans="1:6" x14ac:dyDescent="0.2">
      <c r="A22" s="175" t="s">
        <v>3476</v>
      </c>
      <c r="B22" s="6">
        <f ca="1">ExpBase!O102*1000*ExpBase!O97*8000*30</f>
        <v>56879502961.854286</v>
      </c>
      <c r="C22" s="6" t="s">
        <v>3477</v>
      </c>
      <c r="D22" s="33"/>
      <c r="E22" s="33"/>
    </row>
    <row r="23" spans="1:6" x14ac:dyDescent="0.2">
      <c r="A23" s="6"/>
      <c r="B23" s="1265"/>
      <c r="C23" s="6"/>
      <c r="D23" s="33"/>
      <c r="E23" s="33"/>
    </row>
    <row r="24" spans="1:6" x14ac:dyDescent="0.2">
      <c r="A24" s="109" t="s">
        <v>701</v>
      </c>
      <c r="B24" s="1307">
        <f t="shared" ref="B24:B33" ca="1" si="0">B6/B$22*F$20*1000</f>
        <v>5.4278805245733209E-4</v>
      </c>
      <c r="C24" s="1129" t="s">
        <v>3478</v>
      </c>
    </row>
    <row r="25" spans="1:6" x14ac:dyDescent="0.2">
      <c r="A25" s="126" t="s">
        <v>703</v>
      </c>
      <c r="B25" s="1307">
        <f t="shared" ca="1" si="0"/>
        <v>1.740878525521175E-8</v>
      </c>
      <c r="C25" s="1129" t="s">
        <v>3479</v>
      </c>
    </row>
    <row r="26" spans="1:6" x14ac:dyDescent="0.2">
      <c r="A26" s="126" t="s">
        <v>705</v>
      </c>
      <c r="B26" s="1308">
        <f t="shared" ca="1" si="0"/>
        <v>2.5723790397125978</v>
      </c>
      <c r="C26" s="1129" t="s">
        <v>3480</v>
      </c>
    </row>
    <row r="27" spans="1:6" x14ac:dyDescent="0.2">
      <c r="A27" s="126" t="s">
        <v>3372</v>
      </c>
      <c r="B27" s="1307">
        <f t="shared" ca="1" si="0"/>
        <v>1.3681915520362455E-4</v>
      </c>
      <c r="C27" s="1129" t="s">
        <v>3481</v>
      </c>
    </row>
    <row r="28" spans="1:6" x14ac:dyDescent="0.2">
      <c r="A28" s="126" t="s">
        <v>3375</v>
      </c>
      <c r="B28" s="1307">
        <f t="shared" ca="1" si="0"/>
        <v>3.4209076929436576E-4</v>
      </c>
      <c r="C28" s="1129" t="s">
        <v>3482</v>
      </c>
    </row>
    <row r="29" spans="1:6" x14ac:dyDescent="0.2">
      <c r="A29" s="126" t="s">
        <v>708</v>
      </c>
      <c r="B29" s="1308">
        <f t="shared" ca="1" si="0"/>
        <v>0.22284551960464727</v>
      </c>
      <c r="C29" s="1129" t="s">
        <v>3483</v>
      </c>
    </row>
    <row r="30" spans="1:6" x14ac:dyDescent="0.2">
      <c r="A30" s="126" t="s">
        <v>3378</v>
      </c>
      <c r="B30" s="1307">
        <f t="shared" ca="1" si="0"/>
        <v>5.2914244375587093E-8</v>
      </c>
      <c r="C30" s="1129" t="s">
        <v>3479</v>
      </c>
    </row>
    <row r="31" spans="1:6" x14ac:dyDescent="0.2">
      <c r="A31" s="126" t="s">
        <v>710</v>
      </c>
      <c r="B31" s="1307">
        <f t="shared" ca="1" si="0"/>
        <v>2.1504610013424454E-9</v>
      </c>
      <c r="C31" s="1129" t="s">
        <v>3484</v>
      </c>
    </row>
    <row r="32" spans="1:6" x14ac:dyDescent="0.2">
      <c r="A32" s="126" t="s">
        <v>3381</v>
      </c>
      <c r="B32" s="1307">
        <f t="shared" ca="1" si="0"/>
        <v>4.5130229879060163E-4</v>
      </c>
      <c r="C32" s="1129" t="s">
        <v>3485</v>
      </c>
    </row>
    <row r="33" spans="1:3" x14ac:dyDescent="0.2">
      <c r="A33" s="117" t="s">
        <v>3384</v>
      </c>
      <c r="B33" s="1307">
        <f t="shared" ca="1" si="0"/>
        <v>7.9780606617586916E-3</v>
      </c>
      <c r="C33" s="1129" t="s">
        <v>3486</v>
      </c>
    </row>
    <row r="34" spans="1:3" x14ac:dyDescent="0.2">
      <c r="B34" s="33"/>
      <c r="C34" s="33"/>
    </row>
    <row r="35" spans="1:3" x14ac:dyDescent="0.2">
      <c r="A35" s="6" t="s">
        <v>3487</v>
      </c>
      <c r="B35" s="33"/>
    </row>
    <row r="36" spans="1:3" x14ac:dyDescent="0.2">
      <c r="A36" s="109" t="s">
        <v>701</v>
      </c>
      <c r="B36" s="1227">
        <f>0.00000204885*1000</f>
        <v>2.0488500000000001E-3</v>
      </c>
      <c r="C36" s="112" t="s">
        <v>3478</v>
      </c>
    </row>
    <row r="37" spans="1:3" x14ac:dyDescent="0.2">
      <c r="A37" s="126" t="s">
        <v>703</v>
      </c>
      <c r="B37" s="1228">
        <f>0.0000000000462925*1000</f>
        <v>4.6292499999999996E-8</v>
      </c>
      <c r="C37" s="127" t="s">
        <v>3479</v>
      </c>
    </row>
    <row r="38" spans="1:3" x14ac:dyDescent="0.2">
      <c r="A38" s="126" t="s">
        <v>705</v>
      </c>
      <c r="B38" s="166">
        <f>0.00561*1000</f>
        <v>5.61</v>
      </c>
      <c r="C38" s="127" t="s">
        <v>3480</v>
      </c>
    </row>
    <row r="39" spans="1:3" x14ac:dyDescent="0.2">
      <c r="A39" s="126" t="s">
        <v>3372</v>
      </c>
      <c r="B39" s="1228">
        <f>0.000000148642*1000</f>
        <v>1.4864199999999999E-4</v>
      </c>
      <c r="C39" s="127" t="s">
        <v>3481</v>
      </c>
    </row>
    <row r="40" spans="1:3" x14ac:dyDescent="0.2">
      <c r="A40" s="126" t="s">
        <v>3375</v>
      </c>
      <c r="B40" s="1228">
        <f>0.00000107188*1000</f>
        <v>1.0718799999999999E-3</v>
      </c>
      <c r="C40" s="127" t="s">
        <v>3482</v>
      </c>
    </row>
    <row r="41" spans="1:3" x14ac:dyDescent="0.2">
      <c r="A41" s="126" t="s">
        <v>708</v>
      </c>
      <c r="B41" s="166">
        <f>0.00043*1000</f>
        <v>0.43</v>
      </c>
      <c r="C41" s="127" t="s">
        <v>3483</v>
      </c>
    </row>
    <row r="42" spans="1:3" x14ac:dyDescent="0.2">
      <c r="A42" s="126" t="s">
        <v>3378</v>
      </c>
      <c r="B42" s="1228">
        <f>0.000000000111072*1000</f>
        <v>1.11072E-7</v>
      </c>
      <c r="C42" s="127" t="s">
        <v>3479</v>
      </c>
    </row>
    <row r="43" spans="1:3" x14ac:dyDescent="0.2">
      <c r="A43" s="126" t="s">
        <v>710</v>
      </c>
      <c r="B43" s="1228">
        <f>0.00000000000565031*1000</f>
        <v>5.6503099999999997E-9</v>
      </c>
      <c r="C43" s="127" t="s">
        <v>3484</v>
      </c>
    </row>
    <row r="44" spans="1:3" x14ac:dyDescent="0.2">
      <c r="A44" s="126" t="s">
        <v>3381</v>
      </c>
      <c r="B44" s="1228">
        <f>0.000000574559</f>
        <v>5.74559E-7</v>
      </c>
      <c r="C44" s="127" t="s">
        <v>3485</v>
      </c>
    </row>
    <row r="45" spans="1:3" x14ac:dyDescent="0.2">
      <c r="A45" s="117" t="s">
        <v>3384</v>
      </c>
      <c r="B45" s="833">
        <f>0.000258182*1000</f>
        <v>0.25818199999999997</v>
      </c>
      <c r="C45" s="120" t="s">
        <v>3486</v>
      </c>
    </row>
    <row r="48" spans="1:3" x14ac:dyDescent="0.2">
      <c r="A48" s="6" t="s">
        <v>3488</v>
      </c>
    </row>
    <row r="49" spans="1:15" x14ac:dyDescent="0.2">
      <c r="A49" s="109" t="s">
        <v>701</v>
      </c>
      <c r="B49" s="1309">
        <v>6.2100000000000002E-3</v>
      </c>
      <c r="C49" s="1129" t="s">
        <v>3489</v>
      </c>
    </row>
    <row r="50" spans="1:15" x14ac:dyDescent="0.2">
      <c r="A50" s="126" t="s">
        <v>703</v>
      </c>
      <c r="B50" s="1307">
        <v>1.2478200000000001E-7</v>
      </c>
      <c r="C50" s="1129" t="s">
        <v>3490</v>
      </c>
    </row>
    <row r="51" spans="1:15" x14ac:dyDescent="0.2">
      <c r="A51" s="126" t="s">
        <v>705</v>
      </c>
      <c r="B51" s="1309">
        <v>22.3141</v>
      </c>
      <c r="C51" s="1129" t="s">
        <v>3491</v>
      </c>
    </row>
    <row r="52" spans="1:15" x14ac:dyDescent="0.2">
      <c r="A52" s="126" t="s">
        <v>3372</v>
      </c>
      <c r="B52" s="1307">
        <v>5.5999999999999995E-4</v>
      </c>
      <c r="C52" s="1129" t="s">
        <v>3492</v>
      </c>
    </row>
    <row r="53" spans="1:15" x14ac:dyDescent="0.2">
      <c r="A53" s="126" t="s">
        <v>3375</v>
      </c>
      <c r="B53" s="1307">
        <v>3.5699999999999998E-3</v>
      </c>
      <c r="C53" s="1129" t="s">
        <v>3493</v>
      </c>
    </row>
    <row r="54" spans="1:15" x14ac:dyDescent="0.2">
      <c r="A54" s="126" t="s">
        <v>708</v>
      </c>
      <c r="B54" s="1309">
        <v>1.2698799999999999</v>
      </c>
      <c r="C54" s="1129" t="s">
        <v>3494</v>
      </c>
    </row>
    <row r="55" spans="1:15" x14ac:dyDescent="0.2">
      <c r="A55" s="126" t="s">
        <v>3378</v>
      </c>
      <c r="B55" s="1307">
        <v>4.2413999999999998E-7</v>
      </c>
      <c r="C55" s="1129" t="s">
        <v>3490</v>
      </c>
    </row>
    <row r="56" spans="1:15" x14ac:dyDescent="0.2">
      <c r="A56" s="126" t="s">
        <v>710</v>
      </c>
      <c r="B56" s="1307">
        <v>7.5128100000000002E-7</v>
      </c>
      <c r="C56" s="1129" t="s">
        <v>3495</v>
      </c>
    </row>
    <row r="57" spans="1:15" x14ac:dyDescent="0.2">
      <c r="A57" s="126" t="s">
        <v>3381</v>
      </c>
      <c r="B57" s="1307">
        <v>1.64E-3</v>
      </c>
      <c r="C57" s="1129" t="s">
        <v>3496</v>
      </c>
    </row>
    <row r="58" spans="1:15" x14ac:dyDescent="0.2">
      <c r="A58" s="117" t="s">
        <v>3384</v>
      </c>
      <c r="B58" s="1309">
        <v>8.4709999999999994E-2</v>
      </c>
      <c r="C58" s="1129" t="s">
        <v>3497</v>
      </c>
    </row>
    <row r="61" spans="1:15" ht="16" thickBot="1" x14ac:dyDescent="0.25"/>
    <row r="62" spans="1:15" x14ac:dyDescent="0.2">
      <c r="A62" s="1843" t="s">
        <v>2318</v>
      </c>
      <c r="B62" s="1844"/>
      <c r="C62" s="1844"/>
      <c r="D62" s="1844"/>
      <c r="E62" s="1844"/>
      <c r="F62" s="1844"/>
      <c r="G62" s="1844"/>
      <c r="H62" s="1844"/>
      <c r="I62" s="1844"/>
      <c r="J62" s="1844"/>
      <c r="K62" s="1844"/>
      <c r="L62" s="1844"/>
      <c r="M62" s="1844"/>
      <c r="N62" s="1844"/>
      <c r="O62" s="1845"/>
    </row>
    <row r="63" spans="1:15" ht="16" thickBot="1" x14ac:dyDescent="0.25">
      <c r="A63" s="1846"/>
      <c r="B63" s="1847"/>
      <c r="C63" s="1847"/>
      <c r="D63" s="1968"/>
      <c r="E63" s="1968"/>
      <c r="F63" s="1968"/>
      <c r="G63" s="1968"/>
      <c r="H63" s="1968"/>
      <c r="I63" s="1968"/>
      <c r="J63" s="1968"/>
      <c r="K63" s="1968"/>
      <c r="L63" s="1968"/>
      <c r="M63" s="1847"/>
      <c r="N63" s="1847"/>
      <c r="O63" s="1848"/>
    </row>
    <row r="64" spans="1:15" ht="16" customHeight="1" x14ac:dyDescent="0.2">
      <c r="A64" s="1963" t="s">
        <v>586</v>
      </c>
      <c r="B64" s="1964"/>
      <c r="C64" s="1965"/>
    </row>
    <row r="65" spans="1:13" ht="32" x14ac:dyDescent="0.2">
      <c r="A65" s="1255" t="s">
        <v>3470</v>
      </c>
      <c r="B65" s="1255" t="s">
        <v>42</v>
      </c>
      <c r="C65" s="1266" t="s">
        <v>372</v>
      </c>
      <c r="D65" s="319" t="s">
        <v>1027</v>
      </c>
      <c r="E65" s="319" t="s">
        <v>3498</v>
      </c>
      <c r="F65" s="319" t="s">
        <v>3499</v>
      </c>
      <c r="G65" s="319" t="s">
        <v>3500</v>
      </c>
      <c r="H65" s="319" t="s">
        <v>2514</v>
      </c>
      <c r="I65" s="319" t="s">
        <v>533</v>
      </c>
      <c r="J65" s="319" t="s">
        <v>2871</v>
      </c>
      <c r="K65" s="319" t="s">
        <v>714</v>
      </c>
      <c r="L65" s="319" t="s">
        <v>2652</v>
      </c>
      <c r="M65" s="319" t="s">
        <v>2874</v>
      </c>
    </row>
    <row r="66" spans="1:13" x14ac:dyDescent="0.2">
      <c r="A66" s="109" t="s">
        <v>701</v>
      </c>
      <c r="B66" s="160">
        <f>SUM(LCI_AB!L285,LCI_AB!L297,LCI_AB!L309,LCI_AB!L321,LCI_AB!L333,LCI_AB!L345,LCI_AB!L357,LCI_AB!L369,LCI_AB!L381,LCI_AB!L393,LCI_AB!L405,LCI_AB!L417,LCI_AB!L429,LCI_AB!L441,LCI_AB!L453,LCI_AB!L465,LCI_AB!L477,LCI_AB!L489,LCI_AB!L501,LCI_AB!L513,LCI_AB!L525)</f>
        <v>1722933.3364479952</v>
      </c>
      <c r="C66" s="110" t="s">
        <v>3367</v>
      </c>
      <c r="D66" s="1272">
        <f>SUM(LCI_AB!L285,LCI_AB!L333,LCI_AB!L381,LCI_AB!L417)/B66</f>
        <v>1.3957017077384661E-5</v>
      </c>
      <c r="E66" s="1273">
        <f>SUM(LCI_AB!L297,LCI_AB!L345,LCI_AB!L429)/B66</f>
        <v>1.0426346343518798E-6</v>
      </c>
      <c r="F66" s="1273">
        <f>SUM(LCI_AB!L309,LCI_AB!L357,LCI_AB!L441)/B66</f>
        <v>1.2845258695215159E-3</v>
      </c>
      <c r="G66" s="1273">
        <f>SUM(LCI_AB!L321,LCI_AB!L369,LCI_AB!L453)/B66</f>
        <v>1.8941077707815186E-5</v>
      </c>
      <c r="H66" s="1273">
        <f>LCI_AB!L393/B66</f>
        <v>6.9880823275621925E-5</v>
      </c>
      <c r="I66" s="1273">
        <f>LCI_AB!L405/B66</f>
        <v>0.50308664194374741</v>
      </c>
      <c r="J66" s="1273">
        <f>LCI_AB!L465/B66</f>
        <v>8.9955013674916256E-6</v>
      </c>
      <c r="K66" s="1273">
        <f>LCI_AB!L501/B66</f>
        <v>7.2785222397703728E-2</v>
      </c>
      <c r="L66" s="1273">
        <f>LCI_AB!L513/B66</f>
        <v>0.24570933745054788</v>
      </c>
      <c r="M66" s="1122">
        <f>LCI_AB!L525/B66</f>
        <v>0.17702116807062221</v>
      </c>
    </row>
    <row r="67" spans="1:13" x14ac:dyDescent="0.2">
      <c r="A67" s="126" t="s">
        <v>703</v>
      </c>
      <c r="B67" s="100">
        <f>SUM(LCI_AB!L286,LCI_AB!L298,LCI_AB!L310,LCI_AB!L322,LCI_AB!L334,LCI_AB!L346,LCI_AB!L358,LCI_AB!L370,LCI_AB!L382,LCI_AB!L394,LCI_AB!L406,LCI_AB!L418,LCI_AB!L430,LCI_AB!L442,LCI_AB!L454,LCI_AB!L466,LCI_AB!L478,LCI_AB!L490,LCI_AB!L502,LCI_AB!L514,LCI_AB!L526)</f>
        <v>26.304696839973573</v>
      </c>
      <c r="C67" t="s">
        <v>3368</v>
      </c>
      <c r="D67" s="1267">
        <f>SUM(LCI_AB!L286,LCI_AB!L334,LCI_AB!L382,LCI_AB!L418)/B67</f>
        <v>1.4321316922669331E-4</v>
      </c>
      <c r="E67" s="850">
        <f>SUM(LCI_AB!L298,LCI_AB!L346,LCI_AB!L430)/B67</f>
        <v>3.0149559937030842E-6</v>
      </c>
      <c r="F67" s="850">
        <f>SUM(LCI_AB!L310,LCI_AB!L358,LCI_AB!L442)/B67</f>
        <v>7.8686315857065601E-4</v>
      </c>
      <c r="G67" s="850">
        <f>SUM(LCI_AB!L322,LCI_AB!L370,LCI_AB!L454)/B67</f>
        <v>2.646793106397434E-4</v>
      </c>
      <c r="H67" s="850">
        <f>LCI_AB!L394/B67</f>
        <v>9.7650241537723052E-4</v>
      </c>
      <c r="I67" s="850">
        <f>LCI_AB!L406/B67</f>
        <v>0.51973550720269734</v>
      </c>
      <c r="J67" s="850">
        <f>LCI_AB!L466/B67</f>
        <v>1.0089879338304721E-5</v>
      </c>
      <c r="K67" s="850">
        <f>LCI_AB!L502/B67</f>
        <v>0.21047089295799121</v>
      </c>
      <c r="L67" s="850">
        <f>LCI_AB!L514/B67</f>
        <v>0.13989633199331805</v>
      </c>
      <c r="M67" s="1263">
        <f>LCI_AB!L526/B67</f>
        <v>0.12771207442914098</v>
      </c>
    </row>
    <row r="68" spans="1:13" x14ac:dyDescent="0.2">
      <c r="A68" s="126" t="s">
        <v>705</v>
      </c>
      <c r="B68" s="100">
        <f>SUM(LCI_AB!L287,LCI_AB!L299,LCI_AB!L311,LCI_AB!L323,LCI_AB!L335,LCI_AB!L347,LCI_AB!L359,LCI_AB!L371,LCI_AB!L383,LCI_AB!L395,LCI_AB!L407,LCI_AB!L419,LCI_AB!L431,LCI_AB!L443,LCI_AB!L455,LCI_AB!L467,LCI_AB!L479,LCI_AB!L491,LCI_AB!L503,LCI_AB!L515,LCI_AB!L527)</f>
        <v>6077414167.3092737</v>
      </c>
      <c r="C68" t="s">
        <v>3370</v>
      </c>
      <c r="D68" s="1267">
        <f>SUM(LCI_AB!L287,LCI_AB!L335,LCI_AB!L383,LCI_AB!L419)/B68</f>
        <v>8.908486182696727E-5</v>
      </c>
      <c r="E68" s="850">
        <f>SUM(LCI_AB!L299,LCI_AB!L347,LCI_AB!L431)/B68</f>
        <v>1.6540164790136816E-6</v>
      </c>
      <c r="F68" s="850">
        <f>SUM(LCI_AB!L311,LCI_AB!L359,LCI_AB!L443)/B68</f>
        <v>6.4113992054539153E-4</v>
      </c>
      <c r="G68" s="850">
        <f>SUM(LCI_AB!L323,LCI_AB!L371,LCI_AB!L455)/B68</f>
        <v>5.9956621654791188E-5</v>
      </c>
      <c r="H68" s="850">
        <f>LCI_AB!L395/B68</f>
        <v>2.2120272915268434E-4</v>
      </c>
      <c r="I68" s="850">
        <f>LCI_AB!L407/B68</f>
        <v>0.5944820046885011</v>
      </c>
      <c r="J68" s="850">
        <f>LCI_AB!L467/B68</f>
        <v>7.8166801321579407E-6</v>
      </c>
      <c r="K68" s="850">
        <f>LCI_AB!L503/B68</f>
        <v>0.11546514311728476</v>
      </c>
      <c r="L68" s="850">
        <f>LCI_AB!L515/B68</f>
        <v>0.15704442131656512</v>
      </c>
      <c r="M68" s="1263">
        <f>LCI_AB!L527/B68</f>
        <v>0.13198712041715699</v>
      </c>
    </row>
    <row r="69" spans="1:13" x14ac:dyDescent="0.2">
      <c r="A69" s="126" t="s">
        <v>3372</v>
      </c>
      <c r="B69" s="100">
        <f>SUM(LCI_AB!L288,LCI_AB!L300,LCI_AB!L312,LCI_AB!L324,LCI_AB!L336,LCI_AB!L348,LCI_AB!L360,LCI_AB!L372,LCI_AB!L384,LCI_AB!L396,LCI_AB!L408,LCI_AB!L420,LCI_AB!L432,LCI_AB!L444,LCI_AB!L456,LCI_AB!L468,LCI_AB!L480,LCI_AB!L492,LCI_AB!L504,LCI_AB!L516,LCI_AB!L528)</f>
        <v>131189.10222421342</v>
      </c>
      <c r="C69" t="s">
        <v>3374</v>
      </c>
      <c r="D69" s="1267">
        <f>SUM(LCI_AB!L288,LCI_AB!L336,LCI_AB!L384,LCI_AB!L420)/B69</f>
        <v>1.646341017189585E-5</v>
      </c>
      <c r="E69" s="850">
        <f>SUM(LCI_AB!L300,LCI_AB!L348,LCI_AB!L432)/B69</f>
        <v>5.8424038828141821E-6</v>
      </c>
      <c r="F69" s="850">
        <f>SUM(LCI_AB!L312,LCI_AB!L360,LCI_AB!L444)/B69</f>
        <v>7.1204297321797851E-4</v>
      </c>
      <c r="G69" s="850">
        <f>SUM(LCI_AB!L324,LCI_AB!L372,LCI_AB!L456)/B69</f>
        <v>3.1817762355162509E-5</v>
      </c>
      <c r="H69" s="850">
        <f>LCI_AB!L396/B69</f>
        <v>1.173877992829014E-4</v>
      </c>
      <c r="I69" s="850">
        <f>LCI_AB!L408/B69</f>
        <v>0.39331643738084981</v>
      </c>
      <c r="J69" s="850">
        <f>LCI_AB!L468/B69</f>
        <v>6.4832795677180869E-6</v>
      </c>
      <c r="K69" s="850">
        <f>LCI_AB!L504/B69</f>
        <v>0.40785204321567076</v>
      </c>
      <c r="L69" s="850">
        <f>LCI_AB!L516/B69</f>
        <v>7.8656768383179712E-2</v>
      </c>
      <c r="M69" s="1263">
        <f>LCI_AB!L528/B69</f>
        <v>0.11928310398912863</v>
      </c>
    </row>
    <row r="70" spans="1:13" x14ac:dyDescent="0.2">
      <c r="A70" s="126" t="s">
        <v>3375</v>
      </c>
      <c r="B70" s="100">
        <f>SUM(LCI_AB!L289,LCI_AB!L301,LCI_AB!L313,LCI_AB!L325,LCI_AB!L337,LCI_AB!L349,LCI_AB!L361,LCI_AB!L373,LCI_AB!L385,LCI_AB!L397,LCI_AB!L409,LCI_AB!L421,LCI_AB!L433,LCI_AB!L445,LCI_AB!L457,LCI_AB!L469,LCI_AB!L481,LCI_AB!L493,LCI_AB!L505,LCI_AB!L517,LCI_AB!L529)</f>
        <v>1048755.5385843408</v>
      </c>
      <c r="C70" t="s">
        <v>3376</v>
      </c>
      <c r="D70" s="1267">
        <f>SUM(LCI_AB!L289,LCI_AB!L337,LCI_AB!L385,LCI_AB!L421)/B70</f>
        <v>6.017093371938854E-6</v>
      </c>
      <c r="E70" s="850">
        <f>SUM(LCI_AB!L301,LCI_AB!L349,LCI_AB!L433)/B70</f>
        <v>1.2104335709387966E-6</v>
      </c>
      <c r="F70" s="850">
        <f>SUM(LCI_AB!L313,LCI_AB!L361,LCI_AB!L445)/B70</f>
        <v>8.2218129346786205E-4</v>
      </c>
      <c r="G70" s="850">
        <f>SUM(LCI_AB!L325,LCI_AB!L373,LCI_AB!L457)/B70</f>
        <v>2.1554524977624334E-5</v>
      </c>
      <c r="H70" s="850">
        <f>LCI_AB!L397/B70</f>
        <v>7.9522821984403735E-5</v>
      </c>
      <c r="I70" s="850">
        <f>LCI_AB!L409/B70</f>
        <v>0.37529810058414997</v>
      </c>
      <c r="J70" s="850">
        <f>LCI_AB!L469/B70</f>
        <v>8.5454856373215321E-6</v>
      </c>
      <c r="K70" s="850">
        <f>LCI_AB!L505/B70</f>
        <v>8.4499088900104075E-2</v>
      </c>
      <c r="L70" s="850">
        <f>LCI_AB!L517/B70</f>
        <v>0.30988051227595698</v>
      </c>
      <c r="M70" s="1263">
        <f>LCI_AB!L529/B70</f>
        <v>0.22938293314953487</v>
      </c>
    </row>
    <row r="71" spans="1:13" x14ac:dyDescent="0.2">
      <c r="A71" s="126" t="s">
        <v>708</v>
      </c>
      <c r="B71" s="100">
        <f>SUM(LCI_AB!L290,LCI_AB!L302,LCI_AB!L314,LCI_AB!L326,LCI_AB!L338,LCI_AB!L350,LCI_AB!L362,LCI_AB!L374,LCI_AB!L386,LCI_AB!L398,LCI_AB!L410,LCI_AB!L422,LCI_AB!L434,LCI_AB!L446,LCI_AB!L458,LCI_AB!L470,LCI_AB!L482,LCI_AB!L494,LCI_AB!L506,LCI_AB!L518,LCI_AB!L530)</f>
        <v>402938081.53816992</v>
      </c>
      <c r="C71" t="s">
        <v>3377</v>
      </c>
      <c r="D71" s="1267">
        <f>SUM(LCI_AB!L290,LCI_AB!L338,LCI_AB!L386,LCI_AB!L422)/B71</f>
        <v>3.7947798186832675E-6</v>
      </c>
      <c r="E71" s="850">
        <f>SUM(LCI_AB!L302,LCI_AB!L350,LCI_AB!L434)/B71</f>
        <v>2.3271951868489591E-6</v>
      </c>
      <c r="F71" s="850">
        <f>SUM(LCI_AB!L314,LCI_AB!L362,LCI_AB!L446)/B71</f>
        <v>7.7451909084462836E-4</v>
      </c>
      <c r="G71" s="850">
        <f>SUM(LCI_AB!L326,LCI_AB!L374,LCI_AB!L458)/B71</f>
        <v>2.375662737136663E-5</v>
      </c>
      <c r="H71" s="850">
        <f>LCI_AB!L398/B71</f>
        <v>8.7647213351450164E-5</v>
      </c>
      <c r="I71" s="850">
        <f>LCI_AB!L410/B71</f>
        <v>0.61151326504775294</v>
      </c>
      <c r="J71" s="850">
        <f>LCI_AB!L470/B71</f>
        <v>3.4212461189616478E-4</v>
      </c>
      <c r="K71" s="850">
        <f>LCI_AB!L506/B71</f>
        <v>0.16245903757356014</v>
      </c>
      <c r="L71" s="850">
        <f>LCI_AB!L518/B71</f>
        <v>0.13771807089843044</v>
      </c>
      <c r="M71" s="1263">
        <f>LCI_AB!L530/B71</f>
        <v>8.7074815891043905E-2</v>
      </c>
    </row>
    <row r="72" spans="1:13" x14ac:dyDescent="0.2">
      <c r="A72" s="126" t="s">
        <v>3378</v>
      </c>
      <c r="B72" s="100">
        <f>SUM(LCI_AB!L291,LCI_AB!L303,LCI_AB!L315,LCI_AB!L327,LCI_AB!L339,LCI_AB!L351,LCI_AB!L363,LCI_AB!L375,LCI_AB!L387,LCI_AB!L399,LCI_AB!L411,LCI_AB!L423,LCI_AB!L435,LCI_AB!L447,LCI_AB!L459,LCI_AB!L471,LCI_AB!L483,LCI_AB!L495,LCI_AB!L507,LCI_AB!L519,LCI_AB!L531)</f>
        <v>127.96723046185342</v>
      </c>
      <c r="C72" t="s">
        <v>3368</v>
      </c>
      <c r="D72" s="1267">
        <f>SUM(LCI_AB!L291,LCI_AB!L339,LCI_AB!L387,LCI_AB!L423)/B72</f>
        <v>4.7418488140280976E-5</v>
      </c>
      <c r="E72" s="850">
        <f>SUM(LCI_AB!L303,LCI_AB!L351,LCI_AB!L435)/B72</f>
        <v>1.8501883532055843E-6</v>
      </c>
      <c r="F72" s="850">
        <f>SUM(LCI_AB!L315,LCI_AB!L363,LCI_AB!L447)/B72</f>
        <v>4.8999724732163067E-4</v>
      </c>
      <c r="G72" s="850">
        <f>SUM(LCI_AB!L327,LCI_AB!L375,LCI_AB!L459)/B72</f>
        <v>1.4685174954456785E-5</v>
      </c>
      <c r="H72" s="850">
        <f>LCI_AB!L399/B72</f>
        <v>5.4179183021912402E-5</v>
      </c>
      <c r="I72" s="850">
        <f>LCI_AB!L411/B72</f>
        <v>0.47565493051870095</v>
      </c>
      <c r="J72" s="850">
        <f>LCI_AB!L471/B72</f>
        <v>6.908740646669222E-6</v>
      </c>
      <c r="K72" s="850">
        <f>LCI_AB!L507/B72</f>
        <v>0.12915969442106695</v>
      </c>
      <c r="L72" s="850">
        <f>LCI_AB!L519/B72</f>
        <v>4.668367216224506E-2</v>
      </c>
      <c r="M72" s="1263">
        <f>LCI_AB!L531/B72</f>
        <v>0.34788615420552649</v>
      </c>
    </row>
    <row r="73" spans="1:13" x14ac:dyDescent="0.2">
      <c r="A73" s="126" t="s">
        <v>710</v>
      </c>
      <c r="B73" s="100">
        <f>SUM(LCI_AB!L292,LCI_AB!L304,LCI_AB!L316,LCI_AB!L328,LCI_AB!L340,LCI_AB!L352,LCI_AB!L364,LCI_AB!L376,LCI_AB!L388,LCI_AB!L400,LCI_AB!L412,LCI_AB!L424,LCI_AB!L436,LCI_AB!L448,LCI_AB!L460,LCI_AB!L472,LCI_AB!L484,LCI_AB!L496,LCI_AB!L508,LCI_AB!L520,LCI_AB!L532)</f>
        <v>26.522376067925862</v>
      </c>
      <c r="C73" t="s">
        <v>3380</v>
      </c>
      <c r="D73" s="1267">
        <f>SUM(LCI_AB!L292,LCI_AB!L340,LCI_AB!L388,LCI_AB!L424)/B73</f>
        <v>1.1064430247442348E-6</v>
      </c>
      <c r="E73" s="850">
        <f>SUM(LCI_AB!L304,LCI_AB!L352,LCI_AB!L436)/B73</f>
        <v>1.3642038931022747E-7</v>
      </c>
      <c r="F73" s="850">
        <f>SUM(LCI_AB!L316,LCI_AB!L364,LCI_AB!L448)/B73</f>
        <v>3.1994189555245079E-4</v>
      </c>
      <c r="G73" s="850">
        <f>SUM(LCI_AB!L328,LCI_AB!L376,LCI_AB!L460)/B73</f>
        <v>1.0536436448408021E-5</v>
      </c>
      <c r="H73" s="850">
        <f>LCI_AB!L400/B73</f>
        <v>3.8872912342375506E-5</v>
      </c>
      <c r="I73" s="850">
        <f>LCI_AB!L412/B73</f>
        <v>0.10067933628056148</v>
      </c>
      <c r="J73" s="850">
        <f>LCI_AB!L472/B73</f>
        <v>0.82546967068355726</v>
      </c>
      <c r="K73" s="850">
        <f>LCI_AB!L508/B73</f>
        <v>9.5233632649259856E-3</v>
      </c>
      <c r="L73" s="850">
        <f>LCI_AB!L520/B73</f>
        <v>2.5324846117066469E-2</v>
      </c>
      <c r="M73" s="1263">
        <f>LCI_AB!L532/B73</f>
        <v>3.863215196650744E-2</v>
      </c>
    </row>
    <row r="74" spans="1:13" x14ac:dyDescent="0.2">
      <c r="A74" s="126" t="s">
        <v>3381</v>
      </c>
      <c r="B74" s="100">
        <f>SUM(LCI_AB!L293,LCI_AB!L305,LCI_AB!L317,LCI_AB!L329,LCI_AB!L341,LCI_AB!L353,LCI_AB!L365,LCI_AB!L377,LCI_AB!L389,LCI_AB!L401,LCI_AB!L413,LCI_AB!L425,LCI_AB!L437,LCI_AB!L449,LCI_AB!L461,LCI_AB!L473,LCI_AB!L485,LCI_AB!L497,LCI_AB!L509,LCI_AB!L521,LCI_AB!L533)</f>
        <v>433660.15285492764</v>
      </c>
      <c r="C74" t="s">
        <v>3383</v>
      </c>
      <c r="D74" s="1267">
        <f>SUM(LCI_AB!L293,LCI_AB!L341,LCI_AB!L389,LCI_AB!L425)/B74</f>
        <v>1.1441770629223306E-5</v>
      </c>
      <c r="E74" s="850">
        <f>SUM(LCI_AB!L305,LCI_AB!L353,LCI_AB!L437)/B74</f>
        <v>5.5784200508416004E-6</v>
      </c>
      <c r="F74" s="850">
        <f>SUM(LCI_AB!L317,LCI_AB!L365,LCI_AB!L449)/B74</f>
        <v>8.5609416621826545E-4</v>
      </c>
      <c r="G74" s="850">
        <f>SUM(LCI_AB!L329,LCI_AB!L377,LCI_AB!L461)/B74</f>
        <v>3.4126346586547898E-5</v>
      </c>
      <c r="H74" s="850">
        <f>LCI_AB!L401/B74</f>
        <v>1.2590504255590514E-4</v>
      </c>
      <c r="I74" s="850">
        <f>LCI_AB!L413/B74</f>
        <v>0.42322544316778998</v>
      </c>
      <c r="J74" s="850">
        <f>LCI_AB!L473/B74</f>
        <v>6.1381279292744214E-6</v>
      </c>
      <c r="K74" s="850">
        <f>LCI_AB!L509/B74</f>
        <v>0.38942361077493731</v>
      </c>
      <c r="L74" s="850">
        <f>LCI_AB!L521/B74</f>
        <v>9.7090989393754684E-2</v>
      </c>
      <c r="M74" s="1263">
        <f>LCI_AB!L533/B74</f>
        <v>8.9219136106286762E-2</v>
      </c>
    </row>
    <row r="75" spans="1:13" x14ac:dyDescent="0.2">
      <c r="A75" s="117" t="s">
        <v>3384</v>
      </c>
      <c r="B75" s="168">
        <f>SUM(LCI_AB!L294,LCI_AB!L306,LCI_AB!L318,LCI_AB!L330,LCI_AB!L342,LCI_AB!L354,LCI_AB!L366,LCI_AB!L378,LCI_AB!L390,LCI_AB!L402,LCI_AB!L414,LCI_AB!L426,LCI_AB!L438,LCI_AB!L450,LCI_AB!L462,LCI_AB!L474,LCI_AB!L486,LCI_AB!L498,LCI_AB!L510,LCI_AB!L522,LCI_AB!L534)</f>
        <v>16910944.66655197</v>
      </c>
      <c r="C75" s="118" t="s">
        <v>3385</v>
      </c>
      <c r="D75" s="1268">
        <f>SUM(LCI_AB!L294,LCI_AB!L342,LCI_AB!L390,LCI_AB!L426)/B75</f>
        <v>8.4349374214518027E-6</v>
      </c>
      <c r="E75" s="1269">
        <f>SUM(LCI_AB!L306,LCI_AB!L354,LCI_AB!L438)/B75</f>
        <v>1.7279505911396241E-6</v>
      </c>
      <c r="F75" s="1269">
        <f>SUM(LCI_AB!L318,LCI_AB!L366,LCI_AB!L450)/B75</f>
        <v>1.0387532488047545E-3</v>
      </c>
      <c r="G75" s="1269">
        <f>SUM(LCI_AB!L330,LCI_AB!L378,LCI_AB!L462)/B75</f>
        <v>3.2219446334218036E-5</v>
      </c>
      <c r="H75" s="1269">
        <f>LCI_AB!L402/B75</f>
        <v>1.1886976390952065E-4</v>
      </c>
      <c r="I75" s="1269">
        <f>LCI_AB!L414/B75</f>
        <v>0.55172990904909214</v>
      </c>
      <c r="J75" s="1269">
        <f>LCI_AB!L474/B75</f>
        <v>1.3303022243974611E-5</v>
      </c>
      <c r="K75" s="1269">
        <f>LCI_AB!L510/B75</f>
        <v>0.12062640538171031</v>
      </c>
      <c r="L75" s="1269">
        <f>LCI_AB!L522/B75</f>
        <v>0.16158012136863442</v>
      </c>
      <c r="M75" s="1270">
        <f>LCI_AB!L534/B75</f>
        <v>0.16484977983398205</v>
      </c>
    </row>
    <row r="77" spans="1:13" x14ac:dyDescent="0.2">
      <c r="A77" s="6" t="s">
        <v>3501</v>
      </c>
      <c r="B77" s="1310">
        <f ca="1">ExpBase!I182</f>
        <v>82592739.638184279</v>
      </c>
      <c r="C77" s="6" t="s">
        <v>3414</v>
      </c>
    </row>
    <row r="79" spans="1:13" x14ac:dyDescent="0.2">
      <c r="A79" s="109" t="s">
        <v>701</v>
      </c>
      <c r="B79" s="1309">
        <f t="shared" ref="B79:B88" ca="1" si="1">B66/B$77</f>
        <v>2.0860590700776907E-2</v>
      </c>
      <c r="C79" s="1129" t="s">
        <v>3489</v>
      </c>
    </row>
    <row r="80" spans="1:13" x14ac:dyDescent="0.2">
      <c r="A80" s="126" t="s">
        <v>703</v>
      </c>
      <c r="B80" s="1311">
        <f t="shared" ca="1" si="1"/>
        <v>3.184867938175571E-7</v>
      </c>
      <c r="C80" s="1129" t="s">
        <v>3490</v>
      </c>
    </row>
    <row r="81" spans="1:3" x14ac:dyDescent="0.2">
      <c r="A81" s="126" t="s">
        <v>705</v>
      </c>
      <c r="B81" s="1309">
        <f t="shared" ca="1" si="1"/>
        <v>73.582910482600866</v>
      </c>
      <c r="C81" s="1129" t="s">
        <v>3491</v>
      </c>
    </row>
    <row r="82" spans="1:3" x14ac:dyDescent="0.2">
      <c r="A82" s="126" t="s">
        <v>3372</v>
      </c>
      <c r="B82" s="1311">
        <f t="shared" ca="1" si="1"/>
        <v>1.5883854052900562E-3</v>
      </c>
      <c r="C82" s="1129" t="s">
        <v>3492</v>
      </c>
    </row>
    <row r="83" spans="1:3" x14ac:dyDescent="0.2">
      <c r="A83" s="126" t="s">
        <v>3375</v>
      </c>
      <c r="B83" s="1309">
        <f t="shared" ca="1" si="1"/>
        <v>1.2697914407230537E-2</v>
      </c>
      <c r="C83" s="1129" t="s">
        <v>3493</v>
      </c>
    </row>
    <row r="84" spans="1:3" x14ac:dyDescent="0.2">
      <c r="A84" s="126" t="s">
        <v>708</v>
      </c>
      <c r="B84" s="1309">
        <f t="shared" ca="1" si="1"/>
        <v>4.878613826146573</v>
      </c>
      <c r="C84" s="1129" t="s">
        <v>3494</v>
      </c>
    </row>
    <row r="85" spans="1:3" x14ac:dyDescent="0.2">
      <c r="A85" s="126" t="s">
        <v>3378</v>
      </c>
      <c r="B85" s="1311">
        <f t="shared" ca="1" si="1"/>
        <v>1.5493762650620637E-6</v>
      </c>
      <c r="C85" s="1129" t="s">
        <v>3490</v>
      </c>
    </row>
    <row r="86" spans="1:3" x14ac:dyDescent="0.2">
      <c r="A86" s="126" t="s">
        <v>710</v>
      </c>
      <c r="B86" s="1311">
        <f t="shared" ca="1" si="1"/>
        <v>3.2112236722153767E-7</v>
      </c>
      <c r="C86" s="1129" t="s">
        <v>3495</v>
      </c>
    </row>
    <row r="87" spans="1:3" x14ac:dyDescent="0.2">
      <c r="A87" s="126" t="s">
        <v>3381</v>
      </c>
      <c r="B87" s="1311">
        <f t="shared" ca="1" si="1"/>
        <v>5.2505844309641697E-3</v>
      </c>
      <c r="C87" s="1129" t="s">
        <v>3496</v>
      </c>
    </row>
    <row r="88" spans="1:3" x14ac:dyDescent="0.2">
      <c r="A88" s="117" t="s">
        <v>3384</v>
      </c>
      <c r="B88" s="1309">
        <f t="shared" ca="1" si="1"/>
        <v>0.20475098344762621</v>
      </c>
      <c r="C88" s="1129" t="s">
        <v>3497</v>
      </c>
    </row>
    <row r="90" spans="1:3" x14ac:dyDescent="0.2">
      <c r="A90" s="6" t="s">
        <v>3502</v>
      </c>
    </row>
    <row r="91" spans="1:3" x14ac:dyDescent="0.2">
      <c r="A91" s="109" t="s">
        <v>701</v>
      </c>
      <c r="B91" s="1309">
        <v>1.7479999999999999E-2</v>
      </c>
      <c r="C91" s="1129" t="s">
        <v>3489</v>
      </c>
    </row>
    <row r="92" spans="1:3" x14ac:dyDescent="0.2">
      <c r="A92" s="126" t="s">
        <v>703</v>
      </c>
      <c r="B92" s="1311">
        <v>3.3136999999999998E-7</v>
      </c>
      <c r="C92" s="1129" t="s">
        <v>3490</v>
      </c>
    </row>
    <row r="93" spans="1:3" x14ac:dyDescent="0.2">
      <c r="A93" s="126" t="s">
        <v>705</v>
      </c>
      <c r="B93" s="1309">
        <v>58.856000000000002</v>
      </c>
      <c r="C93" s="1129" t="s">
        <v>3491</v>
      </c>
    </row>
    <row r="94" spans="1:3" x14ac:dyDescent="0.2">
      <c r="A94" s="126" t="s">
        <v>3372</v>
      </c>
      <c r="B94" s="1311">
        <v>9.7000000000000005E-4</v>
      </c>
      <c r="C94" s="1129" t="s">
        <v>3492</v>
      </c>
    </row>
    <row r="95" spans="1:3" x14ac:dyDescent="0.2">
      <c r="A95" s="126" t="s">
        <v>3375</v>
      </c>
      <c r="B95" s="1309">
        <v>9.6299999999999997E-3</v>
      </c>
      <c r="C95" s="1129" t="s">
        <v>3493</v>
      </c>
    </row>
    <row r="96" spans="1:3" x14ac:dyDescent="0.2">
      <c r="A96" s="126" t="s">
        <v>708</v>
      </c>
      <c r="B96" s="1309">
        <v>4.3146000000000004</v>
      </c>
      <c r="C96" s="1129" t="s">
        <v>3494</v>
      </c>
    </row>
    <row r="97" spans="1:15" x14ac:dyDescent="0.2">
      <c r="A97" s="126" t="s">
        <v>3378</v>
      </c>
      <c r="B97" s="1311">
        <v>9.1122799999999999E-7</v>
      </c>
      <c r="C97" s="1129" t="s">
        <v>3490</v>
      </c>
    </row>
    <row r="98" spans="1:15" x14ac:dyDescent="0.2">
      <c r="A98" s="126" t="s">
        <v>710</v>
      </c>
      <c r="B98" s="1311">
        <v>2.1043399999999999E-7</v>
      </c>
      <c r="C98" s="1129" t="s">
        <v>3495</v>
      </c>
    </row>
    <row r="99" spans="1:15" x14ac:dyDescent="0.2">
      <c r="A99" s="126" t="s">
        <v>3381</v>
      </c>
      <c r="B99" s="1311">
        <v>2.81E-3</v>
      </c>
      <c r="C99" s="1129" t="s">
        <v>3496</v>
      </c>
    </row>
    <row r="100" spans="1:15" x14ac:dyDescent="0.2">
      <c r="A100" s="117" t="s">
        <v>3384</v>
      </c>
      <c r="B100" s="1309">
        <v>0.2087</v>
      </c>
      <c r="C100" s="1129" t="s">
        <v>3497</v>
      </c>
    </row>
    <row r="110" spans="1:15" ht="16" thickBot="1" x14ac:dyDescent="0.25"/>
    <row r="111" spans="1:15" x14ac:dyDescent="0.2">
      <c r="A111" s="1868" t="s">
        <v>3503</v>
      </c>
      <c r="B111" s="1869"/>
      <c r="C111" s="1869"/>
      <c r="D111" s="1869"/>
      <c r="E111" s="1869"/>
      <c r="F111" s="1869"/>
      <c r="G111" s="1869"/>
      <c r="H111" s="1869"/>
      <c r="I111" s="1869"/>
      <c r="J111" s="1869"/>
      <c r="K111" s="1869"/>
      <c r="L111" s="1869"/>
      <c r="M111" s="1869"/>
      <c r="N111" s="1869"/>
      <c r="O111" s="1870"/>
    </row>
    <row r="112" spans="1:15" ht="16" thickBot="1" x14ac:dyDescent="0.25">
      <c r="A112" s="1898"/>
      <c r="B112" s="1899"/>
      <c r="C112" s="1899"/>
      <c r="D112" s="1899"/>
      <c r="E112" s="1899"/>
      <c r="F112" s="1899"/>
      <c r="G112" s="1899"/>
      <c r="H112" s="1899"/>
      <c r="I112" s="1899"/>
      <c r="J112" s="1899"/>
      <c r="K112" s="1899"/>
      <c r="L112" s="1899"/>
      <c r="M112" s="1899"/>
      <c r="N112" s="1899"/>
      <c r="O112" s="1900"/>
    </row>
    <row r="113" spans="1:11" ht="16" x14ac:dyDescent="0.2">
      <c r="A113" s="1963" t="s">
        <v>586</v>
      </c>
      <c r="B113" s="1964"/>
      <c r="C113" s="1965"/>
    </row>
    <row r="114" spans="1:11" ht="48" x14ac:dyDescent="0.2">
      <c r="A114" s="1255" t="s">
        <v>3470</v>
      </c>
      <c r="B114" s="1255" t="s">
        <v>42</v>
      </c>
      <c r="C114" s="1255" t="s">
        <v>372</v>
      </c>
      <c r="D114" s="1256" t="s">
        <v>3504</v>
      </c>
      <c r="E114" s="1256" t="s">
        <v>3505</v>
      </c>
      <c r="F114" s="1256" t="s">
        <v>3506</v>
      </c>
      <c r="G114" s="1256" t="s">
        <v>812</v>
      </c>
      <c r="H114" s="319" t="s">
        <v>3507</v>
      </c>
      <c r="I114" s="1256" t="s">
        <v>3508</v>
      </c>
      <c r="J114" s="1256" t="s">
        <v>3509</v>
      </c>
      <c r="K114" s="1271"/>
    </row>
    <row r="115" spans="1:11" x14ac:dyDescent="0.2">
      <c r="A115" s="109" t="s">
        <v>701</v>
      </c>
      <c r="B115" s="160">
        <f>SUM(LCI_AB!L546,LCI_AB!L558,LCI_AB!L570,LCI_AB!L582,LCI_AB!L594,LCI_AB!L606,LCI_AB!L618,LCI_AB!L630,LCI_AB!L642,LCI_AB!L663,LCI_AB!L675,LCI_AB!L687,LCI_AB!L705,LCI_AB!L717,LCI_AB!L729,LCI_AB!L741,LCI_AB!L759,LCI_AB!L771,LCI_AB!L783,LCI_AB!L795,LCI_AB!L815,LCI_AB!L827,LCI_AB!L839,LCI_AB!L851,LCI_AB!L863,LCI_AB!L889,LCI_AB!L901,LCI_AB!L913,LCI_AB!L925,LCI_AB!L937,LCI_AB!L949,LCI_AB!L961,LCI_AB!L973,LCI_AB!L985,LCI_AB!L997,LCI_AB!L1009,LCI_AB!L1021,LCI_AB!L1033,LCI_AB!L1045,LCI_AB!L1057,LCI_AB!L1077,LCI_AB!L1089,LCI_AB!L1101,LCI_AB!L1113,LCI_AB!L1125,LCI_AB!L1137,LCI_AB!L1157,LCI_AB!L1169,LCI_AB!L1181,LCI_AB!L1193,LCI_AB!L1205,LCI_AB!L1217)</f>
        <v>2178489.3298276304</v>
      </c>
      <c r="C115" s="112" t="s">
        <v>3367</v>
      </c>
      <c r="D115" s="1272">
        <f>SUM(LCI_AB!L546,LCI_AB!L582,LCI_AB!L594,LCI_AB!L606,LCI_AB!L618,LCI_AB!L630,LCI_AB!L663,LCI_AB!L705,LCI_AB!L759,LCI_AB!L815,LCI_AB!L889,LCI_AB!L913,LCI_AB!L961,LCI_AB!L1033,LCI_AB!L1045,LCI_AB!L1077,LCI_AB!L1089,LCI_AB!L1101)/B115</f>
        <v>4.6262767790547E-4</v>
      </c>
      <c r="E115" s="1273">
        <f>SUM(LCI_AB!L558,LCI_AB!L570,LCI_AB!L675,LCI_AB!L717,LCI_AB!L771,LCI_AB!L1113)/B115</f>
        <v>9.6757210204783464E-2</v>
      </c>
      <c r="F115" s="1273">
        <f>SUM(LCI_AB!L827,LCI_AB!L839,LCI_AB!L851,LCI_AB!L1169,LCI_AB!L1181,LCI_AB!L1193)/B115</f>
        <v>4.698420878394418E-3</v>
      </c>
      <c r="G115" s="1273">
        <f>SUM(LCI_AB!L729,,LCI_AB!L783,LCI_AB!L1125)/B115</f>
        <v>4.8727361095951549E-2</v>
      </c>
      <c r="H115" s="1273">
        <f>SUM(LCI_AB!L901,LCI_AB!L925,LCI_AB!L937,LCI_AB!L949,LCI_AB!L973,LCI_AB!L985,LCI_AB!L985,LCI_AB!L997,LCI_AB!L1009,LCI_AB!L1021)/B115</f>
        <v>0.37235382726591665</v>
      </c>
      <c r="I115" s="1122">
        <f>SUM(LCI_AB!L642,LCI_AB!L687,LCI_AB!L741,LCI_AB!L795,LCI_AB!L863,LCI_AB!L1057,LCI_AB!L1137,LCI_AB!L1205)/B115</f>
        <v>0.20223170875653074</v>
      </c>
      <c r="J115" s="1263">
        <f>LCI_AB!L1217/B115</f>
        <v>0.27495065468739843</v>
      </c>
    </row>
    <row r="116" spans="1:11" x14ac:dyDescent="0.2">
      <c r="A116" s="126" t="s">
        <v>703</v>
      </c>
      <c r="B116" s="100">
        <f>SUM(LCI_AB!L547,LCI_AB!L559,LCI_AB!L571,LCI_AB!L583,LCI_AB!L595,LCI_AB!L607,LCI_AB!L619,LCI_AB!L631,LCI_AB!L643,LCI_AB!L664,LCI_AB!L676,LCI_AB!L688,LCI_AB!L706,LCI_AB!L718,LCI_AB!L730,LCI_AB!L742,LCI_AB!L760,LCI_AB!L772,LCI_AB!L784,LCI_AB!L796,LCI_AB!L816,LCI_AB!L828,LCI_AB!L840,LCI_AB!L852,LCI_AB!L864,LCI_AB!L890,LCI_AB!L902,LCI_AB!L914,LCI_AB!L926,LCI_AB!L938,LCI_AB!L950,LCI_AB!L962,LCI_AB!L974,LCI_AB!L986,LCI_AB!L998,LCI_AB!L1010,LCI_AB!L1022,LCI_AB!L1034,LCI_AB!L1046,LCI_AB!L1058,LCI_AB!L1078,LCI_AB!L1090,LCI_AB!L1102,LCI_AB!L1114,LCI_AB!L1126,LCI_AB!L1138,LCI_AB!L1158,LCI_AB!L1170,LCI_AB!L1182,LCI_AB!L1194,LCI_AB!L1206,LCI_AB!L1218)</f>
        <v>178.19453716738278</v>
      </c>
      <c r="C116" s="127" t="s">
        <v>3368</v>
      </c>
      <c r="D116" s="1267">
        <f>SUM(LCI_AB!L547,LCI_AB!L583,LCI_AB!L595,LCI_AB!L607,LCI_AB!L619,LCI_AB!L631,LCI_AB!L664,LCI_AB!L706,LCI_AB!L760,LCI_AB!L816,LCI_AB!L890,LCI_AB!L914,LCI_AB!L962,LCI_AB!L1034,LCI_AB!L1046,LCI_AB!L1078,LCI_AB!L1090,LCI_AB!L1102)/B116</f>
        <v>7.5881397342157371E-4</v>
      </c>
      <c r="E116" s="850">
        <f>SUM(LCI_AB!L559,LCI_AB!L571,LCI_AB!L676,LCI_AB!L718,LCI_AB!L772,LCI_AB!L1114)/B116</f>
        <v>0.11970892400887834</v>
      </c>
      <c r="F116" s="850">
        <f>SUM(LCI_AB!L828,LCI_AB!L840,LCI_AB!L852,LCI_AB!L1170,LCI_AB!L1182,LCI_AB!L1194)/B116</f>
        <v>4.013302887161431E-3</v>
      </c>
      <c r="G116" s="850">
        <f>SUM(LCI_AB!L730,,LCI_AB!L784,LCI_AB!L1126)/B116</f>
        <v>7.5346253535531205E-3</v>
      </c>
      <c r="H116" s="850">
        <f>SUM(LCI_AB!L902,LCI_AB!L926,LCI_AB!L938,LCI_AB!L950,LCI_AB!L974,LCI_AB!L986,LCI_AB!L986,LCI_AB!L998,LCI_AB!L1010,LCI_AB!L1022)/B116</f>
        <v>0.65541090350014308</v>
      </c>
      <c r="I116" s="1263">
        <f>SUM(LCI_AB!L643,LCI_AB!L688,LCI_AB!L742,LCI_AB!L796,LCI_AB!L864,LCI_AB!L1058,LCI_AB!L1138,LCI_AB!L1206)/B116</f>
        <v>0.10915005522239989</v>
      </c>
      <c r="J116" s="1263">
        <f>LCI_AB!L1218/B116</f>
        <v>0.10390563059025293</v>
      </c>
    </row>
    <row r="117" spans="1:11" x14ac:dyDescent="0.2">
      <c r="A117" s="126" t="s">
        <v>705</v>
      </c>
      <c r="B117" s="100">
        <f>SUM(LCI_AB!L548,LCI_AB!L560,LCI_AB!L572,LCI_AB!L584,LCI_AB!L596,LCI_AB!L608,LCI_AB!L620,LCI_AB!L632,LCI_AB!L644,LCI_AB!L665,LCI_AB!L677,LCI_AB!L689,LCI_AB!L707,LCI_AB!L719,LCI_AB!L731,LCI_AB!L743,LCI_AB!L761,LCI_AB!L773,LCI_AB!L785,LCI_AB!L797,LCI_AB!L817,LCI_AB!L829,LCI_AB!L841,LCI_AB!L853,LCI_AB!L865,LCI_AB!L891,LCI_AB!L903,LCI_AB!L915,LCI_AB!L927,LCI_AB!L939,LCI_AB!L951,LCI_AB!L963,LCI_AB!L975,LCI_AB!L987,LCI_AB!L999,LCI_AB!L1011,LCI_AB!L1023,LCI_AB!L1035,LCI_AB!L1047,LCI_AB!L1059,LCI_AB!L1079,LCI_AB!L1091,LCI_AB!L1103,LCI_AB!L1115,LCI_AB!L1127,LCI_AB!L1139,LCI_AB!L1159,LCI_AB!L1171,LCI_AB!L1183,LCI_AB!L1195,LCI_AB!L1207,LCI_AB!L1219)</f>
        <v>25211503006.956825</v>
      </c>
      <c r="C117" s="127" t="s">
        <v>3370</v>
      </c>
      <c r="D117" s="1267">
        <f>SUM(LCI_AB!L548,LCI_AB!L584,LCI_AB!L596,LCI_AB!L608,LCI_AB!L620,LCI_AB!L632,LCI_AB!L665,LCI_AB!L707,LCI_AB!L761,LCI_AB!L817,LCI_AB!L891,LCI_AB!L915,LCI_AB!L963,LCI_AB!L1035,LCI_AB!L1047,LCI_AB!L1079,LCI_AB!L1091,LCI_AB!L1103)/B117</f>
        <v>1.0137946783321172E-3</v>
      </c>
      <c r="E117" s="850">
        <f>SUM(LCI_AB!L560,LCI_AB!L572,LCI_AB!L677,LCI_AB!L719,LCI_AB!L773,LCI_AB!L1115)/B117</f>
        <v>7.9184385762628298E-14</v>
      </c>
      <c r="F117" s="850">
        <f>SUM(LCI_AB!L829,LCI_AB!L841,LCI_AB!L853,LCI_AB!L1171,LCI_AB!L1183,LCI_AB!L1195)/B117</f>
        <v>6.148773576110626E-3</v>
      </c>
      <c r="G117" s="850">
        <f>SUM(LCI_AB!L731,,LCI_AB!L785,LCI_AB!L1127)/B117</f>
        <v>7.4313856681953137E-3</v>
      </c>
      <c r="H117" s="850">
        <f>SUM(LCI_AB!L903,LCI_AB!L927,LCI_AB!L939,LCI_AB!L951,LCI_AB!L975,LCI_AB!L987,LCI_AB!L987,LCI_AB!L999,LCI_AB!L1011,LCI_AB!L1023)/B117</f>
        <v>0.71340687818068582</v>
      </c>
      <c r="I117" s="1263">
        <f>SUM(LCI_AB!L644,LCI_AB!L689,LCI_AB!L743,LCI_AB!L797,LCI_AB!L865,LCI_AB!L1059,LCI_AB!L1139,LCI_AB!L1207)/B117</f>
        <v>9.7783143773932921E-2</v>
      </c>
      <c r="J117" s="1263">
        <f>LCI_AB!L1219/B117</f>
        <v>0.17438003474299618</v>
      </c>
    </row>
    <row r="118" spans="1:11" x14ac:dyDescent="0.2">
      <c r="A118" s="126" t="s">
        <v>3372</v>
      </c>
      <c r="B118" s="100">
        <f>SUM(LCI_AB!L549,LCI_AB!L561,LCI_AB!L573,LCI_AB!L585,LCI_AB!L597,LCI_AB!L609,LCI_AB!L621,LCI_AB!L633,LCI_AB!L645,LCI_AB!L666,LCI_AB!L678,LCI_AB!L690,LCI_AB!L708,LCI_AB!L720,LCI_AB!L732,LCI_AB!L744,LCI_AB!L762,LCI_AB!L774,LCI_AB!L786,LCI_AB!L798,LCI_AB!L818,LCI_AB!L830,LCI_AB!L842,LCI_AB!L854,LCI_AB!L866,LCI_AB!L892,LCI_AB!L904,LCI_AB!L916,LCI_AB!L928,LCI_AB!L940,LCI_AB!L952,LCI_AB!L964,LCI_AB!L976,LCI_AB!L988,LCI_AB!L1000,LCI_AB!L1012,LCI_AB!L1024,LCI_AB!L1036,LCI_AB!L1048,LCI_AB!L1060,LCI_AB!L1080,LCI_AB!L1092,LCI_AB!L1104,LCI_AB!L1116,LCI_AB!L1128,LCI_AB!L1140,LCI_AB!L1160,LCI_AB!L1172,LCI_AB!L1184,LCI_AB!L1196,LCI_AB!L1208,LCI_AB!L1220)</f>
        <v>576333.84707067814</v>
      </c>
      <c r="C118" s="127" t="s">
        <v>3374</v>
      </c>
      <c r="D118" s="1267">
        <f>SUM(LCI_AB!L549,LCI_AB!L585,LCI_AB!L597,LCI_AB!L609,LCI_AB!L621,LCI_AB!L633,LCI_AB!L666,LCI_AB!L708,LCI_AB!L762,LCI_AB!L818,LCI_AB!L892,LCI_AB!L916,LCI_AB!L964,LCI_AB!L1036,LCI_AB!L1048,LCI_AB!L1080,LCI_AB!L1092,LCI_AB!L1104)/B118</f>
        <v>2.7517738166183211E-4</v>
      </c>
      <c r="E118" s="850">
        <f>SUM(LCI_AB!L561,LCI_AB!L573,LCI_AB!L678,LCI_AB!L720,LCI_AB!L774,LCI_AB!L1116)/B118</f>
        <v>2.3638997304157777E-2</v>
      </c>
      <c r="F118" s="850">
        <f>SUM(LCI_AB!L830,LCI_AB!L842,LCI_AB!L854,LCI_AB!L1172,LCI_AB!L1184,LCI_AB!L1196)/B118</f>
        <v>2.1208782912304517E-3</v>
      </c>
      <c r="G118" s="850">
        <f>SUM(LCI_AB!L732,,LCI_AB!L786,LCI_AB!L1128)/B118</f>
        <v>2.4707740782428079E-3</v>
      </c>
      <c r="H118" s="850">
        <f>SUM(LCI_AB!L904,LCI_AB!L928,LCI_AB!L940,LCI_AB!L952,LCI_AB!L976,LCI_AB!L988,LCI_AB!L988,LCI_AB!L1000,LCI_AB!L1012,LCI_AB!L1024)/B118</f>
        <v>0.13233754375650703</v>
      </c>
      <c r="I118" s="1263">
        <f>SUM(LCI_AB!L645,LCI_AB!L690,LCI_AB!L744,LCI_AB!L798,LCI_AB!L866,LCI_AB!L1060,LCI_AB!L1140,LCI_AB!L1208)/B118</f>
        <v>0.32615142308878425</v>
      </c>
      <c r="J118" s="1263">
        <f>LCI_AB!L1220/B118</f>
        <v>0.51309478119597207</v>
      </c>
    </row>
    <row r="119" spans="1:11" x14ac:dyDescent="0.2">
      <c r="A119" s="126" t="s">
        <v>3375</v>
      </c>
      <c r="B119" s="100">
        <f>SUM(LCI_AB!L550,LCI_AB!L562,LCI_AB!L574,LCI_AB!L586,LCI_AB!L598,LCI_AB!L610,LCI_AB!L622,LCI_AB!L634,LCI_AB!L646,LCI_AB!L667,LCI_AB!L679,LCI_AB!L691,LCI_AB!L709,LCI_AB!L721,LCI_AB!L733,LCI_AB!L745,LCI_AB!L763,LCI_AB!L775,LCI_AB!L787,LCI_AB!L799,LCI_AB!L819,LCI_AB!L831,LCI_AB!L843,LCI_AB!L855,LCI_AB!L867,LCI_AB!L893,LCI_AB!L905,LCI_AB!L917,LCI_AB!L929,LCI_AB!L941,LCI_AB!L953,LCI_AB!L965,LCI_AB!L977,LCI_AB!L989,LCI_AB!L1001,LCI_AB!L1013,LCI_AB!L1025,LCI_AB!L1037,LCI_AB!L1049,LCI_AB!L1061,LCI_AB!L1081,LCI_AB!L1093,LCI_AB!L1105,LCI_AB!L1117,LCI_AB!L1129,LCI_AB!L1141,LCI_AB!L1161,LCI_AB!L1173,LCI_AB!L1185,LCI_AB!L1197,LCI_AB!L1209,LCI_AB!L1221)</f>
        <v>1452387.0587023371</v>
      </c>
      <c r="C119" s="127" t="s">
        <v>3376</v>
      </c>
      <c r="D119" s="1267">
        <f>SUM(LCI_AB!L550,LCI_AB!L586,LCI_AB!L598,LCI_AB!L610,LCI_AB!L622,LCI_AB!L634,LCI_AB!L667,LCI_AB!L709,LCI_AB!L763,LCI_AB!L819,LCI_AB!L893,LCI_AB!L917,LCI_AB!L965,LCI_AB!L1037,LCI_AB!L1049,LCI_AB!L1081,LCI_AB!L1093,LCI_AB!L1105)/B119</f>
        <v>3.3008247706939477E-4</v>
      </c>
      <c r="E119" s="850">
        <f>SUM(LCI_AB!L562,LCI_AB!L574,LCI_AB!L679,LCI_AB!L721,LCI_AB!L775,LCI_AB!L1117)/B119</f>
        <v>9.5949767502534519E-2</v>
      </c>
      <c r="F119" s="850">
        <f>SUM(LCI_AB!L831,LCI_AB!L843,LCI_AB!L855,LCI_AB!L1173,LCI_AB!L1185,LCI_AB!L1197)/B119</f>
        <v>3.5322265704574047E-3</v>
      </c>
      <c r="G119" s="850">
        <f>SUM(LCI_AB!L733,,LCI_AB!L787,LCI_AB!L1129)/B119</f>
        <v>3.5652673143692352E-2</v>
      </c>
      <c r="H119" s="850">
        <f>SUM(LCI_AB!L905,LCI_AB!L929,LCI_AB!L941,LCI_AB!L953,LCI_AB!L977,LCI_AB!L989,LCI_AB!L989,LCI_AB!L1001,LCI_AB!L1013,LCI_AB!L1025)/B119</f>
        <v>0.16298291469137716</v>
      </c>
      <c r="I119" s="1263">
        <f>SUM(LCI_AB!L646,LCI_AB!L691,LCI_AB!L745,LCI_AB!L799,LCI_AB!L867,LCI_AB!L1061,LCI_AB!L1141,LCI_AB!L1209)/B119</f>
        <v>0.2143566317539301</v>
      </c>
      <c r="J119" s="1263">
        <f>LCI_AB!L1221/B119</f>
        <v>0.48739210707060043</v>
      </c>
    </row>
    <row r="120" spans="1:11" x14ac:dyDescent="0.2">
      <c r="A120" s="126" t="s">
        <v>708</v>
      </c>
      <c r="B120" s="100">
        <f>SUM(LCI_AB!L551,LCI_AB!L563,LCI_AB!L575,LCI_AB!L587,LCI_AB!L599,LCI_AB!L611,LCI_AB!L623,LCI_AB!L635,LCI_AB!L647,LCI_AB!L668,LCI_AB!L680,LCI_AB!L692,LCI_AB!L710,LCI_AB!L722,LCI_AB!L734,LCI_AB!L746,LCI_AB!L764,LCI_AB!L776,LCI_AB!L788,LCI_AB!L800,LCI_AB!L820,LCI_AB!L832,LCI_AB!L844,LCI_AB!L856,LCI_AB!L868,LCI_AB!L894,LCI_AB!L906,LCI_AB!L918,LCI_AB!L930,LCI_AB!L942,LCI_AB!L954,LCI_AB!L966,LCI_AB!L978,LCI_AB!L990,LCI_AB!L1002,LCI_AB!L1014,LCI_AB!L1026,LCI_AB!L1038,LCI_AB!L1050,LCI_AB!L1062,LCI_AB!L1082,LCI_AB!L1094,LCI_AB!L1106,LCI_AB!L1118,LCI_AB!L1130,LCI_AB!L1142,LCI_AB!L1162,LCI_AB!L1174,LCI_AB!L1186,LCI_AB!L1198,LCI_AB!L1210,LCI_AB!L1222)</f>
        <v>416362245.62224722</v>
      </c>
      <c r="C120" s="127" t="s">
        <v>3377</v>
      </c>
      <c r="D120" s="1267">
        <f>SUM(LCI_AB!L551,LCI_AB!L587,LCI_AB!L599,LCI_AB!L611,LCI_AB!L623,LCI_AB!L635,LCI_AB!L668,LCI_AB!L710,LCI_AB!L764,LCI_AB!L820,LCI_AB!L894,LCI_AB!L918,LCI_AB!L966,LCI_AB!L1038,LCI_AB!L1050,LCI_AB!L1082,LCI_AB!L1094,LCI_AB!L1106)/B120</f>
        <v>3.5273935029702047E-4</v>
      </c>
      <c r="E120" s="850">
        <f>SUM(LCI_AB!L563,LCI_AB!L575,LCI_AB!L680,LCI_AB!L722,LCI_AB!L776,LCI_AB!L1118)/B120</f>
        <v>9.72346807947327E-2</v>
      </c>
      <c r="F120" s="850">
        <f>SUM(LCI_AB!L832,LCI_AB!L844,LCI_AB!L856,LCI_AB!L1174,LCI_AB!L1186,LCI_AB!L1198)/B120</f>
        <v>5.6552080034594282E-3</v>
      </c>
      <c r="G120" s="850">
        <f>SUM(LCI_AB!L734,,LCI_AB!L788,LCI_AB!L1130)/B120</f>
        <v>7.1385080272738877E-2</v>
      </c>
      <c r="H120" s="850">
        <f>SUM(LCI_AB!L906,LCI_AB!L930,LCI_AB!L942,LCI_AB!L954,LCI_AB!L978,LCI_AB!L990,LCI_AB!L990,LCI_AB!L1002,LCI_AB!L1014,LCI_AB!L1026)/B120</f>
        <v>0.15470988322028134</v>
      </c>
      <c r="I120" s="1263">
        <f>SUM(LCI_AB!L647,LCI_AB!L692,LCI_AB!L746,LCI_AB!L800,LCI_AB!L868,LCI_AB!L1062,LCI_AB!L1142,LCI_AB!L1210)/B120</f>
        <v>0.55233663448207626</v>
      </c>
      <c r="J120" s="1263">
        <f>LCI_AB!L1222/B120</f>
        <v>0.11861878053271616</v>
      </c>
    </row>
    <row r="121" spans="1:11" x14ac:dyDescent="0.2">
      <c r="A121" s="126" t="s">
        <v>3378</v>
      </c>
      <c r="B121" s="100">
        <f>SUM(LCI_AB!L552,LCI_AB!L564,LCI_AB!L576,LCI_AB!L588,LCI_AB!L600,LCI_AB!L612,LCI_AB!L624,LCI_AB!L636,LCI_AB!L648,LCI_AB!L669,LCI_AB!L681,LCI_AB!L693,LCI_AB!L711,LCI_AB!L723,LCI_AB!L735,LCI_AB!L747,LCI_AB!L765,LCI_AB!L777,LCI_AB!L789,LCI_AB!L801,LCI_AB!L821,LCI_AB!L833,LCI_AB!L845,LCI_AB!L857,LCI_AB!L869,LCI_AB!L895,LCI_AB!L907,LCI_AB!L919,LCI_AB!L931,LCI_AB!L943,LCI_AB!L955,LCI_AB!L967,LCI_AB!L979,LCI_AB!L991,LCI_AB!L1003,LCI_AB!L1015,LCI_AB!L1027,LCI_AB!L1039,LCI_AB!L1051,LCI_AB!L1063,LCI_AB!L1083,LCI_AB!L1095,LCI_AB!L1107,LCI_AB!L1119,LCI_AB!L1131,LCI_AB!L1143,LCI_AB!L1163,LCI_AB!L1175,LCI_AB!L1187,LCI_AB!L1199,LCI_AB!L1211,LCI_AB!L1223)</f>
        <v>5488.6047384074791</v>
      </c>
      <c r="C121" s="127" t="s">
        <v>3368</v>
      </c>
      <c r="D121" s="1267">
        <f>SUM(LCI_AB!L552,LCI_AB!L588,LCI_AB!L600,LCI_AB!L612,LCI_AB!L624,LCI_AB!L636,LCI_AB!L669,LCI_AB!L711,LCI_AB!L765,LCI_AB!L821,LCI_AB!L895,LCI_AB!L919,LCI_AB!L967,LCI_AB!L1039,LCI_AB!L1051,LCI_AB!L1083,LCI_AB!L1095,LCI_AB!L1107)/B121</f>
        <v>5.13573593398871E-5</v>
      </c>
      <c r="E121" s="850">
        <f>SUM(LCI_AB!L564,LCI_AB!L576,LCI_AB!L681,LCI_AB!L723,LCI_AB!L777,LCI_AB!L1119)/B121</f>
        <v>4.3217478477626707E-3</v>
      </c>
      <c r="F121" s="850">
        <f>SUM(LCI_AB!L833,LCI_AB!L845,LCI_AB!L857,LCI_AB!L1175,LCI_AB!L1187,LCI_AB!L1199)/B121</f>
        <v>3.3336309017242875E-4</v>
      </c>
      <c r="G121" s="850">
        <f>SUM(LCI_AB!L735,,LCI_AB!L789,LCI_AB!L1131)/B121</f>
        <v>4.8716448194802083E-4</v>
      </c>
      <c r="H121" s="850">
        <f>SUM(LCI_AB!L907,LCI_AB!L931,LCI_AB!L943,LCI_AB!L955,LCI_AB!L979,LCI_AB!L991,LCI_AB!L991,LCI_AB!L1003,LCI_AB!L1015,LCI_AB!L1027)/B121</f>
        <v>3.55305054900317E-2</v>
      </c>
      <c r="I121" s="1263">
        <f>SUM(LCI_AB!L648,LCI_AB!L693,LCI_AB!L747,LCI_AB!L801,LCI_AB!L869,LCI_AB!L1063,LCI_AB!L1143,LCI_AB!L1211)/B121</f>
        <v>1.0579297365596119E-2</v>
      </c>
      <c r="J121" s="1263">
        <f>LCI_AB!L1223/B121</f>
        <v>0.94869982109425466</v>
      </c>
    </row>
    <row r="122" spans="1:11" x14ac:dyDescent="0.2">
      <c r="A122" s="126" t="s">
        <v>710</v>
      </c>
      <c r="B122" s="100">
        <f>SUM(LCI_AB!L553,LCI_AB!L565,LCI_AB!L577,LCI_AB!L589,LCI_AB!L601,LCI_AB!L613,LCI_AB!L625,LCI_AB!L637,LCI_AB!L649,LCI_AB!L670,LCI_AB!L682,LCI_AB!L694,LCI_AB!L712,LCI_AB!L724,LCI_AB!L736,LCI_AB!L748,LCI_AB!L766,LCI_AB!L778,LCI_AB!L790,LCI_AB!L802,LCI_AB!L822,LCI_AB!L834,LCI_AB!L846,LCI_AB!L858,LCI_AB!L870,LCI_AB!L896,LCI_AB!L908,LCI_AB!L920,LCI_AB!L932,LCI_AB!L944,LCI_AB!L956,LCI_AB!L968,LCI_AB!L980,LCI_AB!L992,LCI_AB!L1004,LCI_AB!L1016,LCI_AB!L1028,LCI_AB!L1040,LCI_AB!L1052,LCI_AB!L1064,LCI_AB!L1084,LCI_AB!L1096,LCI_AB!L1108,LCI_AB!L1120,LCI_AB!L1132,LCI_AB!L1144,LCI_AB!L1164,LCI_AB!L1176,LCI_AB!L1188,LCI_AB!L1200,LCI_AB!L1212,LCI_AB!L1224)</f>
        <v>4.0720138896069384</v>
      </c>
      <c r="C122" s="127" t="s">
        <v>3380</v>
      </c>
      <c r="D122" s="1267">
        <f>SUM(LCI_AB!L553,LCI_AB!L589,LCI_AB!L601,LCI_AB!L613,LCI_AB!L625,LCI_AB!L637,LCI_AB!L670,LCI_AB!L712,LCI_AB!L766,LCI_AB!L822,LCI_AB!L896,LCI_AB!L920,LCI_AB!L968,LCI_AB!L1040,LCI_AB!L1052,LCI_AB!L1084,LCI_AB!L1096,LCI_AB!L1108)/B122</f>
        <v>1.6553042647505889E-3</v>
      </c>
      <c r="E122" s="850">
        <f>SUM(LCI_AB!L565,LCI_AB!L577,LCI_AB!L682,LCI_AB!L724,LCI_AB!L778,LCI_AB!L1120)/B122</f>
        <v>0.14175040297501121</v>
      </c>
      <c r="F122" s="850">
        <f>SUM(LCI_AB!L834,LCI_AB!L846,LCI_AB!L858,LCI_AB!L1176,LCI_AB!L1188,LCI_AB!L1200)/B122</f>
        <v>1.4593150925783265E-2</v>
      </c>
      <c r="G122" s="850">
        <f>SUM(LCI_AB!L736,,LCI_AB!L790,LCI_AB!L1132)/B122</f>
        <v>0.2977221543323984</v>
      </c>
      <c r="H122" s="850">
        <f>SUM(LCI_AB!L908,LCI_AB!L932,LCI_AB!L944,LCI_AB!L956,LCI_AB!L980,LCI_AB!L992,LCI_AB!L992,LCI_AB!L1004,LCI_AB!L1016,LCI_AB!L1028)/B122</f>
        <v>0.29789734481766966</v>
      </c>
      <c r="I122" s="1263">
        <f>SUM(LCI_AB!L649,LCI_AB!L694,LCI_AB!L748,LCI_AB!L802,LCI_AB!L870,LCI_AB!L1064,LCI_AB!L1144,LCI_AB!L1212)/B122</f>
        <v>0.21791470105468311</v>
      </c>
      <c r="J122" s="1263">
        <f>LCI_AB!L1224/B122</f>
        <v>2.9345523781186992E-2</v>
      </c>
    </row>
    <row r="123" spans="1:11" x14ac:dyDescent="0.2">
      <c r="A123" s="126" t="s">
        <v>3381</v>
      </c>
      <c r="B123" s="100">
        <f>SUM(LCI_AB!L554,LCI_AB!L566,LCI_AB!L578,LCI_AB!L590,LCI_AB!L602,LCI_AB!L614,LCI_AB!L626,LCI_AB!L638,LCI_AB!L650,LCI_AB!L671,LCI_AB!L683,LCI_AB!L695,LCI_AB!L713,LCI_AB!L725,LCI_AB!L737,LCI_AB!L749,LCI_AB!L767,LCI_AB!L779,LCI_AB!L791,LCI_AB!L803,LCI_AB!L823,LCI_AB!L835,LCI_AB!L847,LCI_AB!L859,LCI_AB!L871,LCI_AB!L897,LCI_AB!L909,LCI_AB!L921,LCI_AB!L933,LCI_AB!L945,LCI_AB!L957,LCI_AB!L969,LCI_AB!L981,LCI_AB!L993,LCI_AB!L1005,LCI_AB!L1017,LCI_AB!L1029,LCI_AB!L1041,LCI_AB!L1053,LCI_AB!L1065,LCI_AB!L1085,LCI_AB!L1097,LCI_AB!L1109,LCI_AB!L1121,LCI_AB!L1133,LCI_AB!L1145,LCI_AB!L1165,LCI_AB!L1177,LCI_AB!L1189,LCI_AB!L1201,LCI_AB!L1213,LCI_AB!L1225)</f>
        <v>3619639.725304056</v>
      </c>
      <c r="C123" s="127" t="s">
        <v>3383</v>
      </c>
      <c r="D123" s="1267">
        <f>SUM(LCI_AB!L554,LCI_AB!L590,LCI_AB!L602,LCI_AB!L614,LCI_AB!L626,LCI_AB!L638,LCI_AB!L671,LCI_AB!L713,LCI_AB!L767,LCI_AB!L823,LCI_AB!L897,LCI_AB!L921,LCI_AB!L969,LCI_AB!L1041,LCI_AB!L1053,LCI_AB!L1085,LCI_AB!L1097,LCI_AB!L1109)/B123</f>
        <v>6.9767310883070505E-5</v>
      </c>
      <c r="E123" s="850">
        <f>SUM(LCI_AB!L566,LCI_AB!L578,LCI_AB!L683,LCI_AB!L725,LCI_AB!L779,LCI_AB!L1121)/B123</f>
        <v>1.688814843453848E-2</v>
      </c>
      <c r="F123" s="850">
        <f>SUM(LCI_AB!L835,LCI_AB!L847,LCI_AB!L859,LCI_AB!L1177,LCI_AB!L1189,LCI_AB!L1201)/B123</f>
        <v>6.7272350123502003E-4</v>
      </c>
      <c r="G123" s="850">
        <f>SUM(LCI_AB!L737,,LCI_AB!L791,LCI_AB!L1133)/B123</f>
        <v>6.0799226249014871E-3</v>
      </c>
      <c r="H123" s="850">
        <f>SUM(LCI_AB!L909,LCI_AB!L933,LCI_AB!L945,LCI_AB!L957,LCI_AB!L981,LCI_AB!L993,LCI_AB!L993,LCI_AB!L1005,LCI_AB!L1017,LCI_AB!L1029)/B123</f>
        <v>3.9747937955835318E-2</v>
      </c>
      <c r="I123" s="1263">
        <f>SUM(LCI_AB!L650,LCI_AB!L695,LCI_AB!L749,LCI_AB!L803,LCI_AB!L871,LCI_AB!L1065,LCI_AB!L1145,LCI_AB!L1213)/B123</f>
        <v>0.16390773654996746</v>
      </c>
      <c r="J123" s="1263">
        <f>LCI_AB!L1225/B123</f>
        <v>0.772685115120055</v>
      </c>
    </row>
    <row r="124" spans="1:11" x14ac:dyDescent="0.2">
      <c r="A124" s="117" t="s">
        <v>3384</v>
      </c>
      <c r="B124" s="168">
        <f>SUM(LCI_AB!L555,LCI_AB!L567,LCI_AB!L579,LCI_AB!L591,LCI_AB!L603,LCI_AB!L615,LCI_AB!L627,LCI_AB!L639,LCI_AB!L651,LCI_AB!L672,LCI_AB!L684,LCI_AB!L696,LCI_AB!L714,LCI_AB!L726,LCI_AB!L738,LCI_AB!L750,LCI_AB!L768,LCI_AB!L780,LCI_AB!L792,LCI_AB!L804,LCI_AB!L824,LCI_AB!L836,LCI_AB!L848,LCI_AB!L860,LCI_AB!L872,LCI_AB!L898,LCI_AB!L910,LCI_AB!L922,LCI_AB!L934,LCI_AB!L946,LCI_AB!L958,LCI_AB!L970,LCI_AB!L982,LCI_AB!L994,LCI_AB!L1006,LCI_AB!L1018,LCI_AB!L1030,LCI_AB!L1042,LCI_AB!L1054,LCI_AB!L1066,LCI_AB!L1086,LCI_AB!L1098,LCI_AB!L1110,LCI_AB!L1122,LCI_AB!L1134,LCI_AB!L1146,LCI_AB!L1166,LCI_AB!L1178,LCI_AB!L1190,LCI_AB!L1202,LCI_AB!L1214,LCI_AB!L1226)</f>
        <v>20073345.352387711</v>
      </c>
      <c r="C124" s="120" t="s">
        <v>3385</v>
      </c>
      <c r="D124" s="1268">
        <f>SUM(LCI_AB!L555,LCI_AB!L591,LCI_AB!L603,LCI_AB!L615,LCI_AB!L627,LCI_AB!L639,LCI_AB!L672,LCI_AB!L714,LCI_AB!L768,LCI_AB!L824,LCI_AB!L898,LCI_AB!L922,LCI_AB!L970,LCI_AB!L1042,LCI_AB!L1054,LCI_AB!L1086,LCI_AB!L1098,LCI_AB!L1110)/B124</f>
        <v>5.5638952670494964E-4</v>
      </c>
      <c r="E124" s="1269">
        <f>SUM(LCI_AB!L567,LCI_AB!L579,LCI_AB!L684,LCI_AB!L726,LCI_AB!L780,LCI_AB!L1122)/B124</f>
        <v>0.16637107437938944</v>
      </c>
      <c r="F124" s="1269">
        <f>SUM(LCI_AB!L836,LCI_AB!L848,LCI_AB!L860,LCI_AB!L1178,LCI_AB!L1190,LCI_AB!L1202)/B124</f>
        <v>6.0165164347670674E-3</v>
      </c>
      <c r="G124" s="1269">
        <f>SUM(LCI_AB!L738,,LCI_AB!L792,LCI_AB!L1134)/B124</f>
        <v>6.1801100476532443E-2</v>
      </c>
      <c r="H124" s="1269">
        <f>SUM(LCI_AB!L910,LCI_AB!L934,LCI_AB!L946,LCI_AB!L958,LCI_AB!L982,LCI_AB!L994,LCI_AB!L994,LCI_AB!L1006,LCI_AB!L1018,LCI_AB!L1030)/B124</f>
        <v>0.27023894952702221</v>
      </c>
      <c r="I124" s="1270">
        <f>SUM(LCI_AB!L651,LCI_AB!L696,LCI_AB!L750,LCI_AB!L804,LCI_AB!L872,LCI_AB!L1066,LCI_AB!L1146,LCI_AB!L1214)/B124</f>
        <v>0.35701256339207288</v>
      </c>
      <c r="J124" s="1270">
        <f>LCI_AB!L1226/B124</f>
        <v>0.13834642137928407</v>
      </c>
    </row>
    <row r="126" spans="1:11" x14ac:dyDescent="0.2">
      <c r="A126" s="6" t="s">
        <v>3510</v>
      </c>
      <c r="B126" s="33">
        <f>Inputs!F13*Inputs!F3*30/1000</f>
        <v>6000000</v>
      </c>
      <c r="C126" s="6" t="s">
        <v>3511</v>
      </c>
    </row>
    <row r="128" spans="1:11" x14ac:dyDescent="0.2">
      <c r="A128" s="109" t="s">
        <v>701</v>
      </c>
      <c r="B128" s="1309">
        <f t="shared" ref="B128:B137" si="2">B115/B$126</f>
        <v>0.36308155497127176</v>
      </c>
      <c r="C128" s="1129" t="s">
        <v>3478</v>
      </c>
    </row>
    <row r="129" spans="1:3" x14ac:dyDescent="0.2">
      <c r="A129" s="126" t="s">
        <v>703</v>
      </c>
      <c r="B129" s="1311">
        <f t="shared" si="2"/>
        <v>2.9699089527897128E-5</v>
      </c>
      <c r="C129" s="1129" t="s">
        <v>3479</v>
      </c>
    </row>
    <row r="130" spans="1:3" x14ac:dyDescent="0.2">
      <c r="A130" s="126" t="s">
        <v>705</v>
      </c>
      <c r="B130" s="1309">
        <f t="shared" si="2"/>
        <v>4201.9171678261373</v>
      </c>
      <c r="C130" s="1129" t="s">
        <v>3480</v>
      </c>
    </row>
    <row r="131" spans="1:3" x14ac:dyDescent="0.2">
      <c r="A131" s="126" t="s">
        <v>3372</v>
      </c>
      <c r="B131" s="1309">
        <f t="shared" si="2"/>
        <v>9.6055641178446352E-2</v>
      </c>
      <c r="C131" s="1129" t="s">
        <v>3481</v>
      </c>
    </row>
    <row r="132" spans="1:3" x14ac:dyDescent="0.2">
      <c r="A132" s="126" t="s">
        <v>3375</v>
      </c>
      <c r="B132" s="1309">
        <f t="shared" si="2"/>
        <v>0.24206450978372285</v>
      </c>
      <c r="C132" s="1129" t="s">
        <v>3482</v>
      </c>
    </row>
    <row r="133" spans="1:3" x14ac:dyDescent="0.2">
      <c r="A133" s="126" t="s">
        <v>708</v>
      </c>
      <c r="B133" s="1309">
        <f t="shared" si="2"/>
        <v>69.393707603707867</v>
      </c>
      <c r="C133" s="1129" t="s">
        <v>3483</v>
      </c>
    </row>
    <row r="134" spans="1:3" x14ac:dyDescent="0.2">
      <c r="A134" s="126" t="s">
        <v>3378</v>
      </c>
      <c r="B134" s="1311">
        <f t="shared" si="2"/>
        <v>9.1476745640124647E-4</v>
      </c>
      <c r="C134" s="1129" t="s">
        <v>3479</v>
      </c>
    </row>
    <row r="135" spans="1:3" x14ac:dyDescent="0.2">
      <c r="A135" s="126" t="s">
        <v>710</v>
      </c>
      <c r="B135" s="1311">
        <f t="shared" si="2"/>
        <v>6.7866898160115642E-7</v>
      </c>
      <c r="C135" s="1129" t="s">
        <v>3484</v>
      </c>
    </row>
    <row r="136" spans="1:3" x14ac:dyDescent="0.2">
      <c r="A136" s="126" t="s">
        <v>3381</v>
      </c>
      <c r="B136" s="1309">
        <f t="shared" si="2"/>
        <v>0.603273287550676</v>
      </c>
      <c r="C136" s="1129" t="s">
        <v>3485</v>
      </c>
    </row>
    <row r="137" spans="1:3" x14ac:dyDescent="0.2">
      <c r="A137" s="117" t="s">
        <v>3384</v>
      </c>
      <c r="B137" s="1309">
        <f t="shared" si="2"/>
        <v>3.3455575587312851</v>
      </c>
      <c r="C137" s="1129" t="s">
        <v>3486</v>
      </c>
    </row>
    <row r="139" spans="1:3" x14ac:dyDescent="0.2">
      <c r="A139" s="6" t="s">
        <v>3512</v>
      </c>
    </row>
    <row r="140" spans="1:3" x14ac:dyDescent="0.2">
      <c r="A140" s="109" t="s">
        <v>701</v>
      </c>
      <c r="B140" s="1309">
        <f>0.00035*1000</f>
        <v>0.35</v>
      </c>
      <c r="C140" s="1129" t="s">
        <v>3478</v>
      </c>
    </row>
    <row r="141" spans="1:3" x14ac:dyDescent="0.2">
      <c r="A141" s="126" t="s">
        <v>703</v>
      </c>
      <c r="B141" s="1311">
        <f>0.00000000491473*1000</f>
        <v>4.9147299999999993E-6</v>
      </c>
      <c r="C141" s="1129" t="s">
        <v>3479</v>
      </c>
    </row>
    <row r="142" spans="1:3" x14ac:dyDescent="0.2">
      <c r="A142" s="126" t="s">
        <v>705</v>
      </c>
      <c r="B142" s="1309">
        <f>0.27639*1000</f>
        <v>276.39000000000004</v>
      </c>
      <c r="C142" s="1129" t="s">
        <v>3480</v>
      </c>
    </row>
    <row r="143" spans="1:3" x14ac:dyDescent="0.2">
      <c r="A143" s="126" t="s">
        <v>3372</v>
      </c>
      <c r="B143" s="1309">
        <f>0.0000123725*1000</f>
        <v>1.23725E-2</v>
      </c>
      <c r="C143" s="1129" t="s">
        <v>3481</v>
      </c>
    </row>
    <row r="144" spans="1:3" x14ac:dyDescent="0.2">
      <c r="A144" s="126" t="s">
        <v>3375</v>
      </c>
      <c r="B144" s="1309">
        <f>0.0000710575*1000</f>
        <v>7.1057499999999996E-2</v>
      </c>
      <c r="C144" s="1129" t="s">
        <v>3482</v>
      </c>
    </row>
    <row r="145" spans="1:15" x14ac:dyDescent="0.2">
      <c r="A145" s="126" t="s">
        <v>708</v>
      </c>
      <c r="B145" s="1309">
        <f>0.10656*1000</f>
        <v>106.56</v>
      </c>
      <c r="C145" s="1129" t="s">
        <v>3483</v>
      </c>
    </row>
    <row r="146" spans="1:15" x14ac:dyDescent="0.2">
      <c r="A146" s="126" t="s">
        <v>3378</v>
      </c>
      <c r="B146" s="1311">
        <f>0.00000000829806*1000</f>
        <v>8.29806E-6</v>
      </c>
      <c r="C146" s="1129" t="s">
        <v>3479</v>
      </c>
    </row>
    <row r="147" spans="1:15" x14ac:dyDescent="0.2">
      <c r="A147" s="126" t="s">
        <v>710</v>
      </c>
      <c r="B147" s="1311">
        <f>0.000000000324726*1000</f>
        <v>3.2472599999999997E-7</v>
      </c>
      <c r="C147" s="1129" t="s">
        <v>3484</v>
      </c>
    </row>
    <row r="148" spans="1:15" x14ac:dyDescent="0.2">
      <c r="A148" s="126" t="s">
        <v>3381</v>
      </c>
      <c r="B148" s="1309">
        <f>0.0000259781*1000</f>
        <v>2.59781E-2</v>
      </c>
      <c r="C148" s="1129" t="s">
        <v>3485</v>
      </c>
    </row>
    <row r="149" spans="1:15" x14ac:dyDescent="0.2">
      <c r="A149" s="117" t="s">
        <v>3384</v>
      </c>
      <c r="B149" s="1309">
        <f>0.00184*1000</f>
        <v>1.84</v>
      </c>
      <c r="C149" s="1129" t="s">
        <v>3486</v>
      </c>
    </row>
    <row r="158" spans="1:15" ht="16" thickBot="1" x14ac:dyDescent="0.25"/>
    <row r="159" spans="1:15" x14ac:dyDescent="0.2">
      <c r="A159" s="1970" t="s">
        <v>3513</v>
      </c>
      <c r="B159" s="1971"/>
      <c r="C159" s="1971"/>
      <c r="D159" s="1971"/>
      <c r="E159" s="1971"/>
      <c r="F159" s="1971"/>
      <c r="G159" s="1971"/>
      <c r="H159" s="1971"/>
      <c r="I159" s="1971"/>
      <c r="J159" s="1971"/>
      <c r="K159" s="1971"/>
      <c r="L159" s="1971"/>
      <c r="M159" s="1971"/>
      <c r="N159" s="1971"/>
      <c r="O159" s="1972"/>
    </row>
    <row r="160" spans="1:15" ht="16" thickBot="1" x14ac:dyDescent="0.25">
      <c r="A160" s="1973"/>
      <c r="B160" s="1974"/>
      <c r="C160" s="1974"/>
      <c r="D160" s="1974"/>
      <c r="E160" s="1974"/>
      <c r="F160" s="1974"/>
      <c r="G160" s="1974"/>
      <c r="H160" s="1974"/>
      <c r="I160" s="1974"/>
      <c r="J160" s="1974"/>
      <c r="K160" s="1974"/>
      <c r="L160" s="1974"/>
      <c r="M160" s="1974"/>
      <c r="N160" s="1974"/>
      <c r="O160" s="1975"/>
    </row>
    <row r="161" spans="1:10" ht="16" x14ac:dyDescent="0.2">
      <c r="A161" s="2015" t="s">
        <v>586</v>
      </c>
      <c r="B161" s="2016"/>
      <c r="C161" s="2017"/>
    </row>
    <row r="162" spans="1:10" ht="16" x14ac:dyDescent="0.2">
      <c r="A162" s="1255" t="s">
        <v>3470</v>
      </c>
      <c r="B162" s="1256" t="s">
        <v>42</v>
      </c>
      <c r="C162" s="1266" t="s">
        <v>372</v>
      </c>
      <c r="D162" s="1271"/>
      <c r="E162" s="1271"/>
      <c r="F162" s="1271"/>
      <c r="G162" s="1271"/>
      <c r="H162" s="1271"/>
      <c r="I162" s="1271"/>
      <c r="J162" s="1271"/>
    </row>
    <row r="163" spans="1:10" x14ac:dyDescent="0.2">
      <c r="A163" s="109" t="s">
        <v>701</v>
      </c>
      <c r="B163" s="160">
        <f t="shared" ref="B163:B172" si="3">B6+B115</f>
        <v>2216309.3852584525</v>
      </c>
      <c r="C163" s="112" t="s">
        <v>3367</v>
      </c>
    </row>
    <row r="164" spans="1:10" x14ac:dyDescent="0.2">
      <c r="A164" s="126" t="s">
        <v>703</v>
      </c>
      <c r="B164" s="100">
        <f t="shared" si="3"/>
        <v>179.40753590667825</v>
      </c>
      <c r="C164" s="127" t="s">
        <v>3368</v>
      </c>
    </row>
    <row r="165" spans="1:10" x14ac:dyDescent="0.2">
      <c r="A165" s="126" t="s">
        <v>705</v>
      </c>
      <c r="B165" s="100">
        <f t="shared" si="3"/>
        <v>25390739667.437046</v>
      </c>
      <c r="C165" s="127" t="s">
        <v>3370</v>
      </c>
    </row>
    <row r="166" spans="1:10" x14ac:dyDescent="0.2">
      <c r="A166" s="126" t="s">
        <v>3372</v>
      </c>
      <c r="B166" s="100">
        <f t="shared" si="3"/>
        <v>585867.04886164074</v>
      </c>
      <c r="C166" s="127" t="s">
        <v>3374</v>
      </c>
    </row>
    <row r="167" spans="1:10" x14ac:dyDescent="0.2">
      <c r="A167" s="126" t="s">
        <v>3375</v>
      </c>
      <c r="B167" s="100">
        <f t="shared" si="3"/>
        <v>1476223.0510358319</v>
      </c>
      <c r="C167" s="127" t="s">
        <v>3376</v>
      </c>
    </row>
    <row r="168" spans="1:10" x14ac:dyDescent="0.2">
      <c r="A168" s="126" t="s">
        <v>708</v>
      </c>
      <c r="B168" s="100">
        <f t="shared" si="3"/>
        <v>431889540.05292314</v>
      </c>
      <c r="C168" s="127" t="s">
        <v>3377</v>
      </c>
    </row>
    <row r="169" spans="1:10" x14ac:dyDescent="0.2">
      <c r="A169" s="126" t="s">
        <v>3378</v>
      </c>
      <c r="B169" s="100">
        <f t="shared" si="3"/>
        <v>5492.2916649090939</v>
      </c>
      <c r="C169" s="127" t="s">
        <v>3368</v>
      </c>
    </row>
    <row r="170" spans="1:10" x14ac:dyDescent="0.2">
      <c r="A170" s="126" t="s">
        <v>710</v>
      </c>
      <c r="B170" s="100">
        <f t="shared" si="3"/>
        <v>4.2218524019035701</v>
      </c>
      <c r="C170" s="127" t="s">
        <v>3380</v>
      </c>
    </row>
    <row r="171" spans="1:10" x14ac:dyDescent="0.2">
      <c r="A171" s="126" t="s">
        <v>3381</v>
      </c>
      <c r="B171" s="100">
        <f t="shared" si="3"/>
        <v>3651085.2920939769</v>
      </c>
      <c r="C171" s="127" t="s">
        <v>3383</v>
      </c>
    </row>
    <row r="172" spans="1:10" x14ac:dyDescent="0.2">
      <c r="A172" s="117" t="s">
        <v>3384</v>
      </c>
      <c r="B172" s="168">
        <f t="shared" si="3"/>
        <v>20629235.80556215</v>
      </c>
      <c r="C172" s="120" t="s">
        <v>3385</v>
      </c>
    </row>
    <row r="174" spans="1:10" x14ac:dyDescent="0.2">
      <c r="A174" s="6" t="s">
        <v>2996</v>
      </c>
      <c r="B174" s="100">
        <f ca="1">ExpBase!D623*8000*30</f>
        <v>11506134.007366557</v>
      </c>
      <c r="C174" t="s">
        <v>3443</v>
      </c>
      <c r="D174" s="33"/>
      <c r="F174" s="1297"/>
    </row>
    <row r="175" spans="1:10" x14ac:dyDescent="0.2">
      <c r="A175" s="6" t="s">
        <v>2997</v>
      </c>
      <c r="B175" s="100">
        <f ca="1">ExpBase!C632*8000*30</f>
        <v>5165271.8517887127</v>
      </c>
      <c r="C175" t="s">
        <v>3443</v>
      </c>
      <c r="D175" s="33"/>
      <c r="F175" s="1297"/>
    </row>
    <row r="176" spans="1:10" x14ac:dyDescent="0.2">
      <c r="A176" s="6" t="s">
        <v>3518</v>
      </c>
      <c r="B176" s="100">
        <f ca="1">ExpBase!B635*8000*30</f>
        <v>92667866.861184314</v>
      </c>
      <c r="C176" t="s">
        <v>3443</v>
      </c>
      <c r="D176" s="100"/>
      <c r="F176" s="1298"/>
    </row>
    <row r="177" spans="1:4" x14ac:dyDescent="0.2">
      <c r="D177" s="33"/>
    </row>
    <row r="178" spans="1:4" x14ac:dyDescent="0.2">
      <c r="A178" s="6" t="s">
        <v>3519</v>
      </c>
    </row>
    <row r="179" spans="1:4" x14ac:dyDescent="0.2">
      <c r="A179" s="109" t="s">
        <v>701</v>
      </c>
      <c r="B179" s="845">
        <f t="shared" ref="B179:B188" ca="1" si="4">B163/B$176*F$176</f>
        <v>0</v>
      </c>
      <c r="C179" s="112" t="s">
        <v>3489</v>
      </c>
    </row>
    <row r="180" spans="1:4" x14ac:dyDescent="0.2">
      <c r="A180" s="126" t="s">
        <v>703</v>
      </c>
      <c r="B180" s="166">
        <f t="shared" ca="1" si="4"/>
        <v>0</v>
      </c>
      <c r="C180" s="127" t="s">
        <v>3490</v>
      </c>
    </row>
    <row r="181" spans="1:4" x14ac:dyDescent="0.2">
      <c r="A181" s="126" t="s">
        <v>705</v>
      </c>
      <c r="B181" s="166">
        <f t="shared" ca="1" si="4"/>
        <v>0</v>
      </c>
      <c r="C181" s="127" t="s">
        <v>3491</v>
      </c>
    </row>
    <row r="182" spans="1:4" x14ac:dyDescent="0.2">
      <c r="A182" s="126" t="s">
        <v>3372</v>
      </c>
      <c r="B182" s="166">
        <f t="shared" ca="1" si="4"/>
        <v>0</v>
      </c>
      <c r="C182" s="127" t="s">
        <v>3492</v>
      </c>
    </row>
    <row r="183" spans="1:4" x14ac:dyDescent="0.2">
      <c r="A183" s="126" t="s">
        <v>3375</v>
      </c>
      <c r="B183" s="166">
        <f t="shared" ca="1" si="4"/>
        <v>0</v>
      </c>
      <c r="C183" s="127" t="s">
        <v>3493</v>
      </c>
    </row>
    <row r="184" spans="1:4" x14ac:dyDescent="0.2">
      <c r="A184" s="126" t="s">
        <v>708</v>
      </c>
      <c r="B184" s="166">
        <f t="shared" ca="1" si="4"/>
        <v>0</v>
      </c>
      <c r="C184" s="127" t="s">
        <v>3494</v>
      </c>
    </row>
    <row r="185" spans="1:4" x14ac:dyDescent="0.2">
      <c r="A185" s="126" t="s">
        <v>3378</v>
      </c>
      <c r="B185" s="166">
        <f t="shared" ca="1" si="4"/>
        <v>0</v>
      </c>
      <c r="C185" s="127" t="s">
        <v>3490</v>
      </c>
    </row>
    <row r="186" spans="1:4" x14ac:dyDescent="0.2">
      <c r="A186" s="126" t="s">
        <v>710</v>
      </c>
      <c r="B186" s="166">
        <f t="shared" ca="1" si="4"/>
        <v>0</v>
      </c>
      <c r="C186" s="127" t="s">
        <v>3495</v>
      </c>
    </row>
    <row r="187" spans="1:4" x14ac:dyDescent="0.2">
      <c r="A187" s="126" t="s">
        <v>3381</v>
      </c>
      <c r="B187" s="166">
        <f t="shared" ca="1" si="4"/>
        <v>0</v>
      </c>
      <c r="C187" s="127" t="s">
        <v>3496</v>
      </c>
    </row>
    <row r="188" spans="1:4" x14ac:dyDescent="0.2">
      <c r="A188" s="117" t="s">
        <v>3384</v>
      </c>
      <c r="B188" s="833">
        <f t="shared" ca="1" si="4"/>
        <v>0</v>
      </c>
      <c r="C188" s="120" t="s">
        <v>3497</v>
      </c>
    </row>
    <row r="191" spans="1:4" x14ac:dyDescent="0.2">
      <c r="A191" t="s">
        <v>3520</v>
      </c>
    </row>
    <row r="192" spans="1:4" x14ac:dyDescent="0.2">
      <c r="A192" s="109" t="s">
        <v>701</v>
      </c>
      <c r="B192" s="845">
        <v>9.7999999999999997E-4</v>
      </c>
      <c r="C192" s="112" t="s">
        <v>3489</v>
      </c>
    </row>
    <row r="193" spans="1:17" x14ac:dyDescent="0.2">
      <c r="A193" s="126" t="s">
        <v>703</v>
      </c>
      <c r="B193" s="166">
        <v>2.6610800000000002E-8</v>
      </c>
      <c r="C193" s="127" t="s">
        <v>3490</v>
      </c>
    </row>
    <row r="194" spans="1:17" x14ac:dyDescent="0.2">
      <c r="A194" s="126" t="s">
        <v>705</v>
      </c>
      <c r="B194" s="166">
        <v>6.1220999999999997</v>
      </c>
      <c r="C194" s="127" t="s">
        <v>3491</v>
      </c>
    </row>
    <row r="195" spans="1:17" x14ac:dyDescent="0.2">
      <c r="A195" s="126" t="s">
        <v>3372</v>
      </c>
      <c r="B195" s="166">
        <v>8.3582E-5</v>
      </c>
      <c r="C195" s="127" t="s">
        <v>3492</v>
      </c>
    </row>
    <row r="196" spans="1:17" x14ac:dyDescent="0.2">
      <c r="A196" s="126" t="s">
        <v>3375</v>
      </c>
      <c r="B196" s="166">
        <v>4.6999999999999999E-4</v>
      </c>
      <c r="C196" s="127" t="s">
        <v>3493</v>
      </c>
    </row>
    <row r="197" spans="1:17" x14ac:dyDescent="0.2">
      <c r="A197" s="126" t="s">
        <v>708</v>
      </c>
      <c r="B197" s="166">
        <v>0.17780000000000001</v>
      </c>
      <c r="C197" s="127" t="s">
        <v>3494</v>
      </c>
    </row>
    <row r="198" spans="1:17" x14ac:dyDescent="0.2">
      <c r="A198" s="126" t="s">
        <v>3378</v>
      </c>
      <c r="B198" s="166">
        <v>8.4536600000000003E-8</v>
      </c>
      <c r="C198" s="127" t="s">
        <v>3490</v>
      </c>
    </row>
    <row r="199" spans="1:17" x14ac:dyDescent="0.2">
      <c r="A199" s="126" t="s">
        <v>710</v>
      </c>
      <c r="B199" s="166">
        <v>1.4223199999999999E-9</v>
      </c>
      <c r="C199" s="127" t="s">
        <v>3495</v>
      </c>
    </row>
    <row r="200" spans="1:17" x14ac:dyDescent="0.2">
      <c r="A200" s="126" t="s">
        <v>3381</v>
      </c>
      <c r="B200" s="166">
        <v>2.5000000000000001E-4</v>
      </c>
      <c r="C200" s="127" t="s">
        <v>3496</v>
      </c>
    </row>
    <row r="201" spans="1:17" x14ac:dyDescent="0.2">
      <c r="A201" s="117" t="s">
        <v>3384</v>
      </c>
      <c r="B201" s="833">
        <v>1.116E-2</v>
      </c>
      <c r="C201" s="120" t="s">
        <v>3497</v>
      </c>
    </row>
    <row r="206" spans="1:17" ht="14.5" customHeight="1" x14ac:dyDescent="0.2">
      <c r="A206" s="1976" t="s">
        <v>1418</v>
      </c>
      <c r="B206" s="1976"/>
      <c r="C206" s="1976"/>
      <c r="D206" s="1976"/>
      <c r="E206" s="1976"/>
      <c r="F206" s="1976"/>
      <c r="G206" s="1976"/>
      <c r="H206" s="1976"/>
      <c r="I206" s="1976"/>
      <c r="J206" s="1976"/>
      <c r="K206" s="1976"/>
      <c r="L206" s="1976"/>
      <c r="M206" s="1976"/>
      <c r="N206" s="1976"/>
      <c r="O206" s="1976"/>
      <c r="P206" s="1976"/>
      <c r="Q206" s="1976"/>
    </row>
    <row r="207" spans="1:17" ht="14.5" customHeight="1" x14ac:dyDescent="0.2">
      <c r="A207" s="1976"/>
      <c r="B207" s="1976"/>
      <c r="C207" s="1976"/>
      <c r="D207" s="1976"/>
      <c r="E207" s="1976"/>
      <c r="F207" s="1976"/>
      <c r="G207" s="1976"/>
      <c r="H207" s="1976"/>
      <c r="I207" s="1976"/>
      <c r="J207" s="1976"/>
      <c r="K207" s="1976"/>
      <c r="L207" s="1976"/>
      <c r="M207" s="1976"/>
      <c r="N207" s="1976"/>
      <c r="O207" s="1976"/>
      <c r="P207" s="1976"/>
      <c r="Q207" s="1976"/>
    </row>
    <row r="208" spans="1:17" ht="16" x14ac:dyDescent="0.2">
      <c r="A208" s="1963" t="s">
        <v>586</v>
      </c>
      <c r="B208" s="1964"/>
      <c r="C208" s="1965"/>
    </row>
    <row r="209" spans="1:17" ht="48" x14ac:dyDescent="0.2">
      <c r="A209" s="1256" t="s">
        <v>3470</v>
      </c>
      <c r="B209" s="1256" t="s">
        <v>42</v>
      </c>
      <c r="C209" s="1256" t="s">
        <v>372</v>
      </c>
      <c r="D209" s="1256" t="s">
        <v>753</v>
      </c>
      <c r="E209" s="1256" t="s">
        <v>3504</v>
      </c>
      <c r="F209" s="1256" t="s">
        <v>3514</v>
      </c>
      <c r="G209" s="1256" t="s">
        <v>3515</v>
      </c>
      <c r="H209" s="1256" t="s">
        <v>3506</v>
      </c>
      <c r="I209" s="1256" t="s">
        <v>812</v>
      </c>
      <c r="J209" s="1256" t="s">
        <v>3521</v>
      </c>
      <c r="K209" s="1256" t="s">
        <v>3516</v>
      </c>
      <c r="L209" s="1256" t="s">
        <v>3522</v>
      </c>
      <c r="M209" s="1256" t="s">
        <v>714</v>
      </c>
      <c r="N209" s="1256" t="s">
        <v>3523</v>
      </c>
      <c r="O209" s="1256" t="s">
        <v>3524</v>
      </c>
      <c r="P209" s="1256" t="s">
        <v>539</v>
      </c>
      <c r="Q209" s="1256" t="s">
        <v>3525</v>
      </c>
    </row>
    <row r="210" spans="1:17" x14ac:dyDescent="0.2">
      <c r="A210" s="109" t="s">
        <v>701</v>
      </c>
      <c r="B210" s="1257">
        <f ca="1">SUM(LCI_AB!L7,LCI_AB!L19,LCI_AB!L31,LCI_AB!L43,LCI_AB!L55)+SUM(B6,B66,B115)+SUM(LCI_AB!L1240,LCI_AB!L1252,LCI_AB!L1264,LCI_AB!L1276,LCI_AB!L1288,LCI_AB!L1300,LCI_AB!L1312,LCI_AB!L1324,LCI_AB!L1336,LCI_AB!L1348,LCI_AB!L1360,LCI_AB!L1379,LCI_AB!L1391,LCI_AB!L1403,LCI_AB!L1415,LCI_AB!L1427,LCI_AB!L1439,LCI_AB!L1451,LCI_AB!L1463,LCI_AB!L1475,LCI_AB!L1487,LCI_AB!L1499,LCI_AB!L1511,LCI_AB!L1557,LCI_AB!L1569,LCI_AB!L1581,LCI_AB!L1593,LCI_AB!L1605,LCI_AB!L1617,LCI_AB!L1629,LCI_AB!L1641,LCI_AB!L1660,LCI_AB!L1672,LCI_AB!L1684,LCI_AB!L1696,LCI_AB!L1708,LCI_AB!L1720,LCI_AB!L1732,LCI_AB!L1744,LCI_AB!L1756,LCI_AB!L1768,LCI_AB!L1780,LCI_AB!L1800,LCI_AB!L1812,LCI_AB!L1824,LCI_AB!L1836,LCI_AB!L1848,LCI_AB!L1860,LCI_AB!L1523)+(B$354*B401)</f>
        <v>72999627.484866485</v>
      </c>
      <c r="C210" s="112" t="s">
        <v>3367</v>
      </c>
      <c r="D210" s="1297">
        <f t="shared" ref="D210:D219" ca="1" si="5">B222/B210</f>
        <v>6.9420664813072547E-2</v>
      </c>
      <c r="E210" s="1297">
        <f t="shared" ref="E210:E219" ca="1" si="6">B234/B210</f>
        <v>8.0695276070680679E-5</v>
      </c>
      <c r="F210" s="1297">
        <f t="shared" ref="F210:F219" ca="1" si="7">B246/B210</f>
        <v>2.5311381392775605E-4</v>
      </c>
      <c r="G210" s="1297">
        <f t="shared" ref="G210:G219" ca="1" si="8">B258/B210</f>
        <v>2.927619273546627E-3</v>
      </c>
      <c r="H210" s="1297">
        <f t="shared" ref="H210:H219" ca="1" si="9">B270/B210</f>
        <v>1.1956998621230544E-2</v>
      </c>
      <c r="I210" s="1297">
        <f t="shared" ref="I210:I219" ca="1" si="10">B282/B210</f>
        <v>1.7513054965533441E-3</v>
      </c>
      <c r="J210" s="1297">
        <f t="shared" ref="J210:J219" ca="1" si="11">B294/B210</f>
        <v>1.9940876551757409E-5</v>
      </c>
      <c r="K210" s="1297">
        <f t="shared" ref="K210:K219" ca="1" si="12">B306/B210</f>
        <v>1.8708178613509301E-2</v>
      </c>
      <c r="L210" s="1297">
        <f t="shared" ref="L210:L219" ca="1" si="13">B318/B210</f>
        <v>6.1988209932732714E-5</v>
      </c>
      <c r="M210" s="1297">
        <f t="shared" ref="M210:M219" ca="1" si="14">B330/B210</f>
        <v>8.9887647072743118E-3</v>
      </c>
      <c r="N210" s="1297">
        <f t="shared" ref="N210:N219" ca="1" si="15">B342/B210</f>
        <v>2.389563005258024E-2</v>
      </c>
      <c r="O210" s="1298">
        <f ca="1">(B401*B$354)/B210</f>
        <v>0.86169012867108197</v>
      </c>
      <c r="P210" s="122">
        <v>0</v>
      </c>
      <c r="Q210" s="33">
        <f t="shared" ref="Q210:Q219" ca="1" si="16">SUM(D210:O210)</f>
        <v>0.99975502842533182</v>
      </c>
    </row>
    <row r="211" spans="1:17" x14ac:dyDescent="0.2">
      <c r="A211" s="126" t="s">
        <v>703</v>
      </c>
      <c r="B211" s="33">
        <f ca="1">SUM(LCI_AB!L8,LCI_AB!L20,LCI_AB!L32,LCI_AB!L44,LCI_AB!L56)+SUM(B7,B67,B116)+SUM(LCI_AB!L1241,LCI_AB!L1253,LCI_AB!L1265,LCI_AB!L1277,LCI_AB!L1289,LCI_AB!L1301,LCI_AB!L1313,LCI_AB!L1325,LCI_AB!L1337,LCI_AB!L1349,LCI_AB!L1361,LCI_AB!L1380,LCI_AB!L1392,LCI_AB!L1404,LCI_AB!L1416,LCI_AB!L1428,LCI_AB!L1440,LCI_AB!L1452,LCI_AB!L1464,LCI_AB!L1476,LCI_AB!L1488,LCI_AB!L1500,LCI_AB!L1512,LCI_AB!L1558,LCI_AB!L1570,LCI_AB!L1582,LCI_AB!L1594,LCI_AB!L1606,LCI_AB!L1618,LCI_AB!L1630,LCI_AB!L1642,LCI_AB!L1661,LCI_AB!L1673,LCI_AB!L1685,LCI_AB!L1697,LCI_AB!L1709,LCI_AB!L1721,LCI_AB!L1733,LCI_AB!L1745,LCI_AB!L1757,LCI_AB!L1769,LCI_AB!L1781,LCI_AB!L1801,LCI_AB!L1813,LCI_AB!L1825,LCI_AB!L1837,LCI_AB!L1849,LCI_AB!L1861,LCI_AB!L1524)+(B$354*B402)</f>
        <v>385.52966142814364</v>
      </c>
      <c r="C211" s="127" t="s">
        <v>3368</v>
      </c>
      <c r="D211" s="1297">
        <f t="shared" ca="1" si="5"/>
        <v>0.20913790732002557</v>
      </c>
      <c r="E211" s="1297">
        <f t="shared" ca="1" si="6"/>
        <v>2.1118321037710396E-3</v>
      </c>
      <c r="F211" s="1297">
        <f t="shared" ca="1" si="7"/>
        <v>7.559326847133359E-4</v>
      </c>
      <c r="G211" s="1297">
        <f t="shared" ca="1" si="8"/>
        <v>5.5452349186640687E-2</v>
      </c>
      <c r="H211" s="1297">
        <f t="shared" ca="1" si="9"/>
        <v>3.5936794666046025E-2</v>
      </c>
      <c r="I211" s="1297">
        <f t="shared" ca="1" si="10"/>
        <v>4.1942322671982965E-3</v>
      </c>
      <c r="J211" s="1297">
        <f t="shared" ca="1" si="11"/>
        <v>1.4566972562360755E-4</v>
      </c>
      <c r="K211" s="1297">
        <f t="shared" ca="1" si="12"/>
        <v>0.50057343271545007</v>
      </c>
      <c r="L211" s="1297">
        <f t="shared" ca="1" si="13"/>
        <v>3.7908728964188597E-5</v>
      </c>
      <c r="M211" s="1297">
        <f t="shared" ca="1" si="14"/>
        <v>7.5140921451631398E-2</v>
      </c>
      <c r="N211" s="1297">
        <f t="shared" ca="1" si="15"/>
        <v>8.3707286377871407E-2</v>
      </c>
      <c r="O211" s="1298">
        <f ca="1">(B402*B$354)/B211</f>
        <v>3.0796373651614539E-2</v>
      </c>
      <c r="P211" s="122">
        <v>0</v>
      </c>
      <c r="Q211" s="33">
        <f t="shared" ca="1" si="16"/>
        <v>0.99799064087955025</v>
      </c>
    </row>
    <row r="212" spans="1:17" x14ac:dyDescent="0.2">
      <c r="A212" s="126" t="s">
        <v>705</v>
      </c>
      <c r="B212" s="33">
        <f ca="1">SUM(LCI_AB!L9,LCI_AB!L21,LCI_AB!L33,LCI_AB!L45,LCI_AB!L57)+SUM(B8,B68,B117)+SUM(LCI_AB!L1242,LCI_AB!L1254,LCI_AB!L1266,LCI_AB!L1278,LCI_AB!L1290,LCI_AB!L1302,LCI_AB!L1314,LCI_AB!L1326,LCI_AB!L1338,LCI_AB!L1350,LCI_AB!L1362,LCI_AB!L1381,LCI_AB!L1393,LCI_AB!L1405,LCI_AB!L1417,LCI_AB!L1429,LCI_AB!L1441,LCI_AB!L1453,LCI_AB!L1465,LCI_AB!L1477,LCI_AB!L1489,LCI_AB!L1501,LCI_AB!L1513,LCI_AB!L1559,LCI_AB!L1571,LCI_AB!L1583,LCI_AB!L1595,LCI_AB!L1607,LCI_AB!L1619,LCI_AB!L1631,LCI_AB!L1643,LCI_AB!L1662,LCI_AB!L1674,LCI_AB!L1686,LCI_AB!L1698,LCI_AB!L1710,LCI_AB!L1722,LCI_AB!L1734,LCI_AB!L1746,LCI_AB!L1758,LCI_AB!L1770,LCI_AB!L1782,LCI_AB!L1802,LCI_AB!L1814,LCI_AB!L1826,LCI_AB!L1838,LCI_AB!L1850,LCI_AB!L1862,LCI_AB!L1525)+(B$354*B403)</f>
        <v>72926431237.095276</v>
      </c>
      <c r="C212" s="127" t="s">
        <v>3370</v>
      </c>
      <c r="D212" s="1297">
        <f t="shared" ca="1" si="5"/>
        <v>0.34389375573724001</v>
      </c>
      <c r="E212" s="1297">
        <f t="shared" ca="1" si="6"/>
        <v>2.1644616919751039E-3</v>
      </c>
      <c r="F212" s="1297">
        <f t="shared" ca="1" si="7"/>
        <v>1.0560824295586858E-3</v>
      </c>
      <c r="G212" s="1297">
        <f t="shared" ca="1" si="8"/>
        <v>7.3893100622931041E-5</v>
      </c>
      <c r="H212" s="1297">
        <f t="shared" ca="1" si="9"/>
        <v>5.0131956798583684E-2</v>
      </c>
      <c r="I212" s="1297">
        <f t="shared" ca="1" si="10"/>
        <v>3.0941246238105251E-3</v>
      </c>
      <c r="J212" s="1297">
        <f t="shared" ca="1" si="11"/>
        <v>1.151934443725647E-4</v>
      </c>
      <c r="K212" s="1297">
        <f t="shared" ca="1" si="12"/>
        <v>0.41099207678235611</v>
      </c>
      <c r="L212" s="1297">
        <f t="shared" ca="1" si="13"/>
        <v>1.7559254834325342E-4</v>
      </c>
      <c r="M212" s="1297">
        <f t="shared" ca="1" si="14"/>
        <v>5.0349335096307679E-2</v>
      </c>
      <c r="N212" s="1297">
        <f t="shared" ca="1" si="15"/>
        <v>9.883390108882445E-2</v>
      </c>
      <c r="O212" s="1298">
        <f ca="1">(B403*B$354)/B212</f>
        <v>3.7245266682560667E-2</v>
      </c>
      <c r="P212" s="122">
        <v>0</v>
      </c>
      <c r="Q212" s="33">
        <f t="shared" ca="1" si="16"/>
        <v>0.9981256400245555</v>
      </c>
    </row>
    <row r="213" spans="1:17" x14ac:dyDescent="0.2">
      <c r="A213" s="126" t="s">
        <v>3372</v>
      </c>
      <c r="B213" s="33">
        <f ca="1">SUM(LCI_AB!L10,LCI_AB!L22,LCI_AB!L34,LCI_AB!L46,LCI_AB!L58)+SUM(B9,B69,B118)+SUM(LCI_AB!L1243,LCI_AB!L1255,LCI_AB!L1267,LCI_AB!L1279,LCI_AB!L1291,LCI_AB!L1303,LCI_AB!L1315,LCI_AB!L1327,LCI_AB!L1339,LCI_AB!L1351,LCI_AB!L1363,LCI_AB!L1382,LCI_AB!L1394,LCI_AB!L1406,LCI_AB!L1418,LCI_AB!L1430,LCI_AB!L1442,LCI_AB!L1454,LCI_AB!L1466,LCI_AB!L1478,LCI_AB!L1490,LCI_AB!L1502,LCI_AB!L1514,LCI_AB!L1560,LCI_AB!L1572,LCI_AB!L1584,LCI_AB!L1596,LCI_AB!L1608,LCI_AB!L1620,LCI_AB!L1632,LCI_AB!L1644,LCI_AB!L1663,LCI_AB!L1675,LCI_AB!L1687,LCI_AB!L1699,LCI_AB!L1711,LCI_AB!L1723,LCI_AB!L1735,LCI_AB!L1747,LCI_AB!L1759,LCI_AB!L1771,LCI_AB!L1783,LCI_AB!L1803,LCI_AB!L1815,LCI_AB!L1827,LCI_AB!L1839,LCI_AB!L1851,LCI_AB!L1863,LCI_AB!L1526)+(B$354*B404)</f>
        <v>978330.33670699806</v>
      </c>
      <c r="C213" s="127" t="s">
        <v>3374</v>
      </c>
      <c r="D213" s="1297">
        <f t="shared" ca="1" si="5"/>
        <v>9.2538621686458822E-2</v>
      </c>
      <c r="E213" s="1297">
        <f t="shared" ca="1" si="6"/>
        <v>1.0684985071821352E-3</v>
      </c>
      <c r="F213" s="1297">
        <f t="shared" ca="1" si="7"/>
        <v>1.1242931581803949E-3</v>
      </c>
      <c r="G213" s="1297">
        <f t="shared" ca="1" si="8"/>
        <v>1.4055808581363514E-2</v>
      </c>
      <c r="H213" s="1297">
        <f t="shared" ca="1" si="9"/>
        <v>5.3210037762125156E-2</v>
      </c>
      <c r="I213" s="1297">
        <f t="shared" ca="1" si="10"/>
        <v>1.7529755826696536E-3</v>
      </c>
      <c r="J213" s="1297">
        <f t="shared" ca="1" si="11"/>
        <v>5.7997097576453123E-5</v>
      </c>
      <c r="K213" s="1297">
        <f t="shared" ca="1" si="12"/>
        <v>0.14399859960097366</v>
      </c>
      <c r="L213" s="1297">
        <f t="shared" ca="1" si="13"/>
        <v>9.729408856752142E-5</v>
      </c>
      <c r="M213" s="1297">
        <f t="shared" ca="1" si="14"/>
        <v>0.28616983334335794</v>
      </c>
      <c r="N213" s="1297">
        <f t="shared" ca="1" si="15"/>
        <v>0.35767835331965747</v>
      </c>
      <c r="O213" s="1298">
        <f ca="1">(B404*B$354)/B213</f>
        <v>1.3771304351521524E-2</v>
      </c>
      <c r="P213" s="122">
        <v>0</v>
      </c>
      <c r="Q213" s="33">
        <f t="shared" ca="1" si="16"/>
        <v>0.96552361707963419</v>
      </c>
    </row>
    <row r="214" spans="1:17" x14ac:dyDescent="0.2">
      <c r="A214" s="126" t="s">
        <v>3375</v>
      </c>
      <c r="B214" s="33">
        <f ca="1">SUM(LCI_AB!L11,LCI_AB!L23,LCI_AB!L35,LCI_AB!L47,LCI_AB!L59)+SUM(B10,B70,B119)+SUM(LCI_AB!L1244,LCI_AB!L1256,LCI_AB!L1268,LCI_AB!L1280,LCI_AB!L1292,LCI_AB!L1304,LCI_AB!L1316,LCI_AB!L1328,LCI_AB!L1340,LCI_AB!L1352,LCI_AB!L1364,LCI_AB!L1383,LCI_AB!L1395,LCI_AB!L1407,LCI_AB!L1419,LCI_AB!L1431,LCI_AB!L1443,LCI_AB!L1455,LCI_AB!L1467,LCI_AB!L1479,LCI_AB!L1491,LCI_AB!L1503,LCI_AB!L1515,LCI_AB!L1561,LCI_AB!L1573,LCI_AB!L1585,LCI_AB!L1597,LCI_AB!L1609,LCI_AB!L1621,LCI_AB!L1633,LCI_AB!L1645,LCI_AB!L1664,LCI_AB!L1676,LCI_AB!L1688,LCI_AB!L1700,LCI_AB!L1712,LCI_AB!L1724,LCI_AB!L1736,LCI_AB!L1748,LCI_AB!L1760,LCI_AB!L1772,LCI_AB!L1784,LCI_AB!L1804,LCI_AB!L1816,LCI_AB!L1828,LCI_AB!L1840,LCI_AB!L1852,LCI_AB!L1864,LCI_AB!L1527)+(B$354*B405)</f>
        <v>94278073.651045784</v>
      </c>
      <c r="C214" s="127" t="s">
        <v>3376</v>
      </c>
      <c r="D214" s="1297">
        <f t="shared" ca="1" si="5"/>
        <v>5.7241709631489994E-2</v>
      </c>
      <c r="E214" s="1297">
        <f t="shared" ca="1" si="6"/>
        <v>3.4093963723959902E-5</v>
      </c>
      <c r="F214" s="1297">
        <f t="shared" ca="1" si="7"/>
        <v>8.8994909410804781E-5</v>
      </c>
      <c r="G214" s="1297">
        <f t="shared" ca="1" si="8"/>
        <v>1.493348235908775E-3</v>
      </c>
      <c r="H214" s="1297">
        <f t="shared" ca="1" si="9"/>
        <v>4.2049133518014155E-3</v>
      </c>
      <c r="I214" s="1297">
        <f t="shared" ca="1" si="10"/>
        <v>6.6148194305982284E-4</v>
      </c>
      <c r="J214" s="1297">
        <f t="shared" ca="1" si="11"/>
        <v>7.0221290525133308E-6</v>
      </c>
      <c r="K214" s="1297">
        <f t="shared" ca="1" si="12"/>
        <v>4.8917162695705065E-3</v>
      </c>
      <c r="L214" s="1297">
        <f t="shared" ca="1" si="13"/>
        <v>1.3597010006006832E-5</v>
      </c>
      <c r="M214" s="1297">
        <f t="shared" ca="1" si="14"/>
        <v>4.9184081144565094E-3</v>
      </c>
      <c r="N214" s="1297">
        <f t="shared" ca="1" si="15"/>
        <v>1.5688462005635881E-2</v>
      </c>
      <c r="O214" s="1298">
        <f ca="1">(B405*B$354)/B214</f>
        <v>0.90967672849621939</v>
      </c>
      <c r="P214" s="122">
        <v>0</v>
      </c>
      <c r="Q214" s="33">
        <f t="shared" ca="1" si="16"/>
        <v>0.99892047606033563</v>
      </c>
    </row>
    <row r="215" spans="1:17" x14ac:dyDescent="0.2">
      <c r="A215" s="126" t="s">
        <v>708</v>
      </c>
      <c r="B215" s="100">
        <f>SUM(LCI_AB!L12,LCI_AB!L24,LCI_AB!L36,LCI_AB!L48,LCI_AB!L60)+SUM(B11,B71,B120)+SUM(LCI_AB!L1245,LCI_AB!L1257,LCI_AB!L1269,LCI_AB!L1281,LCI_AB!L1293,LCI_AB!L1305,LCI_AB!L1317,LCI_AB!L1329,LCI_AB!L1341,LCI_AB!L1353,LCI_AB!L1365,LCI_AB!L1384,LCI_AB!L1396,LCI_AB!L1408,LCI_AB!L1420,LCI_AB!L1432,LCI_AB!L1444,LCI_AB!L1456,LCI_AB!L1468,LCI_AB!L1480,LCI_AB!L1492,LCI_AB!L1504,LCI_AB!L1516,LCI_AB!L1562,LCI_AB!L1574,LCI_AB!L1586,LCI_AB!L1598,LCI_AB!L1610,LCI_AB!L1622,LCI_AB!L1634,LCI_AB!L1646,LCI_AB!L1665,LCI_AB!L1677,LCI_AB!L1689,LCI_AB!L1701,LCI_AB!L1713,LCI_AB!L1725,LCI_AB!L1737,LCI_AB!L1749,LCI_AB!L1761,LCI_AB!L1773,LCI_AB!L1785,LCI_AB!L1805,LCI_AB!L1817,LCI_AB!L1829,LCI_AB!L1841,LCI_AB!L1853,LCI_AB!L1865,LCI_AB!L1528)</f>
        <v>2735963383.6942511</v>
      </c>
      <c r="C215" s="127" t="s">
        <v>3377</v>
      </c>
      <c r="D215" s="1298">
        <f t="shared" si="5"/>
        <v>0.46168843992787717</v>
      </c>
      <c r="E215" s="1298">
        <f t="shared" si="6"/>
        <v>3.7073955072643942E-4</v>
      </c>
      <c r="F215" s="1298">
        <f t="shared" si="7"/>
        <v>1.9198139695626062E-3</v>
      </c>
      <c r="G215" s="1298">
        <f t="shared" si="8"/>
        <v>1.4984608606062251E-2</v>
      </c>
      <c r="H215" s="1298">
        <f t="shared" si="9"/>
        <v>9.0708013601931065E-2</v>
      </c>
      <c r="I215" s="1298">
        <f t="shared" si="10"/>
        <v>1.3083463858423074E-2</v>
      </c>
      <c r="J215" s="1298">
        <f t="shared" si="11"/>
        <v>4.064827262045996E-5</v>
      </c>
      <c r="K215" s="1298">
        <f t="shared" si="12"/>
        <v>0.20614578800325262</v>
      </c>
      <c r="L215" s="1298">
        <f t="shared" si="13"/>
        <v>2.9349112961187889E-5</v>
      </c>
      <c r="M215" s="1298">
        <f t="shared" si="14"/>
        <v>0.12519323982382313</v>
      </c>
      <c r="N215" s="1298">
        <f t="shared" si="15"/>
        <v>8.466054317309786E-2</v>
      </c>
      <c r="O215" s="122">
        <v>0</v>
      </c>
      <c r="P215" s="122">
        <v>0</v>
      </c>
      <c r="Q215" s="100">
        <f t="shared" si="16"/>
        <v>0.99882464790033798</v>
      </c>
    </row>
    <row r="216" spans="1:17" x14ac:dyDescent="0.2">
      <c r="A216" s="126" t="s">
        <v>3378</v>
      </c>
      <c r="B216" s="33">
        <f ca="1">SUM(LCI_AB!L13,LCI_AB!L25,LCI_AB!L37,LCI_AB!L49,LCI_AB!L61)+SUM(B12,B72,B121)+SUM(LCI_AB!L1246,LCI_AB!L1258,LCI_AB!L1270,LCI_AB!L1282,LCI_AB!L1294,LCI_AB!L1306,LCI_AB!L1318,LCI_AB!L1330,LCI_AB!L1342,LCI_AB!L1354,LCI_AB!L1366,LCI_AB!L1385,LCI_AB!L1397,LCI_AB!L1409,LCI_AB!L1421,LCI_AB!L1433,LCI_AB!L1445,LCI_AB!L1457,LCI_AB!L1469,LCI_AB!L1481,LCI_AB!L1493,LCI_AB!L1505,LCI_AB!L1517,LCI_AB!L1563,LCI_AB!L1575,LCI_AB!L1587,LCI_AB!L1599,LCI_AB!L1611,LCI_AB!L1623,LCI_AB!L1635,LCI_AB!L1647,LCI_AB!L1666,LCI_AB!L1678,LCI_AB!L1690,LCI_AB!L1702,LCI_AB!L1714,LCI_AB!L1726,LCI_AB!L1738,LCI_AB!L1750,LCI_AB!L1762,LCI_AB!L1774,LCI_AB!L1786,LCI_AB!L1806,LCI_AB!L1818,LCI_AB!L1830,LCI_AB!L1842,LCI_AB!L1854,LCI_AB!L1866,LCI_AB!L1529)+(B$354*B407)</f>
        <v>6176.5353547976501</v>
      </c>
      <c r="C216" s="127" t="s">
        <v>3368</v>
      </c>
      <c r="D216" s="1297">
        <f t="shared" ca="1" si="5"/>
        <v>4.0603612027126312E-2</v>
      </c>
      <c r="E216" s="1297">
        <f t="shared" ca="1" si="6"/>
        <v>2.7918505286628214E-4</v>
      </c>
      <c r="F216" s="1297">
        <f t="shared" ca="1" si="7"/>
        <v>2.1007340445515965E-4</v>
      </c>
      <c r="G216" s="1297">
        <f t="shared" ca="1" si="8"/>
        <v>3.8569759957015688E-3</v>
      </c>
      <c r="H216" s="1297">
        <f t="shared" ca="1" si="9"/>
        <v>9.9521527628891639E-3</v>
      </c>
      <c r="I216" s="1297">
        <f t="shared" ca="1" si="10"/>
        <v>5.2137099563422042E-4</v>
      </c>
      <c r="J216" s="1297">
        <f t="shared" ca="1" si="11"/>
        <v>1.8184952169464223E-5</v>
      </c>
      <c r="K216" s="1297">
        <f t="shared" ca="1" si="12"/>
        <v>5.1699416409799394E-2</v>
      </c>
      <c r="L216" s="1297">
        <f t="shared" ca="1" si="13"/>
        <v>7.5491748286132872E-5</v>
      </c>
      <c r="M216" s="1297">
        <f t="shared" ca="1" si="14"/>
        <v>1.4001991730036106E-2</v>
      </c>
      <c r="N216" s="1297">
        <f t="shared" ca="1" si="15"/>
        <v>0.85439349072414339</v>
      </c>
      <c r="O216" s="1298">
        <f ca="1">(B407*B$354)/B216</f>
        <v>1.2215206050574853E-2</v>
      </c>
      <c r="P216" s="122">
        <v>0</v>
      </c>
      <c r="Q216" s="33">
        <f t="shared" ca="1" si="16"/>
        <v>0.98782715185368197</v>
      </c>
    </row>
    <row r="217" spans="1:17" x14ac:dyDescent="0.2">
      <c r="A217" s="126" t="s">
        <v>710</v>
      </c>
      <c r="B217" s="33">
        <f ca="1">SUM(LCI_AB!L14,LCI_AB!L26,LCI_AB!L38,LCI_AB!L50,LCI_AB!L62)+SUM(B13,B73,B122)+SUM(LCI_AB!L1247,LCI_AB!L1259,LCI_AB!L1271,LCI_AB!L1283,LCI_AB!L1295,LCI_AB!L1307,LCI_AB!L1319,LCI_AB!L1331,LCI_AB!L1343,LCI_AB!L1355,LCI_AB!L1367,LCI_AB!L1386,LCI_AB!L1398,LCI_AB!L1410,LCI_AB!L1422,LCI_AB!L1434,LCI_AB!L1446,LCI_AB!L1458,LCI_AB!L1470,LCI_AB!L1482,LCI_AB!L1494,LCI_AB!L1506,LCI_AB!L1518,LCI_AB!L1564,LCI_AB!L1576,LCI_AB!L1588,LCI_AB!L1600,LCI_AB!L1612,LCI_AB!L1624,LCI_AB!L1636,LCI_AB!L1648,LCI_AB!L1667,LCI_AB!L1679,LCI_AB!L1691,LCI_AB!L1703,LCI_AB!L1715,LCI_AB!L1727,LCI_AB!L1739,LCI_AB!L1751,LCI_AB!L1763,LCI_AB!L1775,LCI_AB!L1787,LCI_AB!L1807,LCI_AB!L1819,LCI_AB!L1831,LCI_AB!L1843,LCI_AB!L1855,LCI_AB!L1867,LCI_AB!L1530)+(B$354*B408)</f>
        <v>98.949515406173219</v>
      </c>
      <c r="C217" s="127" t="s">
        <v>3380</v>
      </c>
      <c r="D217" s="1297">
        <f t="shared" ca="1" si="5"/>
        <v>0.497897257050403</v>
      </c>
      <c r="E217" s="1297">
        <f t="shared" ca="1" si="6"/>
        <v>4.856275573571134E-4</v>
      </c>
      <c r="F217" s="1297">
        <f t="shared" ca="1" si="7"/>
        <v>5.7526020620055291E-4</v>
      </c>
      <c r="G217" s="1297">
        <f t="shared" ca="1" si="8"/>
        <v>5.9360008190150375E-3</v>
      </c>
      <c r="H217" s="1297">
        <f t="shared" ca="1" si="9"/>
        <v>0.24847755046001593</v>
      </c>
      <c r="I217" s="1297">
        <f t="shared" ca="1" si="10"/>
        <v>1.4755738747534783E-2</v>
      </c>
      <c r="J217" s="1297">
        <f t="shared" ca="1" si="11"/>
        <v>2.3647122377458562E-5</v>
      </c>
      <c r="K217" s="1297">
        <f t="shared" ca="1" si="12"/>
        <v>3.400829878601476E-2</v>
      </c>
      <c r="L217" s="1297">
        <f t="shared" ca="1" si="13"/>
        <v>6.4344370938959266E-6</v>
      </c>
      <c r="M217" s="1297">
        <f t="shared" ca="1" si="14"/>
        <v>1.3356666324276992E-2</v>
      </c>
      <c r="N217" s="1297">
        <f t="shared" ca="1" si="15"/>
        <v>3.5135500418992882E-2</v>
      </c>
      <c r="O217" s="1298">
        <f ca="1">(B408*B$354)/B217</f>
        <v>0.14896443686791558</v>
      </c>
      <c r="P217" s="122">
        <v>0</v>
      </c>
      <c r="Q217" s="33">
        <f t="shared" ca="1" si="16"/>
        <v>0.99962241879719815</v>
      </c>
    </row>
    <row r="218" spans="1:17" x14ac:dyDescent="0.2">
      <c r="A218" s="126" t="s">
        <v>3381</v>
      </c>
      <c r="B218" s="33">
        <f ca="1">SUM(LCI_AB!L15,LCI_AB!L27,LCI_AB!L39,LCI_AB!L51,LCI_AB!L63)+SUM(B14,B74,B123)+SUM(LCI_AB!L1248,LCI_AB!L1260,LCI_AB!L1272,LCI_AB!L1284,LCI_AB!L1296,LCI_AB!L1308,LCI_AB!L1320,LCI_AB!L1332,LCI_AB!L1344,LCI_AB!L1356,LCI_AB!L1368,LCI_AB!L1387,LCI_AB!L1399,LCI_AB!L1411,LCI_AB!L1423,LCI_AB!L1435,LCI_AB!L1447,LCI_AB!L1459,LCI_AB!L1471,LCI_AB!L1483,LCI_AB!L1495,LCI_AB!L1507,LCI_AB!L1519,LCI_AB!L1565,LCI_AB!L1577,LCI_AB!L1589,LCI_AB!L1601,LCI_AB!L1613,LCI_AB!L1625,LCI_AB!L1637,LCI_AB!L1649,LCI_AB!L1668,LCI_AB!L1680,LCI_AB!L1692,LCI_AB!L1704,LCI_AB!L1716,LCI_AB!L1728,LCI_AB!L1740,LCI_AB!L1752,LCI_AB!L1764,LCI_AB!L1776,LCI_AB!L1788,LCI_AB!L1808,LCI_AB!L1820,LCI_AB!L1832,LCI_AB!L1844,LCI_AB!L1856,LCI_AB!L1868,LCI_AB!L1531)+(B$354*B409)</f>
        <v>16499741.079918645</v>
      </c>
      <c r="C218" s="127" t="s">
        <v>3383</v>
      </c>
      <c r="D218" s="1297">
        <f t="shared" ca="1" si="5"/>
        <v>5.9829074138697327E-2</v>
      </c>
      <c r="E218" s="1297">
        <f t="shared" ca="1" si="6"/>
        <v>9.8575041246568929E-5</v>
      </c>
      <c r="F218" s="1297">
        <f t="shared" ca="1" si="7"/>
        <v>2.3712065692725956E-4</v>
      </c>
      <c r="G218" s="1297">
        <f t="shared" ca="1" si="8"/>
        <v>3.7353955491909005E-3</v>
      </c>
      <c r="H218" s="1297">
        <f t="shared" ca="1" si="9"/>
        <v>1.1204012505980354E-2</v>
      </c>
      <c r="I218" s="1297">
        <f t="shared" ca="1" si="10"/>
        <v>1.6063511720541977E-3</v>
      </c>
      <c r="J218" s="1297">
        <f t="shared" ca="1" si="11"/>
        <v>1.0152497496089553E-5</v>
      </c>
      <c r="K218" s="1297">
        <f t="shared" ca="1" si="12"/>
        <v>1.6131775246980434E-2</v>
      </c>
      <c r="L218" s="1297">
        <f t="shared" ca="1" si="13"/>
        <v>1.5500954708196387E-5</v>
      </c>
      <c r="M218" s="1297">
        <f t="shared" ca="1" si="14"/>
        <v>5.3555445645834247E-2</v>
      </c>
      <c r="N218" s="1297">
        <f t="shared" ca="1" si="15"/>
        <v>0.17851616795209432</v>
      </c>
      <c r="O218" s="1298">
        <f ca="1">(B409*B$354)/B218</f>
        <v>0.67491655887879876</v>
      </c>
      <c r="P218" s="122">
        <v>0</v>
      </c>
      <c r="Q218" s="33">
        <f t="shared" ca="1" si="16"/>
        <v>0.99985613024000863</v>
      </c>
    </row>
    <row r="219" spans="1:17" x14ac:dyDescent="0.2">
      <c r="A219" s="117" t="s">
        <v>3384</v>
      </c>
      <c r="B219" s="1258">
        <f ca="1">SUM(LCI_AB!L16,LCI_AB!L28,LCI_AB!L40,LCI_AB!L52,LCI_AB!L64)+SUM(B15,B75,B124)+SUM(LCI_AB!L1249,LCI_AB!L1261,LCI_AB!L1273,LCI_AB!L1285,LCI_AB!L1297,LCI_AB!L1309,LCI_AB!L1321,LCI_AB!L1333,LCI_AB!L1345,LCI_AB!L1357,LCI_AB!L1369,LCI_AB!L1388,LCI_AB!L1400,LCI_AB!L1412,LCI_AB!L1424,LCI_AB!L1436,LCI_AB!L1448,LCI_AB!L1460,LCI_AB!L1472,LCI_AB!L1484,LCI_AB!L1496,LCI_AB!L1508,LCI_AB!L1520,LCI_AB!L1566,LCI_AB!L1578,LCI_AB!L1590,LCI_AB!L1602,LCI_AB!L1614,LCI_AB!L1626,LCI_AB!L1638,LCI_AB!L1650,LCI_AB!L1669,LCI_AB!L1681,LCI_AB!L1693,LCI_AB!L1705,LCI_AB!L1717,LCI_AB!L1729,LCI_AB!L1741,LCI_AB!L1753,LCI_AB!L1765,LCI_AB!L1777,LCI_AB!L1789,LCI_AB!L1809,LCI_AB!L1821,LCI_AB!L1833,LCI_AB!L1845,LCI_AB!L1857,LCI_AB!L1869,LCI_AB!L1532)+(B$354*B410)</f>
        <v>2286943758.0136127</v>
      </c>
      <c r="C219" s="120" t="s">
        <v>3385</v>
      </c>
      <c r="D219" s="1297">
        <f t="shared" ca="1" si="5"/>
        <v>5.6145001590078035E-2</v>
      </c>
      <c r="E219" s="1297">
        <f t="shared" ca="1" si="6"/>
        <v>3.286785725189761E-5</v>
      </c>
      <c r="F219" s="1297">
        <f t="shared" ca="1" si="7"/>
        <v>8.6968933310696724E-5</v>
      </c>
      <c r="G219" s="1297">
        <f t="shared" ca="1" si="8"/>
        <v>1.473998750829563E-3</v>
      </c>
      <c r="H219" s="1297">
        <f t="shared" ca="1" si="9"/>
        <v>4.1091356545630451E-3</v>
      </c>
      <c r="I219" s="1297">
        <f t="shared" ca="1" si="10"/>
        <v>6.5330308069080868E-4</v>
      </c>
      <c r="J219" s="1297">
        <f t="shared" ca="1" si="11"/>
        <v>3.3637073815412173E-6</v>
      </c>
      <c r="K219" s="1297">
        <f t="shared" ca="1" si="12"/>
        <v>4.6499016706609509E-3</v>
      </c>
      <c r="L219" s="1297">
        <f t="shared" ca="1" si="13"/>
        <v>1.204314754203411E-5</v>
      </c>
      <c r="M219" s="1297">
        <f t="shared" ca="1" si="14"/>
        <v>4.6672787465200406E-3</v>
      </c>
      <c r="N219" s="1297">
        <f t="shared" ca="1" si="15"/>
        <v>5.9445986346815171E-3</v>
      </c>
      <c r="O219" s="1298">
        <f ca="1">(B410*B$354)/B219</f>
        <v>0.92211358299545354</v>
      </c>
      <c r="P219" s="122">
        <v>0</v>
      </c>
      <c r="Q219" s="33">
        <f t="shared" ca="1" si="16"/>
        <v>0.99989204476896365</v>
      </c>
    </row>
    <row r="221" spans="1:17" x14ac:dyDescent="0.2">
      <c r="A221" s="1969" t="s">
        <v>753</v>
      </c>
      <c r="B221" s="1969"/>
      <c r="C221" s="1969"/>
    </row>
    <row r="222" spans="1:17" x14ac:dyDescent="0.2">
      <c r="A222" s="109" t="s">
        <v>701</v>
      </c>
      <c r="B222" s="845">
        <f>SUM(LCI_AB!L7,LCI_AB!L19,LCI_AB!L31,LCI_AB!L43,LCI_AB!L55)</f>
        <v>5067682.671106074</v>
      </c>
      <c r="C222" s="112" t="s">
        <v>3367</v>
      </c>
      <c r="F222" s="33"/>
    </row>
    <row r="223" spans="1:17" x14ac:dyDescent="0.2">
      <c r="A223" s="126" t="s">
        <v>703</v>
      </c>
      <c r="B223" s="166">
        <f>SUM(LCI_AB!L8,LCI_AB!L20,LCI_AB!L32,LCI_AB!L44,LCI_AB!L56)</f>
        <v>80.628866600879945</v>
      </c>
      <c r="C223" s="127" t="s">
        <v>3368</v>
      </c>
      <c r="F223" s="33"/>
    </row>
    <row r="224" spans="1:17" x14ac:dyDescent="0.2">
      <c r="A224" s="126" t="s">
        <v>705</v>
      </c>
      <c r="B224" s="166">
        <f>SUM(LCI_AB!L9,LCI_AB!L21,LCI_AB!L33,LCI_AB!L45,LCI_AB!L57)</f>
        <v>25078944330.638271</v>
      </c>
      <c r="C224" s="127" t="s">
        <v>3370</v>
      </c>
      <c r="F224" s="33"/>
    </row>
    <row r="225" spans="1:15" x14ac:dyDescent="0.2">
      <c r="A225" s="126" t="s">
        <v>3372</v>
      </c>
      <c r="B225" s="166">
        <f>SUM(LCI_AB!L10,LCI_AB!L22,LCI_AB!L34,LCI_AB!L46,LCI_AB!L58)</f>
        <v>90533.340912914777</v>
      </c>
      <c r="C225" s="127" t="s">
        <v>3374</v>
      </c>
      <c r="F225" s="33"/>
    </row>
    <row r="226" spans="1:15" x14ac:dyDescent="0.2">
      <c r="A226" s="126" t="s">
        <v>3375</v>
      </c>
      <c r="B226" s="166">
        <f>SUM(LCI_AB!L11,LCI_AB!L23,LCI_AB!L35,LCI_AB!L47,LCI_AB!L59)</f>
        <v>5396638.1165493904</v>
      </c>
      <c r="C226" s="127" t="s">
        <v>3376</v>
      </c>
      <c r="F226" s="33"/>
    </row>
    <row r="227" spans="1:15" x14ac:dyDescent="0.2">
      <c r="A227" s="126" t="s">
        <v>708</v>
      </c>
      <c r="B227" s="166">
        <f>SUM(LCI_AB!L12,LCI_AB!L24,LCI_AB!L36,LCI_AB!L48,LCI_AB!L60)</f>
        <v>1263162666.3175948</v>
      </c>
      <c r="C227" s="127" t="s">
        <v>3377</v>
      </c>
      <c r="F227" s="33"/>
    </row>
    <row r="228" spans="1:15" x14ac:dyDescent="0.2">
      <c r="A228" s="126" t="s">
        <v>3378</v>
      </c>
      <c r="B228" s="166">
        <f>SUM(LCI_AB!L13,LCI_AB!L25,LCI_AB!L37,LCI_AB!L49,LCI_AB!L61)</f>
        <v>250.78964521803275</v>
      </c>
      <c r="C228" s="127" t="s">
        <v>3368</v>
      </c>
      <c r="F228" s="33"/>
    </row>
    <row r="229" spans="1:15" x14ac:dyDescent="0.2">
      <c r="A229" s="126" t="s">
        <v>710</v>
      </c>
      <c r="B229" s="166">
        <f>SUM(LCI_AB!L14,LCI_AB!L26,LCI_AB!L38,LCI_AB!L50,LCI_AB!L62)</f>
        <v>49.266692307200238</v>
      </c>
      <c r="C229" s="127" t="s">
        <v>3380</v>
      </c>
      <c r="F229" s="33"/>
    </row>
    <row r="230" spans="1:15" x14ac:dyDescent="0.2">
      <c r="A230" s="126" t="s">
        <v>3381</v>
      </c>
      <c r="B230" s="166">
        <f>SUM(LCI_AB!L15,LCI_AB!L27,LCI_AB!L39,LCI_AB!L51,LCI_AB!L63)</f>
        <v>987164.2323397625</v>
      </c>
      <c r="C230" s="127" t="s">
        <v>3383</v>
      </c>
      <c r="F230" s="33"/>
    </row>
    <row r="231" spans="1:15" x14ac:dyDescent="0.2">
      <c r="A231" s="117" t="s">
        <v>3384</v>
      </c>
      <c r="B231" s="833">
        <f>SUM(LCI_AB!L16,LCI_AB!L28,LCI_AB!L40,LCI_AB!L52,LCI_AB!L64)</f>
        <v>128400460.93009332</v>
      </c>
      <c r="C231" s="120" t="s">
        <v>3385</v>
      </c>
      <c r="F231" s="33"/>
      <c r="O231" s="243"/>
    </row>
    <row r="232" spans="1:15" x14ac:dyDescent="0.2">
      <c r="O232" s="243"/>
    </row>
    <row r="233" spans="1:15" x14ac:dyDescent="0.2">
      <c r="A233" s="1969" t="s">
        <v>3526</v>
      </c>
      <c r="B233" s="1969"/>
      <c r="C233" s="1969"/>
      <c r="O233" s="243"/>
    </row>
    <row r="234" spans="1:15" x14ac:dyDescent="0.2">
      <c r="A234" s="109" t="s">
        <v>701</v>
      </c>
      <c r="B234" s="160">
        <f>SUM(LCI_AB!L75,LCI_AB!L87,LCI_AB!L207,LCI_AB!L285,LCI_AB!L333,LCI_AB!L381,LCI_AB!L393,LCI_AB!L417,LCI_AB!L546,LCI_AB!L582,LCI_AB!L594,LCI_AB!L606,LCI_AB!L630,LCI_AB!L663,LCI_AB!L705,LCI_AB!L759,LCI_AB!L815,LCI_AB!L827,LCI_AB!L839,LCI_AB!L889,LCI_AB!L913,LCI_AB!L961,LCI_AB!L1033,LCI_AB!L1045,LCI_AB!L1077,LCI_AB!L1089,LCI_AB!L1101,LCI_AB!L1157,LCI_AB!L1169,LCI_AB!L1181,LCI_AB!L1336,LCI_AB!L1391,LCI_AB!L1403,LCI_AB!L1439,LCI_AB!L1463,LCI_AB!L1557,LCI_AB!L1672,LCI_AB!L1605,LCI_AB!L1824)</f>
        <v>5890.7250929481497</v>
      </c>
      <c r="C234" s="112" t="s">
        <v>3367</v>
      </c>
      <c r="O234" s="243"/>
    </row>
    <row r="235" spans="1:15" x14ac:dyDescent="0.2">
      <c r="A235" s="126" t="s">
        <v>703</v>
      </c>
      <c r="B235" s="100">
        <f>SUM(LCI_AB!L76,LCI_AB!L88,LCI_AB!L208,LCI_AB!L286,LCI_AB!L334,LCI_AB!L382,LCI_AB!L394,LCI_AB!L418,LCI_AB!L547,LCI_AB!L583,LCI_AB!L595,LCI_AB!L607,LCI_AB!L631,LCI_AB!L664,LCI_AB!L706,LCI_AB!L760,LCI_AB!L816,LCI_AB!L828,LCI_AB!L840,LCI_AB!L890,LCI_AB!L914,LCI_AB!L962,LCI_AB!L1034,LCI_AB!L1046,LCI_AB!L1078,LCI_AB!L1090,LCI_AB!L1102,LCI_AB!L1158,LCI_AB!L1170,LCI_AB!L1182,LCI_AB!L1337,LCI_AB!L1392,LCI_AB!L1404,LCI_AB!L1440,LCI_AB!L1464,LCI_AB!L1558,LCI_AB!L1673,LCI_AB!L1606,LCI_AB!L1825)</f>
        <v>0.81417391595993316</v>
      </c>
      <c r="C235" s="127" t="s">
        <v>3368</v>
      </c>
      <c r="O235" s="243"/>
    </row>
    <row r="236" spans="1:15" x14ac:dyDescent="0.2">
      <c r="A236" s="126" t="s">
        <v>705</v>
      </c>
      <c r="B236" s="100">
        <f>SUM(LCI_AB!L77,LCI_AB!L89,LCI_AB!L209,LCI_AB!L287,LCI_AB!L335,LCI_AB!L383,LCI_AB!L395,LCI_AB!L419,LCI_AB!L548,LCI_AB!L584,LCI_AB!L596,LCI_AB!L608,LCI_AB!L632,LCI_AB!L665,LCI_AB!L707,LCI_AB!L761,LCI_AB!L817,LCI_AB!L829,LCI_AB!L841,LCI_AB!L891,LCI_AB!L915,LCI_AB!L963,LCI_AB!L1035,LCI_AB!L1047,LCI_AB!L1079,LCI_AB!L1091,LCI_AB!L1103,LCI_AB!L1159,LCI_AB!L1171,LCI_AB!L1183,LCI_AB!L1338,LCI_AB!L1393,LCI_AB!L1405,LCI_AB!L1441,LCI_AB!L1465,LCI_AB!L1559,LCI_AB!L1674,LCI_AB!L1607,LCI_AB!L1826)</f>
        <v>157846466.74514931</v>
      </c>
      <c r="C236" s="127" t="s">
        <v>3370</v>
      </c>
      <c r="O236" s="243"/>
    </row>
    <row r="237" spans="1:15" x14ac:dyDescent="0.2">
      <c r="A237" s="126" t="s">
        <v>3372</v>
      </c>
      <c r="B237" s="100">
        <f>SUM(LCI_AB!L78,LCI_AB!L90,LCI_AB!L210,LCI_AB!L288,LCI_AB!L336,LCI_AB!L384,LCI_AB!L396,LCI_AB!L420,LCI_AB!L549,LCI_AB!L585,LCI_AB!L597,LCI_AB!L609,LCI_AB!L633,LCI_AB!L666,LCI_AB!L708,LCI_AB!L762,LCI_AB!L818,LCI_AB!L830,LCI_AB!L842,LCI_AB!L892,LCI_AB!L916,LCI_AB!L964,LCI_AB!L1036,LCI_AB!L1048,LCI_AB!L1080,LCI_AB!L1092,LCI_AB!L1104,LCI_AB!L1160,LCI_AB!L1172,LCI_AB!L1184,LCI_AB!L1339,LCI_AB!L1394,LCI_AB!L1406,LCI_AB!L1442,LCI_AB!L1466,LCI_AB!L1560,LCI_AB!L1675,LCI_AB!L1608,LCI_AB!L1827)</f>
        <v>1045.344504302423</v>
      </c>
      <c r="C237" s="127" t="s">
        <v>3374</v>
      </c>
      <c r="O237" s="243"/>
    </row>
    <row r="238" spans="1:15" x14ac:dyDescent="0.2">
      <c r="A238" s="126" t="s">
        <v>3375</v>
      </c>
      <c r="B238" s="100">
        <f>SUM(LCI_AB!L79,LCI_AB!L91,LCI_AB!L211,LCI_AB!L289,LCI_AB!L337,LCI_AB!L385,LCI_AB!L397,LCI_AB!L421,LCI_AB!L550,LCI_AB!L586,LCI_AB!L598,LCI_AB!L610,LCI_AB!L634,LCI_AB!L667,LCI_AB!L709,LCI_AB!L763,LCI_AB!L819,LCI_AB!L831,LCI_AB!L843,LCI_AB!L893,LCI_AB!L917,LCI_AB!L965,LCI_AB!L1037,LCI_AB!L1049,LCI_AB!L1081,LCI_AB!L1093,LCI_AB!L1105,LCI_AB!L1161,LCI_AB!L1173,LCI_AB!L1185,LCI_AB!L1340,LCI_AB!L1395,LCI_AB!L1407,LCI_AB!L1443,LCI_AB!L1467,LCI_AB!L1561,LCI_AB!L1676,LCI_AB!L1609,LCI_AB!L1828)</f>
        <v>3214.3132230235747</v>
      </c>
      <c r="C238" s="127" t="s">
        <v>3376</v>
      </c>
      <c r="O238" s="243"/>
    </row>
    <row r="239" spans="1:15" x14ac:dyDescent="0.2">
      <c r="A239" s="126" t="s">
        <v>708</v>
      </c>
      <c r="B239" s="100">
        <f>SUM(LCI_AB!L80,LCI_AB!L92,LCI_AB!L212,LCI_AB!L290,LCI_AB!L338,LCI_AB!L386,LCI_AB!L398,LCI_AB!L422,LCI_AB!L551,LCI_AB!L587,LCI_AB!L599,LCI_AB!L611,LCI_AB!L635,LCI_AB!L668,LCI_AB!L710,LCI_AB!L764,LCI_AB!L820,LCI_AB!L832,LCI_AB!L844,LCI_AB!L894,LCI_AB!L918,LCI_AB!L966,LCI_AB!L1038,LCI_AB!L1050,LCI_AB!L1082,LCI_AB!L1094,LCI_AB!L1106,LCI_AB!L1162,LCI_AB!L1174,LCI_AB!L1186,LCI_AB!L1341,LCI_AB!L1396,LCI_AB!L1408,LCI_AB!L1444,LCI_AB!L1468,LCI_AB!L1562,LCI_AB!L1677,LCI_AB!L1610,LCI_AB!L1829)</f>
        <v>1014329.8356747956</v>
      </c>
      <c r="C239" s="127" t="s">
        <v>3377</v>
      </c>
      <c r="O239" s="243"/>
    </row>
    <row r="240" spans="1:15" x14ac:dyDescent="0.2">
      <c r="A240" s="126" t="s">
        <v>3378</v>
      </c>
      <c r="B240" s="100">
        <f>SUM(LCI_AB!L81,LCI_AB!L93,LCI_AB!L213,LCI_AB!L291,LCI_AB!L339,LCI_AB!L387,LCI_AB!L399,LCI_AB!L423,LCI_AB!L552,LCI_AB!L588,LCI_AB!L600,LCI_AB!L612,LCI_AB!L636,LCI_AB!L669,LCI_AB!L711,LCI_AB!L765,LCI_AB!L821,LCI_AB!L833,LCI_AB!L845,LCI_AB!L895,LCI_AB!L919,LCI_AB!L967,LCI_AB!L1039,LCI_AB!L1051,LCI_AB!L1083,LCI_AB!L1095,LCI_AB!L1107,LCI_AB!L1163,LCI_AB!L1175,LCI_AB!L1187,LCI_AB!L1342,LCI_AB!L1397,LCI_AB!L1409,LCI_AB!L1445,LCI_AB!L1469,LCI_AB!L1563,LCI_AB!L1678,LCI_AB!L1611,LCI_AB!L1830)</f>
        <v>1.7243963495596426</v>
      </c>
      <c r="C240" s="127" t="s">
        <v>3368</v>
      </c>
      <c r="O240" s="243"/>
    </row>
    <row r="241" spans="1:3" x14ac:dyDescent="0.2">
      <c r="A241" s="126" t="s">
        <v>710</v>
      </c>
      <c r="B241" s="100">
        <f>SUM(LCI_AB!L82,LCI_AB!L94,LCI_AB!L214,LCI_AB!L292,LCI_AB!L340,LCI_AB!L388,LCI_AB!L400,LCI_AB!L424,LCI_AB!L553,LCI_AB!L589,LCI_AB!L601,LCI_AB!L613,LCI_AB!L637,LCI_AB!L670,LCI_AB!L712,LCI_AB!L766,LCI_AB!L822,LCI_AB!L834,LCI_AB!L846,LCI_AB!L896,LCI_AB!L920,LCI_AB!L968,LCI_AB!L1040,LCI_AB!L1052,LCI_AB!L1084,LCI_AB!L1096,LCI_AB!L1108,LCI_AB!L1164,LCI_AB!L1176,LCI_AB!L1188,LCI_AB!L1343,LCI_AB!L1398,LCI_AB!L1410,LCI_AB!L1446,LCI_AB!L1470,LCI_AB!L1564,LCI_AB!L1679,LCI_AB!L1612,LCI_AB!L1831)</f>
        <v>4.8052611468369963E-2</v>
      </c>
      <c r="C241" s="127" t="s">
        <v>3380</v>
      </c>
    </row>
    <row r="242" spans="1:3" x14ac:dyDescent="0.2">
      <c r="A242" s="126" t="s">
        <v>3381</v>
      </c>
      <c r="B242" s="100">
        <f>SUM(LCI_AB!L83,LCI_AB!L95,LCI_AB!L215,LCI_AB!L293,LCI_AB!L341,LCI_AB!L389,LCI_AB!L401,LCI_AB!L425,LCI_AB!L554,LCI_AB!L590,LCI_AB!L602,LCI_AB!L614,LCI_AB!L638,LCI_AB!L671,LCI_AB!L713,LCI_AB!L767,LCI_AB!L823,LCI_AB!L835,LCI_AB!L847,LCI_AB!L897,LCI_AB!L921,LCI_AB!L969,LCI_AB!L1041,LCI_AB!L1053,LCI_AB!L1085,LCI_AB!L1097,LCI_AB!L1109,LCI_AB!L1165,LCI_AB!L1177,LCI_AB!L1189,LCI_AB!L1344,LCI_AB!L1399,LCI_AB!L1411,LCI_AB!L1447,LCI_AB!L1471,LCI_AB!L1565,LCI_AB!L1680,LCI_AB!L1613,LCI_AB!L1832)</f>
        <v>1626.4626575106881</v>
      </c>
      <c r="C242" s="127" t="s">
        <v>3383</v>
      </c>
    </row>
    <row r="243" spans="1:3" x14ac:dyDescent="0.2">
      <c r="A243" s="117" t="s">
        <v>3384</v>
      </c>
      <c r="B243" s="168">
        <f>SUM(LCI_AB!L84,LCI_AB!L96,LCI_AB!L216,LCI_AB!L294,LCI_AB!L342,LCI_AB!L390,LCI_AB!L402,LCI_AB!L426,LCI_AB!L555,LCI_AB!L591,LCI_AB!L603,LCI_AB!L615,LCI_AB!L639,LCI_AB!L672,LCI_AB!L714,LCI_AB!L768,LCI_AB!L824,LCI_AB!L836,LCI_AB!L848,LCI_AB!L898,LCI_AB!L922,LCI_AB!L970,LCI_AB!L1042,LCI_AB!L1054,LCI_AB!L1086,LCI_AB!L1098,LCI_AB!L1110,LCI_AB!L1166,LCI_AB!L1178,LCI_AB!L1190,LCI_AB!L1345,LCI_AB!L1400,LCI_AB!L1412,LCI_AB!L1448,LCI_AB!L1472,LCI_AB!L1566,LCI_AB!L1681,LCI_AB!L1614,LCI_AB!L1833)</f>
        <v>75166.940981509702</v>
      </c>
      <c r="C243" s="120" t="s">
        <v>3385</v>
      </c>
    </row>
    <row r="245" spans="1:3" x14ac:dyDescent="0.2">
      <c r="A245" s="1969" t="s">
        <v>3514</v>
      </c>
      <c r="B245" s="1969"/>
      <c r="C245" s="1969"/>
    </row>
    <row r="246" spans="1:3" x14ac:dyDescent="0.2">
      <c r="A246" s="126" t="s">
        <v>701</v>
      </c>
      <c r="B246" s="100">
        <f>SUM(LCI_AB!L111,LCI_AB!L123,LCI_AB!L135,LCI_AB!L1240,LCI_AB!L1252,LCI_AB!L1264)</f>
        <v>18477.214128</v>
      </c>
      <c r="C246" s="127" t="s">
        <v>3367</v>
      </c>
    </row>
    <row r="247" spans="1:3" x14ac:dyDescent="0.2">
      <c r="A247" s="126" t="s">
        <v>703</v>
      </c>
      <c r="B247" s="100">
        <f>SUM(LCI_AB!L112,LCI_AB!L124,LCI_AB!L136,LCI_AB!L1241,LCI_AB!L1253,LCI_AB!L1265)</f>
        <v>0.29143447200000006</v>
      </c>
      <c r="C247" s="127" t="s">
        <v>3368</v>
      </c>
    </row>
    <row r="248" spans="1:3" x14ac:dyDescent="0.2">
      <c r="A248" s="126" t="s">
        <v>705</v>
      </c>
      <c r="B248" s="100">
        <f>SUM(LCI_AB!L113,LCI_AB!L125,LCI_AB!L137,LCI_AB!L1242,LCI_AB!L1254,LCI_AB!L1266)</f>
        <v>77016322.679916009</v>
      </c>
      <c r="C248" s="127" t="s">
        <v>3370</v>
      </c>
    </row>
    <row r="249" spans="1:3" x14ac:dyDescent="0.2">
      <c r="A249" s="126" t="s">
        <v>3372</v>
      </c>
      <c r="B249" s="100">
        <f>SUM(LCI_AB!L114,LCI_AB!L126,LCI_AB!L138,LCI_AB!L1243,LCI_AB!L1255,LCI_AB!L1267)</f>
        <v>1099.930104</v>
      </c>
      <c r="C249" s="127" t="s">
        <v>3374</v>
      </c>
    </row>
    <row r="250" spans="1:3" x14ac:dyDescent="0.2">
      <c r="A250" s="126" t="s">
        <v>3375</v>
      </c>
      <c r="B250" s="100">
        <f>SUM(LCI_AB!L115,LCI_AB!L127,LCI_AB!L139,LCI_AB!L1244,LCI_AB!L1256,LCI_AB!L1268)</f>
        <v>8390.2686240000003</v>
      </c>
      <c r="C250" s="127" t="s">
        <v>3376</v>
      </c>
    </row>
    <row r="251" spans="1:3" x14ac:dyDescent="0.2">
      <c r="A251" s="126" t="s">
        <v>708</v>
      </c>
      <c r="B251" s="100">
        <f>SUM(LCI_AB!L116,LCI_AB!L128,LCI_AB!L140,LCI_AB!L1245,LCI_AB!L1257,LCI_AB!L1269)</f>
        <v>5252540.7242280003</v>
      </c>
      <c r="C251" s="127" t="s">
        <v>3377</v>
      </c>
    </row>
    <row r="252" spans="1:3" x14ac:dyDescent="0.2">
      <c r="A252" s="126" t="s">
        <v>3378</v>
      </c>
      <c r="B252" s="100">
        <f>SUM(LCI_AB!L117,LCI_AB!L129,LCI_AB!L141,LCI_AB!L1246,LCI_AB!L1258,LCI_AB!L1270)</f>
        <v>1.2975258097199998</v>
      </c>
      <c r="C252" s="127" t="s">
        <v>3368</v>
      </c>
    </row>
    <row r="253" spans="1:3" x14ac:dyDescent="0.2">
      <c r="A253" s="126" t="s">
        <v>710</v>
      </c>
      <c r="B253" s="100">
        <f>SUM(LCI_AB!L118,LCI_AB!L130,LCI_AB!L142,LCI_AB!L1247,LCI_AB!L1259,LCI_AB!L1271)</f>
        <v>5.6921718635999992E-2</v>
      </c>
      <c r="C253" s="127" t="s">
        <v>3380</v>
      </c>
    </row>
    <row r="254" spans="1:3" x14ac:dyDescent="0.2">
      <c r="A254" s="126" t="s">
        <v>3381</v>
      </c>
      <c r="B254" s="100">
        <f>SUM(LCI_AB!L119,LCI_AB!L131,LCI_AB!L143,LCI_AB!L1248,LCI_AB!L1260,LCI_AB!L1272)</f>
        <v>3912.4294440000003</v>
      </c>
      <c r="C254" s="127" t="s">
        <v>3383</v>
      </c>
    </row>
    <row r="255" spans="1:3" x14ac:dyDescent="0.2">
      <c r="A255" s="117" t="s">
        <v>3384</v>
      </c>
      <c r="B255" s="168">
        <f>SUM(LCI_AB!L120,LCI_AB!L132,LCI_AB!L144,LCI_AB!L1249,LCI_AB!L1261,LCI_AB!L1273)</f>
        <v>198893.05917600004</v>
      </c>
      <c r="C255" s="120" t="s">
        <v>3385</v>
      </c>
    </row>
    <row r="257" spans="1:3" x14ac:dyDescent="0.2">
      <c r="A257" s="1969" t="s">
        <v>3515</v>
      </c>
      <c r="B257" s="1969"/>
      <c r="C257" s="1969"/>
    </row>
    <row r="258" spans="1:3" x14ac:dyDescent="0.2">
      <c r="A258" s="126" t="s">
        <v>701</v>
      </c>
      <c r="B258" s="100">
        <f>SUM(LCI_AB!L159,LCI_AB!L171,LCI_AB!L183,LCI_AB!L195,LCI_AB!L219,LCI_AB!L231,LCI_AB!L243,LCI_AB!L255,LCI_AB!L297,LCI_AB!L309,LCI_AB!L321,LCI_AB!L345,LCI_AB!L357,LCI_AB!L369,LCI_AB!L429,LCI_AB!L441,LCI_AB!L453,LCI_AB!L489,LCI_AB!L558,LCI_AB!L570,LCI_AB!L675,LCI_AB!L717,LCI_AB!L771,LCI_AB!L1113,LCI_AB!L1288,LCI_AB!L1300,LCI_AB!L1312,LCI_AB!L1324,LCI_AB!L1415,LCI_AB!L1427,LCI_AB!L1545,LCI_AB!L1569,LCI_AB!L1660,LCI_AB!L1684,LCI_AB!L1800,LCI_AB!L1379)</f>
        <v>213715.11638641919</v>
      </c>
      <c r="C258" s="127" t="s">
        <v>3367</v>
      </c>
    </row>
    <row r="259" spans="1:3" x14ac:dyDescent="0.2">
      <c r="A259" s="126" t="s">
        <v>703</v>
      </c>
      <c r="B259" s="100">
        <f>SUM(LCI_AB!L160,LCI_AB!L172,LCI_AB!L184,LCI_AB!L196,LCI_AB!L220,LCI_AB!L232,LCI_AB!L244,LCI_AB!L256,LCI_AB!L298,LCI_AB!L310,LCI_AB!L322,LCI_AB!L346,LCI_AB!L358,LCI_AB!L370,LCI_AB!L430,LCI_AB!L442,LCI_AB!L454,LCI_AB!L490,LCI_AB!L559,LCI_AB!L571,LCI_AB!L676,LCI_AB!L718,LCI_AB!L772,LCI_AB!L1114,LCI_AB!L1289,LCI_AB!L1301,LCI_AB!L1313,LCI_AB!L1325,LCI_AB!L1416,LCI_AB!L1428,LCI_AB!L1546,LCI_AB!L1570,LCI_AB!L1661,LCI_AB!L1685,LCI_AB!L1801,LCI_AB!L1380)</f>
        <v>21.37852540732078</v>
      </c>
      <c r="C259" s="127" t="s">
        <v>3368</v>
      </c>
    </row>
    <row r="260" spans="1:3" x14ac:dyDescent="0.2">
      <c r="A260" s="126" t="s">
        <v>705</v>
      </c>
      <c r="B260" s="100">
        <f>SUM(LCI_AB!L161,LCI_AB!L173,LCI_AB!L185,LCI_AB!L197,LCI_AB!L221,LCI_AB!L233,LCI_AB!L245,LCI_AB!L257,LCI_AB!L299,LCI_AB!L311,LCI_AB!L323,LCI_AB!L347,LCI_AB!L359,LCI_AB!L371,LCI_AB!L431,LCI_AB!L443,LCI_AB!L455,LCI_AB!L491,LCI_AB!L560,LCI_AB!L572,LCI_AB!L677,LCI_AB!L719,LCI_AB!L773,LCI_AB!L1115,LCI_AB!L1290,LCI_AB!L1302,LCI_AB!L1314,LCI_AB!L1326,LCI_AB!L1417,LCI_AB!L1429,LCI_AB!L1547,LCI_AB!L1571,LCI_AB!L1662,LCI_AB!L1686,LCI_AB!L1802,LCI_AB!L1381)</f>
        <v>5388760.1214739429</v>
      </c>
      <c r="C260" s="127" t="s">
        <v>3370</v>
      </c>
    </row>
    <row r="261" spans="1:3" x14ac:dyDescent="0.2">
      <c r="A261" s="126" t="s">
        <v>3372</v>
      </c>
      <c r="B261" s="100">
        <f>SUM(LCI_AB!L162,LCI_AB!L174,LCI_AB!L186,LCI_AB!L198,LCI_AB!L222,LCI_AB!L234,LCI_AB!L246,LCI_AB!L258,LCI_AB!L300,LCI_AB!L312,LCI_AB!L324,LCI_AB!L348,LCI_AB!L360,LCI_AB!L372,LCI_AB!L432,LCI_AB!L444,LCI_AB!L456,LCI_AB!L492,LCI_AB!L561,LCI_AB!L573,LCI_AB!L678,LCI_AB!L720,LCI_AB!L774,LCI_AB!L1116,LCI_AB!L1291,LCI_AB!L1303,LCI_AB!L1315,LCI_AB!L1327,LCI_AB!L1418,LCI_AB!L1430,LCI_AB!L1548,LCI_AB!L1572,LCI_AB!L1663,LCI_AB!L1687,LCI_AB!L1803,LCI_AB!L1382)</f>
        <v>13751.223942094479</v>
      </c>
      <c r="C261" s="127" t="s">
        <v>3374</v>
      </c>
    </row>
    <row r="262" spans="1:3" x14ac:dyDescent="0.2">
      <c r="A262" s="126" t="s">
        <v>3375</v>
      </c>
      <c r="B262" s="100">
        <f>SUM(LCI_AB!L163,LCI_AB!L175,LCI_AB!L187,LCI_AB!L199,LCI_AB!L223,LCI_AB!L235,LCI_AB!L247,LCI_AB!L259,LCI_AB!L301,LCI_AB!L313,LCI_AB!L325,LCI_AB!L349,LCI_AB!L361,LCI_AB!L373,LCI_AB!L433,LCI_AB!L445,LCI_AB!L457,LCI_AB!L493,LCI_AB!L562,LCI_AB!L574,LCI_AB!L679,LCI_AB!L721,LCI_AB!L775,LCI_AB!L1117,LCI_AB!L1292,LCI_AB!L1304,LCI_AB!L1316,LCI_AB!L1328,LCI_AB!L1419,LCI_AB!L1431,LCI_AB!L1549,LCI_AB!L1573,LCI_AB!L1664,LCI_AB!L1688,LCI_AB!L1804,LCI_AB!L1383)</f>
        <v>140789.99497166678</v>
      </c>
      <c r="C262" s="127" t="s">
        <v>3376</v>
      </c>
    </row>
    <row r="263" spans="1:3" x14ac:dyDescent="0.2">
      <c r="A263" s="126" t="s">
        <v>708</v>
      </c>
      <c r="B263" s="100">
        <f>SUM(LCI_AB!L164,LCI_AB!L176,LCI_AB!L188,LCI_AB!L200,LCI_AB!L224,LCI_AB!L236,LCI_AB!L248,LCI_AB!L260,LCI_AB!L302,LCI_AB!L314,LCI_AB!L326,LCI_AB!L350,LCI_AB!L362,LCI_AB!L374,LCI_AB!L434,LCI_AB!L446,LCI_AB!L458,LCI_AB!L494,LCI_AB!L563,LCI_AB!L575,LCI_AB!L680,LCI_AB!L722,LCI_AB!L776,LCI_AB!L1118,LCI_AB!L1293,LCI_AB!L1305,LCI_AB!L1317,LCI_AB!L1329,LCI_AB!L1420,LCI_AB!L1432,LCI_AB!L1550,LCI_AB!L1574,LCI_AB!L1665,LCI_AB!L1689,LCI_AB!L1805,LCI_AB!L1384)</f>
        <v>40997340.465176068</v>
      </c>
      <c r="C263" s="127" t="s">
        <v>3377</v>
      </c>
    </row>
    <row r="264" spans="1:3" x14ac:dyDescent="0.2">
      <c r="A264" s="126" t="s">
        <v>3378</v>
      </c>
      <c r="B264" s="100">
        <f>SUM(LCI_AB!L165,LCI_AB!L177,LCI_AB!L189,LCI_AB!L201,LCI_AB!L225,LCI_AB!L237,LCI_AB!L249,LCI_AB!L261,LCI_AB!L303,LCI_AB!L315,LCI_AB!L327,LCI_AB!L351,LCI_AB!L363,LCI_AB!L375,LCI_AB!L435,LCI_AB!L447,LCI_AB!L459,LCI_AB!L495,LCI_AB!L564,LCI_AB!L576,LCI_AB!L681,LCI_AB!L723,LCI_AB!L777,LCI_AB!L1119,LCI_AB!L1294,LCI_AB!L1306,LCI_AB!L1318,LCI_AB!L1330,LCI_AB!L1421,LCI_AB!L1433,LCI_AB!L1551,LCI_AB!L1575,LCI_AB!L1666,LCI_AB!L1690,LCI_AB!L1806,LCI_AB!L1385)</f>
        <v>23.82274860005661</v>
      </c>
      <c r="C264" s="127" t="s">
        <v>3368</v>
      </c>
    </row>
    <row r="265" spans="1:3" x14ac:dyDescent="0.2">
      <c r="A265" s="126" t="s">
        <v>710</v>
      </c>
      <c r="B265" s="100">
        <f>SUM(LCI_AB!L166,LCI_AB!L178,LCI_AB!L190,LCI_AB!L202,LCI_AB!L226,LCI_AB!L238,LCI_AB!L250,LCI_AB!L262,LCI_AB!L304,LCI_AB!L316,LCI_AB!L328,LCI_AB!L352,LCI_AB!L364,LCI_AB!L376,LCI_AB!L436,LCI_AB!L448,LCI_AB!L460,LCI_AB!L496,LCI_AB!L565,LCI_AB!L577,LCI_AB!L682,LCI_AB!L724,LCI_AB!L778,LCI_AB!L1120,LCI_AB!L1295,LCI_AB!L1307,LCI_AB!L1319,LCI_AB!L1331,LCI_AB!L1422,LCI_AB!L1434,LCI_AB!L1552,LCI_AB!L1576,LCI_AB!L1667,LCI_AB!L1691,LCI_AB!L1807,LCI_AB!L1386)</f>
        <v>0.5873644044921853</v>
      </c>
      <c r="C265" s="127" t="s">
        <v>3380</v>
      </c>
    </row>
    <row r="266" spans="1:3" x14ac:dyDescent="0.2">
      <c r="A266" s="126" t="s">
        <v>3381</v>
      </c>
      <c r="B266" s="100">
        <f>SUM(LCI_AB!L167,LCI_AB!L179,LCI_AB!L191,LCI_AB!L203,LCI_AB!L227,LCI_AB!L239,LCI_AB!L251,LCI_AB!L263,LCI_AB!L305,LCI_AB!L317,LCI_AB!L329,LCI_AB!L353,LCI_AB!L365,LCI_AB!L377,LCI_AB!L437,LCI_AB!L449,LCI_AB!L461,LCI_AB!L497,LCI_AB!L566,LCI_AB!L578,LCI_AB!L683,LCI_AB!L725,LCI_AB!L779,LCI_AB!L1121,LCI_AB!L1296,LCI_AB!L1308,LCI_AB!L1320,LCI_AB!L1332,LCI_AB!L1423,LCI_AB!L1435,LCI_AB!L1553,LCI_AB!L1577,LCI_AB!L1668,LCI_AB!L1692,LCI_AB!L1808,LCI_AB!L1387)</f>
        <v>61633.059392730371</v>
      </c>
      <c r="C266" s="127" t="s">
        <v>3383</v>
      </c>
    </row>
    <row r="267" spans="1:3" x14ac:dyDescent="0.2">
      <c r="A267" s="117" t="s">
        <v>3384</v>
      </c>
      <c r="B267" s="168">
        <f>SUM(LCI_AB!L168,LCI_AB!L180,LCI_AB!L192,LCI_AB!L204,LCI_AB!L228,LCI_AB!L240,LCI_AB!L252,LCI_AB!L264,LCI_AB!L306,LCI_AB!L318,LCI_AB!L330,LCI_AB!L354,LCI_AB!L366,LCI_AB!L378,LCI_AB!L438,LCI_AB!L450,LCI_AB!L462,LCI_AB!L498,LCI_AB!L567,LCI_AB!L579,LCI_AB!L684,LCI_AB!L726,LCI_AB!L780,LCI_AB!L1122,LCI_AB!L1297,LCI_AB!L1309,LCI_AB!L1321,LCI_AB!L1333,LCI_AB!L1424,LCI_AB!L1436,LCI_AB!L1554,LCI_AB!L1578,LCI_AB!L1669,LCI_AB!L1693,LCI_AB!L1809,LCI_AB!L1388)</f>
        <v>3370952.2425295315</v>
      </c>
      <c r="C267" s="120" t="s">
        <v>3385</v>
      </c>
    </row>
    <row r="269" spans="1:3" x14ac:dyDescent="0.2">
      <c r="A269" s="1969" t="s">
        <v>3527</v>
      </c>
      <c r="B269" s="1969"/>
      <c r="C269" s="1969"/>
    </row>
    <row r="270" spans="1:3" x14ac:dyDescent="0.2">
      <c r="A270" s="126" t="s">
        <v>701</v>
      </c>
      <c r="B270" s="100">
        <f>SUM(LCI_AB!L99,LCI_AB!L405,LCI_AB!L465,LCI_AB!L839,LCI_AB!L851,LCI_AB!L1193)</f>
        <v>872856.44518689194</v>
      </c>
      <c r="C270" s="127" t="s">
        <v>3367</v>
      </c>
    </row>
    <row r="271" spans="1:3" x14ac:dyDescent="0.2">
      <c r="A271" s="126" t="s">
        <v>703</v>
      </c>
      <c r="B271" s="100">
        <f>SUM(LCI_AB!L100,LCI_AB!L406,LCI_AB!L466,LCI_AB!L840,LCI_AB!L852,LCI_AB!L1194)</f>
        <v>13.854700280413443</v>
      </c>
      <c r="C271" s="127" t="s">
        <v>3368</v>
      </c>
    </row>
    <row r="272" spans="1:3" x14ac:dyDescent="0.2">
      <c r="A272" s="126" t="s">
        <v>705</v>
      </c>
      <c r="B272" s="100">
        <f>SUM(LCI_AB!L101,LCI_AB!L407,LCI_AB!L467,LCI_AB!L841,LCI_AB!L853,LCI_AB!L1195)</f>
        <v>3655944700.252944</v>
      </c>
      <c r="C272" s="127" t="s">
        <v>3370</v>
      </c>
    </row>
    <row r="273" spans="1:3" x14ac:dyDescent="0.2">
      <c r="A273" s="126" t="s">
        <v>3372</v>
      </c>
      <c r="B273" s="100">
        <f>SUM(LCI_AB!L102,LCI_AB!L408,LCI_AB!L468,LCI_AB!L842,LCI_AB!L854,LCI_AB!L1196)</f>
        <v>52056.994160011986</v>
      </c>
      <c r="C273" s="127" t="s">
        <v>3374</v>
      </c>
    </row>
    <row r="274" spans="1:3" x14ac:dyDescent="0.2">
      <c r="A274" s="126" t="s">
        <v>3375</v>
      </c>
      <c r="B274" s="100">
        <f>SUM(LCI_AB!L103,LCI_AB!L409,LCI_AB!L469,LCI_AB!L843,LCI_AB!L855,LCI_AB!L1197)</f>
        <v>396431.13067739963</v>
      </c>
      <c r="C274" s="127" t="s">
        <v>3376</v>
      </c>
    </row>
    <row r="275" spans="1:3" x14ac:dyDescent="0.2">
      <c r="A275" s="126" t="s">
        <v>708</v>
      </c>
      <c r="B275" s="100">
        <f>SUM(LCI_AB!L104,LCI_AB!L410,LCI_AB!L470,LCI_AB!L844,LCI_AB!L856,LCI_AB!L1198)</f>
        <v>248173803.82252347</v>
      </c>
      <c r="C275" s="127" t="s">
        <v>3377</v>
      </c>
    </row>
    <row r="276" spans="1:3" x14ac:dyDescent="0.2">
      <c r="A276" s="126" t="s">
        <v>3378</v>
      </c>
      <c r="B276" s="100">
        <f>SUM(LCI_AB!L105,LCI_AB!L411,LCI_AB!L471,LCI_AB!L845,LCI_AB!L857,LCI_AB!L1199)</f>
        <v>61.469823396332039</v>
      </c>
      <c r="C276" s="127" t="s">
        <v>3368</v>
      </c>
    </row>
    <row r="277" spans="1:3" x14ac:dyDescent="0.2">
      <c r="A277" s="126" t="s">
        <v>710</v>
      </c>
      <c r="B277" s="100">
        <f>SUM(LCI_AB!L106,LCI_AB!L412,LCI_AB!L472,LCI_AB!L846,LCI_AB!L858,LCI_AB!L1200)</f>
        <v>24.58673320733153</v>
      </c>
      <c r="C277" s="127" t="s">
        <v>3380</v>
      </c>
    </row>
    <row r="278" spans="1:3" x14ac:dyDescent="0.2">
      <c r="A278" s="126" t="s">
        <v>3381</v>
      </c>
      <c r="B278" s="100">
        <f>SUM(LCI_AB!L107,LCI_AB!L413,LCI_AB!L473,LCI_AB!L847,LCI_AB!L859,LCI_AB!L1201)</f>
        <v>184863.30540484629</v>
      </c>
      <c r="C278" s="127" t="s">
        <v>3383</v>
      </c>
    </row>
    <row r="279" spans="1:3" x14ac:dyDescent="0.2">
      <c r="A279" s="117" t="s">
        <v>3384</v>
      </c>
      <c r="B279" s="168">
        <f>SUM(LCI_AB!L108,LCI_AB!L414,LCI_AB!L474,LCI_AB!L848,LCI_AB!L860,LCI_AB!L1202)</f>
        <v>9397362.1360341366</v>
      </c>
      <c r="C279" s="120" t="s">
        <v>3385</v>
      </c>
    </row>
    <row r="281" spans="1:3" x14ac:dyDescent="0.2">
      <c r="A281" s="1969" t="s">
        <v>812</v>
      </c>
      <c r="B281" s="1969"/>
      <c r="C281" s="1969"/>
    </row>
    <row r="282" spans="1:3" x14ac:dyDescent="0.2">
      <c r="A282" s="109" t="s">
        <v>701</v>
      </c>
      <c r="B282" s="160">
        <f>SUM(LCI_AB!L147,LCI_AB!L729,LCI_AB!L783,LCI_AB!L1125,LCI_AB!L1276)</f>
        <v>127844.64886059324</v>
      </c>
      <c r="C282" s="112" t="s">
        <v>3367</v>
      </c>
    </row>
    <row r="283" spans="1:3" x14ac:dyDescent="0.2">
      <c r="A283" s="126" t="s">
        <v>703</v>
      </c>
      <c r="B283" s="100">
        <f>SUM(LCI_AB!L148,LCI_AB!L730,LCI_AB!L784,LCI_AB!L1126,LCI_AB!L1277)</f>
        <v>1.6170009459239545</v>
      </c>
      <c r="C283" s="127" t="s">
        <v>3368</v>
      </c>
    </row>
    <row r="284" spans="1:3" x14ac:dyDescent="0.2">
      <c r="A284" s="126" t="s">
        <v>705</v>
      </c>
      <c r="B284" s="100">
        <f>SUM(LCI_AB!L149,LCI_AB!L731,LCI_AB!L785,LCI_AB!L1127,LCI_AB!L1278)</f>
        <v>225643466.61732155</v>
      </c>
      <c r="C284" s="127" t="s">
        <v>3370</v>
      </c>
    </row>
    <row r="285" spans="1:3" x14ac:dyDescent="0.2">
      <c r="A285" s="126" t="s">
        <v>3372</v>
      </c>
      <c r="B285" s="100">
        <f>SUM(LCI_AB!L150,LCI_AB!L732,LCI_AB!L786,LCI_AB!L1128,LCI_AB!L1279)</f>
        <v>1714.9891920323482</v>
      </c>
      <c r="C285" s="127" t="s">
        <v>3374</v>
      </c>
    </row>
    <row r="286" spans="1:3" x14ac:dyDescent="0.2">
      <c r="A286" s="126" t="s">
        <v>3375</v>
      </c>
      <c r="B286" s="100">
        <f>SUM(LCI_AB!L151,LCI_AB!L733,LCI_AB!L787,LCI_AB!L1129,LCI_AB!L1280)</f>
        <v>62363.24334663085</v>
      </c>
      <c r="C286" s="127" t="s">
        <v>3376</v>
      </c>
    </row>
    <row r="287" spans="1:3" x14ac:dyDescent="0.2">
      <c r="A287" s="126" t="s">
        <v>708</v>
      </c>
      <c r="B287" s="100">
        <f>SUM(LCI_AB!L152,LCI_AB!L734,LCI_AB!L788,LCI_AB!L1130,LCI_AB!L1281)</f>
        <v>35795878.048532635</v>
      </c>
      <c r="C287" s="127" t="s">
        <v>3377</v>
      </c>
    </row>
    <row r="288" spans="1:3" x14ac:dyDescent="0.2">
      <c r="A288" s="126" t="s">
        <v>3378</v>
      </c>
      <c r="B288" s="100">
        <f>SUM(LCI_AB!L153,LCI_AB!L735,LCI_AB!L789,LCI_AB!L1131,LCI_AB!L1282)</f>
        <v>3.2202663875008137</v>
      </c>
      <c r="C288" s="127" t="s">
        <v>3368</v>
      </c>
    </row>
    <row r="289" spans="1:3" x14ac:dyDescent="0.2">
      <c r="A289" s="126" t="s">
        <v>710</v>
      </c>
      <c r="B289" s="100">
        <f>SUM(LCI_AB!L154,LCI_AB!L736,LCI_AB!L790,LCI_AB!L1132,LCI_AB!L1283)</f>
        <v>1.4600731985286601</v>
      </c>
      <c r="C289" s="127" t="s">
        <v>3380</v>
      </c>
    </row>
    <row r="290" spans="1:3" x14ac:dyDescent="0.2">
      <c r="A290" s="126" t="s">
        <v>3381</v>
      </c>
      <c r="B290" s="100">
        <f>SUM(LCI_AB!L155,LCI_AB!L737,LCI_AB!L791,LCI_AB!L1133,LCI_AB!L1284)</f>
        <v>26504.37842231811</v>
      </c>
      <c r="C290" s="127" t="s">
        <v>3383</v>
      </c>
    </row>
    <row r="291" spans="1:3" x14ac:dyDescent="0.2">
      <c r="A291" s="117" t="s">
        <v>3384</v>
      </c>
      <c r="B291" s="168">
        <f>SUM(LCI_AB!L156,LCI_AB!L738,LCI_AB!L792,LCI_AB!L1134,LCI_AB!L1285)</f>
        <v>1494067.4024769084</v>
      </c>
      <c r="C291" s="120" t="s">
        <v>3385</v>
      </c>
    </row>
    <row r="293" spans="1:3" x14ac:dyDescent="0.2">
      <c r="A293" s="1969" t="s">
        <v>3521</v>
      </c>
      <c r="B293" s="1969"/>
      <c r="C293" s="1969"/>
    </row>
    <row r="294" spans="1:3" x14ac:dyDescent="0.2">
      <c r="A294" s="126" t="s">
        <v>701</v>
      </c>
      <c r="B294" s="100">
        <f>SUM(LCI_AB!L1581,LCI_AB!L1696,LCI_AB!L973)</f>
        <v>1455.6765599999999</v>
      </c>
      <c r="C294" s="127" t="s">
        <v>3367</v>
      </c>
    </row>
    <row r="295" spans="1:3" x14ac:dyDescent="0.2">
      <c r="A295" s="126" t="s">
        <v>703</v>
      </c>
      <c r="B295" s="100">
        <f>SUM(LCI_AB!L1582,LCI_AB!L1697,LCI_AB!L974)</f>
        <v>5.6160000000000002E-2</v>
      </c>
      <c r="C295" s="127" t="s">
        <v>3368</v>
      </c>
    </row>
    <row r="296" spans="1:3" x14ac:dyDescent="0.2">
      <c r="A296" s="126" t="s">
        <v>705</v>
      </c>
      <c r="B296" s="100">
        <f>SUM(LCI_AB!L1583,LCI_AB!L1698,LCI_AB!L975)</f>
        <v>8400646.7999999989</v>
      </c>
      <c r="C296" s="127" t="s">
        <v>3370</v>
      </c>
    </row>
    <row r="297" spans="1:3" x14ac:dyDescent="0.2">
      <c r="A297" s="126" t="s">
        <v>3372</v>
      </c>
      <c r="B297" s="100">
        <f>SUM(LCI_AB!L1584,LCI_AB!L1699,LCI_AB!L976)</f>
        <v>56.740320000000004</v>
      </c>
      <c r="C297" s="127" t="s">
        <v>3374</v>
      </c>
    </row>
    <row r="298" spans="1:3" x14ac:dyDescent="0.2">
      <c r="A298" s="126" t="s">
        <v>3375</v>
      </c>
      <c r="B298" s="100">
        <f>SUM(LCI_AB!L1585,LCI_AB!L1700,LCI_AB!L977)</f>
        <v>662.03280000000018</v>
      </c>
      <c r="C298" s="127" t="s">
        <v>3376</v>
      </c>
    </row>
    <row r="299" spans="1:3" x14ac:dyDescent="0.2">
      <c r="A299" s="126" t="s">
        <v>708</v>
      </c>
      <c r="B299" s="100">
        <f>SUM(LCI_AB!L1586,LCI_AB!L1701,LCI_AB!L978)</f>
        <v>111212.18550000001</v>
      </c>
      <c r="C299" s="127" t="s">
        <v>3377</v>
      </c>
    </row>
    <row r="300" spans="1:3" x14ac:dyDescent="0.2">
      <c r="A300" s="126" t="s">
        <v>3378</v>
      </c>
      <c r="B300" s="100">
        <f>SUM(LCI_AB!L1587,LCI_AB!L1702,LCI_AB!L979)</f>
        <v>0.11232</v>
      </c>
      <c r="C300" s="127" t="s">
        <v>3368</v>
      </c>
    </row>
    <row r="301" spans="1:3" x14ac:dyDescent="0.2">
      <c r="A301" s="126" t="s">
        <v>710</v>
      </c>
      <c r="B301" s="100">
        <f>SUM(LCI_AB!L1588,LCI_AB!L1703,LCI_AB!L980)</f>
        <v>2.3398712999999995E-3</v>
      </c>
      <c r="C301" s="127" t="s">
        <v>3380</v>
      </c>
    </row>
    <row r="302" spans="1:3" x14ac:dyDescent="0.2">
      <c r="A302" s="126" t="s">
        <v>3381</v>
      </c>
      <c r="B302" s="100">
        <f>SUM(LCI_AB!L1589,LCI_AB!L1704,LCI_AB!L981)</f>
        <v>167.51357999999999</v>
      </c>
      <c r="C302" s="127" t="s">
        <v>3383</v>
      </c>
    </row>
    <row r="303" spans="1:3" x14ac:dyDescent="0.2">
      <c r="A303" s="117" t="s">
        <v>3384</v>
      </c>
      <c r="B303" s="168">
        <f>SUM(LCI_AB!L1590,LCI_AB!L1705,LCI_AB!L982)</f>
        <v>7692.6096000000007</v>
      </c>
      <c r="C303" s="120" t="s">
        <v>3385</v>
      </c>
    </row>
    <row r="305" spans="1:3" x14ac:dyDescent="0.2">
      <c r="A305" s="1969" t="s">
        <v>3528</v>
      </c>
      <c r="B305" s="1969"/>
      <c r="C305" s="1969"/>
    </row>
    <row r="306" spans="1:3" x14ac:dyDescent="0.2">
      <c r="A306" s="126" t="s">
        <v>701</v>
      </c>
      <c r="B306" s="100">
        <f>SUM(LCI_AB!L901,LCI_AB!L925,LCI_AB!L937,LCI_AB!L949,LCI_AB!L985,LCI_AB!L997,LCI_AB!L1009,LCI_AB!L1021,LCI_AB!L1451,LCI_AB!L1475,LCI_AB!L1487,LCI_AB!L1593,LCI_AB!L1720,LCI_AB!L1732,LCI_AB!L1744,LCI_AB!L1812,LCI_AB!L1836,LCI_AB!L1848)</f>
        <v>1365690.069706525</v>
      </c>
      <c r="C306" s="127" t="s">
        <v>3367</v>
      </c>
    </row>
    <row r="307" spans="1:3" x14ac:dyDescent="0.2">
      <c r="A307" s="126" t="s">
        <v>703</v>
      </c>
      <c r="B307" s="100">
        <f>SUM(LCI_AB!L902,LCI_AB!L926,LCI_AB!L938,LCI_AB!L950,LCI_AB!L986,LCI_AB!L998,LCI_AB!L1010,LCI_AB!L1022,LCI_AB!L1452,LCI_AB!L1476,LCI_AB!L1488,LCI_AB!L1594,LCI_AB!L1721,LCI_AB!L1733,LCI_AB!L1745,LCI_AB!L1813,LCI_AB!L1837,LCI_AB!L1849)</f>
        <v>192.98590603471109</v>
      </c>
      <c r="C307" s="127" t="s">
        <v>3368</v>
      </c>
    </row>
    <row r="308" spans="1:3" x14ac:dyDescent="0.2">
      <c r="A308" s="126" t="s">
        <v>705</v>
      </c>
      <c r="B308" s="100">
        <f>SUM(LCI_AB!L903,LCI_AB!L927,LCI_AB!L939,LCI_AB!L951,LCI_AB!L987,LCI_AB!L999,LCI_AB!L1011,LCI_AB!L1023,LCI_AB!L1453,LCI_AB!L1477,LCI_AB!L1489,LCI_AB!L1595,LCI_AB!L1722,LCI_AB!L1734,LCI_AB!L1746,LCI_AB!L1814,LCI_AB!L1838,LCI_AB!L1850)</f>
        <v>29972185426.459473</v>
      </c>
      <c r="C308" s="127" t="s">
        <v>3370</v>
      </c>
    </row>
    <row r="309" spans="1:3" x14ac:dyDescent="0.2">
      <c r="A309" s="126" t="s">
        <v>3372</v>
      </c>
      <c r="B309" s="100">
        <f>SUM(LCI_AB!L904,LCI_AB!L928,LCI_AB!L940,LCI_AB!L952,LCI_AB!L988,LCI_AB!L1000,LCI_AB!L1012,LCI_AB!L1024,LCI_AB!L1454,LCI_AB!L1478,LCI_AB!L1490,LCI_AB!L1596,LCI_AB!L1723,LCI_AB!L1735,LCI_AB!L1747,LCI_AB!L1815,LCI_AB!L1839,LCI_AB!L1851)</f>
        <v>140878.19843295676</v>
      </c>
      <c r="C309" s="127" t="s">
        <v>3374</v>
      </c>
    </row>
    <row r="310" spans="1:3" x14ac:dyDescent="0.2">
      <c r="A310" s="126" t="s">
        <v>3375</v>
      </c>
      <c r="B310" s="100">
        <f>SUM(LCI_AB!L905,LCI_AB!L929,LCI_AB!L941,LCI_AB!L953,LCI_AB!L989,LCI_AB!L1001,LCI_AB!L1013,LCI_AB!L1025,LCI_AB!L1455,LCI_AB!L1479,LCI_AB!L1491,LCI_AB!L1597,LCI_AB!L1724,LCI_AB!L1736,LCI_AB!L1748,LCI_AB!L1816,LCI_AB!L1840,LCI_AB!L1852)</f>
        <v>461181.58674258715</v>
      </c>
      <c r="C310" s="127" t="s">
        <v>3376</v>
      </c>
    </row>
    <row r="311" spans="1:3" x14ac:dyDescent="0.2">
      <c r="A311" s="126" t="s">
        <v>708</v>
      </c>
      <c r="B311" s="100">
        <f>SUM(LCI_AB!L906,LCI_AB!L930,LCI_AB!L942,LCI_AB!L954,LCI_AB!L990,LCI_AB!L1002,LCI_AB!L1014,LCI_AB!L1026,LCI_AB!L1456,LCI_AB!L1480,LCI_AB!L1492,LCI_AB!L1598,LCI_AB!L1725,LCI_AB!L1737,LCI_AB!L1749,LCI_AB!L1817,LCI_AB!L1841,LCI_AB!L1853)</f>
        <v>564007327.6796968</v>
      </c>
      <c r="C311" s="127" t="s">
        <v>3377</v>
      </c>
    </row>
    <row r="312" spans="1:3" x14ac:dyDescent="0.2">
      <c r="A312" s="126" t="s">
        <v>3378</v>
      </c>
      <c r="B312" s="100">
        <f>SUM(LCI_AB!L907,LCI_AB!L931,LCI_AB!L943,LCI_AB!L955,LCI_AB!L991,LCI_AB!L1003,LCI_AB!L1015,LCI_AB!L1027,LCI_AB!L1457,LCI_AB!L1481,LCI_AB!L1493,LCI_AB!L1599,LCI_AB!L1726,LCI_AB!L1738,LCI_AB!L1750,LCI_AB!L1818,LCI_AB!L1842,LCI_AB!L1854)</f>
        <v>319.32327327753177</v>
      </c>
      <c r="C312" s="127" t="s">
        <v>3368</v>
      </c>
    </row>
    <row r="313" spans="1:3" x14ac:dyDescent="0.2">
      <c r="A313" s="126" t="s">
        <v>710</v>
      </c>
      <c r="B313" s="100">
        <f>SUM(LCI_AB!L908,LCI_AB!L932,LCI_AB!L944,LCI_AB!L956,LCI_AB!L992,LCI_AB!L1004,LCI_AB!L1016,LCI_AB!L1028,LCI_AB!L1458,LCI_AB!L1482,LCI_AB!L1494,LCI_AB!L1600,LCI_AB!L1727,LCI_AB!L1739,LCI_AB!L1751,LCI_AB!L1819,LCI_AB!L1843,LCI_AB!L1855)</f>
        <v>3.3651046846645092</v>
      </c>
      <c r="C313" s="127" t="s">
        <v>3380</v>
      </c>
    </row>
    <row r="314" spans="1:3" x14ac:dyDescent="0.2">
      <c r="A314" s="126" t="s">
        <v>3381</v>
      </c>
      <c r="B314" s="100">
        <f>SUM(LCI_AB!L909,LCI_AB!L933,LCI_AB!L945,LCI_AB!L957,LCI_AB!L993,LCI_AB!L1005,LCI_AB!L1017,LCI_AB!L1029,LCI_AB!L1459,LCI_AB!L1483,LCI_AB!L1495,LCI_AB!L1601,LCI_AB!L1728,LCI_AB!L1740,LCI_AB!L1752,LCI_AB!L1820,LCI_AB!L1844,LCI_AB!L1856)</f>
        <v>266170.11473461782</v>
      </c>
      <c r="C314" s="127" t="s">
        <v>3383</v>
      </c>
    </row>
    <row r="315" spans="1:3" x14ac:dyDescent="0.2">
      <c r="A315" s="117" t="s">
        <v>3384</v>
      </c>
      <c r="B315" s="168">
        <f>SUM(LCI_AB!L910,LCI_AB!L934,LCI_AB!L946,LCI_AB!L958,LCI_AB!L994,LCI_AB!L1006,LCI_AB!L1018,LCI_AB!L1030,LCI_AB!L1460,LCI_AB!L1484,LCI_AB!L1496,LCI_AB!L1602,LCI_AB!L1729,LCI_AB!L1741,LCI_AB!L1753,LCI_AB!L1821,LCI_AB!L1845,LCI_AB!L1857)</f>
        <v>10634063.601095131</v>
      </c>
      <c r="C315" s="120" t="s">
        <v>3385</v>
      </c>
    </row>
    <row r="317" spans="1:3" x14ac:dyDescent="0.2">
      <c r="A317" s="1969" t="s">
        <v>3522</v>
      </c>
      <c r="B317" s="1969"/>
      <c r="C317" s="1969"/>
    </row>
    <row r="318" spans="1:3" x14ac:dyDescent="0.2">
      <c r="A318" s="126" t="s">
        <v>701</v>
      </c>
      <c r="B318" s="100">
        <f>SUM(LCI_AB!L1641,LCI_AB!L1780)</f>
        <v>4525.1162335431891</v>
      </c>
      <c r="C318" s="127" t="s">
        <v>3367</v>
      </c>
    </row>
    <row r="319" spans="1:3" x14ac:dyDescent="0.2">
      <c r="A319" s="126" t="s">
        <v>703</v>
      </c>
      <c r="B319" s="100">
        <f>SUM(LCI_AB!L1642,LCI_AB!L1781)</f>
        <v>1.4614939442734891E-2</v>
      </c>
      <c r="C319" s="127" t="s">
        <v>3368</v>
      </c>
    </row>
    <row r="320" spans="1:3" x14ac:dyDescent="0.2">
      <c r="A320" s="126" t="s">
        <v>705</v>
      </c>
      <c r="B320" s="100">
        <f>SUM(LCI_AB!L1643,LCI_AB!L1782)</f>
        <v>12805337.9025006</v>
      </c>
      <c r="C320" s="127" t="s">
        <v>3370</v>
      </c>
    </row>
    <row r="321" spans="1:3" x14ac:dyDescent="0.2">
      <c r="A321" s="126" t="s">
        <v>3372</v>
      </c>
      <c r="B321" s="100">
        <f>SUM(LCI_AB!L1644,LCI_AB!L1783)</f>
        <v>95.185758427863718</v>
      </c>
      <c r="C321" s="127" t="s">
        <v>3374</v>
      </c>
    </row>
    <row r="322" spans="1:3" x14ac:dyDescent="0.2">
      <c r="A322" s="126" t="s">
        <v>3375</v>
      </c>
      <c r="B322" s="100">
        <f>SUM(LCI_AB!L1645,LCI_AB!L1784)</f>
        <v>1281.8999107803186</v>
      </c>
      <c r="C322" s="127" t="s">
        <v>3376</v>
      </c>
    </row>
    <row r="323" spans="1:3" x14ac:dyDescent="0.2">
      <c r="A323" s="126" t="s">
        <v>708</v>
      </c>
      <c r="B323" s="100">
        <f>SUM(LCI_AB!L1646,LCI_AB!L1785)</f>
        <v>80298.098405716417</v>
      </c>
      <c r="C323" s="127" t="s">
        <v>3377</v>
      </c>
    </row>
    <row r="324" spans="1:3" x14ac:dyDescent="0.2">
      <c r="A324" s="126" t="s">
        <v>3378</v>
      </c>
      <c r="B324" s="100">
        <f>SUM(LCI_AB!L1647,LCI_AB!L1786)</f>
        <v>0.46627745228478462</v>
      </c>
      <c r="C324" s="127" t="s">
        <v>3368</v>
      </c>
    </row>
    <row r="325" spans="1:3" x14ac:dyDescent="0.2">
      <c r="A325" s="126" t="s">
        <v>710</v>
      </c>
      <c r="B325" s="100">
        <f>SUM(LCI_AB!L1648,LCI_AB!L1787)</f>
        <v>6.3668443235250741E-4</v>
      </c>
      <c r="C325" s="127" t="s">
        <v>3380</v>
      </c>
    </row>
    <row r="326" spans="1:3" x14ac:dyDescent="0.2">
      <c r="A326" s="126" t="s">
        <v>3381</v>
      </c>
      <c r="B326" s="100">
        <f>SUM(LCI_AB!L1649,LCI_AB!L1788)</f>
        <v>255.76173917678628</v>
      </c>
      <c r="C326" s="127" t="s">
        <v>3383</v>
      </c>
    </row>
    <row r="327" spans="1:3" x14ac:dyDescent="0.2">
      <c r="A327" s="117" t="s">
        <v>3384</v>
      </c>
      <c r="B327" s="168">
        <f>SUM(LCI_AB!L1650,LCI_AB!L1789)</f>
        <v>27542.001098091889</v>
      </c>
      <c r="C327" s="120" t="s">
        <v>3385</v>
      </c>
    </row>
    <row r="329" spans="1:3" x14ac:dyDescent="0.2">
      <c r="A329" s="1969" t="s">
        <v>714</v>
      </c>
      <c r="B329" s="1969"/>
      <c r="C329" s="1969"/>
    </row>
    <row r="330" spans="1:3" x14ac:dyDescent="0.2">
      <c r="A330" s="126" t="s">
        <v>701</v>
      </c>
      <c r="B330" s="100">
        <f>SUM(LCI_AB!L267,LCI_AB!L501,LCI_AB!L642,LCI_AB!L687,LCI_AB!L741,LCI_AB!L795,LCI_AB!L863,LCI_AB!L1057,LCI_AB!L1137,LCI_AB!L1205,LCI_AB!L1348,LCI_AB!L1499,LCI_AB!L1617,LCI_AB!L1756,LCI_AB!L1860)</f>
        <v>656176.47518013965</v>
      </c>
      <c r="C330" s="127" t="s">
        <v>3367</v>
      </c>
    </row>
    <row r="331" spans="1:3" x14ac:dyDescent="0.2">
      <c r="A331" s="126" t="s">
        <v>703</v>
      </c>
      <c r="B331" s="100">
        <f>SUM(LCI_AB!L268,LCI_AB!L502,LCI_AB!L643,LCI_AB!L688,LCI_AB!L742,LCI_AB!L796,LCI_AB!L864,LCI_AB!L1058,LCI_AB!L1138,LCI_AB!L1206,LCI_AB!L1349,LCI_AB!L1500,LCI_AB!L1618,LCI_AB!L1757,LCI_AB!L1861)</f>
        <v>28.969054006646189</v>
      </c>
      <c r="C331" s="127" t="s">
        <v>3368</v>
      </c>
    </row>
    <row r="332" spans="1:3" x14ac:dyDescent="0.2">
      <c r="A332" s="126" t="s">
        <v>705</v>
      </c>
      <c r="B332" s="100">
        <f>SUM(LCI_AB!L269,LCI_AB!L503,LCI_AB!L644,LCI_AB!L689,LCI_AB!L743,LCI_AB!L797,LCI_AB!L865,LCI_AB!L1059,LCI_AB!L1139,LCI_AB!L1207,LCI_AB!L1350,LCI_AB!L1501,LCI_AB!L1619,LCI_AB!L1758,LCI_AB!L1862)</f>
        <v>3671797323.7343497</v>
      </c>
      <c r="C332" s="127" t="s">
        <v>3370</v>
      </c>
    </row>
    <row r="333" spans="1:3" x14ac:dyDescent="0.2">
      <c r="A333" s="126" t="s">
        <v>3372</v>
      </c>
      <c r="B333" s="100">
        <f>SUM(LCI_AB!L270,LCI_AB!L504,LCI_AB!L645,LCI_AB!L690,LCI_AB!L744,LCI_AB!L798,LCI_AB!L866,LCI_AB!L1060,LCI_AB!L1140,LCI_AB!L1208,LCI_AB!L1351,LCI_AB!L1502,LCI_AB!L1620,LCI_AB!L1759,LCI_AB!L1863)</f>
        <v>279968.62941019289</v>
      </c>
      <c r="C333" s="127" t="s">
        <v>3374</v>
      </c>
    </row>
    <row r="334" spans="1:3" x14ac:dyDescent="0.2">
      <c r="A334" s="126" t="s">
        <v>3375</v>
      </c>
      <c r="B334" s="100">
        <f>SUM(LCI_AB!L271,LCI_AB!L505,LCI_AB!L646,LCI_AB!L691,LCI_AB!L745,LCI_AB!L799,LCI_AB!L867,LCI_AB!L1061,LCI_AB!L1141,LCI_AB!L1209,LCI_AB!L1352,LCI_AB!L1503,LCI_AB!L1621,LCI_AB!L1760,LCI_AB!L1864)</f>
        <v>463698.04246063204</v>
      </c>
      <c r="C334" s="127" t="s">
        <v>3376</v>
      </c>
    </row>
    <row r="335" spans="1:3" x14ac:dyDescent="0.2">
      <c r="A335" s="126" t="s">
        <v>708</v>
      </c>
      <c r="B335" s="100">
        <f>SUM(LCI_AB!L272,LCI_AB!L506,LCI_AB!L647,LCI_AB!L692,LCI_AB!L746,LCI_AB!L800,LCI_AB!L868,LCI_AB!L1062,LCI_AB!L1142,LCI_AB!L1210,LCI_AB!L1353,LCI_AB!L1504,LCI_AB!L1622,LCI_AB!L1761,LCI_AB!L1865)</f>
        <v>342524120.04403299</v>
      </c>
      <c r="C335" s="127" t="s">
        <v>3377</v>
      </c>
    </row>
    <row r="336" spans="1:3" x14ac:dyDescent="0.2">
      <c r="A336" s="126" t="s">
        <v>3378</v>
      </c>
      <c r="B336" s="100">
        <f>SUM(LCI_AB!L273,LCI_AB!L507,LCI_AB!L648,LCI_AB!L693,LCI_AB!L747,LCI_AB!L801,LCI_AB!L869,LCI_AB!L1063,LCI_AB!L1143,LCI_AB!L1211,LCI_AB!L1354,LCI_AB!L1505,LCI_AB!L1623,LCI_AB!L1762,LCI_AB!L1866)</f>
        <v>86.483796958152325</v>
      </c>
      <c r="C336" s="127" t="s">
        <v>3368</v>
      </c>
    </row>
    <row r="337" spans="1:5" x14ac:dyDescent="0.2">
      <c r="A337" s="126" t="s">
        <v>710</v>
      </c>
      <c r="B337" s="100">
        <f>SUM(LCI_AB!L274,LCI_AB!L508,LCI_AB!L649,LCI_AB!L694,LCI_AB!L748,LCI_AB!L802,LCI_AB!L870,LCI_AB!L1064,LCI_AB!L1144,LCI_AB!L1212,LCI_AB!L1355,LCI_AB!L1506,LCI_AB!L1624,LCI_AB!L1763,LCI_AB!L1867)</f>
        <v>1.3216356602291612</v>
      </c>
      <c r="C337" s="127" t="s">
        <v>3380</v>
      </c>
    </row>
    <row r="338" spans="1:5" x14ac:dyDescent="0.2">
      <c r="A338" s="126" t="s">
        <v>3381</v>
      </c>
      <c r="B338" s="100">
        <f>SUM(LCI_AB!L275,LCI_AB!L509,LCI_AB!L650,LCI_AB!L695,LCI_AB!L749,LCI_AB!L803,LCI_AB!L871,LCI_AB!L1065,LCI_AB!L1145,LCI_AB!L1213,LCI_AB!L1356,LCI_AB!L1507,LCI_AB!L1625,LCI_AB!L1764,LCI_AB!L1868)</f>
        <v>883650.98657592153</v>
      </c>
      <c r="C338" s="127" t="s">
        <v>3383</v>
      </c>
    </row>
    <row r="339" spans="1:5" x14ac:dyDescent="0.2">
      <c r="A339" s="117" t="s">
        <v>3384</v>
      </c>
      <c r="B339" s="168">
        <f>SUM(LCI_AB!L276,LCI_AB!L510,LCI_AB!L651,LCI_AB!L696,LCI_AB!L750,LCI_AB!L804,LCI_AB!L872,LCI_AB!L1066,LCI_AB!L1146,LCI_AB!L1214,LCI_AB!L1357,LCI_AB!L1508,LCI_AB!L1626,LCI_AB!L1765,LCI_AB!L1869)</f>
        <v>10673803.996263606</v>
      </c>
      <c r="C339" s="120" t="s">
        <v>3385</v>
      </c>
    </row>
    <row r="341" spans="1:5" x14ac:dyDescent="0.2">
      <c r="A341" s="1969" t="s">
        <v>3523</v>
      </c>
      <c r="B341" s="1969"/>
      <c r="C341" s="1969"/>
    </row>
    <row r="342" spans="1:5" x14ac:dyDescent="0.2">
      <c r="A342" s="126" t="s">
        <v>701</v>
      </c>
      <c r="B342" s="100">
        <f>SUM(LCI_AB!L513,LCI_AB!L525,LCI_AB!L1217,LCI_AB!L1523)</f>
        <v>1744372.0923545379</v>
      </c>
      <c r="C342" s="127" t="s">
        <v>3367</v>
      </c>
    </row>
    <row r="343" spans="1:5" x14ac:dyDescent="0.2">
      <c r="A343" s="126" t="s">
        <v>703</v>
      </c>
      <c r="B343" s="100">
        <f>SUM(LCI_AB!L514,LCI_AB!L526,LCI_AB!L1218,LCI_AB!L1524)</f>
        <v>32.271641776329425</v>
      </c>
      <c r="C343" s="127" t="s">
        <v>3368</v>
      </c>
    </row>
    <row r="344" spans="1:5" x14ac:dyDescent="0.2">
      <c r="A344" s="126" t="s">
        <v>705</v>
      </c>
      <c r="B344" s="100">
        <f>SUM(LCI_AB!L515,LCI_AB!L527,LCI_AB!L1219,LCI_AB!L1525)</f>
        <v>7207603691.6480322</v>
      </c>
      <c r="C344" s="127" t="s">
        <v>3370</v>
      </c>
    </row>
    <row r="345" spans="1:5" x14ac:dyDescent="0.2">
      <c r="A345" s="126" t="s">
        <v>3372</v>
      </c>
      <c r="B345" s="100">
        <f>SUM(LCI_AB!L516,LCI_AB!L528,LCI_AB!L1220,LCI_AB!L1526)</f>
        <v>349927.58383602509</v>
      </c>
      <c r="C345" s="127" t="s">
        <v>3374</v>
      </c>
    </row>
    <row r="346" spans="1:5" x14ac:dyDescent="0.2">
      <c r="A346" s="126" t="s">
        <v>3375</v>
      </c>
      <c r="B346" s="100">
        <f>SUM(LCI_AB!L517,LCI_AB!L529,LCI_AB!L1221,LCI_AB!L1527)</f>
        <v>1479077.9764389731</v>
      </c>
      <c r="C346" s="127" t="s">
        <v>3376</v>
      </c>
    </row>
    <row r="347" spans="1:5" x14ac:dyDescent="0.2">
      <c r="A347" s="126" t="s">
        <v>708</v>
      </c>
      <c r="B347" s="100">
        <f>SUM(LCI_AB!L518,LCI_AB!L530,LCI_AB!L1222,LCI_AB!L1528)</f>
        <v>231628146.16526204</v>
      </c>
      <c r="C347" s="127" t="s">
        <v>3377</v>
      </c>
    </row>
    <row r="348" spans="1:5" x14ac:dyDescent="0.2">
      <c r="A348" s="126" t="s">
        <v>3378</v>
      </c>
      <c r="B348" s="100">
        <f>SUM(LCI_AB!L519,LCI_AB!L531,LCI_AB!L1223,LCI_AB!L1529)</f>
        <v>5277.1916023666499</v>
      </c>
      <c r="C348" s="127" t="s">
        <v>3368</v>
      </c>
    </row>
    <row r="349" spans="1:5" x14ac:dyDescent="0.2">
      <c r="A349" s="126" t="s">
        <v>710</v>
      </c>
      <c r="B349" s="100">
        <f>SUM(LCI_AB!L520,LCI_AB!L532,LCI_AB!L1224,LCI_AB!L1530)</f>
        <v>3.4766407400127415</v>
      </c>
      <c r="C349" s="127" t="s">
        <v>3380</v>
      </c>
    </row>
    <row r="350" spans="1:5" x14ac:dyDescent="0.2">
      <c r="A350" s="126" t="s">
        <v>3381</v>
      </c>
      <c r="B350" s="100">
        <f>SUM(LCI_AB!L521,LCI_AB!L533,LCI_AB!L1225,LCI_AB!L1531)</f>
        <v>2945470.5497888271</v>
      </c>
      <c r="C350" s="127" t="s">
        <v>3383</v>
      </c>
    </row>
    <row r="351" spans="1:5" x14ac:dyDescent="0.2">
      <c r="A351" s="117" t="s">
        <v>3384</v>
      </c>
      <c r="B351" s="168">
        <f>SUM(LCI_AB!L522,LCI_AB!L534,LCI_AB!L1226,LCI_AB!L1532)</f>
        <v>13594962.74148114</v>
      </c>
      <c r="C351" s="120" t="s">
        <v>3385</v>
      </c>
    </row>
    <row r="352" spans="1:5" x14ac:dyDescent="0.2">
      <c r="B352" s="33"/>
      <c r="E352" s="1288"/>
    </row>
    <row r="353" spans="1:10" ht="22" x14ac:dyDescent="0.3">
      <c r="A353" s="2023" t="s">
        <v>3598</v>
      </c>
      <c r="B353" s="2021"/>
      <c r="C353" s="2021"/>
      <c r="D353" s="2021"/>
      <c r="E353" s="2021"/>
      <c r="F353" s="2021"/>
      <c r="G353" s="2021"/>
      <c r="H353" s="2021"/>
      <c r="I353" s="2021"/>
      <c r="J353" s="2021"/>
    </row>
    <row r="354" spans="1:10" x14ac:dyDescent="0.2">
      <c r="A354" s="135" t="s">
        <v>666</v>
      </c>
      <c r="B354" s="1299">
        <f ca="1">A_DCFROR!D31*30/0.359</f>
        <v>513562639.25423533</v>
      </c>
      <c r="C354" s="110" t="s">
        <v>3529</v>
      </c>
      <c r="D354" s="1304">
        <f ca="1">B354*A_DCFROR!C207</f>
        <v>2145804899.3909554</v>
      </c>
      <c r="E354" s="110" t="s">
        <v>3517</v>
      </c>
      <c r="F354" s="1300">
        <f ca="1">D354/D$359</f>
        <v>0.98745900274632703</v>
      </c>
      <c r="H354" s="109"/>
      <c r="I354" s="110"/>
      <c r="J354" s="112"/>
    </row>
    <row r="355" spans="1:10" x14ac:dyDescent="0.2">
      <c r="A355" s="260" t="s">
        <v>664</v>
      </c>
      <c r="B355" s="100">
        <f ca="1">A_DCFROR!D32*30</f>
        <v>3663999.8973111948</v>
      </c>
      <c r="C355" t="s">
        <v>3458</v>
      </c>
      <c r="D355" s="33">
        <f ca="1">B355*A_DCFROR!D44</f>
        <v>3114399.9127145153</v>
      </c>
      <c r="E355" t="s">
        <v>3517</v>
      </c>
      <c r="F355" s="1083">
        <f ca="1">D355/D$359</f>
        <v>1.4331881863235557E-3</v>
      </c>
      <c r="H355" s="1275">
        <f>SUM(OPEX!B10:B12)</f>
        <v>1422222.2222222222</v>
      </c>
      <c r="I355" t="s">
        <v>3530</v>
      </c>
      <c r="J355" s="127"/>
    </row>
    <row r="356" spans="1:10" x14ac:dyDescent="0.2">
      <c r="A356" s="260" t="s">
        <v>2996</v>
      </c>
      <c r="B356" s="100">
        <f ca="1">B174</f>
        <v>11506134.007366557</v>
      </c>
      <c r="C356" t="s">
        <v>3531</v>
      </c>
      <c r="D356" s="33">
        <f ca="1">B356*A_DCFROR!D$41</f>
        <v>13807360.808839867</v>
      </c>
      <c r="E356" t="s">
        <v>3517</v>
      </c>
      <c r="F356" s="1083">
        <f ca="1">D356/D$359</f>
        <v>6.3538874101394466E-3</v>
      </c>
      <c r="H356" s="1262">
        <f ca="1">A_DCFROR!D31/Units!C10</f>
        <v>2028261.6885838336</v>
      </c>
      <c r="I356" t="s">
        <v>3532</v>
      </c>
      <c r="J356" s="127"/>
    </row>
    <row r="357" spans="1:10" x14ac:dyDescent="0.2">
      <c r="A357" s="260" t="s">
        <v>2997</v>
      </c>
      <c r="B357" s="100">
        <f ca="1">B175</f>
        <v>5165271.8517887127</v>
      </c>
      <c r="C357" t="s">
        <v>3531</v>
      </c>
      <c r="D357" s="33">
        <f ca="1">B357*A_DCFROR!D$42</f>
        <v>10330543.703577425</v>
      </c>
      <c r="E357" t="s">
        <v>3517</v>
      </c>
      <c r="F357" s="1083">
        <f ca="1">D357/D$359</f>
        <v>4.7539216572099648E-3</v>
      </c>
      <c r="H357" s="117"/>
      <c r="I357" s="118"/>
      <c r="J357" s="120"/>
    </row>
    <row r="358" spans="1:10" x14ac:dyDescent="0.2">
      <c r="A358" s="260" t="s">
        <v>667</v>
      </c>
      <c r="B358" s="33"/>
      <c r="C358" t="s">
        <v>3458</v>
      </c>
      <c r="D358" s="33"/>
      <c r="E358" t="s">
        <v>3517</v>
      </c>
      <c r="F358" s="1263"/>
    </row>
    <row r="359" spans="1:10" x14ac:dyDescent="0.2">
      <c r="A359" s="29" t="s">
        <v>577</v>
      </c>
      <c r="B359" s="31"/>
      <c r="C359" s="31"/>
      <c r="D359" s="1301">
        <f ca="1">SUM(D354:D358)</f>
        <v>2173057203.8160872</v>
      </c>
      <c r="E359" s="31" t="s">
        <v>3517</v>
      </c>
      <c r="F359" s="32"/>
    </row>
    <row r="361" spans="1:10" x14ac:dyDescent="0.2">
      <c r="A361" s="29" t="s">
        <v>3533</v>
      </c>
      <c r="B361" s="1977" t="s">
        <v>3534</v>
      </c>
      <c r="C361" s="1978"/>
    </row>
    <row r="362" spans="1:10" x14ac:dyDescent="0.2">
      <c r="A362" s="188" t="s">
        <v>701</v>
      </c>
      <c r="B362" s="2018">
        <f ca="1">(B210/B$354*F$354)</f>
        <v>0.14036094888392944</v>
      </c>
      <c r="C362" s="2019" t="s">
        <v>3535</v>
      </c>
    </row>
    <row r="363" spans="1:10" x14ac:dyDescent="0.2">
      <c r="A363" s="175" t="s">
        <v>703</v>
      </c>
      <c r="B363" s="2020">
        <f ca="1">(B211/B$354*F$354)</f>
        <v>7.4128198958511807E-7</v>
      </c>
      <c r="C363" s="2019" t="s">
        <v>3536</v>
      </c>
    </row>
    <row r="364" spans="1:10" x14ac:dyDescent="0.2">
      <c r="A364" s="175" t="s">
        <v>705</v>
      </c>
      <c r="B364" s="2018">
        <f ca="1">(B212/B$354*F$354)</f>
        <v>140.22020988092507</v>
      </c>
      <c r="C364" s="2019" t="s">
        <v>3537</v>
      </c>
    </row>
    <row r="365" spans="1:10" x14ac:dyDescent="0.2">
      <c r="A365" s="175" t="s">
        <v>3372</v>
      </c>
      <c r="B365" s="2020">
        <f ca="1">(B213/B$354*F$354)</f>
        <v>1.8810969194410759E-3</v>
      </c>
      <c r="C365" s="2019" t="s">
        <v>3538</v>
      </c>
    </row>
    <row r="366" spans="1:10" x14ac:dyDescent="0.2">
      <c r="A366" s="175" t="s">
        <v>3375</v>
      </c>
      <c r="B366" s="2018">
        <f ca="1">(B214/B$354*F$354)</f>
        <v>0.1812743480006537</v>
      </c>
      <c r="C366" s="2019" t="s">
        <v>3539</v>
      </c>
    </row>
    <row r="367" spans="1:10" x14ac:dyDescent="0.2">
      <c r="A367" s="175" t="s">
        <v>708</v>
      </c>
      <c r="B367" s="2018">
        <f ca="1">(B215/B$354*F$354)</f>
        <v>5.2606078945625159</v>
      </c>
      <c r="C367" s="2019" t="s">
        <v>3540</v>
      </c>
    </row>
    <row r="368" spans="1:10" x14ac:dyDescent="0.2">
      <c r="A368" s="175" t="s">
        <v>3378</v>
      </c>
      <c r="B368" s="2020">
        <f ca="1">(B216/B$354*F$354)</f>
        <v>1.1876010783675051E-5</v>
      </c>
      <c r="C368" s="2019" t="s">
        <v>3536</v>
      </c>
    </row>
    <row r="369" spans="1:10" x14ac:dyDescent="0.2">
      <c r="A369" s="175" t="s">
        <v>710</v>
      </c>
      <c r="B369" s="2020">
        <f ca="1">(B217/B$354*F$354)</f>
        <v>1.9025642119741937E-7</v>
      </c>
      <c r="C369" s="2019" t="s">
        <v>3541</v>
      </c>
    </row>
    <row r="370" spans="1:10" x14ac:dyDescent="0.2">
      <c r="A370" s="175" t="s">
        <v>3381</v>
      </c>
      <c r="B370" s="2018">
        <f ca="1">(B218/B$354*F$354)</f>
        <v>3.1725084005348438E-2</v>
      </c>
      <c r="C370" s="2019" t="s">
        <v>3542</v>
      </c>
    </row>
    <row r="371" spans="1:10" x14ac:dyDescent="0.2">
      <c r="A371" s="176" t="s">
        <v>3384</v>
      </c>
      <c r="B371" s="2018">
        <f ca="1">(B219/B$354*F$354)</f>
        <v>4.3972497802884822</v>
      </c>
      <c r="C371" s="2019" t="s">
        <v>3543</v>
      </c>
    </row>
    <row r="373" spans="1:10" ht="35" thickBot="1" x14ac:dyDescent="0.45">
      <c r="A373" s="2022" t="s">
        <v>3600</v>
      </c>
      <c r="B373" s="2022"/>
      <c r="C373" s="2022"/>
      <c r="D373" s="2022"/>
      <c r="E373" s="2022"/>
      <c r="F373" s="2022"/>
      <c r="G373" s="2022"/>
      <c r="H373" s="2022"/>
      <c r="I373" s="2022"/>
      <c r="J373" s="2022"/>
    </row>
    <row r="374" spans="1:10" x14ac:dyDescent="0.2">
      <c r="A374" s="2024" t="s">
        <v>3544</v>
      </c>
      <c r="B374" s="106"/>
    </row>
    <row r="375" spans="1:10" ht="16" thickBot="1" x14ac:dyDescent="0.25">
      <c r="A375" s="2025" t="s">
        <v>3545</v>
      </c>
      <c r="B375" s="193" t="s">
        <v>3546</v>
      </c>
    </row>
    <row r="376" spans="1:10" x14ac:dyDescent="0.2">
      <c r="A376" s="260" t="s">
        <v>701</v>
      </c>
      <c r="B376" s="2008">
        <v>3.8400000000000001E-3</v>
      </c>
      <c r="C376" s="112" t="s">
        <v>3489</v>
      </c>
      <c r="D376" s="110">
        <f t="shared" ref="D376:D385" si="17">B376*2.7907</f>
        <v>1.0716288000000001E-2</v>
      </c>
      <c r="E376" s="112" t="s">
        <v>3535</v>
      </c>
    </row>
    <row r="377" spans="1:10" x14ac:dyDescent="0.2">
      <c r="A377" s="260" t="s">
        <v>703</v>
      </c>
      <c r="B377" s="33">
        <v>4.6508500000000003E-8</v>
      </c>
      <c r="C377" s="127" t="s">
        <v>3490</v>
      </c>
      <c r="D377" s="33">
        <f t="shared" si="17"/>
        <v>1.2979127095000002E-7</v>
      </c>
      <c r="E377" s="127" t="s">
        <v>3536</v>
      </c>
    </row>
    <row r="378" spans="1:10" x14ac:dyDescent="0.2">
      <c r="A378" s="260" t="s">
        <v>705</v>
      </c>
      <c r="B378">
        <v>3.2867500000000001</v>
      </c>
      <c r="C378" s="127" t="s">
        <v>3491</v>
      </c>
      <c r="D378">
        <f t="shared" si="17"/>
        <v>9.1723332250000009</v>
      </c>
      <c r="E378" s="127" t="s">
        <v>3537</v>
      </c>
    </row>
    <row r="379" spans="1:10" x14ac:dyDescent="0.2">
      <c r="A379" s="260" t="s">
        <v>3372</v>
      </c>
      <c r="B379" s="33">
        <v>4.2886100000000003E-5</v>
      </c>
      <c r="C379" s="127" t="s">
        <v>3492</v>
      </c>
      <c r="D379" s="33">
        <f t="shared" si="17"/>
        <v>1.1968223927000001E-4</v>
      </c>
      <c r="E379" s="127" t="s">
        <v>3538</v>
      </c>
    </row>
    <row r="380" spans="1:10" x14ac:dyDescent="0.2">
      <c r="A380" s="260" t="s">
        <v>3375</v>
      </c>
      <c r="B380">
        <v>2.0799999999999998E-3</v>
      </c>
      <c r="C380" s="127" t="s">
        <v>3493</v>
      </c>
      <c r="D380">
        <f t="shared" si="17"/>
        <v>5.8046560000000001E-3</v>
      </c>
      <c r="E380" s="127" t="s">
        <v>3539</v>
      </c>
    </row>
    <row r="381" spans="1:10" x14ac:dyDescent="0.2">
      <c r="A381" s="260" t="s">
        <v>708</v>
      </c>
      <c r="B381" s="33">
        <v>0.77544999999999997</v>
      </c>
      <c r="C381" s="127" t="s">
        <v>3494</v>
      </c>
      <c r="D381" s="33">
        <f t="shared" si="17"/>
        <v>2.1640483150000001</v>
      </c>
      <c r="E381" s="127" t="s">
        <v>3540</v>
      </c>
    </row>
    <row r="382" spans="1:10" x14ac:dyDescent="0.2">
      <c r="A382" s="260" t="s">
        <v>3378</v>
      </c>
      <c r="B382" s="33">
        <v>7.8094699999999996E-8</v>
      </c>
      <c r="C382" s="127" t="s">
        <v>3490</v>
      </c>
      <c r="D382" s="33">
        <f t="shared" si="17"/>
        <v>2.1793887929000001E-7</v>
      </c>
      <c r="E382" s="127" t="s">
        <v>3536</v>
      </c>
    </row>
    <row r="383" spans="1:10" x14ac:dyDescent="0.2">
      <c r="A383" s="260" t="s">
        <v>710</v>
      </c>
      <c r="B383" s="33">
        <v>5.66091E-8</v>
      </c>
      <c r="C383" s="127" t="s">
        <v>3495</v>
      </c>
      <c r="D383" s="33">
        <f t="shared" si="17"/>
        <v>1.5797901537000002E-7</v>
      </c>
      <c r="E383" s="127" t="s">
        <v>3541</v>
      </c>
    </row>
    <row r="384" spans="1:10" x14ac:dyDescent="0.2">
      <c r="A384" s="260" t="s">
        <v>3381</v>
      </c>
      <c r="B384" s="33">
        <v>4.0000000000000002E-4</v>
      </c>
      <c r="C384" s="127" t="s">
        <v>3496</v>
      </c>
      <c r="D384" s="33">
        <f t="shared" si="17"/>
        <v>1.1162800000000001E-3</v>
      </c>
      <c r="E384" s="127" t="s">
        <v>3542</v>
      </c>
    </row>
    <row r="385" spans="1:5" x14ac:dyDescent="0.2">
      <c r="A385" s="21" t="s">
        <v>3384</v>
      </c>
      <c r="B385" s="1258">
        <v>4.9500000000000002E-2</v>
      </c>
      <c r="C385" s="120" t="s">
        <v>3497</v>
      </c>
      <c r="D385" s="1258">
        <f t="shared" si="17"/>
        <v>0.13813965</v>
      </c>
      <c r="E385" s="120" t="s">
        <v>3543</v>
      </c>
    </row>
    <row r="386" spans="1:5" ht="16" thickBot="1" x14ac:dyDescent="0.25"/>
    <row r="387" spans="1:5" x14ac:dyDescent="0.2">
      <c r="A387" s="2024" t="s">
        <v>3547</v>
      </c>
      <c r="B387" s="60"/>
      <c r="C387" s="60"/>
      <c r="D387" s="60"/>
      <c r="E387" s="106"/>
    </row>
    <row r="388" spans="1:5" ht="16" thickBot="1" x14ac:dyDescent="0.25">
      <c r="A388" s="2025" t="s">
        <v>3548</v>
      </c>
      <c r="B388" s="69"/>
      <c r="C388" s="69"/>
      <c r="D388" s="69"/>
      <c r="E388" s="193"/>
    </row>
    <row r="389" spans="1:5" x14ac:dyDescent="0.2">
      <c r="A389" s="260" t="s">
        <v>701</v>
      </c>
      <c r="B389" s="2008">
        <v>1.1100000000000001E-3</v>
      </c>
      <c r="C389" s="127" t="s">
        <v>3549</v>
      </c>
      <c r="D389" s="2008">
        <f t="shared" ref="D389:D398" si="18">B389*120</f>
        <v>0.13320000000000001</v>
      </c>
      <c r="E389" s="127" t="s">
        <v>3535</v>
      </c>
    </row>
    <row r="390" spans="1:5" x14ac:dyDescent="0.2">
      <c r="A390" s="260" t="s">
        <v>703</v>
      </c>
      <c r="B390" s="33">
        <v>1.27425E-9</v>
      </c>
      <c r="C390" s="127" t="s">
        <v>3550</v>
      </c>
      <c r="D390" s="33">
        <f t="shared" si="18"/>
        <v>1.5291000000000001E-7</v>
      </c>
      <c r="E390" s="127" t="s">
        <v>3536</v>
      </c>
    </row>
    <row r="391" spans="1:5" x14ac:dyDescent="0.2">
      <c r="A391" s="260" t="s">
        <v>705</v>
      </c>
      <c r="B391">
        <v>0.12051000000000001</v>
      </c>
      <c r="C391" s="127" t="s">
        <v>3551</v>
      </c>
      <c r="D391">
        <f t="shared" si="18"/>
        <v>14.461200000000002</v>
      </c>
      <c r="E391" s="127" t="s">
        <v>3537</v>
      </c>
    </row>
    <row r="392" spans="1:5" x14ac:dyDescent="0.2">
      <c r="A392" s="260" t="s">
        <v>3372</v>
      </c>
      <c r="B392" s="33">
        <v>1.2159699999999999E-6</v>
      </c>
      <c r="C392" s="127" t="s">
        <v>3552</v>
      </c>
      <c r="D392" s="33">
        <f t="shared" si="18"/>
        <v>1.4591639999999998E-4</v>
      </c>
      <c r="E392" s="127" t="s">
        <v>3538</v>
      </c>
    </row>
    <row r="393" spans="1:5" x14ac:dyDescent="0.2">
      <c r="A393" s="260" t="s">
        <v>3375</v>
      </c>
      <c r="B393">
        <v>1.4400000000000001E-3</v>
      </c>
      <c r="C393" s="127" t="s">
        <v>3553</v>
      </c>
      <c r="D393">
        <f t="shared" si="18"/>
        <v>0.17280000000000001</v>
      </c>
      <c r="E393" s="127" t="s">
        <v>3539</v>
      </c>
    </row>
    <row r="394" spans="1:5" x14ac:dyDescent="0.2">
      <c r="A394" s="260" t="s">
        <v>708</v>
      </c>
      <c r="B394" s="1228">
        <v>9.332E-2</v>
      </c>
      <c r="C394" s="127" t="s">
        <v>3554</v>
      </c>
      <c r="D394" s="33">
        <f t="shared" si="18"/>
        <v>11.198399999999999</v>
      </c>
      <c r="E394" s="127" t="s">
        <v>3540</v>
      </c>
    </row>
    <row r="395" spans="1:5" x14ac:dyDescent="0.2">
      <c r="A395" s="260" t="s">
        <v>3378</v>
      </c>
      <c r="B395" s="33">
        <v>3.0404099999999998E-9</v>
      </c>
      <c r="C395" s="127" t="s">
        <v>3550</v>
      </c>
      <c r="D395" s="33">
        <f t="shared" si="18"/>
        <v>3.648492E-7</v>
      </c>
      <c r="E395" s="127" t="s">
        <v>3536</v>
      </c>
    </row>
    <row r="396" spans="1:5" x14ac:dyDescent="0.2">
      <c r="A396" s="260" t="s">
        <v>710</v>
      </c>
      <c r="B396" s="33">
        <v>1.5556700000000001E-9</v>
      </c>
      <c r="C396" s="127" t="s">
        <v>3555</v>
      </c>
      <c r="D396" s="33">
        <f t="shared" si="18"/>
        <v>1.866804E-7</v>
      </c>
      <c r="E396" s="127" t="s">
        <v>3541</v>
      </c>
    </row>
    <row r="397" spans="1:5" x14ac:dyDescent="0.2">
      <c r="A397" s="260" t="s">
        <v>3381</v>
      </c>
      <c r="B397" s="33">
        <v>1.9000000000000001E-4</v>
      </c>
      <c r="C397" s="127" t="s">
        <v>3556</v>
      </c>
      <c r="D397" s="33">
        <f t="shared" si="18"/>
        <v>2.2800000000000001E-2</v>
      </c>
      <c r="E397" s="127" t="s">
        <v>3542</v>
      </c>
    </row>
    <row r="398" spans="1:5" x14ac:dyDescent="0.2">
      <c r="A398" s="21" t="s">
        <v>3384</v>
      </c>
      <c r="B398" s="1258">
        <v>3.5369999999999999E-2</v>
      </c>
      <c r="C398" s="120" t="s">
        <v>3557</v>
      </c>
      <c r="D398" s="1258">
        <f t="shared" si="18"/>
        <v>4.2443999999999997</v>
      </c>
      <c r="E398" s="120" t="s">
        <v>3543</v>
      </c>
    </row>
    <row r="399" spans="1:5" ht="16" thickBot="1" x14ac:dyDescent="0.25">
      <c r="B399" s="33"/>
    </row>
    <row r="400" spans="1:5" ht="16" thickBot="1" x14ac:dyDescent="0.25">
      <c r="A400" s="2026" t="s">
        <v>3558</v>
      </c>
      <c r="B400" s="2027"/>
      <c r="C400" s="2028"/>
    </row>
    <row r="401" spans="1:3" x14ac:dyDescent="0.2">
      <c r="A401" s="260" t="s">
        <v>701</v>
      </c>
      <c r="B401" s="166">
        <f t="shared" ref="B401:B410" si="19">D389-D376</f>
        <v>0.12248371200000001</v>
      </c>
      <c r="C401" s="127" t="s">
        <v>3535</v>
      </c>
    </row>
    <row r="402" spans="1:3" x14ac:dyDescent="0.2">
      <c r="A402" s="260" t="s">
        <v>703</v>
      </c>
      <c r="B402" s="1228">
        <f t="shared" si="19"/>
        <v>2.3118729049999991E-8</v>
      </c>
      <c r="C402" s="127" t="s">
        <v>3536</v>
      </c>
    </row>
    <row r="403" spans="1:3" x14ac:dyDescent="0.2">
      <c r="A403" s="260" t="s">
        <v>705</v>
      </c>
      <c r="B403" s="166">
        <f t="shared" si="19"/>
        <v>5.2888667750000007</v>
      </c>
      <c r="C403" s="127" t="s">
        <v>3537</v>
      </c>
    </row>
    <row r="404" spans="1:3" x14ac:dyDescent="0.2">
      <c r="A404" s="260" t="s">
        <v>3372</v>
      </c>
      <c r="B404" s="1228">
        <f t="shared" si="19"/>
        <v>2.6234160729999968E-5</v>
      </c>
      <c r="C404" s="127" t="s">
        <v>3538</v>
      </c>
    </row>
    <row r="405" spans="1:3" x14ac:dyDescent="0.2">
      <c r="A405" s="260" t="s">
        <v>3375</v>
      </c>
      <c r="B405" s="166">
        <f t="shared" si="19"/>
        <v>0.16699534400000002</v>
      </c>
      <c r="C405" s="127" t="s">
        <v>3539</v>
      </c>
    </row>
    <row r="406" spans="1:3" x14ac:dyDescent="0.2">
      <c r="A406" s="260" t="s">
        <v>708</v>
      </c>
      <c r="B406" s="1228">
        <f t="shared" si="19"/>
        <v>9.034351684999999</v>
      </c>
      <c r="C406" s="127" t="s">
        <v>3540</v>
      </c>
    </row>
    <row r="407" spans="1:3" x14ac:dyDescent="0.2">
      <c r="A407" s="260" t="s">
        <v>3378</v>
      </c>
      <c r="B407" s="1228">
        <f t="shared" si="19"/>
        <v>1.4691032070999999E-7</v>
      </c>
      <c r="C407" s="127" t="s">
        <v>3536</v>
      </c>
    </row>
    <row r="408" spans="1:3" x14ac:dyDescent="0.2">
      <c r="A408" s="260" t="s">
        <v>710</v>
      </c>
      <c r="B408" s="1228">
        <f t="shared" si="19"/>
        <v>2.8701384629999975E-8</v>
      </c>
      <c r="C408" s="127" t="s">
        <v>3541</v>
      </c>
    </row>
    <row r="409" spans="1:3" x14ac:dyDescent="0.2">
      <c r="A409" s="260" t="s">
        <v>3381</v>
      </c>
      <c r="B409" s="1228">
        <f t="shared" si="19"/>
        <v>2.168372E-2</v>
      </c>
      <c r="C409" s="127" t="s">
        <v>3542</v>
      </c>
    </row>
    <row r="410" spans="1:3" x14ac:dyDescent="0.2">
      <c r="A410" s="21" t="s">
        <v>3384</v>
      </c>
      <c r="B410" s="1274">
        <f t="shared" si="19"/>
        <v>4.1062603499999994</v>
      </c>
      <c r="C410" s="120" t="s">
        <v>3543</v>
      </c>
    </row>
    <row r="411" spans="1:3" ht="16" thickBot="1" x14ac:dyDescent="0.25"/>
    <row r="412" spans="1:3" ht="16" thickBot="1" x14ac:dyDescent="0.25">
      <c r="A412" s="2026" t="s">
        <v>3559</v>
      </c>
      <c r="B412" s="2031"/>
      <c r="C412" s="2028"/>
    </row>
    <row r="413" spans="1:3" x14ac:dyDescent="0.2">
      <c r="A413" s="260" t="s">
        <v>701</v>
      </c>
      <c r="B413" s="2029">
        <f t="shared" ref="B413:B422" si="20">SUM(D376,D389)</f>
        <v>0.143916288</v>
      </c>
      <c r="C413" s="2030" t="s">
        <v>3535</v>
      </c>
    </row>
    <row r="414" spans="1:3" x14ac:dyDescent="0.2">
      <c r="A414" s="260" t="s">
        <v>703</v>
      </c>
      <c r="B414" s="1311">
        <f t="shared" si="20"/>
        <v>2.8270127095000003E-7</v>
      </c>
      <c r="C414" s="1129" t="s">
        <v>3536</v>
      </c>
    </row>
    <row r="415" spans="1:3" x14ac:dyDescent="0.2">
      <c r="A415" s="260" t="s">
        <v>705</v>
      </c>
      <c r="B415" s="1309">
        <f t="shared" si="20"/>
        <v>23.633533225000001</v>
      </c>
      <c r="C415" s="1129" t="s">
        <v>3537</v>
      </c>
    </row>
    <row r="416" spans="1:3" x14ac:dyDescent="0.2">
      <c r="A416" s="260" t="s">
        <v>3372</v>
      </c>
      <c r="B416" s="1311">
        <f t="shared" si="20"/>
        <v>2.6559863926999997E-4</v>
      </c>
      <c r="C416" s="1129" t="s">
        <v>3538</v>
      </c>
    </row>
    <row r="417" spans="1:11" x14ac:dyDescent="0.2">
      <c r="A417" s="260" t="s">
        <v>3375</v>
      </c>
      <c r="B417" s="1309">
        <f t="shared" si="20"/>
        <v>0.178604656</v>
      </c>
      <c r="C417" s="1129" t="s">
        <v>3539</v>
      </c>
    </row>
    <row r="418" spans="1:11" x14ac:dyDescent="0.2">
      <c r="A418" s="260" t="s">
        <v>708</v>
      </c>
      <c r="B418" s="1309">
        <f t="shared" si="20"/>
        <v>13.362448315</v>
      </c>
      <c r="C418" s="1129" t="s">
        <v>3540</v>
      </c>
    </row>
    <row r="419" spans="1:11" x14ac:dyDescent="0.2">
      <c r="A419" s="260" t="s">
        <v>3378</v>
      </c>
      <c r="B419" s="1311">
        <f t="shared" si="20"/>
        <v>5.8278807928999995E-7</v>
      </c>
      <c r="C419" s="1129" t="s">
        <v>3536</v>
      </c>
    </row>
    <row r="420" spans="1:11" x14ac:dyDescent="0.2">
      <c r="A420" s="260" t="s">
        <v>710</v>
      </c>
      <c r="B420" s="1311">
        <f t="shared" si="20"/>
        <v>3.4465941536999999E-7</v>
      </c>
      <c r="C420" s="1129" t="s">
        <v>3541</v>
      </c>
    </row>
    <row r="421" spans="1:11" x14ac:dyDescent="0.2">
      <c r="A421" s="260" t="s">
        <v>3381</v>
      </c>
      <c r="B421" s="1311">
        <f t="shared" si="20"/>
        <v>2.3916280000000002E-2</v>
      </c>
      <c r="C421" s="1129" t="s">
        <v>3542</v>
      </c>
    </row>
    <row r="422" spans="1:11" x14ac:dyDescent="0.2">
      <c r="A422" s="21" t="s">
        <v>3384</v>
      </c>
      <c r="B422" s="1309">
        <f t="shared" si="20"/>
        <v>4.38253965</v>
      </c>
      <c r="C422" s="1129" t="s">
        <v>3543</v>
      </c>
    </row>
    <row r="425" spans="1:11" ht="48" x14ac:dyDescent="0.2">
      <c r="A425" s="29" t="s">
        <v>3561</v>
      </c>
      <c r="B425" s="1977" t="s">
        <v>3562</v>
      </c>
      <c r="C425" s="1978"/>
      <c r="D425" s="1277" t="s">
        <v>3563</v>
      </c>
      <c r="E425" s="1277" t="s">
        <v>3564</v>
      </c>
      <c r="F425" s="1277" t="s">
        <v>3565</v>
      </c>
      <c r="H425" s="1278" t="s">
        <v>3563</v>
      </c>
      <c r="I425" s="1279" t="s">
        <v>3564</v>
      </c>
      <c r="J425" s="1280" t="s">
        <v>3565</v>
      </c>
    </row>
    <row r="426" spans="1:11" x14ac:dyDescent="0.2">
      <c r="A426" s="135" t="s">
        <v>701</v>
      </c>
      <c r="B426" s="166">
        <f ca="1">(B140*B$126)/(B$354*F$354)</f>
        <v>4.1410149555723879E-3</v>
      </c>
      <c r="C426" s="127" t="s">
        <v>3535</v>
      </c>
      <c r="D426" s="109">
        <v>2.4099999999999998E-3</v>
      </c>
      <c r="E426" s="110">
        <f>0.00035</f>
        <v>3.5E-4</v>
      </c>
      <c r="F426" s="110">
        <v>2.3000000000000001E-4</v>
      </c>
      <c r="G426" s="112" t="s">
        <v>3489</v>
      </c>
      <c r="H426" s="109">
        <f ca="1">(D426*$B$126)/($B$354*$F$354)</f>
        <v>2.8513845836941296E-5</v>
      </c>
      <c r="I426" s="1257">
        <f ca="1">(E426*$B$126)/($B$354*$F$354)</f>
        <v>4.1410149555723884E-6</v>
      </c>
      <c r="J426" s="1257">
        <f ca="1">(F426*$B$126)/($B$354*$F$354)</f>
        <v>2.7212383993761406E-6</v>
      </c>
      <c r="K426" s="112" t="s">
        <v>3535</v>
      </c>
    </row>
    <row r="427" spans="1:11" x14ac:dyDescent="0.2">
      <c r="A427" s="260" t="s">
        <v>703</v>
      </c>
      <c r="B427" s="166">
        <f ca="1">(B141*B$126)/(B$354*F$354)</f>
        <v>5.8148486950286517E-8</v>
      </c>
      <c r="C427" s="127" t="s">
        <v>3536</v>
      </c>
      <c r="D427" s="1262">
        <v>7.0750100000000004E-9</v>
      </c>
      <c r="E427" s="33">
        <v>4.9147299999999996E-9</v>
      </c>
      <c r="F427" s="33">
        <v>1.4924600000000001E-8</v>
      </c>
      <c r="G427" s="127" t="s">
        <v>3490</v>
      </c>
      <c r="H427" s="1262">
        <f ca="1">(D427*$B$126)/($B$354*$F$354)</f>
        <v>8.3707777773783445E-11</v>
      </c>
      <c r="I427" s="33">
        <f ca="1">(E427*$B$126)/($B$354*$F$354)</f>
        <v>5.8148486950286516E-11</v>
      </c>
      <c r="J427" s="33">
        <f ca="1">(F427*$B$126)/($B$354*$F$354)</f>
        <v>1.7657997658838762E-10</v>
      </c>
      <c r="K427" s="127" t="s">
        <v>3536</v>
      </c>
    </row>
    <row r="428" spans="1:11" x14ac:dyDescent="0.2">
      <c r="A428" s="260" t="s">
        <v>705</v>
      </c>
      <c r="B428" s="166">
        <f ca="1">(B142*B$126)/(B$354*F$354)</f>
        <v>3.2701003530590071</v>
      </c>
      <c r="C428" s="127" t="s">
        <v>3537</v>
      </c>
      <c r="D428" s="126">
        <v>0.39530999999999999</v>
      </c>
      <c r="E428">
        <v>0.27639000000000002</v>
      </c>
      <c r="F428">
        <v>2.0257299999999998</v>
      </c>
      <c r="G428" s="127" t="s">
        <v>3491</v>
      </c>
      <c r="H428" s="1262">
        <f ca="1">(D428*$B$126)/($B$354*$F$354)</f>
        <v>4.6770989202494879E-3</v>
      </c>
      <c r="I428" s="33">
        <f ca="1">(E428*$B$126)/($B$354*$F$354)</f>
        <v>3.2701003530590071E-3</v>
      </c>
      <c r="J428" s="33">
        <f ca="1">(F428*$B$126)/($B$354*$F$354)</f>
        <v>2.3967366359861863E-2</v>
      </c>
      <c r="K428" s="127" t="s">
        <v>3537</v>
      </c>
    </row>
    <row r="429" spans="1:11" x14ac:dyDescent="0.2">
      <c r="A429" s="260" t="s">
        <v>3372</v>
      </c>
      <c r="B429" s="166">
        <f ca="1">(B143*B$126)/(B$354*F$354)</f>
        <v>1.4638487867948391E-4</v>
      </c>
      <c r="C429" s="127" t="s">
        <v>3538</v>
      </c>
      <c r="D429" s="1262">
        <v>6.6355000000000003E-6</v>
      </c>
      <c r="E429" s="33">
        <v>1.2372500000000001E-5</v>
      </c>
      <c r="F429" s="33">
        <v>4.5840600000000003E-5</v>
      </c>
      <c r="G429" s="127" t="s">
        <v>3492</v>
      </c>
      <c r="H429" s="1262">
        <f ca="1">(D429*$B$126)/($B$354*$F$354)</f>
        <v>7.8507727822001661E-8</v>
      </c>
      <c r="I429" s="33">
        <f ca="1">(E429*$B$126)/($B$354*$F$354)</f>
        <v>1.4638487867948391E-7</v>
      </c>
      <c r="J429" s="33">
        <f ca="1">(F429*$B$126)/($B$354*$F$354)</f>
        <v>5.4236174334974754E-7</v>
      </c>
      <c r="K429" s="127" t="s">
        <v>3538</v>
      </c>
    </row>
    <row r="430" spans="1:11" x14ac:dyDescent="0.2">
      <c r="A430" s="260" t="s">
        <v>3375</v>
      </c>
      <c r="B430" s="166">
        <f ca="1">(B144*B$126)/(B$354*F$354)</f>
        <v>8.4071477201595702E-4</v>
      </c>
      <c r="C430" s="127" t="s">
        <v>3539</v>
      </c>
      <c r="D430" s="126">
        <v>8.3000000000000001E-4</v>
      </c>
      <c r="E430" s="33">
        <v>7.1057500000000002E-5</v>
      </c>
      <c r="F430">
        <v>2.7E-4</v>
      </c>
      <c r="G430" s="127" t="s">
        <v>3493</v>
      </c>
      <c r="H430" s="1262">
        <f ca="1">(D430*$B$126)/($B$354*$F$354)</f>
        <v>9.8201211803573771E-6</v>
      </c>
      <c r="I430" s="33">
        <f ca="1">(E430*$B$126)/($B$354*$F$354)</f>
        <v>8.4071477201595711E-7</v>
      </c>
      <c r="J430" s="33">
        <f ca="1">(F430*$B$126)/($B$354*$F$354)</f>
        <v>3.1944972514415565E-6</v>
      </c>
      <c r="K430" s="127" t="s">
        <v>3539</v>
      </c>
    </row>
    <row r="431" spans="1:11" x14ac:dyDescent="0.2">
      <c r="A431" s="260" t="s">
        <v>708</v>
      </c>
      <c r="B431" s="166">
        <f ca="1">(B145*B$126)/(B$354*F$354)</f>
        <v>1.2607615819022677</v>
      </c>
      <c r="C431" s="127" t="s">
        <v>3540</v>
      </c>
      <c r="D431" s="1262">
        <v>5.5739999999999998E-2</v>
      </c>
      <c r="E431" s="33">
        <v>0.10656</v>
      </c>
      <c r="F431" s="33">
        <v>4.0280000000000003E-2</v>
      </c>
      <c r="G431" s="127" t="s">
        <v>3494</v>
      </c>
      <c r="H431" s="1262">
        <f ca="1">(D431*$B$126)/($B$354*$F$354)</f>
        <v>6.5948621035315691E-4</v>
      </c>
      <c r="I431" s="33">
        <f ca="1">(E431*$B$126)/($B$354*$F$354)</f>
        <v>1.2607615819022677E-3</v>
      </c>
      <c r="J431" s="33">
        <f ca="1">(F431*$B$126)/($B$354*$F$354)</f>
        <v>4.7657166402987375E-4</v>
      </c>
      <c r="K431" s="127" t="s">
        <v>3540</v>
      </c>
    </row>
    <row r="432" spans="1:11" x14ac:dyDescent="0.2">
      <c r="A432" s="260" t="s">
        <v>3378</v>
      </c>
      <c r="B432" s="166">
        <f ca="1">(B146*B$126)/(B$354*F$354)</f>
        <v>9.8178258749248595E-8</v>
      </c>
      <c r="C432" s="127" t="s">
        <v>3536</v>
      </c>
      <c r="D432" s="1262">
        <v>6.0827500000000003E-9</v>
      </c>
      <c r="E432" s="33">
        <v>8.2980600000000002E-9</v>
      </c>
      <c r="F432" s="33">
        <v>7.6097100000000002E-8</v>
      </c>
      <c r="G432" s="127" t="s">
        <v>3490</v>
      </c>
      <c r="H432" s="1262">
        <f ca="1">(D432*$B$126)/($B$354*$F$354)</f>
        <v>7.1967882060022697E-11</v>
      </c>
      <c r="I432" s="33">
        <f ca="1">(E432*$B$126)/($B$354*$F$354)</f>
        <v>9.8178258749248612E-11</v>
      </c>
      <c r="J432" s="33">
        <f ca="1">(F432*$B$126)/($B$354*$F$354)</f>
        <v>9.003406547876788E-10</v>
      </c>
      <c r="K432" s="127" t="s">
        <v>3536</v>
      </c>
    </row>
    <row r="433" spans="1:11" x14ac:dyDescent="0.2">
      <c r="A433" s="260" t="s">
        <v>710</v>
      </c>
      <c r="B433" s="166">
        <f ca="1">(B147*B$126)/(B$354*F$354)</f>
        <v>3.841986349894855E-9</v>
      </c>
      <c r="C433" s="127" t="s">
        <v>3541</v>
      </c>
      <c r="D433" s="1262">
        <v>4.1762899999999998E-10</v>
      </c>
      <c r="E433" s="33">
        <v>3.2472599999999999E-10</v>
      </c>
      <c r="F433" s="33">
        <v>9.86529E-10</v>
      </c>
      <c r="G433" s="127" t="s">
        <v>3495</v>
      </c>
      <c r="H433" s="1262">
        <f ca="1">(D433*$B$126)/($B$354*$F$354)</f>
        <v>4.9411655282306875E-12</v>
      </c>
      <c r="I433" s="33">
        <f ca="1">(E433*$B$126)/($B$354*$F$354)</f>
        <v>3.8419863498948554E-12</v>
      </c>
      <c r="J433" s="33">
        <f ca="1">(F433*$B$126)/($B$354*$F$354)</f>
        <v>1.1672089551731064E-11</v>
      </c>
      <c r="K433" s="127" t="s">
        <v>3541</v>
      </c>
    </row>
    <row r="434" spans="1:11" x14ac:dyDescent="0.2">
      <c r="A434" s="260" t="s">
        <v>3381</v>
      </c>
      <c r="B434" s="166">
        <f ca="1">(B148*B$126)/(B$354*F$354)</f>
        <v>3.0735914462101443E-4</v>
      </c>
      <c r="C434" s="127" t="s">
        <v>3542</v>
      </c>
      <c r="D434" s="1262">
        <v>7.0901600000000006E-5</v>
      </c>
      <c r="E434" s="33">
        <v>2.5978100000000001E-5</v>
      </c>
      <c r="F434" s="33">
        <v>1.9873000000000001E-5</v>
      </c>
      <c r="G434" s="127" t="s">
        <v>3496</v>
      </c>
      <c r="H434" s="1262">
        <f ca="1">(D434*$B$126)/($B$354*$F$354)</f>
        <v>8.3887024564003216E-7</v>
      </c>
      <c r="I434" s="33">
        <f ca="1">(E434*$B$126)/($B$354*$F$354)</f>
        <v>3.0735914462101447E-7</v>
      </c>
      <c r="J434" s="33">
        <f ca="1">(F434*$B$126)/($B$354*$F$354)</f>
        <v>2.351268291774002E-7</v>
      </c>
      <c r="K434" s="127" t="s">
        <v>3542</v>
      </c>
    </row>
    <row r="435" spans="1:11" x14ac:dyDescent="0.2">
      <c r="A435" s="21" t="s">
        <v>3384</v>
      </c>
      <c r="B435" s="833">
        <f ca="1">(B149*B$126)/(B$354*F$354)</f>
        <v>2.1769907195009125E-2</v>
      </c>
      <c r="C435" s="120" t="s">
        <v>3543</v>
      </c>
      <c r="D435" s="1282">
        <v>2.0799999999999998E-3</v>
      </c>
      <c r="E435" s="1258">
        <v>1.8400000000000001E-3</v>
      </c>
      <c r="F435" s="1258">
        <v>6.2899999999999996E-3</v>
      </c>
      <c r="G435" s="120" t="s">
        <v>3497</v>
      </c>
      <c r="H435" s="1282">
        <f ca="1">(D435*$B$126)/($B$354*$F$354)</f>
        <v>2.4609460307401615E-5</v>
      </c>
      <c r="I435" s="1258">
        <f ca="1">(E435*$B$126)/($B$354*$F$354)</f>
        <v>2.1769907195009125E-5</v>
      </c>
      <c r="J435" s="1258">
        <f ca="1">(F435*$B$126)/($B$354*$F$354)</f>
        <v>7.4419954487286633E-5</v>
      </c>
      <c r="K435" s="120" t="s">
        <v>3543</v>
      </c>
    </row>
    <row r="438" spans="1:11" ht="64" x14ac:dyDescent="0.2">
      <c r="A438" s="29" t="s">
        <v>3561</v>
      </c>
      <c r="B438" s="1177" t="s">
        <v>3566</v>
      </c>
      <c r="C438" s="1277" t="s">
        <v>3567</v>
      </c>
      <c r="D438" s="1277" t="s">
        <v>3568</v>
      </c>
      <c r="E438" s="1277" t="s">
        <v>3569</v>
      </c>
      <c r="F438" s="1277" t="s">
        <v>3570</v>
      </c>
      <c r="G438" s="1277" t="s">
        <v>3571</v>
      </c>
    </row>
    <row r="439" spans="1:11" x14ac:dyDescent="0.2">
      <c r="A439" s="135" t="s">
        <v>701</v>
      </c>
      <c r="B439" s="1283">
        <f>B413</f>
        <v>0.143916288</v>
      </c>
      <c r="C439" s="100">
        <f ca="1">B362</f>
        <v>0.14036094888392944</v>
      </c>
      <c r="D439" s="100">
        <f t="shared" ref="D439:D448" ca="1" si="21">$C439-H426</f>
        <v>0.14033243503809251</v>
      </c>
      <c r="E439" s="100">
        <f t="shared" ref="E439:E448" ca="1" si="22">$C439-I426</f>
        <v>0.14035680786897387</v>
      </c>
      <c r="F439" s="268">
        <f t="shared" ref="F439:F448" ca="1" si="23">$C439-J426</f>
        <v>0.14035822764553008</v>
      </c>
      <c r="G439" s="100">
        <f ca="1">B362-B426</f>
        <v>0.13621993392835705</v>
      </c>
    </row>
    <row r="440" spans="1:11" x14ac:dyDescent="0.2">
      <c r="A440" s="260" t="s">
        <v>703</v>
      </c>
      <c r="B440" s="1262">
        <f>B414</f>
        <v>2.8270127095000003E-7</v>
      </c>
      <c r="C440" s="100">
        <f ca="1">B363</f>
        <v>7.4128198958511807E-7</v>
      </c>
      <c r="D440" s="100">
        <f t="shared" ca="1" si="21"/>
        <v>7.4119828180734427E-7</v>
      </c>
      <c r="E440" s="100">
        <f t="shared" ca="1" si="22"/>
        <v>7.4122384109816781E-7</v>
      </c>
      <c r="F440" s="268">
        <f t="shared" ca="1" si="23"/>
        <v>7.4110540960852966E-7</v>
      </c>
      <c r="G440" s="100">
        <f ca="1">B363-B427</f>
        <v>6.8313350263483155E-7</v>
      </c>
    </row>
    <row r="441" spans="1:11" x14ac:dyDescent="0.2">
      <c r="A441" s="260" t="s">
        <v>705</v>
      </c>
      <c r="B441" s="1283">
        <f>B415</f>
        <v>23.633533225000001</v>
      </c>
      <c r="C441" s="100">
        <f ca="1">B364</f>
        <v>140.22020988092507</v>
      </c>
      <c r="D441" s="100">
        <f t="shared" ca="1" si="21"/>
        <v>140.21553278200483</v>
      </c>
      <c r="E441" s="100">
        <f t="shared" ca="1" si="22"/>
        <v>140.21693978057201</v>
      </c>
      <c r="F441" s="268">
        <f t="shared" ca="1" si="23"/>
        <v>140.1962425145652</v>
      </c>
      <c r="G441" s="100">
        <f ca="1">B364-B428</f>
        <v>136.95010952786606</v>
      </c>
    </row>
    <row r="442" spans="1:11" x14ac:dyDescent="0.2">
      <c r="A442" s="260" t="s">
        <v>3372</v>
      </c>
      <c r="B442" s="1262">
        <f>B416</f>
        <v>2.6559863926999997E-4</v>
      </c>
      <c r="C442" s="100">
        <f ca="1">B365</f>
        <v>1.8810969194410759E-3</v>
      </c>
      <c r="D442" s="100">
        <f t="shared" ca="1" si="21"/>
        <v>1.8810184117132539E-3</v>
      </c>
      <c r="E442" s="100">
        <f t="shared" ca="1" si="22"/>
        <v>1.8809505345623965E-3</v>
      </c>
      <c r="F442" s="268">
        <f t="shared" ca="1" si="23"/>
        <v>1.8805545576977261E-3</v>
      </c>
      <c r="G442" s="100">
        <f ca="1">B365-B429</f>
        <v>1.734712040761592E-3</v>
      </c>
    </row>
    <row r="443" spans="1:11" x14ac:dyDescent="0.2">
      <c r="A443" s="260" t="s">
        <v>3375</v>
      </c>
      <c r="B443" s="1283">
        <f>B417</f>
        <v>0.178604656</v>
      </c>
      <c r="C443" s="100">
        <f ca="1">B366</f>
        <v>0.1812743480006537</v>
      </c>
      <c r="D443" s="100">
        <f t="shared" ca="1" si="21"/>
        <v>0.18126452787947334</v>
      </c>
      <c r="E443" s="100">
        <f t="shared" ca="1" si="22"/>
        <v>0.18127350728588168</v>
      </c>
      <c r="F443" s="268">
        <f t="shared" ca="1" si="23"/>
        <v>0.18127115350340225</v>
      </c>
      <c r="G443" s="100">
        <f ca="1">B366-B430</f>
        <v>0.18043363322863776</v>
      </c>
    </row>
    <row r="444" spans="1:11" x14ac:dyDescent="0.2">
      <c r="A444" s="260" t="s">
        <v>708</v>
      </c>
      <c r="B444" s="1262">
        <f>B418</f>
        <v>13.362448315</v>
      </c>
      <c r="C444" s="100">
        <f ca="1">B367</f>
        <v>5.2606078945625159</v>
      </c>
      <c r="D444" s="100">
        <f t="shared" ca="1" si="21"/>
        <v>5.2599484083521624</v>
      </c>
      <c r="E444" s="100">
        <f t="shared" ca="1" si="22"/>
        <v>5.2593471329806132</v>
      </c>
      <c r="F444" s="268">
        <f t="shared" ca="1" si="23"/>
        <v>5.2601313228984861</v>
      </c>
      <c r="G444" s="100">
        <f ca="1">B367-B431</f>
        <v>3.9998463126602481</v>
      </c>
    </row>
    <row r="445" spans="1:11" x14ac:dyDescent="0.2">
      <c r="A445" s="260" t="s">
        <v>3378</v>
      </c>
      <c r="B445" s="1262">
        <f>B419</f>
        <v>5.8278807928999995E-7</v>
      </c>
      <c r="C445" s="100">
        <f ca="1">B368</f>
        <v>1.1876010783675051E-5</v>
      </c>
      <c r="D445" s="100">
        <f t="shared" ca="1" si="21"/>
        <v>1.1875938815792991E-5</v>
      </c>
      <c r="E445" s="100">
        <f t="shared" ca="1" si="22"/>
        <v>1.1875912605416301E-5</v>
      </c>
      <c r="F445" s="268">
        <f t="shared" ca="1" si="23"/>
        <v>1.1875110443020263E-5</v>
      </c>
      <c r="G445" s="100">
        <f ca="1">B368-B432</f>
        <v>1.1777832524925803E-5</v>
      </c>
    </row>
    <row r="446" spans="1:11" x14ac:dyDescent="0.2">
      <c r="A446" s="260" t="s">
        <v>710</v>
      </c>
      <c r="B446" s="1262">
        <f>B420</f>
        <v>3.4465941536999999E-7</v>
      </c>
      <c r="C446" s="100">
        <f ca="1">B369</f>
        <v>1.9025642119741937E-7</v>
      </c>
      <c r="D446" s="100">
        <f t="shared" ca="1" si="21"/>
        <v>1.9025148003189113E-7</v>
      </c>
      <c r="E446" s="100">
        <f t="shared" ca="1" si="22"/>
        <v>1.9025257921106948E-7</v>
      </c>
      <c r="F446" s="268">
        <f t="shared" ca="1" si="23"/>
        <v>1.9024474910786764E-7</v>
      </c>
      <c r="G446" s="100">
        <f ca="1">B369-B433</f>
        <v>1.8641443484752452E-7</v>
      </c>
    </row>
    <row r="447" spans="1:11" x14ac:dyDescent="0.2">
      <c r="A447" s="260" t="s">
        <v>3381</v>
      </c>
      <c r="B447" s="1262">
        <f>B421</f>
        <v>2.3916280000000002E-2</v>
      </c>
      <c r="C447" s="100">
        <f ca="1">B370</f>
        <v>3.1725084005348438E-2</v>
      </c>
      <c r="D447" s="100">
        <f t="shared" ca="1" si="21"/>
        <v>3.1724245135102795E-2</v>
      </c>
      <c r="E447" s="100">
        <f t="shared" ca="1" si="22"/>
        <v>3.1724776646203816E-2</v>
      </c>
      <c r="F447" s="268">
        <f t="shared" ca="1" si="23"/>
        <v>3.1724848878519257E-2</v>
      </c>
      <c r="G447" s="100">
        <f ca="1">B370-B434</f>
        <v>3.1417724860727421E-2</v>
      </c>
    </row>
    <row r="448" spans="1:11" x14ac:dyDescent="0.2">
      <c r="A448" s="21" t="s">
        <v>3384</v>
      </c>
      <c r="B448" s="1282">
        <f>B422</f>
        <v>4.38253965</v>
      </c>
      <c r="C448" s="168">
        <f ca="1">B371</f>
        <v>4.3972497802884822</v>
      </c>
      <c r="D448" s="168">
        <f t="shared" ca="1" si="21"/>
        <v>4.3972251708281744</v>
      </c>
      <c r="E448" s="168">
        <f t="shared" ca="1" si="22"/>
        <v>4.3972280103812871</v>
      </c>
      <c r="F448" s="269">
        <f t="shared" ca="1" si="23"/>
        <v>4.3971753603339954</v>
      </c>
      <c r="G448" s="168">
        <f ca="1">B371-B435</f>
        <v>4.3754798730934734</v>
      </c>
    </row>
    <row r="455" spans="1:17" ht="14.5" customHeight="1" x14ac:dyDescent="0.2">
      <c r="A455" s="1762" t="s">
        <v>3572</v>
      </c>
      <c r="B455" s="1762"/>
      <c r="C455" s="1762"/>
      <c r="D455" s="1762"/>
      <c r="E455" s="1762"/>
      <c r="F455" s="1762"/>
      <c r="G455" s="1762"/>
      <c r="H455" s="1762"/>
      <c r="I455" s="1762"/>
      <c r="J455" s="1762"/>
      <c r="K455" s="1762"/>
      <c r="L455" s="1762"/>
      <c r="M455" s="1762"/>
      <c r="N455" s="1762"/>
      <c r="O455" s="1762"/>
      <c r="P455" s="1762"/>
      <c r="Q455" s="1762"/>
    </row>
    <row r="456" spans="1:17" ht="14.5" customHeight="1" x14ac:dyDescent="0.2">
      <c r="A456" s="1762"/>
      <c r="B456" s="1762"/>
      <c r="C456" s="1762"/>
      <c r="D456" s="1762"/>
      <c r="E456" s="1762"/>
      <c r="F456" s="1762"/>
      <c r="G456" s="1762"/>
      <c r="H456" s="1762"/>
      <c r="I456" s="1762"/>
      <c r="J456" s="1762"/>
      <c r="K456" s="1762"/>
      <c r="L456" s="1762"/>
      <c r="M456" s="1762"/>
      <c r="N456" s="1762"/>
      <c r="O456" s="1762"/>
      <c r="P456" s="1762"/>
      <c r="Q456" s="1762"/>
    </row>
    <row r="457" spans="1:17" ht="14.5" customHeight="1" x14ac:dyDescent="0.2">
      <c r="A457" s="1963" t="s">
        <v>586</v>
      </c>
      <c r="B457" s="1964"/>
      <c r="C457" s="1965"/>
    </row>
    <row r="458" spans="1:17" ht="14.5" customHeight="1" x14ac:dyDescent="0.2">
      <c r="A458" s="1256" t="s">
        <v>3470</v>
      </c>
      <c r="B458" s="1256" t="s">
        <v>42</v>
      </c>
      <c r="C458" s="1256" t="s">
        <v>372</v>
      </c>
      <c r="D458" s="1256" t="s">
        <v>753</v>
      </c>
      <c r="E458" s="1256" t="s">
        <v>3504</v>
      </c>
      <c r="F458" s="1256" t="s">
        <v>3514</v>
      </c>
      <c r="G458" s="1256" t="s">
        <v>3515</v>
      </c>
      <c r="H458" s="1256" t="s">
        <v>3506</v>
      </c>
      <c r="I458" s="1256" t="s">
        <v>812</v>
      </c>
      <c r="J458" s="1256" t="s">
        <v>3521</v>
      </c>
      <c r="K458" s="1256" t="s">
        <v>3507</v>
      </c>
      <c r="L458" s="1256" t="s">
        <v>3522</v>
      </c>
      <c r="M458" s="1256" t="s">
        <v>714</v>
      </c>
      <c r="N458" s="1256" t="s">
        <v>3523</v>
      </c>
      <c r="O458" s="1256" t="s">
        <v>3524</v>
      </c>
      <c r="P458" s="1256" t="s">
        <v>539</v>
      </c>
      <c r="Q458" s="1256" t="s">
        <v>3525</v>
      </c>
    </row>
    <row r="459" spans="1:17" x14ac:dyDescent="0.2">
      <c r="A459" s="109" t="s">
        <v>701</v>
      </c>
      <c r="B459" s="33">
        <f ca="1">B210+SUM(LCI_AB!L1885,LCI_AB!L1897,LCI_AB!L1909,LCI_AB!L1921,LCI_AB!L1933,LCI_AB!L1945,LCI_AB!L1957,LCI_AB!L1969,LCI_AB!L1981,LCI_AB!L1993,LCI_AB!L2005,LCI_AB!L2017,LCI_AB!L2029,LCI_AB!L2041,LCI_AB!L2053,LCI_AB!L2065,LCI_AB!L2077,LCI_AB!L2089,LCI_AB!L2101,LCI_AB!L2113,LCI_AB!L2125,LCI_AB!L2144,LCI_AB!L2156,LCI_AB!L2168,LCI_AB!L2180,LCI_AB!L2192,LCI_AB!L2204,LCI_AB!L2216,LCI_AB!L2228,LCI_AB!L2240,LCI_AB!L2252,LCI_AB!L2264,LCI_AB!L2283,LCI_AB!L2295,LCI_AB!L2307,LCI_AB!L2319,LCI_AB!L2331,LCI_AB!L2343,LCI_AB!L2355,LCI_AB!L2367,LCI_AB!L2379,LCI_AB!L2391,LCI_AB!L2403,LCI_AB!L2422,LCI_AB!L2434,LCI_AB!L2446,LCI_AB!L2458,LCI_AB!L2470,LCI_AB!L2482,LCI_AB!L2494,LCI_AB!L2506,LCI_AB!L2518,LCI_AB!L2530,LCI_AB!L2542,LCI_AB!L2554,LCI_AB!L2566,LCI_AB!L2587,LCI_AB!L2599,LCI_AB!L2611,LCI_AB!L2623,LCI_AB!L2635,LCI_AB!L2647,LCI_AB!L2659,LCI_AB!L2671,LCI_AB!L2683,LCI_AB!L2695,LCI_AB!L2717,LCI_AB!L2729,LCI_AB!L2741,LCI_AB!L2753,LCI_AB!L2765,LCI_AB!L2777,LCI_AB!L2789,LCI_AB!L2801,LCI_AB!L2813,LCI_AB!L2825,LCI_AB!L2837,LCI_AB!L2849,LCI_AB!L2861,LCI_AB!L2873,LCI_AB!L2893)</f>
        <v>74937970.620079294</v>
      </c>
      <c r="C459" s="112" t="s">
        <v>3367</v>
      </c>
      <c r="D459" s="1297">
        <f t="shared" ref="D459:D468" ca="1" si="24">B471/B459</f>
        <v>6.7625032132218044E-2</v>
      </c>
      <c r="E459" s="1297">
        <f t="shared" ref="E459:E468" ca="1" si="25">B483/B459</f>
        <v>7.9780119099102757E-5</v>
      </c>
      <c r="F459" s="1297">
        <f t="shared" ref="F459:F468" ca="1" si="26">B495/B459</f>
        <v>3.7394796680671505E-4</v>
      </c>
      <c r="G459" s="1297">
        <f t="shared" ref="G459:G468" ca="1" si="27">B507/B459</f>
        <v>6.7874806807762846E-3</v>
      </c>
      <c r="H459" s="1297">
        <f t="shared" ref="H459:H468" ca="1" si="28">B519/B459</f>
        <v>2.0697155230071308E-2</v>
      </c>
      <c r="I459" s="1297">
        <f t="shared" ref="I459:I468" ca="1" si="29">B531/B459</f>
        <v>1.9197718830032747E-3</v>
      </c>
      <c r="J459" s="1297">
        <f t="shared" ref="J459:J468" ca="1" si="30">B543/B459</f>
        <v>8.0613444790314859E-5</v>
      </c>
      <c r="K459" s="1297">
        <f t="shared" ref="K459:K468" ca="1" si="31">B555/B459</f>
        <v>1.8887548189492211E-2</v>
      </c>
      <c r="L459" s="1297">
        <f t="shared" ref="L459:L468" ca="1" si="32">B567/B459</f>
        <v>2.2580541776632179E-4</v>
      </c>
      <c r="M459" s="1297">
        <f t="shared" ref="M459:M468" ca="1" si="33">B579/B459</f>
        <v>1.424989528424443E-2</v>
      </c>
      <c r="N459" s="1297">
        <f t="shared" ref="N459:N468" ca="1" si="34">B591/B459</f>
        <v>2.9406649048911736E-2</v>
      </c>
      <c r="O459" s="1298">
        <f ca="1">(B665*B$616)/B459</f>
        <v>0.41970083977374922</v>
      </c>
      <c r="P459" s="100">
        <f t="shared" ref="P459:P468" ca="1" si="35">B603/B459</f>
        <v>2.1286770110750521E-8</v>
      </c>
      <c r="Q459" s="33">
        <f t="shared" ref="Q459:Q468" ca="1" si="36">SUM(D459:O459)</f>
        <v>0.58003451917092896</v>
      </c>
    </row>
    <row r="460" spans="1:17" x14ac:dyDescent="0.2">
      <c r="A460" s="126" t="s">
        <v>703</v>
      </c>
      <c r="B460" s="33">
        <f ca="1">B211+SUM(LCI_AB!L1886,LCI_AB!L1898,LCI_AB!L1910,LCI_AB!L1922,LCI_AB!L1934,LCI_AB!L1946,LCI_AB!L1958,LCI_AB!L1970,LCI_AB!L1982,LCI_AB!L1994,LCI_AB!L2006,LCI_AB!L2018,LCI_AB!L2030,LCI_AB!L2042,LCI_AB!L2054,LCI_AB!L2066,LCI_AB!L2078,LCI_AB!L2090,LCI_AB!L2102,LCI_AB!L2114,LCI_AB!L2126,LCI_AB!L2145,LCI_AB!L2157,LCI_AB!L2169,LCI_AB!L2181,LCI_AB!L2193,LCI_AB!L2205,LCI_AB!L2217,LCI_AB!L2229,LCI_AB!L2241,LCI_AB!L2253,LCI_AB!L2265,LCI_AB!L2284,LCI_AB!L2296,LCI_AB!L2308,LCI_AB!L2320,LCI_AB!L2332,LCI_AB!L2344,LCI_AB!L2356,LCI_AB!L2368,LCI_AB!L2380,LCI_AB!L2392,LCI_AB!L2404,LCI_AB!L2423,LCI_AB!L2435,LCI_AB!L2447,LCI_AB!L2459,LCI_AB!L2471,LCI_AB!L2483,LCI_AB!L2495,LCI_AB!L2507,LCI_AB!L2519,LCI_AB!L2531,LCI_AB!L2543,LCI_AB!L2555,LCI_AB!L2567,LCI_AB!L2588,LCI_AB!L2600,LCI_AB!L2612,LCI_AB!L2624,LCI_AB!L2636,LCI_AB!L2648,LCI_AB!L2660,LCI_AB!L2672,LCI_AB!L2684,LCI_AB!L2696,LCI_AB!L2718,LCI_AB!L2730,LCI_AB!L2742,LCI_AB!L2754,LCI_AB!L2766,LCI_AB!L2778,LCI_AB!L2790,LCI_AB!L2802,LCI_AB!L2814,LCI_AB!L2826,LCI_AB!L2838,LCI_AB!L2850,LCI_AB!L2862,LCI_AB!L2874,LCI_AB!L2894)</f>
        <v>461.14628017432102</v>
      </c>
      <c r="C460" s="127" t="s">
        <v>3368</v>
      </c>
      <c r="D460" s="1297">
        <f t="shared" ca="1" si="24"/>
        <v>0.17484444755881123</v>
      </c>
      <c r="E460" s="1297">
        <f t="shared" ca="1" si="25"/>
        <v>1.795372448028605E-3</v>
      </c>
      <c r="F460" s="1297">
        <f t="shared" ca="1" si="26"/>
        <v>9.7042531673644764E-4</v>
      </c>
      <c r="G460" s="1297">
        <f t="shared" ca="1" si="27"/>
        <v>0.11107881601612669</v>
      </c>
      <c r="H460" s="1297">
        <f t="shared" ca="1" si="28"/>
        <v>5.7580804730585244E-2</v>
      </c>
      <c r="I460" s="1297">
        <f t="shared" ca="1" si="29"/>
        <v>3.9458499312294872E-3</v>
      </c>
      <c r="J460" s="1297">
        <f t="shared" ca="1" si="30"/>
        <v>5.053972893631466E-4</v>
      </c>
      <c r="K460" s="1297">
        <f t="shared" ca="1" si="31"/>
        <v>0.41849173316926502</v>
      </c>
      <c r="L460" s="1297">
        <f t="shared" ca="1" si="32"/>
        <v>8.7371568590264675E-5</v>
      </c>
      <c r="M460" s="1297">
        <f t="shared" ca="1" si="33"/>
        <v>0.10223239807035847</v>
      </c>
      <c r="N460" s="1297">
        <f t="shared" ca="1" si="34"/>
        <v>8.7101656253474449E-2</v>
      </c>
      <c r="O460" s="1298">
        <f ca="1">(B666*B$616)/B460</f>
        <v>1.2873263883461659E-2</v>
      </c>
      <c r="P460" s="100">
        <f t="shared" ca="1" si="35"/>
        <v>2.4522736368967296E-8</v>
      </c>
      <c r="Q460" s="33">
        <f t="shared" ca="1" si="36"/>
        <v>0.9715075362360307</v>
      </c>
    </row>
    <row r="461" spans="1:17" x14ac:dyDescent="0.2">
      <c r="A461" s="126" t="s">
        <v>705</v>
      </c>
      <c r="B461" s="33">
        <f ca="1">B212+SUM(LCI_AB!L1887,LCI_AB!L1899,LCI_AB!L1911,LCI_AB!L1923,LCI_AB!L1935,LCI_AB!L1947,LCI_AB!L1959,LCI_AB!L1971,LCI_AB!L1983,LCI_AB!L1995,LCI_AB!L2007,LCI_AB!L2019,LCI_AB!L2031,LCI_AB!L2043,LCI_AB!L2055,LCI_AB!L2067,LCI_AB!L2079,LCI_AB!L2091,LCI_AB!L2103,LCI_AB!L2115,LCI_AB!L2127,LCI_AB!L2146,LCI_AB!L2158,LCI_AB!L2170,LCI_AB!L2182,LCI_AB!L2194,LCI_AB!L2206,LCI_AB!L2218,LCI_AB!L2230,LCI_AB!L2242,LCI_AB!L2254,LCI_AB!L2266,LCI_AB!L2285,LCI_AB!L2297,LCI_AB!L2309,LCI_AB!L2321,LCI_AB!L2333,LCI_AB!L2345,LCI_AB!L2357,LCI_AB!L2369,LCI_AB!L2381,LCI_AB!L2393,LCI_AB!L2405,LCI_AB!L2424,LCI_AB!L2436,LCI_AB!L2448,LCI_AB!L2460,LCI_AB!L2472,LCI_AB!L2484,LCI_AB!L2496,LCI_AB!L2508,LCI_AB!L2520,LCI_AB!L2532,LCI_AB!L2544,LCI_AB!L2556,LCI_AB!L2568,LCI_AB!L2589,LCI_AB!L2601,LCI_AB!L2613,LCI_AB!L2625,LCI_AB!L2637,LCI_AB!L2649,LCI_AB!L2661,LCI_AB!L2673,LCI_AB!L2685,LCI_AB!L2697,LCI_AB!L2719,LCI_AB!L2731,LCI_AB!L2743,LCI_AB!L2755,LCI_AB!L2767,LCI_AB!L2779,LCI_AB!L2791,LCI_AB!L2803,LCI_AB!L2815,LCI_AB!L2827,LCI_AB!L2839,LCI_AB!L2851,LCI_AB!L2863,LCI_AB!L2875,LCI_AB!L2895)</f>
        <v>79891486998.487839</v>
      </c>
      <c r="C461" s="127" t="s">
        <v>3370</v>
      </c>
      <c r="D461" s="1297">
        <f t="shared" ca="1" si="24"/>
        <v>0.31391259911225533</v>
      </c>
      <c r="E461" s="1297">
        <f t="shared" ca="1" si="25"/>
        <v>2.0005049331589713E-3</v>
      </c>
      <c r="F461" s="1297">
        <f t="shared" ca="1" si="26"/>
        <v>1.4710245186351886E-3</v>
      </c>
      <c r="G461" s="1297">
        <f t="shared" ca="1" si="27"/>
        <v>7.2499147627447279E-5</v>
      </c>
      <c r="H461" s="1297">
        <f t="shared" ca="1" si="28"/>
        <v>7.0655411758406478E-2</v>
      </c>
      <c r="I461" s="1297">
        <f t="shared" ca="1" si="29"/>
        <v>3.178273439500748E-3</v>
      </c>
      <c r="J461" s="1297">
        <f t="shared" ca="1" si="30"/>
        <v>4.3637186298785328E-4</v>
      </c>
      <c r="K461" s="1297">
        <f t="shared" ca="1" si="31"/>
        <v>0.3751611911670486</v>
      </c>
      <c r="L461" s="1297">
        <f t="shared" ca="1" si="32"/>
        <v>2.493309243075659E-4</v>
      </c>
      <c r="M461" s="1297">
        <f t="shared" ca="1" si="33"/>
        <v>7.4794754469021785E-2</v>
      </c>
      <c r="N461" s="1297">
        <f t="shared" ca="1" si="34"/>
        <v>0.10611360390719787</v>
      </c>
      <c r="O461" s="1298">
        <f ca="1">(B667*B$616)/B461</f>
        <v>1.6999085144606501E-2</v>
      </c>
      <c r="P461" s="100">
        <f t="shared" ca="1" si="35"/>
        <v>7.4594006733329009E-9</v>
      </c>
      <c r="Q461" s="33">
        <f t="shared" ca="1" si="36"/>
        <v>0.96504465038475429</v>
      </c>
    </row>
    <row r="462" spans="1:17" x14ac:dyDescent="0.2">
      <c r="A462" s="126" t="s">
        <v>3372</v>
      </c>
      <c r="B462" s="33">
        <f ca="1">B213+SUM(LCI_AB!L1888,LCI_AB!L1900,LCI_AB!L1912,LCI_AB!L1924,LCI_AB!L1936,LCI_AB!L1948,LCI_AB!L1960,LCI_AB!L1972,LCI_AB!L1984,LCI_AB!L1996,LCI_AB!L2008,LCI_AB!L2020,LCI_AB!L2032,LCI_AB!L2044,LCI_AB!L2056,LCI_AB!L2068,LCI_AB!L2080,LCI_AB!L2092,LCI_AB!L2104,LCI_AB!L2116,LCI_AB!L2128,LCI_AB!L2147,LCI_AB!L2159,LCI_AB!L2171,LCI_AB!L2183,LCI_AB!L2195,LCI_AB!L2207,LCI_AB!L2219,LCI_AB!L2231,LCI_AB!L2243,LCI_AB!L2255,LCI_AB!L2267,LCI_AB!L2286,LCI_AB!L2298,LCI_AB!L2310,LCI_AB!L2322,LCI_AB!L2334,LCI_AB!L2346,LCI_AB!L2358,LCI_AB!L2370,LCI_AB!L2382,LCI_AB!L2394,LCI_AB!L2406,LCI_AB!L2425,LCI_AB!L2437,LCI_AB!L2449,LCI_AB!L2461,LCI_AB!L2473,LCI_AB!L2485,LCI_AB!L2497,LCI_AB!L2509,LCI_AB!L2521,LCI_AB!L2533,LCI_AB!L2545,LCI_AB!L2557,LCI_AB!L2569,LCI_AB!L2590,LCI_AB!L2602,LCI_AB!L2614,LCI_AB!L2626,LCI_AB!L2638,LCI_AB!L2650,LCI_AB!L2662,LCI_AB!L2674,LCI_AB!L2686,LCI_AB!L2698,LCI_AB!L2720,LCI_AB!L2732,LCI_AB!L2744,LCI_AB!L2756,LCI_AB!L2768,LCI_AB!L2780,LCI_AB!L2792,LCI_AB!L2804,LCI_AB!L2816,LCI_AB!L2828,LCI_AB!L2840,LCI_AB!L2852,LCI_AB!L2864,LCI_AB!L2876,LCI_AB!L2896)</f>
        <v>1248858.6134244548</v>
      </c>
      <c r="C462" s="127" t="s">
        <v>3374</v>
      </c>
      <c r="D462" s="1297">
        <f t="shared" ca="1" si="24"/>
        <v>7.2492866638174697E-2</v>
      </c>
      <c r="E462" s="1297">
        <f t="shared" ca="1" si="25"/>
        <v>8.4336830248984843E-4</v>
      </c>
      <c r="F462" s="1297">
        <f t="shared" ca="1" si="26"/>
        <v>1.3367089613310996E-3</v>
      </c>
      <c r="G462" s="1297">
        <f t="shared" ca="1" si="27"/>
        <v>2.6289519631842492E-2</v>
      </c>
      <c r="H462" s="1297">
        <f t="shared" ca="1" si="28"/>
        <v>5.832275984750504E-2</v>
      </c>
      <c r="I462" s="1297">
        <f t="shared" ca="1" si="29"/>
        <v>1.5453153330807258E-3</v>
      </c>
      <c r="J462" s="1297">
        <f t="shared" ca="1" si="30"/>
        <v>1.8854847588737388E-4</v>
      </c>
      <c r="K462" s="1297">
        <f t="shared" ca="1" si="31"/>
        <v>0.11280556255015867</v>
      </c>
      <c r="L462" s="1297">
        <f t="shared" ca="1" si="32"/>
        <v>1.1754552141493837E-4</v>
      </c>
      <c r="M462" s="1297">
        <f t="shared" ca="1" si="33"/>
        <v>0.36482873908997415</v>
      </c>
      <c r="N462" s="1297">
        <f t="shared" ca="1" si="34"/>
        <v>0.31629260480454435</v>
      </c>
      <c r="O462" s="1298">
        <f ca="1">(B668*B$616)/B462</f>
        <v>5.3940793130196852E-3</v>
      </c>
      <c r="P462" s="100">
        <f t="shared" ca="1" si="35"/>
        <v>7.97011757764745E-8</v>
      </c>
      <c r="Q462" s="33">
        <f t="shared" ca="1" si="36"/>
        <v>0.96045761846942312</v>
      </c>
    </row>
    <row r="463" spans="1:17" x14ac:dyDescent="0.2">
      <c r="A463" s="126" t="s">
        <v>3375</v>
      </c>
      <c r="B463" s="33">
        <f ca="1">B214+SUM(LCI_AB!L1889,LCI_AB!L1901,LCI_AB!L1913,LCI_AB!L1925,LCI_AB!L1937,LCI_AB!L1949,LCI_AB!L1961,LCI_AB!L1973,LCI_AB!L1985,LCI_AB!L1997,LCI_AB!L2009,LCI_AB!L2021,LCI_AB!L2033,LCI_AB!L2045,LCI_AB!L2057,LCI_AB!L2069,LCI_AB!L2081,LCI_AB!L2093,LCI_AB!L2105,LCI_AB!L2117,LCI_AB!L2129,LCI_AB!L2148,LCI_AB!L2160,LCI_AB!L2172,LCI_AB!L2184,LCI_AB!L2196,LCI_AB!L2208,LCI_AB!L2220,LCI_AB!L2232,LCI_AB!L2244,LCI_AB!L2256,LCI_AB!L2268,LCI_AB!L2287,LCI_AB!L2299,LCI_AB!L2311,LCI_AB!L2323,LCI_AB!L2335,LCI_AB!L2347,LCI_AB!L2359,LCI_AB!L2371,LCI_AB!L2383,LCI_AB!L2395,LCI_AB!L2407,LCI_AB!L2426,LCI_AB!L2438,LCI_AB!L2450,LCI_AB!L2462,LCI_AB!L2474,LCI_AB!L2486,LCI_AB!L2498,LCI_AB!L2510,LCI_AB!L2522,LCI_AB!L2534,LCI_AB!L2546,LCI_AB!L2558,LCI_AB!L2570,LCI_AB!L2591,LCI_AB!L2603,LCI_AB!L2615,LCI_AB!L2627,LCI_AB!L2639,LCI_AB!L2651,LCI_AB!L2663,LCI_AB!L2675,LCI_AB!L2687,LCI_AB!L2699,LCI_AB!L2721,LCI_AB!L2733,LCI_AB!L2745,LCI_AB!L2757,LCI_AB!L2769,LCI_AB!L2781,LCI_AB!L2793,LCI_AB!L2805,LCI_AB!L2817,LCI_AB!L2829,LCI_AB!L2841,LCI_AB!L2853,LCI_AB!L2865,LCI_AB!L2877,LCI_AB!L2897)</f>
        <v>95445318.651510492</v>
      </c>
      <c r="C463" s="127" t="s">
        <v>3376</v>
      </c>
      <c r="D463" s="1297">
        <f t="shared" ca="1" si="24"/>
        <v>5.6541674257001233E-2</v>
      </c>
      <c r="E463" s="1297">
        <f t="shared" ca="1" si="25"/>
        <v>3.391870726401772E-5</v>
      </c>
      <c r="F463" s="1297">
        <f t="shared" ca="1" si="26"/>
        <v>1.3324220275730346E-4</v>
      </c>
      <c r="G463" s="1297">
        <f t="shared" ca="1" si="27"/>
        <v>3.5179994841099539E-3</v>
      </c>
      <c r="H463" s="1297">
        <f t="shared" ca="1" si="28"/>
        <v>7.9941057402009852E-3</v>
      </c>
      <c r="I463" s="1297">
        <f t="shared" ca="1" si="29"/>
        <v>7.352635915482056E-4</v>
      </c>
      <c r="J463" s="1297">
        <f t="shared" ca="1" si="30"/>
        <v>2.8785209428985658E-5</v>
      </c>
      <c r="K463" s="1297">
        <f t="shared" ca="1" si="31"/>
        <v>4.831893206061276E-3</v>
      </c>
      <c r="L463" s="1297">
        <f t="shared" ca="1" si="32"/>
        <v>1.681991011280433E-5</v>
      </c>
      <c r="M463" s="1297">
        <f t="shared" ca="1" si="33"/>
        <v>7.9063051961148368E-3</v>
      </c>
      <c r="N463" s="1297">
        <f t="shared" ca="1" si="34"/>
        <v>1.8339675604355364E-2</v>
      </c>
      <c r="O463" s="1298">
        <f ca="1">(B669*B$616)/B463</f>
        <v>0.44927593526585019</v>
      </c>
      <c r="P463" s="100">
        <f t="shared" ca="1" si="35"/>
        <v>2.1378500026329948E-8</v>
      </c>
      <c r="Q463" s="33">
        <f t="shared" ca="1" si="36"/>
        <v>0.54935561837480518</v>
      </c>
    </row>
    <row r="464" spans="1:17" x14ac:dyDescent="0.2">
      <c r="A464" s="126" t="s">
        <v>708</v>
      </c>
      <c r="B464" s="100">
        <f>B215+SUM(LCI_AB!L1890,LCI_AB!L1902,LCI_AB!L1914,LCI_AB!L1926,LCI_AB!L1938,LCI_AB!L1950,LCI_AB!L1962,LCI_AB!L1974,LCI_AB!L1986,LCI_AB!L1998,LCI_AB!L2010,LCI_AB!L2022,LCI_AB!L2034,LCI_AB!L2046,LCI_AB!L2058,LCI_AB!L2070,LCI_AB!L2082,LCI_AB!L2094,LCI_AB!L2106,LCI_AB!L2118,LCI_AB!L2130,LCI_AB!L2149,LCI_AB!L2161,LCI_AB!L2173,LCI_AB!L2185,LCI_AB!L2197,LCI_AB!L2209,LCI_AB!L2221,LCI_AB!L2233,LCI_AB!L2245,LCI_AB!L2257,LCI_AB!L2269,LCI_AB!L2288,LCI_AB!L2300,LCI_AB!L2312,LCI_AB!L2324,LCI_AB!L2336,LCI_AB!L2348,LCI_AB!L2360,LCI_AB!L2372,LCI_AB!L2384,LCI_AB!L2396,LCI_AB!L2408,LCI_AB!L2427,LCI_AB!L2439,LCI_AB!L2451,LCI_AB!L2463,LCI_AB!L2475,LCI_AB!L2487,LCI_AB!L2499,LCI_AB!L2511,LCI_AB!L2523,LCI_AB!L2535,LCI_AB!L2547,LCI_AB!L2559,LCI_AB!L2571,LCI_AB!L2592,LCI_AB!L2604,LCI_AB!L2616,LCI_AB!L2628,LCI_AB!L2640,LCI_AB!L2652,LCI_AB!L2664,LCI_AB!L2676,LCI_AB!L2688,LCI_AB!L2700,LCI_AB!L2722,LCI_AB!L2734,LCI_AB!L2746,LCI_AB!L2758,LCI_AB!L2770,LCI_AB!L2782,LCI_AB!L2794,LCI_AB!L2806,LCI_AB!L2818,LCI_AB!L2830,LCI_AB!L2842,LCI_AB!L2854,LCI_AB!L2866,LCI_AB!L2878,LCI_AB!L2898)</f>
        <v>3269407115.8302584</v>
      </c>
      <c r="C464" s="127" t="s">
        <v>3377</v>
      </c>
      <c r="D464" s="1298">
        <f t="shared" si="24"/>
        <v>0.38635832784526669</v>
      </c>
      <c r="E464" s="1298">
        <f t="shared" si="25"/>
        <v>3.1196307400183662E-4</v>
      </c>
      <c r="F464" s="1298">
        <f t="shared" si="26"/>
        <v>2.4339183321558347E-3</v>
      </c>
      <c r="G464" s="1298">
        <f t="shared" si="27"/>
        <v>2.9870873172109475E-2</v>
      </c>
      <c r="H464" s="1298">
        <f t="shared" si="28"/>
        <v>0.11999904399615496</v>
      </c>
      <c r="I464" s="1298">
        <f t="shared" si="29"/>
        <v>1.2320632857466526E-2</v>
      </c>
      <c r="J464" s="1298">
        <f t="shared" si="30"/>
        <v>1.4116527900863654E-4</v>
      </c>
      <c r="K464" s="1298">
        <f t="shared" si="31"/>
        <v>0.17251058301941344</v>
      </c>
      <c r="L464" s="1298">
        <f t="shared" si="32"/>
        <v>6.398531087439413E-5</v>
      </c>
      <c r="M464" s="1298">
        <f t="shared" si="33"/>
        <v>0.1704963556013733</v>
      </c>
      <c r="N464" s="1298">
        <f t="shared" si="34"/>
        <v>0.10118032333560158</v>
      </c>
      <c r="O464" s="122"/>
      <c r="P464" s="100">
        <f t="shared" si="35"/>
        <v>1.094739738604882E-5</v>
      </c>
      <c r="Q464" s="100">
        <f t="shared" si="36"/>
        <v>0.9956871718234267</v>
      </c>
    </row>
    <row r="465" spans="1:29" x14ac:dyDescent="0.2">
      <c r="A465" s="126" t="s">
        <v>3378</v>
      </c>
      <c r="B465" s="33">
        <f ca="1">B216+SUM(LCI_AB!L1891,LCI_AB!L1903,LCI_AB!L1915,LCI_AB!L1927,LCI_AB!L1939,LCI_AB!L1951,LCI_AB!L1963,LCI_AB!L1975,LCI_AB!L1987,LCI_AB!L1999,LCI_AB!L2011,LCI_AB!L2023,LCI_AB!L2035,LCI_AB!L2047,LCI_AB!L2059,LCI_AB!L2071,LCI_AB!L2083,LCI_AB!L2095,LCI_AB!L2107,LCI_AB!L2119,LCI_AB!L2131,LCI_AB!L2150,LCI_AB!L2162,LCI_AB!L2174,LCI_AB!L2186,LCI_AB!L2198,LCI_AB!L2210,LCI_AB!L2222,LCI_AB!L2234,LCI_AB!L2246,LCI_AB!L2258,LCI_AB!L2270,LCI_AB!L2289,LCI_AB!L2301,LCI_AB!L2313,LCI_AB!L2325,LCI_AB!L2337,LCI_AB!L2349,LCI_AB!L2361,LCI_AB!L2373,LCI_AB!L2385,LCI_AB!L2397,LCI_AB!L2409,LCI_AB!L2428,LCI_AB!L2440,LCI_AB!L2452,LCI_AB!L2464,LCI_AB!L2476,LCI_AB!L2488,LCI_AB!L2500,LCI_AB!L2512,LCI_AB!L2524,LCI_AB!L2536,LCI_AB!L2548,LCI_AB!L2560,LCI_AB!L2572,LCI_AB!L2593,LCI_AB!L2605,LCI_AB!L2617,LCI_AB!L2629,LCI_AB!L2641,LCI_AB!L2653,LCI_AB!L2665,LCI_AB!L2677,LCI_AB!L2689,LCI_AB!L2701,LCI_AB!L2723,LCI_AB!L2735,LCI_AB!L2747,LCI_AB!L2759,LCI_AB!L2771,LCI_AB!L2783,LCI_AB!L2795,LCI_AB!L2807,LCI_AB!L2819,LCI_AB!L2831,LCI_AB!L2843,LCI_AB!L2855,LCI_AB!L2867,LCI_AB!L2879,LCI_AB!L2899)</f>
        <v>6377.0195835793038</v>
      </c>
      <c r="C465" s="127" t="s">
        <v>3368</v>
      </c>
      <c r="D465" s="1297">
        <f t="shared" ca="1" si="24"/>
        <v>3.9327093469151482E-2</v>
      </c>
      <c r="E465" s="1297">
        <f t="shared" ca="1" si="25"/>
        <v>2.7388273160686193E-4</v>
      </c>
      <c r="F465" s="1297">
        <f t="shared" ca="1" si="26"/>
        <v>3.0970251684431558E-4</v>
      </c>
      <c r="G465" s="1297">
        <f t="shared" ca="1" si="27"/>
        <v>8.94023149772449E-3</v>
      </c>
      <c r="H465" s="1297">
        <f t="shared" ca="1" si="28"/>
        <v>1.4420482303196556E-2</v>
      </c>
      <c r="I465" s="1297">
        <f t="shared" ca="1" si="29"/>
        <v>5.6825471539650757E-4</v>
      </c>
      <c r="J465" s="1297">
        <f t="shared" ca="1" si="30"/>
        <v>7.3094359189402561E-5</v>
      </c>
      <c r="K465" s="1297">
        <f t="shared" ca="1" si="31"/>
        <v>5.0074061886179987E-2</v>
      </c>
      <c r="L465" s="1297">
        <f t="shared" ca="1" si="32"/>
        <v>8.6300969148455834E-5</v>
      </c>
      <c r="M465" s="1297">
        <f t="shared" ca="1" si="33"/>
        <v>2.2070386686607692E-2</v>
      </c>
      <c r="N465" s="1297">
        <f t="shared" ca="1" si="34"/>
        <v>0.83801007025798557</v>
      </c>
      <c r="O465" s="1298">
        <f ca="1">(B671*B$616)/B465</f>
        <v>5.9155888615890348E-3</v>
      </c>
      <c r="P465" s="100">
        <f t="shared" ca="1" si="35"/>
        <v>1.4438899943029921E-9</v>
      </c>
      <c r="Q465" s="33">
        <f t="shared" ca="1" si="36"/>
        <v>0.98006915025462038</v>
      </c>
    </row>
    <row r="466" spans="1:29" x14ac:dyDescent="0.2">
      <c r="A466" s="126" t="s">
        <v>710</v>
      </c>
      <c r="B466" s="33">
        <f ca="1">B217+SUM(LCI_AB!L1892,LCI_AB!L1904,LCI_AB!L1916,LCI_AB!L1928,LCI_AB!L1940,LCI_AB!L1952,LCI_AB!L1964,LCI_AB!L1976,LCI_AB!L1988,LCI_AB!L2000,LCI_AB!L2012,LCI_AB!L2024,LCI_AB!L2036,LCI_AB!L2048,LCI_AB!L2060,LCI_AB!L2072,LCI_AB!L2084,LCI_AB!L2096,LCI_AB!L2108,LCI_AB!L2120,LCI_AB!L2132,LCI_AB!L2151,LCI_AB!L2163,LCI_AB!L2175,LCI_AB!L2187,LCI_AB!L2199,LCI_AB!L2211,LCI_AB!L2223,LCI_AB!L2235,LCI_AB!L2247,LCI_AB!L2259,LCI_AB!L2271,LCI_AB!L2290,LCI_AB!L2302,LCI_AB!L2314,LCI_AB!L2326,LCI_AB!L2338,LCI_AB!L2350,LCI_AB!L2362,LCI_AB!L2374,LCI_AB!L2386,LCI_AB!L2398,LCI_AB!L2410,LCI_AB!L2429,LCI_AB!L2441,LCI_AB!L2453,LCI_AB!L2465,LCI_AB!L2477,LCI_AB!L2489,LCI_AB!L2501,LCI_AB!L2513,LCI_AB!L2525,LCI_AB!L2537,LCI_AB!L2549,LCI_AB!L2561,LCI_AB!L2573,LCI_AB!L2594,LCI_AB!L2606,LCI_AB!L2618,LCI_AB!L2630,LCI_AB!L2642,LCI_AB!L2654,LCI_AB!L2666,LCI_AB!L2678,LCI_AB!L2690,LCI_AB!L2702,LCI_AB!L2724,LCI_AB!L2736,LCI_AB!L2748,LCI_AB!L2760,LCI_AB!L2772,LCI_AB!L2784,LCI_AB!L2796,LCI_AB!L2808,LCI_AB!L2820,LCI_AB!L2832,LCI_AB!L2844,LCI_AB!L2856,LCI_AB!L2868,LCI_AB!L2880,LCI_AB!L2900)</f>
        <v>111.60507630268451</v>
      </c>
      <c r="C466" s="127" t="s">
        <v>3380</v>
      </c>
      <c r="D466" s="1297">
        <f t="shared" ca="1" si="24"/>
        <v>0.44143773687841825</v>
      </c>
      <c r="E466" s="1297">
        <f t="shared" ca="1" si="25"/>
        <v>4.3152009900564549E-4</v>
      </c>
      <c r="F466" s="1297">
        <f t="shared" ca="1" si="26"/>
        <v>7.7286619397190645E-4</v>
      </c>
      <c r="G466" s="1297">
        <f t="shared" ca="1" si="27"/>
        <v>1.2499575928459678E-2</v>
      </c>
      <c r="H466" s="1297">
        <f t="shared" ca="1" si="28"/>
        <v>0.29754225831819509</v>
      </c>
      <c r="I466" s="1297">
        <f t="shared" ca="1" si="29"/>
        <v>1.4721758196623268E-2</v>
      </c>
      <c r="J466" s="1297">
        <f t="shared" ca="1" si="30"/>
        <v>8.7006668702635244E-5</v>
      </c>
      <c r="K466" s="1297">
        <f t="shared" ca="1" si="31"/>
        <v>3.0151896276993686E-2</v>
      </c>
      <c r="L466" s="1297">
        <f t="shared" ca="1" si="32"/>
        <v>2.2152054512202211E-5</v>
      </c>
      <c r="M466" s="1297">
        <f t="shared" ca="1" si="33"/>
        <v>1.9271731842665923E-2</v>
      </c>
      <c r="N466" s="1297">
        <f t="shared" ca="1" si="34"/>
        <v>4.6859389701841572E-2</v>
      </c>
      <c r="O466" s="1298">
        <f ca="1">(B672*B$616)/B466</f>
        <v>6.6036238355580881E-2</v>
      </c>
      <c r="P466" s="100">
        <f t="shared" ca="1" si="35"/>
        <v>3.2164501186929888E-8</v>
      </c>
      <c r="Q466" s="33">
        <f t="shared" ca="1" si="36"/>
        <v>0.92983413051497077</v>
      </c>
    </row>
    <row r="467" spans="1:29" x14ac:dyDescent="0.2">
      <c r="A467" s="126" t="s">
        <v>3381</v>
      </c>
      <c r="B467" s="33">
        <f ca="1">B218+SUM(LCI_AB!L1893,LCI_AB!L1905,LCI_AB!L1917,LCI_AB!L1929,LCI_AB!L1941,LCI_AB!L1953,LCI_AB!L1965,LCI_AB!L1977,LCI_AB!L1989,LCI_AB!L2001,LCI_AB!L2013,LCI_AB!L2025,LCI_AB!L2037,LCI_AB!L2049,LCI_AB!L2061,LCI_AB!L2073,LCI_AB!L2085,LCI_AB!L2097,LCI_AB!L2109,LCI_AB!L2121,LCI_AB!L2133,LCI_AB!L2152,LCI_AB!L2164,LCI_AB!L2176,LCI_AB!L2188,LCI_AB!L2200,LCI_AB!L2212,LCI_AB!L2224,LCI_AB!L2236,LCI_AB!L2248,LCI_AB!L2260,LCI_AB!L2272,LCI_AB!L2291,LCI_AB!L2303,LCI_AB!L2315,LCI_AB!L2327,LCI_AB!L2339,LCI_AB!L2351,LCI_AB!L2363,LCI_AB!L2375,LCI_AB!L2387,LCI_AB!L2399,LCI_AB!L2411,LCI_AB!L2430,LCI_AB!L2442,LCI_AB!L2454,LCI_AB!L2466,LCI_AB!L2478,LCI_AB!L2490,LCI_AB!L2502,LCI_AB!L2514,LCI_AB!L2526,LCI_AB!L2538,LCI_AB!L2550,LCI_AB!L2562,LCI_AB!L2574,LCI_AB!L2595,LCI_AB!L2607,LCI_AB!L2619,LCI_AB!L2631,LCI_AB!L2643,LCI_AB!L2655,LCI_AB!L2667,LCI_AB!L2679,LCI_AB!L2691,LCI_AB!L2703,LCI_AB!L2725,LCI_AB!L2737,LCI_AB!L2749,LCI_AB!L2761,LCI_AB!L2773,LCI_AB!L2785,LCI_AB!L2797,LCI_AB!L2809,LCI_AB!L2821,LCI_AB!L2833,LCI_AB!L2845,LCI_AB!L2857,LCI_AB!L2869,LCI_AB!L2881,LCI_AB!L2901)</f>
        <v>17324919.403879032</v>
      </c>
      <c r="C467" s="127" t="s">
        <v>3383</v>
      </c>
      <c r="D467" s="1297">
        <f t="shared" ca="1" si="24"/>
        <v>5.6979441538916334E-2</v>
      </c>
      <c r="E467" s="1297">
        <f t="shared" ca="1" si="25"/>
        <v>9.492884590315233E-5</v>
      </c>
      <c r="F467" s="1297">
        <f t="shared" ca="1" si="26"/>
        <v>3.4248095830515126E-4</v>
      </c>
      <c r="G467" s="1297">
        <f t="shared" ca="1" si="27"/>
        <v>8.4973940020631016E-3</v>
      </c>
      <c r="H467" s="1297">
        <f t="shared" ca="1" si="28"/>
        <v>1.5467751369265764E-2</v>
      </c>
      <c r="I467" s="1297">
        <f t="shared" ca="1" si="29"/>
        <v>1.7215331924312126E-3</v>
      </c>
      <c r="J467" s="1297">
        <f t="shared" ca="1" si="30"/>
        <v>4.0125764157052928E-5</v>
      </c>
      <c r="K467" s="1297">
        <f t="shared" ca="1" si="31"/>
        <v>1.5363425856689561E-2</v>
      </c>
      <c r="L467" s="1297">
        <f t="shared" ca="1" si="32"/>
        <v>6.3441849202899777E-5</v>
      </c>
      <c r="M467" s="1297">
        <f t="shared" ca="1" si="33"/>
        <v>8.3004662540204499E-2</v>
      </c>
      <c r="N467" s="1297">
        <f t="shared" ca="1" si="34"/>
        <v>0.17473311455180285</v>
      </c>
      <c r="O467" s="1298">
        <f ca="1">(B673*B$616)/B467</f>
        <v>0.32138528937561811</v>
      </c>
      <c r="P467" s="100">
        <f t="shared" ca="1" si="35"/>
        <v>1.3002343450068364E-8</v>
      </c>
      <c r="Q467" s="33">
        <f t="shared" ca="1" si="36"/>
        <v>0.67769358984455974</v>
      </c>
    </row>
    <row r="468" spans="1:29" x14ac:dyDescent="0.2">
      <c r="A468" s="117" t="s">
        <v>3384</v>
      </c>
      <c r="B468" s="1258">
        <f ca="1">B219+SUM(LCI_AB!L1894,LCI_AB!L1906,LCI_AB!L1918,LCI_AB!L1930,LCI_AB!L1942,LCI_AB!L1954,LCI_AB!L1966,LCI_AB!L1978,LCI_AB!L1990,LCI_AB!L2002,LCI_AB!L2014,LCI_AB!L2026,LCI_AB!L2038,LCI_AB!L2050,LCI_AB!L2062,LCI_AB!L2074,LCI_AB!L2086,LCI_AB!L2098,LCI_AB!L2110,LCI_AB!L2122,LCI_AB!L2134,LCI_AB!L2153,LCI_AB!L2165,LCI_AB!L2177,LCI_AB!L2189,LCI_AB!L2201,LCI_AB!L2213,LCI_AB!L2225,LCI_AB!L2237,LCI_AB!L2249,LCI_AB!L2261,LCI_AB!L2273,LCI_AB!L2292,LCI_AB!L2304,LCI_AB!L2316,LCI_AB!L2328,LCI_AB!L2340,LCI_AB!L2352,LCI_AB!L2364,LCI_AB!L2376,LCI_AB!L2388,LCI_AB!L2400,LCI_AB!L2412,LCI_AB!L2431,LCI_AB!L2443,LCI_AB!L2455,LCI_AB!L2467,LCI_AB!L2479,LCI_AB!L2491,LCI_AB!L2503,LCI_AB!L2515,LCI_AB!L2527,LCI_AB!L2539,LCI_AB!L2551,LCI_AB!L2563,LCI_AB!L2575,LCI_AB!L2596,LCI_AB!L2608,LCI_AB!L2620,LCI_AB!L2632,LCI_AB!L2644,LCI_AB!L2656,LCI_AB!L2668,LCI_AB!L2680,LCI_AB!L2692,LCI_AB!L2704,LCI_AB!L2726,LCI_AB!L2738,LCI_AB!L2750,LCI_AB!L2762,LCI_AB!L2774,LCI_AB!L2786,LCI_AB!L2798,LCI_AB!L2810,LCI_AB!L2822,LCI_AB!L2834,LCI_AB!L2846,LCI_AB!L2858,LCI_AB!L2870,LCI_AB!L2882,LCI_AB!L2902)</f>
        <v>2314607769.4986973</v>
      </c>
      <c r="C468" s="120" t="s">
        <v>3385</v>
      </c>
      <c r="D468" s="1297">
        <f t="shared" ca="1" si="24"/>
        <v>5.5473960911270319E-2</v>
      </c>
      <c r="E468" s="1297">
        <f t="shared" ca="1" si="25"/>
        <v>3.2700313669739558E-5</v>
      </c>
      <c r="F468" s="1297">
        <f t="shared" ca="1" si="26"/>
        <v>1.3024063470818212E-4</v>
      </c>
      <c r="G468" s="1297">
        <f t="shared" ca="1" si="27"/>
        <v>3.4751927876089921E-3</v>
      </c>
      <c r="H468" s="1297">
        <f t="shared" ca="1" si="28"/>
        <v>8.092652025706611E-3</v>
      </c>
      <c r="I468" s="1297">
        <f t="shared" ca="1" si="29"/>
        <v>7.2637649743104334E-4</v>
      </c>
      <c r="J468" s="1297">
        <f t="shared" ca="1" si="30"/>
        <v>1.3792430521268916E-5</v>
      </c>
      <c r="K468" s="1297">
        <f t="shared" ca="1" si="31"/>
        <v>4.5943264086589835E-3</v>
      </c>
      <c r="L468" s="1297">
        <f t="shared" ca="1" si="32"/>
        <v>1.5243385161569372E-5</v>
      </c>
      <c r="M468" s="1297">
        <f t="shared" ca="1" si="33"/>
        <v>7.5047246324305306E-3</v>
      </c>
      <c r="N468" s="1297">
        <f t="shared" ca="1" si="34"/>
        <v>8.4493765488535249E-3</v>
      </c>
      <c r="O468" s="1298">
        <f ca="1">(B674*B$616)/B468</f>
        <v>0.45554627669545777</v>
      </c>
      <c r="P468" s="100">
        <f t="shared" ca="1" si="35"/>
        <v>2.2432949546449555E-8</v>
      </c>
      <c r="Q468" s="33">
        <f t="shared" ca="1" si="36"/>
        <v>0.54405486327147856</v>
      </c>
    </row>
    <row r="470" spans="1:29" x14ac:dyDescent="0.2">
      <c r="A470" s="1969" t="s">
        <v>753</v>
      </c>
      <c r="B470" s="1969"/>
      <c r="C470" s="1969"/>
    </row>
    <row r="471" spans="1:29" x14ac:dyDescent="0.2">
      <c r="A471" s="126" t="s">
        <v>701</v>
      </c>
      <c r="B471" s="166">
        <f>B222</f>
        <v>5067682.671106074</v>
      </c>
      <c r="C471" s="127" t="s">
        <v>3367</v>
      </c>
      <c r="F471" s="33"/>
    </row>
    <row r="472" spans="1:29" x14ac:dyDescent="0.2">
      <c r="A472" s="126" t="s">
        <v>703</v>
      </c>
      <c r="B472" s="166">
        <f>B223</f>
        <v>80.628866600879945</v>
      </c>
      <c r="C472" s="127" t="s">
        <v>3368</v>
      </c>
      <c r="F472" s="33"/>
    </row>
    <row r="473" spans="1:29" x14ac:dyDescent="0.2">
      <c r="A473" s="126" t="s">
        <v>705</v>
      </c>
      <c r="B473" s="166">
        <f>B224</f>
        <v>25078944330.638271</v>
      </c>
      <c r="C473" s="127" t="s">
        <v>3370</v>
      </c>
      <c r="F473" s="33"/>
    </row>
    <row r="474" spans="1:29" x14ac:dyDescent="0.2">
      <c r="A474" s="126" t="s">
        <v>3372</v>
      </c>
      <c r="B474" s="166">
        <f>B225</f>
        <v>90533.340912914777</v>
      </c>
      <c r="C474" s="127" t="s">
        <v>3374</v>
      </c>
      <c r="F474" s="33"/>
    </row>
    <row r="475" spans="1:29" x14ac:dyDescent="0.2">
      <c r="A475" s="126" t="s">
        <v>3375</v>
      </c>
      <c r="B475" s="166">
        <f>B226</f>
        <v>5396638.1165493904</v>
      </c>
      <c r="C475" s="127" t="s">
        <v>3376</v>
      </c>
      <c r="F475" s="33"/>
    </row>
    <row r="476" spans="1:29" x14ac:dyDescent="0.2">
      <c r="A476" s="126" t="s">
        <v>708</v>
      </c>
      <c r="B476" s="166">
        <f>B227</f>
        <v>1263162666.3175948</v>
      </c>
      <c r="C476" s="127" t="s">
        <v>3377</v>
      </c>
      <c r="F476" s="33"/>
      <c r="AB476">
        <v>0.14000000000000001</v>
      </c>
      <c r="AC476">
        <v>0.09</v>
      </c>
    </row>
    <row r="477" spans="1:29" x14ac:dyDescent="0.2">
      <c r="A477" s="126" t="s">
        <v>3378</v>
      </c>
      <c r="B477" s="166">
        <f>B228</f>
        <v>250.78964521803275</v>
      </c>
      <c r="C477" s="127" t="s">
        <v>3368</v>
      </c>
      <c r="F477" s="33"/>
      <c r="AB477" s="33">
        <v>1.4999999999999999E-7</v>
      </c>
      <c r="AC477" s="33">
        <v>3.2000000000000001E-7</v>
      </c>
    </row>
    <row r="478" spans="1:29" x14ac:dyDescent="0.2">
      <c r="A478" s="126" t="s">
        <v>710</v>
      </c>
      <c r="B478" s="166">
        <f>B229</f>
        <v>49.266692307200238</v>
      </c>
      <c r="C478" s="127" t="s">
        <v>3380</v>
      </c>
      <c r="F478" s="33"/>
      <c r="AB478">
        <v>23.63</v>
      </c>
      <c r="AC478">
        <v>55.59</v>
      </c>
    </row>
    <row r="479" spans="1:29" x14ac:dyDescent="0.2">
      <c r="A479" s="126" t="s">
        <v>3381</v>
      </c>
      <c r="B479" s="166">
        <f>B230</f>
        <v>987164.2323397625</v>
      </c>
      <c r="C479" s="127" t="s">
        <v>3383</v>
      </c>
      <c r="F479" s="33"/>
      <c r="AB479" s="33">
        <v>1.4999999999999999E-4</v>
      </c>
      <c r="AC479" s="33">
        <v>8.4999999999999995E-4</v>
      </c>
    </row>
    <row r="480" spans="1:29" x14ac:dyDescent="0.2">
      <c r="A480" s="117" t="s">
        <v>3384</v>
      </c>
      <c r="B480" s="833">
        <f>B231</f>
        <v>128400460.93009332</v>
      </c>
      <c r="C480" s="120" t="s">
        <v>3385</v>
      </c>
      <c r="F480" s="33"/>
      <c r="O480" s="1218"/>
      <c r="P480" s="104"/>
      <c r="AB480">
        <v>0.18</v>
      </c>
      <c r="AC480">
        <v>0.12</v>
      </c>
    </row>
    <row r="481" spans="1:29" x14ac:dyDescent="0.2">
      <c r="O481" s="1286"/>
      <c r="P481" s="1287"/>
      <c r="AB481" s="33">
        <v>13.36</v>
      </c>
      <c r="AC481" s="33">
        <v>2.2000000000000002</v>
      </c>
    </row>
    <row r="482" spans="1:29" x14ac:dyDescent="0.2">
      <c r="A482" s="1969" t="s">
        <v>3526</v>
      </c>
      <c r="B482" s="1969"/>
      <c r="C482" s="1969"/>
      <c r="O482" s="1218"/>
      <c r="P482" s="104"/>
      <c r="AB482" s="33">
        <v>5.7999999999999995E-7</v>
      </c>
      <c r="AC482" s="33">
        <v>4.3000000000000003E-6</v>
      </c>
    </row>
    <row r="483" spans="1:29" x14ac:dyDescent="0.2">
      <c r="A483" s="126" t="s">
        <v>701</v>
      </c>
      <c r="B483" s="100">
        <f>B234+SUM(LCI_AB!L1897,LCI_AB!L1909,LCI_AB!L1933,LCI_AB!L1945,LCI_AB!L1969,LCI_AB!L1981,LCI_AB!L2005,LCI_AB!L2295,LCI_AB!L2434,LCI_AB!L2446,LCI_AB!L2506,LCI_AB!L2587,LCI_AB!L2599,LCI_AB!L2647,LCI_AB!L2741,LCI_AB!L2765,LCI_AB!L2777)</f>
        <v>5978.5602211149899</v>
      </c>
      <c r="C483" s="127" t="s">
        <v>3367</v>
      </c>
      <c r="O483" s="1286"/>
      <c r="P483" s="1287"/>
      <c r="AB483" s="33">
        <v>3.3999999999999997E-7</v>
      </c>
      <c r="AC483" s="33">
        <v>8.4999999999999994E-8</v>
      </c>
    </row>
    <row r="484" spans="1:29" x14ac:dyDescent="0.2">
      <c r="A484" s="126" t="s">
        <v>703</v>
      </c>
      <c r="B484" s="100">
        <f>B235+SUM(LCI_AB!L1898,LCI_AB!L1910,LCI_AB!L1934,LCI_AB!L1946,LCI_AB!L1970,LCI_AB!L1982,LCI_AB!L2006,LCI_AB!L2296,LCI_AB!L2435,LCI_AB!L2447,LCI_AB!L2507,LCI_AB!L2588,LCI_AB!L2600,LCI_AB!L2648,LCI_AB!L2742,LCI_AB!L2766,LCI_AB!L2778)</f>
        <v>0.82792932593585566</v>
      </c>
      <c r="C484" s="127" t="s">
        <v>3368</v>
      </c>
      <c r="O484" s="1218"/>
      <c r="P484" s="104"/>
      <c r="AB484" s="33">
        <v>0.02</v>
      </c>
      <c r="AC484" s="33">
        <v>0.02</v>
      </c>
    </row>
    <row r="485" spans="1:29" x14ac:dyDescent="0.2">
      <c r="A485" s="126" t="s">
        <v>705</v>
      </c>
      <c r="B485" s="100">
        <f>B236+SUM(LCI_AB!L1899,LCI_AB!L1911,LCI_AB!L1935,LCI_AB!L1947,LCI_AB!L1971,LCI_AB!L1983,LCI_AB!L2007,LCI_AB!L2297,LCI_AB!L2436,LCI_AB!L2448,LCI_AB!L2508,LCI_AB!L2589,LCI_AB!L2601,LCI_AB!L2649,LCI_AB!L2743,LCI_AB!L2767,LCI_AB!L2779)</f>
        <v>159823313.85788074</v>
      </c>
      <c r="C485" s="127" t="s">
        <v>3370</v>
      </c>
      <c r="O485" s="1218"/>
      <c r="P485" s="104"/>
      <c r="AB485" s="33">
        <v>4.38</v>
      </c>
      <c r="AC485" s="33">
        <v>2.94</v>
      </c>
    </row>
    <row r="486" spans="1:29" x14ac:dyDescent="0.2">
      <c r="A486" s="126" t="s">
        <v>3372</v>
      </c>
      <c r="B486" s="100">
        <f>B237+SUM(LCI_AB!L1900,LCI_AB!L1912,LCI_AB!L1936,LCI_AB!L1948,LCI_AB!L1972,LCI_AB!L1984,LCI_AB!L2008,LCI_AB!L2298,LCI_AB!L2437,LCI_AB!L2449,LCI_AB!L2509,LCI_AB!L2590,LCI_AB!L2602,LCI_AB!L2650,LCI_AB!L2744,LCI_AB!L2768,LCI_AB!L2780)</f>
        <v>1053.2477688536082</v>
      </c>
      <c r="C486" s="127" t="s">
        <v>3374</v>
      </c>
      <c r="O486" s="1286"/>
      <c r="P486" s="1287"/>
    </row>
    <row r="487" spans="1:29" x14ac:dyDescent="0.2">
      <c r="A487" s="126" t="s">
        <v>3375</v>
      </c>
      <c r="B487" s="100">
        <f>B238+SUM(LCI_AB!L1901,LCI_AB!L1913,LCI_AB!L1937,LCI_AB!L1949,LCI_AB!L1973,LCI_AB!L1985,LCI_AB!L2009,LCI_AB!L2299,LCI_AB!L2438,LCI_AB!L2450,LCI_AB!L2510,LCI_AB!L2591,LCI_AB!L2603,LCI_AB!L2651,LCI_AB!L2745,LCI_AB!L2769,LCI_AB!L2781)</f>
        <v>3237.3818230614752</v>
      </c>
      <c r="C487" s="127" t="s">
        <v>3376</v>
      </c>
      <c r="O487" s="1286"/>
      <c r="P487" s="1287"/>
      <c r="AB487" s="33">
        <f>AB476/120</f>
        <v>1.1666666666666668E-3</v>
      </c>
      <c r="AC487" s="33">
        <f>AC476/120</f>
        <v>7.5000000000000002E-4</v>
      </c>
    </row>
    <row r="488" spans="1:29" x14ac:dyDescent="0.2">
      <c r="A488" s="126" t="s">
        <v>708</v>
      </c>
      <c r="B488" s="100">
        <f>B239+SUM(LCI_AB!L1902,LCI_AB!L1914,LCI_AB!L1938,LCI_AB!L1950,LCI_AB!L1974,LCI_AB!L1986,LCI_AB!L2010,LCI_AB!L2300,LCI_AB!L2439,LCI_AB!L2451,LCI_AB!L2511,LCI_AB!L2592,LCI_AB!L2604,LCI_AB!L2652,LCI_AB!L2746,LCI_AB!L2770,LCI_AB!L2782)</f>
        <v>1019934.2940178862</v>
      </c>
      <c r="C488" s="127" t="s">
        <v>3377</v>
      </c>
      <c r="O488" s="1218"/>
      <c r="P488" s="166"/>
      <c r="AB488" s="33">
        <f t="shared" ref="AB488:AC488" si="37">AB477/120</f>
        <v>1.25E-9</v>
      </c>
      <c r="AC488" s="33">
        <f t="shared" si="37"/>
        <v>2.6666666666666666E-9</v>
      </c>
    </row>
    <row r="489" spans="1:29" x14ac:dyDescent="0.2">
      <c r="A489" s="126" t="s">
        <v>3378</v>
      </c>
      <c r="B489" s="100">
        <f>B240+SUM(LCI_AB!L1903,LCI_AB!L1915,LCI_AB!L1939,LCI_AB!L1951,LCI_AB!L1975,LCI_AB!L1987,LCI_AB!L2011,LCI_AB!L2301,LCI_AB!L2440,LCI_AB!L2452,LCI_AB!L2512,LCI_AB!L2593,LCI_AB!L2605,LCI_AB!L2653,LCI_AB!L2747,LCI_AB!L2771,LCI_AB!L2783)</f>
        <v>1.7465555430611528</v>
      </c>
      <c r="C489" s="127" t="s">
        <v>3368</v>
      </c>
      <c r="O489" s="1218"/>
      <c r="P489" s="104"/>
      <c r="AB489" s="243">
        <f t="shared" ref="AB489:AC489" si="38">AB478/120</f>
        <v>0.19691666666666666</v>
      </c>
      <c r="AC489" s="243">
        <f t="shared" si="38"/>
        <v>0.46325000000000005</v>
      </c>
    </row>
    <row r="490" spans="1:29" x14ac:dyDescent="0.2">
      <c r="A490" s="126" t="s">
        <v>710</v>
      </c>
      <c r="B490" s="100">
        <f>B241+SUM(LCI_AB!L1904,LCI_AB!L1916,LCI_AB!L1940,LCI_AB!L1952,LCI_AB!L1976,LCI_AB!L1988,LCI_AB!L2012,LCI_AB!L2302,LCI_AB!L2441,LCI_AB!L2453,LCI_AB!L2513,LCI_AB!L2594,LCI_AB!L2606,LCI_AB!L2654,LCI_AB!L2748,LCI_AB!L2772,LCI_AB!L2784)</f>
        <v>4.8159833575667041E-2</v>
      </c>
      <c r="C490" s="127" t="s">
        <v>3380</v>
      </c>
      <c r="AB490" s="33">
        <f t="shared" ref="AB490:AC490" si="39">AB479/120</f>
        <v>1.2499999999999999E-6</v>
      </c>
      <c r="AC490" s="33">
        <f t="shared" si="39"/>
        <v>7.083333333333333E-6</v>
      </c>
    </row>
    <row r="491" spans="1:29" x14ac:dyDescent="0.2">
      <c r="A491" s="126" t="s">
        <v>3381</v>
      </c>
      <c r="B491" s="100">
        <f>B242+SUM(LCI_AB!L1905,LCI_AB!L1917,LCI_AB!L1941,LCI_AB!L1953,LCI_AB!L1977,LCI_AB!L1989,LCI_AB!L2013,LCI_AB!L2303,LCI_AB!L2442,LCI_AB!L2454,LCI_AB!L2514,LCI_AB!L2595,LCI_AB!L2607,LCI_AB!L2655,LCI_AB!L2749,LCI_AB!L2773,LCI_AB!L2785)</f>
        <v>1644.6346043753663</v>
      </c>
      <c r="C491" s="127" t="s">
        <v>3383</v>
      </c>
      <c r="AB491" s="33">
        <f t="shared" ref="AB491:AC491" si="40">AB480/120</f>
        <v>1.5E-3</v>
      </c>
      <c r="AC491" s="33">
        <f t="shared" si="40"/>
        <v>1E-3</v>
      </c>
    </row>
    <row r="492" spans="1:29" x14ac:dyDescent="0.2">
      <c r="A492" s="117" t="s">
        <v>3384</v>
      </c>
      <c r="B492" s="168">
        <f>B243+SUM(LCI_AB!L1906,LCI_AB!L1918,LCI_AB!L1942,LCI_AB!L1954,LCI_AB!L1978,LCI_AB!L1990,LCI_AB!L2014,LCI_AB!L2304,LCI_AB!L2443,LCI_AB!L2455,LCI_AB!L2515,LCI_AB!L2596,LCI_AB!L2608,LCI_AB!L2656,LCI_AB!L2750,LCI_AB!L2774,LCI_AB!L2786)</f>
        <v>75688.400085023633</v>
      </c>
      <c r="C492" s="120" t="s">
        <v>3385</v>
      </c>
      <c r="AB492" s="243">
        <f t="shared" ref="AB492:AC492" si="41">AB481/120</f>
        <v>0.11133333333333333</v>
      </c>
      <c r="AC492" s="243">
        <f t="shared" si="41"/>
        <v>1.8333333333333333E-2</v>
      </c>
    </row>
    <row r="493" spans="1:29" x14ac:dyDescent="0.2">
      <c r="AB493" s="33">
        <f t="shared" ref="AB493:AC493" si="42">AB482/120</f>
        <v>4.8333333333333328E-9</v>
      </c>
      <c r="AC493" s="33">
        <f t="shared" si="42"/>
        <v>3.5833333333333337E-8</v>
      </c>
    </row>
    <row r="494" spans="1:29" x14ac:dyDescent="0.2">
      <c r="A494" s="1969" t="s">
        <v>3514</v>
      </c>
      <c r="B494" s="1969"/>
      <c r="C494" s="1969"/>
      <c r="AB494" s="33">
        <f t="shared" ref="AB494:AC494" si="43">AB483/120</f>
        <v>2.8333333333333331E-9</v>
      </c>
      <c r="AC494" s="33">
        <f t="shared" si="43"/>
        <v>7.0833333333333327E-10</v>
      </c>
    </row>
    <row r="495" spans="1:29" x14ac:dyDescent="0.2">
      <c r="A495" s="126" t="s">
        <v>701</v>
      </c>
      <c r="B495" s="100">
        <f>B246+SUM(LCI_AB!L2144,LCI_AB!L2156,LCI_AB!L2168,LCI_AB!L2240)</f>
        <v>28022.901750000001</v>
      </c>
      <c r="C495" s="127" t="s">
        <v>3367</v>
      </c>
      <c r="AB495" s="33">
        <f t="shared" ref="AB495:AC495" si="44">AB484/120</f>
        <v>1.6666666666666666E-4</v>
      </c>
      <c r="AC495" s="33">
        <f t="shared" si="44"/>
        <v>1.6666666666666666E-4</v>
      </c>
    </row>
    <row r="496" spans="1:29" x14ac:dyDescent="0.2">
      <c r="A496" s="126" t="s">
        <v>703</v>
      </c>
      <c r="B496" s="100">
        <f>B247+SUM(LCI_AB!L2145,LCI_AB!L2157,LCI_AB!L2169,LCI_AB!L2241)</f>
        <v>0.44750802500000009</v>
      </c>
      <c r="C496" s="127" t="s">
        <v>3368</v>
      </c>
      <c r="AB496" s="243">
        <f>AB485/120</f>
        <v>3.6499999999999998E-2</v>
      </c>
      <c r="AC496" s="243">
        <f>AC485/120</f>
        <v>2.4500000000000001E-2</v>
      </c>
    </row>
    <row r="497" spans="1:3" x14ac:dyDescent="0.2">
      <c r="A497" s="126" t="s">
        <v>705</v>
      </c>
      <c r="B497" s="100">
        <f>B248+SUM(LCI_AB!L2146,LCI_AB!L2158,LCI_AB!L2170,LCI_AB!L2242)</f>
        <v>117522336.20500001</v>
      </c>
      <c r="C497" s="127" t="s">
        <v>3370</v>
      </c>
    </row>
    <row r="498" spans="1:3" x14ac:dyDescent="0.2">
      <c r="A498" s="126" t="s">
        <v>3372</v>
      </c>
      <c r="B498" s="100">
        <f>B249+SUM(LCI_AB!L2147,LCI_AB!L2159,LCI_AB!L2171,LCI_AB!L2243)</f>
        <v>1669.3605000000002</v>
      </c>
      <c r="C498" s="127" t="s">
        <v>3374</v>
      </c>
    </row>
    <row r="499" spans="1:3" x14ac:dyDescent="0.2">
      <c r="A499" s="126" t="s">
        <v>3375</v>
      </c>
      <c r="B499" s="100">
        <f>B250+SUM(LCI_AB!L2148,LCI_AB!L2160,LCI_AB!L2172,LCI_AB!L2244)</f>
        <v>12717.344499999999</v>
      </c>
      <c r="C499" s="127" t="s">
        <v>3376</v>
      </c>
    </row>
    <row r="500" spans="1:3" x14ac:dyDescent="0.2">
      <c r="A500" s="126" t="s">
        <v>708</v>
      </c>
      <c r="B500" s="100">
        <f>B251+SUM(LCI_AB!L2149,LCI_AB!L2161,LCI_AB!L2173,LCI_AB!L2245)</f>
        <v>7957469.9145000009</v>
      </c>
      <c r="C500" s="127" t="s">
        <v>3377</v>
      </c>
    </row>
    <row r="501" spans="1:3" x14ac:dyDescent="0.2">
      <c r="A501" s="126" t="s">
        <v>3378</v>
      </c>
      <c r="B501" s="100">
        <f>B252+SUM(LCI_AB!L2150,LCI_AB!L2162,LCI_AB!L2174,LCI_AB!L2246)</f>
        <v>1.9749790149999997</v>
      </c>
      <c r="C501" s="127" t="s">
        <v>3368</v>
      </c>
    </row>
    <row r="502" spans="1:3" x14ac:dyDescent="0.2">
      <c r="A502" s="126" t="s">
        <v>710</v>
      </c>
      <c r="B502" s="100">
        <f>B253+SUM(LCI_AB!L2151,LCI_AB!L2163,LCI_AB!L2175,LCI_AB!L2247)</f>
        <v>8.6255790549999989E-2</v>
      </c>
      <c r="C502" s="127" t="s">
        <v>3380</v>
      </c>
    </row>
    <row r="503" spans="1:3" x14ac:dyDescent="0.2">
      <c r="A503" s="126" t="s">
        <v>3381</v>
      </c>
      <c r="B503" s="100">
        <f>B254+SUM(LCI_AB!L2152,LCI_AB!L2164,LCI_AB!L2176,LCI_AB!L2248)</f>
        <v>5933.4550000000008</v>
      </c>
      <c r="C503" s="127" t="s">
        <v>3383</v>
      </c>
    </row>
    <row r="504" spans="1:3" x14ac:dyDescent="0.2">
      <c r="A504" s="117" t="s">
        <v>3384</v>
      </c>
      <c r="B504" s="168">
        <f>B255+SUM(LCI_AB!L2153,LCI_AB!L2165,LCI_AB!L2177,LCI_AB!L2249)</f>
        <v>301455.98500000004</v>
      </c>
      <c r="C504" s="120" t="s">
        <v>3385</v>
      </c>
    </row>
    <row r="506" spans="1:3" x14ac:dyDescent="0.2">
      <c r="A506" s="1969" t="s">
        <v>3515</v>
      </c>
      <c r="B506" s="1969"/>
      <c r="C506" s="1969"/>
    </row>
    <row r="507" spans="1:3" x14ac:dyDescent="0.2">
      <c r="A507" s="126" t="s">
        <v>701</v>
      </c>
      <c r="B507" s="100">
        <f>B258+SUM(LCI_AB!L1921,LCI_AB!L1957,LCI_AB!L1993,LCI_AB!L2017,LCI_AB!L2192,LCI_AB!L2204,LCI_AB!L2216,LCI_AB!L2228,LCI_AB!L2283,LCI_AB!L2307,LCI_AB!L2355,LCI_AB!L2367,LCI_AB!L2422,LCI_AB!L2458,LCI_AB!L2470,LCI_AB!L2587,LCI_AB!L2611,LCI_AB!L2659,LCI_AB!L2837,LCI_AB!L2849,LCI_AB!L2861)</f>
        <v>508640.02784036903</v>
      </c>
      <c r="C507" s="127" t="s">
        <v>3367</v>
      </c>
    </row>
    <row r="508" spans="1:3" x14ac:dyDescent="0.2">
      <c r="A508" s="126" t="s">
        <v>703</v>
      </c>
      <c r="B508" s="100">
        <f>B259+SUM(LCI_AB!L1922,LCI_AB!L1958,LCI_AB!L1994,LCI_AB!L2018,LCI_AB!L2193,LCI_AB!L2205,LCI_AB!L2217,LCI_AB!L2229,LCI_AB!L2284,LCI_AB!L2308,LCI_AB!L2356,LCI_AB!L2368,LCI_AB!L2423,LCI_AB!L2459,LCI_AB!L2471,LCI_AB!L2588,LCI_AB!L2612,LCI_AB!L2660,LCI_AB!L2838,LCI_AB!L2850,LCI_AB!L2862)</f>
        <v>51.223582812004615</v>
      </c>
      <c r="C508" s="127" t="s">
        <v>3368</v>
      </c>
    </row>
    <row r="509" spans="1:3" x14ac:dyDescent="0.2">
      <c r="A509" s="126" t="s">
        <v>705</v>
      </c>
      <c r="B509" s="100">
        <f>B260+SUM(LCI_AB!L1923,LCI_AB!L1959,LCI_AB!L1995,LCI_AB!L2019,LCI_AB!L2194,LCI_AB!L2206,LCI_AB!L2218,LCI_AB!L2230,LCI_AB!L2285,LCI_AB!L2309,LCI_AB!L2357,LCI_AB!L2369,LCI_AB!L2424,LCI_AB!L2460,LCI_AB!L2472,LCI_AB!L2589,LCI_AB!L2613,LCI_AB!L2661,LCI_AB!L2839,LCI_AB!L2851,LCI_AB!L2863)</f>
        <v>5792064.7100796551</v>
      </c>
      <c r="C509" s="127" t="s">
        <v>3370</v>
      </c>
    </row>
    <row r="510" spans="1:3" x14ac:dyDescent="0.2">
      <c r="A510" s="126" t="s">
        <v>3372</v>
      </c>
      <c r="B510" s="100">
        <f>B261+SUM(LCI_AB!L1924,LCI_AB!L1960,LCI_AB!L1996,LCI_AB!L2020,LCI_AB!L2195,LCI_AB!L2207,LCI_AB!L2219,LCI_AB!L2231,LCI_AB!L2286,LCI_AB!L2310,LCI_AB!L2358,LCI_AB!L2370,LCI_AB!L2425,LCI_AB!L2461,LCI_AB!L2473,LCI_AB!L2590,LCI_AB!L2614,LCI_AB!L2662,LCI_AB!L2840,LCI_AB!L2852,LCI_AB!L2864)</f>
        <v>32831.893035017798</v>
      </c>
      <c r="C510" s="127" t="s">
        <v>3374</v>
      </c>
    </row>
    <row r="511" spans="1:3" x14ac:dyDescent="0.2">
      <c r="A511" s="126" t="s">
        <v>3375</v>
      </c>
      <c r="B511" s="100">
        <f>B262+SUM(LCI_AB!L1925,LCI_AB!L1961,LCI_AB!L1997,LCI_AB!L2021,LCI_AB!L2196,LCI_AB!L2208,LCI_AB!L2220,LCI_AB!L2232,LCI_AB!L2287,LCI_AB!L2311,LCI_AB!L2359,LCI_AB!L2371,LCI_AB!L2426,LCI_AB!L2462,LCI_AB!L2474,LCI_AB!L2591,LCI_AB!L2615,LCI_AB!L2663,LCI_AB!L2841,LCI_AB!L2853,LCI_AB!L2865)</f>
        <v>335776.58177672408</v>
      </c>
      <c r="C511" s="127" t="s">
        <v>3376</v>
      </c>
    </row>
    <row r="512" spans="1:3" x14ac:dyDescent="0.2">
      <c r="A512" s="126" t="s">
        <v>708</v>
      </c>
      <c r="B512" s="100">
        <f>B263+SUM(LCI_AB!L1926,LCI_AB!L1962,LCI_AB!L1998,LCI_AB!L2022,LCI_AB!L2197,LCI_AB!L2209,LCI_AB!L2221,LCI_AB!L2233,LCI_AB!L2288,LCI_AB!L2312,LCI_AB!L2360,LCI_AB!L2372,LCI_AB!L2427,LCI_AB!L2463,LCI_AB!L2475,LCI_AB!L2592,LCI_AB!L2616,LCI_AB!L2664,LCI_AB!L2842,LCI_AB!L2854,LCI_AB!L2866)</f>
        <v>97660045.304957882</v>
      </c>
      <c r="C512" s="127" t="s">
        <v>3377</v>
      </c>
    </row>
    <row r="513" spans="1:3" x14ac:dyDescent="0.2">
      <c r="A513" s="126" t="s">
        <v>3378</v>
      </c>
      <c r="B513" s="100">
        <f>B264+SUM(LCI_AB!L1927,LCI_AB!L1963,LCI_AB!L1999,LCI_AB!L2023,LCI_AB!L2198,LCI_AB!L2210,LCI_AB!L2222,LCI_AB!L2234,LCI_AB!L2289,LCI_AB!L2313,LCI_AB!L2361,LCI_AB!L2373,LCI_AB!L2428,LCI_AB!L2464,LCI_AB!L2476,LCI_AB!L2593,LCI_AB!L2617,LCI_AB!L2665,LCI_AB!L2843,LCI_AB!L2855,LCI_AB!L2867)</f>
        <v>57.012031342721599</v>
      </c>
      <c r="C513" s="127" t="s">
        <v>3368</v>
      </c>
    </row>
    <row r="514" spans="1:3" x14ac:dyDescent="0.2">
      <c r="A514" s="126" t="s">
        <v>710</v>
      </c>
      <c r="B514" s="100">
        <f>B265+SUM(LCI_AB!L1928,LCI_AB!L1964,LCI_AB!L2000,LCI_AB!L2024,LCI_AB!L2199,LCI_AB!L2211,LCI_AB!L2223,LCI_AB!L2235,LCI_AB!L2290,LCI_AB!L2314,LCI_AB!L2362,LCI_AB!L2374,LCI_AB!L2429,LCI_AB!L2465,LCI_AB!L2477,LCI_AB!L2594,LCI_AB!L2618,LCI_AB!L2666,LCI_AB!L2844,LCI_AB!L2856,LCI_AB!L2868)</f>
        <v>1.3950161252469409</v>
      </c>
      <c r="C514" s="127" t="s">
        <v>3380</v>
      </c>
    </row>
    <row r="515" spans="1:3" x14ac:dyDescent="0.2">
      <c r="A515" s="126" t="s">
        <v>3381</v>
      </c>
      <c r="B515" s="100">
        <f>B266+SUM(LCI_AB!L1929,LCI_AB!L1965,LCI_AB!L2001,LCI_AB!L2025,LCI_AB!L2200,LCI_AB!L2212,LCI_AB!L2224,LCI_AB!L2236,LCI_AB!L2291,LCI_AB!L2315,LCI_AB!L2363,LCI_AB!L2375,LCI_AB!L2430,LCI_AB!L2466,LCI_AB!L2478,LCI_AB!L2595,LCI_AB!L2619,LCI_AB!L2667,LCI_AB!L2845,LCI_AB!L2857,LCI_AB!L2869)</f>
        <v>147216.66622874833</v>
      </c>
      <c r="C515" s="127" t="s">
        <v>3383</v>
      </c>
    </row>
    <row r="516" spans="1:3" x14ac:dyDescent="0.2">
      <c r="A516" s="117" t="s">
        <v>3384</v>
      </c>
      <c r="B516" s="168">
        <f>B267+SUM(LCI_AB!L1930,LCI_AB!L1966,LCI_AB!L2002,LCI_AB!L2026,LCI_AB!L2201,LCI_AB!L2213,LCI_AB!L2225,LCI_AB!L2237,LCI_AB!L2292,LCI_AB!L2316,LCI_AB!L2364,LCI_AB!L2376,LCI_AB!L2431,LCI_AB!L2467,LCI_AB!L2479,LCI_AB!L2596,LCI_AB!L2620,LCI_AB!L2668,LCI_AB!L2846,LCI_AB!L2858,LCI_AB!L2870)</f>
        <v>8043708.2267056089</v>
      </c>
      <c r="C516" s="120" t="s">
        <v>3385</v>
      </c>
    </row>
    <row r="518" spans="1:3" x14ac:dyDescent="0.2">
      <c r="A518" s="1969" t="s">
        <v>3527</v>
      </c>
      <c r="B518" s="1969"/>
      <c r="C518" s="1969"/>
    </row>
    <row r="519" spans="1:3" x14ac:dyDescent="0.2">
      <c r="A519" s="126" t="s">
        <v>701</v>
      </c>
      <c r="B519" s="100">
        <f>B270+SUM(LCI_AB!L2825,LCI_AB!L2029,LCI_AB!L1885,LCI_AB!L2482)</f>
        <v>1551002.8105503041</v>
      </c>
      <c r="C519" s="127" t="s">
        <v>3367</v>
      </c>
    </row>
    <row r="520" spans="1:3" x14ac:dyDescent="0.2">
      <c r="A520" s="126" t="s">
        <v>703</v>
      </c>
      <c r="B520" s="100">
        <f>B271+SUM(LCI_AB!L2826,LCI_AB!L2030,LCI_AB!L1886,LCI_AB!L2483)</f>
        <v>26.553173910953333</v>
      </c>
      <c r="C520" s="127" t="s">
        <v>3368</v>
      </c>
    </row>
    <row r="521" spans="1:3" x14ac:dyDescent="0.2">
      <c r="A521" s="126" t="s">
        <v>705</v>
      </c>
      <c r="B521" s="100">
        <f>B272+SUM(LCI_AB!L2827,LCI_AB!L2031,LCI_AB!L1887,LCI_AB!L2484)</f>
        <v>5644765909.8695364</v>
      </c>
      <c r="C521" s="127" t="s">
        <v>3370</v>
      </c>
    </row>
    <row r="522" spans="1:3" x14ac:dyDescent="0.2">
      <c r="A522" s="126" t="s">
        <v>3372</v>
      </c>
      <c r="B522" s="100">
        <f>B273+SUM(LCI_AB!L2828,LCI_AB!L2032,LCI_AB!L1888,LCI_AB!L2485)</f>
        <v>72836.880994242616</v>
      </c>
      <c r="C522" s="127" t="s">
        <v>3374</v>
      </c>
    </row>
    <row r="523" spans="1:3" x14ac:dyDescent="0.2">
      <c r="A523" s="126" t="s">
        <v>3375</v>
      </c>
      <c r="B523" s="100">
        <f>B274+SUM(LCI_AB!L2829,LCI_AB!L2033,LCI_AB!L1889,LCI_AB!L2486)</f>
        <v>762999.96970735211</v>
      </c>
      <c r="C523" s="127" t="s">
        <v>3376</v>
      </c>
    </row>
    <row r="524" spans="1:3" x14ac:dyDescent="0.2">
      <c r="A524" s="126" t="s">
        <v>708</v>
      </c>
      <c r="B524" s="100">
        <f>B275+SUM(LCI_AB!L2830,LCI_AB!L2034,LCI_AB!L1890,LCI_AB!L2487)</f>
        <v>392325728.3338573</v>
      </c>
      <c r="C524" s="127" t="s">
        <v>3377</v>
      </c>
    </row>
    <row r="525" spans="1:3" x14ac:dyDescent="0.2">
      <c r="A525" s="126" t="s">
        <v>3378</v>
      </c>
      <c r="B525" s="100">
        <f>B276+SUM(LCI_AB!L2831,LCI_AB!L2035,LCI_AB!L1891,LCI_AB!L2488)</f>
        <v>91.959698052143224</v>
      </c>
      <c r="C525" s="127" t="s">
        <v>3368</v>
      </c>
    </row>
    <row r="526" spans="1:3" x14ac:dyDescent="0.2">
      <c r="A526" s="126" t="s">
        <v>710</v>
      </c>
      <c r="B526" s="100">
        <f>B277+SUM(LCI_AB!L2832,LCI_AB!L2036,LCI_AB!L1892,LCI_AB!L2489)</f>
        <v>33.207226442875225</v>
      </c>
      <c r="C526" s="127" t="s">
        <v>3380</v>
      </c>
    </row>
    <row r="527" spans="1:3" x14ac:dyDescent="0.2">
      <c r="A527" s="126" t="s">
        <v>3381</v>
      </c>
      <c r="B527" s="100">
        <f>B278+SUM(LCI_AB!L2833,LCI_AB!L2037,LCI_AB!L1893,LCI_AB!L2490)</f>
        <v>267977.54583176889</v>
      </c>
      <c r="C527" s="127" t="s">
        <v>3383</v>
      </c>
    </row>
    <row r="528" spans="1:3" x14ac:dyDescent="0.2">
      <c r="A528" s="117" t="s">
        <v>3384</v>
      </c>
      <c r="B528" s="168">
        <f>B279+SUM(LCI_AB!L2834,LCI_AB!L2038,LCI_AB!L1894,LCI_AB!L2491)</f>
        <v>18731315.254549894</v>
      </c>
      <c r="C528" s="120" t="s">
        <v>3385</v>
      </c>
    </row>
    <row r="530" spans="1:3" x14ac:dyDescent="0.2">
      <c r="A530" s="1969" t="s">
        <v>812</v>
      </c>
      <c r="B530" s="1969"/>
      <c r="C530" s="1969"/>
    </row>
    <row r="531" spans="1:3" x14ac:dyDescent="0.2">
      <c r="A531" s="126" t="s">
        <v>701</v>
      </c>
      <c r="B531" s="100">
        <f>B282+SUM(LCI_AB!L2180)</f>
        <v>143863.80896575371</v>
      </c>
      <c r="C531" s="127" t="s">
        <v>3367</v>
      </c>
    </row>
    <row r="532" spans="1:3" x14ac:dyDescent="0.2">
      <c r="A532" s="126" t="s">
        <v>703</v>
      </c>
      <c r="B532" s="100">
        <f>B283+SUM(LCI_AB!L2181)</f>
        <v>1.8196140179125786</v>
      </c>
      <c r="C532" s="127" t="s">
        <v>3368</v>
      </c>
    </row>
    <row r="533" spans="1:3" x14ac:dyDescent="0.2">
      <c r="A533" s="126" t="s">
        <v>705</v>
      </c>
      <c r="B533" s="100">
        <f>B284+SUM(LCI_AB!L2182)</f>
        <v>253916991.16951323</v>
      </c>
      <c r="C533" s="127" t="s">
        <v>3370</v>
      </c>
    </row>
    <row r="534" spans="1:3" x14ac:dyDescent="0.2">
      <c r="A534" s="126" t="s">
        <v>3372</v>
      </c>
      <c r="B534" s="100">
        <f>B285+SUM(LCI_AB!L2183)</f>
        <v>1929.8803641747447</v>
      </c>
      <c r="C534" s="127" t="s">
        <v>3374</v>
      </c>
    </row>
    <row r="535" spans="1:3" x14ac:dyDescent="0.2">
      <c r="A535" s="126" t="s">
        <v>3375</v>
      </c>
      <c r="B535" s="100">
        <f>B286+SUM(LCI_AB!L2184)</f>
        <v>70177.467788172537</v>
      </c>
      <c r="C535" s="127" t="s">
        <v>3376</v>
      </c>
    </row>
    <row r="536" spans="1:3" x14ac:dyDescent="0.2">
      <c r="A536" s="126" t="s">
        <v>708</v>
      </c>
      <c r="B536" s="100">
        <f>B287+SUM(LCI_AB!L2185)</f>
        <v>40281164.735733151</v>
      </c>
      <c r="C536" s="127" t="s">
        <v>3377</v>
      </c>
    </row>
    <row r="537" spans="1:3" x14ac:dyDescent="0.2">
      <c r="A537" s="126" t="s">
        <v>3378</v>
      </c>
      <c r="B537" s="100">
        <f>B288+SUM(LCI_AB!L2186)</f>
        <v>3.6237714485448125</v>
      </c>
      <c r="C537" s="127" t="s">
        <v>3368</v>
      </c>
    </row>
    <row r="538" spans="1:3" x14ac:dyDescent="0.2">
      <c r="A538" s="126" t="s">
        <v>710</v>
      </c>
      <c r="B538" s="100">
        <f>B289+SUM(LCI_AB!L2187)</f>
        <v>1.6430229468438109</v>
      </c>
      <c r="C538" s="127" t="s">
        <v>3380</v>
      </c>
    </row>
    <row r="539" spans="1:3" x14ac:dyDescent="0.2">
      <c r="A539" s="126" t="s">
        <v>3381</v>
      </c>
      <c r="B539" s="100">
        <f>B290+SUM(LCI_AB!L2188)</f>
        <v>29825.42380997333</v>
      </c>
      <c r="C539" s="127" t="s">
        <v>3383</v>
      </c>
    </row>
    <row r="540" spans="1:3" x14ac:dyDescent="0.2">
      <c r="A540" s="117" t="s">
        <v>3384</v>
      </c>
      <c r="B540" s="168">
        <f>B291+SUM(LCI_AB!L2189)</f>
        <v>1681276.6845351434</v>
      </c>
      <c r="C540" s="120" t="s">
        <v>3385</v>
      </c>
    </row>
    <row r="542" spans="1:3" x14ac:dyDescent="0.2">
      <c r="A542" s="1969" t="s">
        <v>3521</v>
      </c>
      <c r="B542" s="1969"/>
      <c r="C542" s="1969"/>
    </row>
    <row r="543" spans="1:3" x14ac:dyDescent="0.2">
      <c r="A543" s="126" t="s">
        <v>701</v>
      </c>
      <c r="B543" s="100">
        <f>B294+SUM(LCI_AB!L2343,LCI_AB!L2623,LCI_AB!L2813)</f>
        <v>6041.0079572799996</v>
      </c>
      <c r="C543" s="127" t="s">
        <v>3367</v>
      </c>
    </row>
    <row r="544" spans="1:3" x14ac:dyDescent="0.2">
      <c r="A544" s="126" t="s">
        <v>703</v>
      </c>
      <c r="B544" s="100">
        <f>B295+SUM(LCI_AB!L2344,LCI_AB!L2624,LCI_AB!L2814)</f>
        <v>0.23306208</v>
      </c>
      <c r="C544" s="127" t="s">
        <v>3368</v>
      </c>
    </row>
    <row r="545" spans="1:3" x14ac:dyDescent="0.2">
      <c r="A545" s="126" t="s">
        <v>705</v>
      </c>
      <c r="B545" s="100">
        <f>B296+SUM(LCI_AB!L2345,LCI_AB!L2625,LCI_AB!L2815)</f>
        <v>34862397.018399999</v>
      </c>
      <c r="C545" s="127" t="s">
        <v>3370</v>
      </c>
    </row>
    <row r="546" spans="1:3" x14ac:dyDescent="0.2">
      <c r="A546" s="126" t="s">
        <v>3372</v>
      </c>
      <c r="B546" s="100">
        <f>B297+SUM(LCI_AB!L2346,LCI_AB!L2626,LCI_AB!L2816)</f>
        <v>235.47038816</v>
      </c>
      <c r="C546" s="127" t="s">
        <v>3374</v>
      </c>
    </row>
    <row r="547" spans="1:3" x14ac:dyDescent="0.2">
      <c r="A547" s="126" t="s">
        <v>3375</v>
      </c>
      <c r="B547" s="100">
        <f>B298+SUM(LCI_AB!L2347,LCI_AB!L2627,LCI_AB!L2817)</f>
        <v>2747.4134864000007</v>
      </c>
      <c r="C547" s="127" t="s">
        <v>3376</v>
      </c>
    </row>
    <row r="548" spans="1:3" x14ac:dyDescent="0.2">
      <c r="A548" s="126" t="s">
        <v>708</v>
      </c>
      <c r="B548" s="100">
        <f>B299+SUM(LCI_AB!L2348,LCI_AB!L2628,LCI_AB!L2818)</f>
        <v>461526.76769900008</v>
      </c>
      <c r="C548" s="127" t="s">
        <v>3377</v>
      </c>
    </row>
    <row r="549" spans="1:3" x14ac:dyDescent="0.2">
      <c r="A549" s="126" t="s">
        <v>3378</v>
      </c>
      <c r="B549" s="100">
        <f>B300+SUM(LCI_AB!L2349,LCI_AB!L2629,LCI_AB!L2819)</f>
        <v>0.46612416000000001</v>
      </c>
      <c r="C549" s="127" t="s">
        <v>3368</v>
      </c>
    </row>
    <row r="550" spans="1:3" x14ac:dyDescent="0.2">
      <c r="A550" s="126" t="s">
        <v>710</v>
      </c>
      <c r="B550" s="100">
        <f>B301+SUM(LCI_AB!L2350,LCI_AB!L2630,LCI_AB!L2820)</f>
        <v>9.7103858993999991E-3</v>
      </c>
      <c r="C550" s="127" t="s">
        <v>3380</v>
      </c>
    </row>
    <row r="551" spans="1:3" x14ac:dyDescent="0.2">
      <c r="A551" s="126" t="s">
        <v>3381</v>
      </c>
      <c r="B551" s="100">
        <f>B302+SUM(LCI_AB!L2351,LCI_AB!L2631,LCI_AB!L2821)</f>
        <v>695.17563003999999</v>
      </c>
      <c r="C551" s="127" t="s">
        <v>3383</v>
      </c>
    </row>
    <row r="552" spans="1:3" x14ac:dyDescent="0.2">
      <c r="A552" s="117" t="s">
        <v>3384</v>
      </c>
      <c r="B552" s="168">
        <f>B303+SUM(LCI_AB!L2352,LCI_AB!L2632,LCI_AB!L2822)</f>
        <v>31924.0668448</v>
      </c>
      <c r="C552" s="120" t="s">
        <v>3385</v>
      </c>
    </row>
    <row r="554" spans="1:3" x14ac:dyDescent="0.2">
      <c r="A554" s="1969" t="s">
        <v>3528</v>
      </c>
      <c r="B554" s="1969"/>
      <c r="C554" s="1969"/>
    </row>
    <row r="555" spans="1:3" x14ac:dyDescent="0.2">
      <c r="A555" s="126" t="s">
        <v>701</v>
      </c>
      <c r="B555" s="100">
        <f>B306+SUM(LCI_AB!L2801,LCI_AB!L2789,LCI_AB!L2753,LCI_AB!L2729,LCI_AB!L2717,LCI_AB!L2635,LCI_AB!L2530,LCI_AB!L2518,LCI_AB!L2494,LCI_AB!L2355)</f>
        <v>1415394.5313094992</v>
      </c>
      <c r="C555" s="127" t="s">
        <v>3367</v>
      </c>
    </row>
    <row r="556" spans="1:3" x14ac:dyDescent="0.2">
      <c r="A556" s="126" t="s">
        <v>703</v>
      </c>
      <c r="B556" s="100">
        <f>B307</f>
        <v>192.98590603471109</v>
      </c>
      <c r="C556" s="127" t="s">
        <v>3368</v>
      </c>
    </row>
    <row r="557" spans="1:3" x14ac:dyDescent="0.2">
      <c r="A557" s="126" t="s">
        <v>705</v>
      </c>
      <c r="B557" s="100">
        <f>B308</f>
        <v>29972185426.459473</v>
      </c>
      <c r="C557" s="127" t="s">
        <v>3370</v>
      </c>
    </row>
    <row r="558" spans="1:3" x14ac:dyDescent="0.2">
      <c r="A558" s="126" t="s">
        <v>3372</v>
      </c>
      <c r="B558" s="100">
        <f>B309</f>
        <v>140878.19843295676</v>
      </c>
      <c r="C558" s="127" t="s">
        <v>3374</v>
      </c>
    </row>
    <row r="559" spans="1:3" x14ac:dyDescent="0.2">
      <c r="A559" s="126" t="s">
        <v>3375</v>
      </c>
      <c r="B559" s="100">
        <f>B310</f>
        <v>461181.58674258715</v>
      </c>
      <c r="C559" s="127" t="s">
        <v>3376</v>
      </c>
    </row>
    <row r="560" spans="1:3" x14ac:dyDescent="0.2">
      <c r="A560" s="126" t="s">
        <v>708</v>
      </c>
      <c r="B560" s="100">
        <f>B311</f>
        <v>564007327.6796968</v>
      </c>
      <c r="C560" s="127" t="s">
        <v>3377</v>
      </c>
    </row>
    <row r="561" spans="1:3" x14ac:dyDescent="0.2">
      <c r="A561" s="126" t="s">
        <v>3378</v>
      </c>
      <c r="B561" s="100">
        <f>B312</f>
        <v>319.32327327753177</v>
      </c>
      <c r="C561" s="127" t="s">
        <v>3368</v>
      </c>
    </row>
    <row r="562" spans="1:3" x14ac:dyDescent="0.2">
      <c r="A562" s="126" t="s">
        <v>710</v>
      </c>
      <c r="B562" s="100">
        <f>B313</f>
        <v>3.3651046846645092</v>
      </c>
      <c r="C562" s="127" t="s">
        <v>3380</v>
      </c>
    </row>
    <row r="563" spans="1:3" x14ac:dyDescent="0.2">
      <c r="A563" s="126" t="s">
        <v>3381</v>
      </c>
      <c r="B563" s="100">
        <f>B314</f>
        <v>266170.11473461782</v>
      </c>
      <c r="C563" s="127" t="s">
        <v>3383</v>
      </c>
    </row>
    <row r="564" spans="1:3" x14ac:dyDescent="0.2">
      <c r="A564" s="117" t="s">
        <v>3384</v>
      </c>
      <c r="B564" s="168">
        <f>B315</f>
        <v>10634063.601095131</v>
      </c>
      <c r="C564" s="120" t="s">
        <v>3385</v>
      </c>
    </row>
    <row r="566" spans="1:3" x14ac:dyDescent="0.2">
      <c r="A566" s="1969" t="s">
        <v>3522</v>
      </c>
      <c r="B566" s="1969"/>
      <c r="C566" s="1969"/>
    </row>
    <row r="567" spans="1:3" x14ac:dyDescent="0.2">
      <c r="A567" s="126" t="s">
        <v>701</v>
      </c>
      <c r="B567" s="100">
        <f>B318+LCI_AB!L2695</f>
        <v>16921.399762427354</v>
      </c>
      <c r="C567" s="127" t="s">
        <v>3367</v>
      </c>
    </row>
    <row r="568" spans="1:3" x14ac:dyDescent="0.2">
      <c r="A568" s="126" t="s">
        <v>703</v>
      </c>
      <c r="B568" s="100">
        <f>B319+LCI_AB!L2696</f>
        <v>4.02910738483961E-2</v>
      </c>
      <c r="C568" s="127" t="s">
        <v>3368</v>
      </c>
    </row>
    <row r="569" spans="1:3" x14ac:dyDescent="0.2">
      <c r="A569" s="126" t="s">
        <v>705</v>
      </c>
      <c r="B569" s="100">
        <f>B320+LCI_AB!L2697</f>
        <v>19919418.297638856</v>
      </c>
      <c r="C569" s="127" t="s">
        <v>3370</v>
      </c>
    </row>
    <row r="570" spans="1:3" x14ac:dyDescent="0.2">
      <c r="A570" s="126" t="s">
        <v>3372</v>
      </c>
      <c r="B570" s="100">
        <f>B321+LCI_AB!L2698</f>
        <v>146.79773688851449</v>
      </c>
      <c r="C570" s="127" t="s">
        <v>3374</v>
      </c>
    </row>
    <row r="571" spans="1:3" x14ac:dyDescent="0.2">
      <c r="A571" s="126" t="s">
        <v>3375</v>
      </c>
      <c r="B571" s="100">
        <f>B322+LCI_AB!L2699</f>
        <v>1605.3816804063731</v>
      </c>
      <c r="C571" s="127" t="s">
        <v>3376</v>
      </c>
    </row>
    <row r="572" spans="1:3" x14ac:dyDescent="0.2">
      <c r="A572" s="126" t="s">
        <v>708</v>
      </c>
      <c r="B572" s="100">
        <f>B323+LCI_AB!L2700</f>
        <v>209194.03068135539</v>
      </c>
      <c r="C572" s="127" t="s">
        <v>3377</v>
      </c>
    </row>
    <row r="573" spans="1:3" x14ac:dyDescent="0.2">
      <c r="A573" s="126" t="s">
        <v>3378</v>
      </c>
      <c r="B573" s="100">
        <f>B324+LCI_AB!L2701</f>
        <v>0.5503429703415762</v>
      </c>
      <c r="C573" s="127" t="s">
        <v>3368</v>
      </c>
    </row>
    <row r="574" spans="1:3" x14ac:dyDescent="0.2">
      <c r="A574" s="126" t="s">
        <v>710</v>
      </c>
      <c r="B574" s="100">
        <f>B325+LCI_AB!L2702</f>
        <v>2.4722817340955545E-3</v>
      </c>
      <c r="C574" s="127" t="s">
        <v>3380</v>
      </c>
    </row>
    <row r="575" spans="1:3" x14ac:dyDescent="0.2">
      <c r="A575" s="126" t="s">
        <v>3381</v>
      </c>
      <c r="B575" s="100">
        <f>B326+LCI_AB!L2703</f>
        <v>1099.1249242732858</v>
      </c>
      <c r="C575" s="127" t="s">
        <v>3383</v>
      </c>
    </row>
    <row r="576" spans="1:3" x14ac:dyDescent="0.2">
      <c r="A576" s="117" t="s">
        <v>3384</v>
      </c>
      <c r="B576" s="100">
        <f>B327+LCI_AB!L2704</f>
        <v>35282.457728429625</v>
      </c>
      <c r="C576" s="120" t="s">
        <v>3385</v>
      </c>
    </row>
    <row r="577" spans="1:3" x14ac:dyDescent="0.2">
      <c r="B577" s="33"/>
    </row>
    <row r="578" spans="1:3" x14ac:dyDescent="0.2">
      <c r="A578" s="1969" t="s">
        <v>714</v>
      </c>
      <c r="B578" s="1969"/>
      <c r="C578" s="1969"/>
    </row>
    <row r="579" spans="1:3" x14ac:dyDescent="0.2">
      <c r="A579" s="126" t="s">
        <v>701</v>
      </c>
      <c r="B579" s="100">
        <f>B330+SUM(LCI_AB!L2873,LCI_AB!L2542,LCI_AB!L2391,LCI_AB!L2252,LCI_AB!L2101)</f>
        <v>1067858.2341499156</v>
      </c>
      <c r="C579" s="127" t="s">
        <v>3367</v>
      </c>
    </row>
    <row r="580" spans="1:3" x14ac:dyDescent="0.2">
      <c r="A580" s="126" t="s">
        <v>703</v>
      </c>
      <c r="B580" s="100">
        <f>B331+SUM(LCI_AB!L2874,LCI_AB!L2543,LCI_AB!L2392,LCI_AB!L2253,LCI_AB!L2102)</f>
        <v>47.144090083446244</v>
      </c>
      <c r="C580" s="127" t="s">
        <v>3368</v>
      </c>
    </row>
    <row r="581" spans="1:3" x14ac:dyDescent="0.2">
      <c r="A581" s="126" t="s">
        <v>705</v>
      </c>
      <c r="B581" s="100">
        <f>B332+SUM(LCI_AB!L2875,LCI_AB!L2544,LCI_AB!L2393,LCI_AB!L2254,LCI_AB!L2103)</f>
        <v>5975464154.2169437</v>
      </c>
      <c r="C581" s="127" t="s">
        <v>3370</v>
      </c>
    </row>
    <row r="582" spans="1:3" x14ac:dyDescent="0.2">
      <c r="A582" s="126" t="s">
        <v>3372</v>
      </c>
      <c r="B582" s="100">
        <f>B333+SUM(LCI_AB!L2876,LCI_AB!L2545,LCI_AB!L2394,LCI_AB!L2255,LCI_AB!L2104)</f>
        <v>455619.5132372973</v>
      </c>
      <c r="C582" s="127" t="s">
        <v>3374</v>
      </c>
    </row>
    <row r="583" spans="1:3" x14ac:dyDescent="0.2">
      <c r="A583" s="126" t="s">
        <v>3375</v>
      </c>
      <c r="B583" s="100">
        <f>B334+SUM(LCI_AB!L2877,LCI_AB!L2546,LCI_AB!L2395,LCI_AB!L2256,LCI_AB!L2105)</f>
        <v>754619.81879927369</v>
      </c>
      <c r="C583" s="127" t="s">
        <v>3376</v>
      </c>
    </row>
    <row r="584" spans="1:3" x14ac:dyDescent="0.2">
      <c r="A584" s="126" t="s">
        <v>708</v>
      </c>
      <c r="B584" s="100">
        <f>B335+SUM(LCI_AB!L2878,LCI_AB!L2547,LCI_AB!L2396,LCI_AB!L2257,LCI_AB!L2106)</f>
        <v>557421998.22625601</v>
      </c>
      <c r="C584" s="127" t="s">
        <v>3377</v>
      </c>
    </row>
    <row r="585" spans="1:3" x14ac:dyDescent="0.2">
      <c r="A585" s="126" t="s">
        <v>3378</v>
      </c>
      <c r="B585" s="100">
        <f>B336+SUM(LCI_AB!L2879,LCI_AB!L2548,LCI_AB!L2397,LCI_AB!L2258,LCI_AB!L2107)</f>
        <v>140.7432881176652</v>
      </c>
      <c r="C585" s="127" t="s">
        <v>3368</v>
      </c>
    </row>
    <row r="586" spans="1:3" x14ac:dyDescent="0.2">
      <c r="A586" s="126" t="s">
        <v>710</v>
      </c>
      <c r="B586" s="100">
        <f>B337+SUM(LCI_AB!L2880,LCI_AB!L2549,LCI_AB!L2398,LCI_AB!L2259,LCI_AB!L2108)</f>
        <v>2.1508231027856053</v>
      </c>
      <c r="C586" s="127" t="s">
        <v>3380</v>
      </c>
    </row>
    <row r="587" spans="1:3" x14ac:dyDescent="0.2">
      <c r="A587" s="126" t="s">
        <v>3381</v>
      </c>
      <c r="B587" s="100">
        <f>B338+SUM(LCI_AB!L2881,LCI_AB!L2550,LCI_AB!L2399,LCI_AB!L2260,LCI_AB!L2109)</f>
        <v>1438049.0886552199</v>
      </c>
      <c r="C587" s="127" t="s">
        <v>3383</v>
      </c>
    </row>
    <row r="588" spans="1:3" x14ac:dyDescent="0.2">
      <c r="A588" s="117" t="s">
        <v>3384</v>
      </c>
      <c r="B588" s="168">
        <f>B339+SUM(LCI_AB!L2882,LCI_AB!L2551,LCI_AB!L2400,LCI_AB!L2261,LCI_AB!L2110)</f>
        <v>17370493.942171961</v>
      </c>
      <c r="C588" s="120" t="s">
        <v>3385</v>
      </c>
    </row>
    <row r="590" spans="1:3" x14ac:dyDescent="0.2">
      <c r="A590" s="1969" t="s">
        <v>3573</v>
      </c>
      <c r="B590" s="1969"/>
      <c r="C590" s="1969"/>
    </row>
    <row r="591" spans="1:3" x14ac:dyDescent="0.2">
      <c r="A591" s="126" t="s">
        <v>701</v>
      </c>
      <c r="B591" s="100">
        <f>B342+SUM(LCI_AB!L2053,LCI_AB!L2065,LCI_AB!L2077,LCI_AB!L2089,LCI_AB!L2113,LCI_AB!L2125,LCI_AB!L2264,LCI_AB!L2379,LCI_AB!L2403,LCI_AB!L2554,LCI_AB!L2566,LCI_AB!L2683)</f>
        <v>2203674.6024623304</v>
      </c>
      <c r="C591" s="127" t="s">
        <v>3367</v>
      </c>
    </row>
    <row r="592" spans="1:3" x14ac:dyDescent="0.2">
      <c r="A592" s="126" t="s">
        <v>703</v>
      </c>
      <c r="B592" s="100">
        <f>B343+SUM(LCI_AB!L2054,LCI_AB!L2066,LCI_AB!L2078,LCI_AB!L2090,LCI_AB!L2114,LCI_AB!L2126,LCI_AB!L2265,LCI_AB!L2380,LCI_AB!L2404,LCI_AB!L2555,LCI_AB!L2567,LCI_AB!L2684)</f>
        <v>40.166604778312127</v>
      </c>
      <c r="C592" s="127" t="s">
        <v>3368</v>
      </c>
    </row>
    <row r="593" spans="1:3" x14ac:dyDescent="0.2">
      <c r="A593" s="126" t="s">
        <v>705</v>
      </c>
      <c r="B593" s="100">
        <f>B344+SUM(LCI_AB!L2055,LCI_AB!L2067,LCI_AB!L2079,LCI_AB!L2091,LCI_AB!L2115,LCI_AB!L2127,LCI_AB!L2266,LCI_AB!L2381,LCI_AB!L2405,LCI_AB!L2556,LCI_AB!L2568,LCI_AB!L2685)</f>
        <v>8477573606.914587</v>
      </c>
      <c r="C593" s="127" t="s">
        <v>3370</v>
      </c>
    </row>
    <row r="594" spans="1:3" x14ac:dyDescent="0.2">
      <c r="A594" s="126" t="s">
        <v>3372</v>
      </c>
      <c r="B594" s="100">
        <f>B345+SUM(LCI_AB!L2056,LCI_AB!L2068,LCI_AB!L2080,LCI_AB!L2092,LCI_AB!L2116,LCI_AB!L2128,LCI_AB!L2267,LCI_AB!L2382,LCI_AB!L2406,LCI_AB!L2557,LCI_AB!L2569,LCI_AB!L2686)</f>
        <v>395004.74387261231</v>
      </c>
      <c r="C594" s="127" t="s">
        <v>3374</v>
      </c>
    </row>
    <row r="595" spans="1:3" x14ac:dyDescent="0.2">
      <c r="A595" s="126" t="s">
        <v>3375</v>
      </c>
      <c r="B595" s="100">
        <f>B346+SUM(LCI_AB!L2057,LCI_AB!L2069,LCI_AB!L2081,LCI_AB!L2093,LCI_AB!L2117,LCI_AB!L2129,LCI_AB!L2268,LCI_AB!L2383,LCI_AB!L2407,LCI_AB!L2558,LCI_AB!L2570,LCI_AB!L2687)</f>
        <v>1750436.1820230309</v>
      </c>
      <c r="C595" s="127" t="s">
        <v>3376</v>
      </c>
    </row>
    <row r="596" spans="1:3" x14ac:dyDescent="0.2">
      <c r="A596" s="126" t="s">
        <v>708</v>
      </c>
      <c r="B596" s="100">
        <f>B347+SUM(LCI_AB!L2058,LCI_AB!L2070,LCI_AB!L2082,LCI_AB!L2094,LCI_AB!L2118,LCI_AB!L2130,LCI_AB!L2269,LCI_AB!L2384,LCI_AB!L2408,LCI_AB!L2559,LCI_AB!L2571,LCI_AB!L2688)</f>
        <v>330799669.09542215</v>
      </c>
      <c r="C596" s="127" t="s">
        <v>3377</v>
      </c>
    </row>
    <row r="597" spans="1:3" x14ac:dyDescent="0.2">
      <c r="A597" s="126" t="s">
        <v>3378</v>
      </c>
      <c r="B597" s="100">
        <f>B348+SUM(LCI_AB!L2059,LCI_AB!L2071,LCI_AB!L2083,LCI_AB!L2095,LCI_AB!L2119,LCI_AB!L2131,LCI_AB!L2270,LCI_AB!L2385,LCI_AB!L2409,LCI_AB!L2560,LCI_AB!L2572,LCI_AB!L2689)</f>
        <v>5344.006629271842</v>
      </c>
      <c r="C597" s="127" t="s">
        <v>3368</v>
      </c>
    </row>
    <row r="598" spans="1:3" x14ac:dyDescent="0.2">
      <c r="A598" s="126" t="s">
        <v>710</v>
      </c>
      <c r="B598" s="100">
        <f>B349+SUM(LCI_AB!L2060,LCI_AB!L2072,LCI_AB!L2084,LCI_AB!L2096,LCI_AB!L2120,LCI_AB!L2132,LCI_AB!L2271,LCI_AB!L2386,LCI_AB!L2410,LCI_AB!L2561,LCI_AB!L2573,LCI_AB!L2690)</f>
        <v>5.2297457631712572</v>
      </c>
      <c r="C598" s="127" t="s">
        <v>3380</v>
      </c>
    </row>
    <row r="599" spans="1:3" x14ac:dyDescent="0.2">
      <c r="A599" s="126" t="s">
        <v>3381</v>
      </c>
      <c r="B599" s="100">
        <f>B350+SUM(LCI_AB!L2061,LCI_AB!L2073,LCI_AB!L2085,LCI_AB!L2097,LCI_AB!L2121,LCI_AB!L2133,LCI_AB!L2272,LCI_AB!L2387,LCI_AB!L2411,LCI_AB!L2562,LCI_AB!L2574,LCI_AB!L2691)</f>
        <v>3027237.1267987466</v>
      </c>
      <c r="C599" s="127" t="s">
        <v>3383</v>
      </c>
    </row>
    <row r="600" spans="1:3" x14ac:dyDescent="0.2">
      <c r="A600" s="117" t="s">
        <v>3384</v>
      </c>
      <c r="B600" s="168">
        <f>B351+SUM(LCI_AB!L2062,LCI_AB!L2074,LCI_AB!L2086,LCI_AB!L2098,LCI_AB!L2122,LCI_AB!L2134,LCI_AB!L2273,LCI_AB!L2388,LCI_AB!L2412,LCI_AB!L2563,LCI_AB!L2575,LCI_AB!L2692)</f>
        <v>19556992.607396457</v>
      </c>
      <c r="C600" s="120" t="s">
        <v>3385</v>
      </c>
    </row>
    <row r="601" spans="1:3" x14ac:dyDescent="0.2">
      <c r="B601" s="33"/>
    </row>
    <row r="602" spans="1:3" x14ac:dyDescent="0.2">
      <c r="A602" s="1969" t="s">
        <v>539</v>
      </c>
      <c r="B602" s="1969"/>
      <c r="C602" s="1969"/>
    </row>
    <row r="603" spans="1:3" x14ac:dyDescent="0.2">
      <c r="A603" s="126" t="s">
        <v>701</v>
      </c>
      <c r="B603" s="100">
        <f>LCI_AB!L2893</f>
        <v>1.5951873531558045</v>
      </c>
      <c r="C603" s="127" t="s">
        <v>3367</v>
      </c>
    </row>
    <row r="604" spans="1:3" x14ac:dyDescent="0.2">
      <c r="A604" s="126" t="s">
        <v>703</v>
      </c>
      <c r="B604" s="100">
        <f>LCI_AB!L2894</f>
        <v>1.1308568656244805E-5</v>
      </c>
      <c r="C604" s="127" t="s">
        <v>3368</v>
      </c>
    </row>
    <row r="605" spans="1:3" x14ac:dyDescent="0.2">
      <c r="A605" s="126" t="s">
        <v>705</v>
      </c>
      <c r="B605" s="100">
        <f>LCI_AB!L2895</f>
        <v>595.94261191008684</v>
      </c>
      <c r="C605" s="127" t="s">
        <v>3370</v>
      </c>
    </row>
    <row r="606" spans="1:3" x14ac:dyDescent="0.2">
      <c r="A606" s="126" t="s">
        <v>3372</v>
      </c>
      <c r="B606" s="100">
        <f>LCI_AB!L2896</f>
        <v>9.9535499868506697E-2</v>
      </c>
      <c r="C606" s="127" t="s">
        <v>3374</v>
      </c>
    </row>
    <row r="607" spans="1:3" x14ac:dyDescent="0.2">
      <c r="A607" s="126" t="s">
        <v>3375</v>
      </c>
      <c r="B607" s="100">
        <f>LCI_AB!L2897</f>
        <v>2.0404777473043874</v>
      </c>
      <c r="C607" s="127" t="s">
        <v>3376</v>
      </c>
    </row>
    <row r="608" spans="1:3" x14ac:dyDescent="0.2">
      <c r="A608" s="126" t="s">
        <v>708</v>
      </c>
      <c r="B608" s="100">
        <f>LCI_AB!L2898</f>
        <v>35791.498913769581</v>
      </c>
      <c r="C608" s="127" t="s">
        <v>3377</v>
      </c>
    </row>
    <row r="609" spans="1:8" x14ac:dyDescent="0.2">
      <c r="A609" s="126" t="s">
        <v>3378</v>
      </c>
      <c r="B609" s="100">
        <f>LCI_AB!L2899</f>
        <v>9.2077147702043907E-6</v>
      </c>
      <c r="C609" s="127" t="s">
        <v>3368</v>
      </c>
    </row>
    <row r="610" spans="1:8" x14ac:dyDescent="0.2">
      <c r="A610" s="126" t="s">
        <v>710</v>
      </c>
      <c r="B610" s="100">
        <f>LCI_AB!L2900</f>
        <v>3.5897216092050968E-6</v>
      </c>
      <c r="C610" s="127" t="s">
        <v>3380</v>
      </c>
    </row>
    <row r="611" spans="1:8" x14ac:dyDescent="0.2">
      <c r="A611" s="126" t="s">
        <v>3381</v>
      </c>
      <c r="B611" s="100">
        <f>LCI_AB!L2901</f>
        <v>0.22526455233398882</v>
      </c>
      <c r="C611" s="127" t="s">
        <v>3383</v>
      </c>
    </row>
    <row r="612" spans="1:8" x14ac:dyDescent="0.2">
      <c r="A612" s="117" t="s">
        <v>3384</v>
      </c>
      <c r="B612" s="168">
        <f>LCI_AB!L2902</f>
        <v>51.923479312984419</v>
      </c>
      <c r="C612" s="120" t="s">
        <v>3385</v>
      </c>
    </row>
    <row r="613" spans="1:8" x14ac:dyDescent="0.2">
      <c r="B613" s="33"/>
    </row>
    <row r="614" spans="1:8" x14ac:dyDescent="0.2">
      <c r="B614" s="33"/>
      <c r="E614" s="1288"/>
    </row>
    <row r="615" spans="1:8" ht="29" x14ac:dyDescent="0.35">
      <c r="A615" s="2032" t="s">
        <v>3601</v>
      </c>
      <c r="B615" s="2033"/>
      <c r="C615" s="2033"/>
      <c r="D615" s="2033"/>
      <c r="E615" s="2033"/>
      <c r="F615" s="2033"/>
    </row>
    <row r="616" spans="1:8" x14ac:dyDescent="0.2">
      <c r="A616" s="135" t="s">
        <v>666</v>
      </c>
      <c r="B616" s="1299">
        <f ca="1">B354/2</f>
        <v>256781319.62711766</v>
      </c>
      <c r="C616" s="1257" t="str">
        <f>C354</f>
        <v>GGE / 30 yr</v>
      </c>
      <c r="D616" s="1299">
        <f ca="1">D354</f>
        <v>2145804899.3909554</v>
      </c>
      <c r="E616" s="1257" t="str">
        <f>E354</f>
        <v>$/30 yr</v>
      </c>
      <c r="F616" s="1122">
        <f t="shared" ref="F616:F621" ca="1" si="45">D616/D$623</f>
        <v>0.31680064409621156</v>
      </c>
    </row>
    <row r="617" spans="1:8" x14ac:dyDescent="0.2">
      <c r="A617" s="260" t="s">
        <v>664</v>
      </c>
      <c r="B617" s="100">
        <f ca="1">B355/2</f>
        <v>1831999.9486555974</v>
      </c>
      <c r="C617" s="33" t="str">
        <f>C355</f>
        <v>kg / 30 yr</v>
      </c>
      <c r="D617" s="33">
        <f ca="1">D355</f>
        <v>3114399.9127145153</v>
      </c>
      <c r="E617" s="33" t="str">
        <f>E355</f>
        <v>$/30 yr</v>
      </c>
      <c r="F617" s="1472">
        <f t="shared" ca="1" si="45"/>
        <v>4.5980130747263326E-4</v>
      </c>
      <c r="H617" s="1228"/>
    </row>
    <row r="618" spans="1:8" x14ac:dyDescent="0.2">
      <c r="A618" s="260" t="s">
        <v>2996</v>
      </c>
      <c r="B618" s="100">
        <f ca="1">B356</f>
        <v>11506134.007366557</v>
      </c>
      <c r="C618" s="33" t="str">
        <f>C356</f>
        <v>kg / 30yr</v>
      </c>
      <c r="D618" s="33">
        <f ca="1">D356</f>
        <v>13807360.808839867</v>
      </c>
      <c r="E618" s="33" t="str">
        <f>E356</f>
        <v>$/30 yr</v>
      </c>
      <c r="F618" s="1472">
        <f t="shared" ca="1" si="45"/>
        <v>2.0384801986195406E-3</v>
      </c>
      <c r="H618" s="33"/>
    </row>
    <row r="619" spans="1:8" x14ac:dyDescent="0.2">
      <c r="A619" s="260" t="s">
        <v>2997</v>
      </c>
      <c r="B619" s="100">
        <f ca="1">B357</f>
        <v>5165271.8517887127</v>
      </c>
      <c r="C619" s="33" t="str">
        <f>C357</f>
        <v>kg / 30yr</v>
      </c>
      <c r="D619" s="33">
        <f ca="1">D357</f>
        <v>10330543.703577425</v>
      </c>
      <c r="E619" s="33" t="str">
        <f>E357</f>
        <v>$/30 yr</v>
      </c>
      <c r="F619" s="1472">
        <f t="shared" ca="1" si="45"/>
        <v>1.525172628735394E-3</v>
      </c>
    </row>
    <row r="620" spans="1:8" x14ac:dyDescent="0.2">
      <c r="A620" s="260" t="s">
        <v>2136</v>
      </c>
      <c r="B620" s="100">
        <f ca="1">AB_DCFROR!D33*30/2</f>
        <v>7629970.9119311739</v>
      </c>
      <c r="C620" s="33" t="str">
        <f>C358</f>
        <v>kg / 30 yr</v>
      </c>
      <c r="D620" s="100">
        <f ca="1">B620*AB_DCFROR!D47</f>
        <v>1373394764.1476114</v>
      </c>
      <c r="E620" s="33" t="s">
        <v>3574</v>
      </c>
      <c r="F620" s="1122">
        <f t="shared" ca="1" si="45"/>
        <v>0.20276416835650821</v>
      </c>
    </row>
    <row r="621" spans="1:8" x14ac:dyDescent="0.2">
      <c r="A621" s="260" t="s">
        <v>3043</v>
      </c>
      <c r="B621" s="100">
        <f ca="1">AB_DCFROR!D34*30/2</f>
        <v>22254540.082818698</v>
      </c>
      <c r="C621" s="33" t="s">
        <v>3458</v>
      </c>
      <c r="D621" s="100">
        <f ca="1">B621*AB_DCFROR!D48</f>
        <v>3226908312.0087113</v>
      </c>
      <c r="E621" s="33" t="s">
        <v>3574</v>
      </c>
      <c r="F621" s="1122">
        <f t="shared" ca="1" si="45"/>
        <v>0.47641173341245263</v>
      </c>
    </row>
    <row r="622" spans="1:8" x14ac:dyDescent="0.2">
      <c r="A622" s="260" t="s">
        <v>667</v>
      </c>
      <c r="B622" s="33"/>
      <c r="C622" s="33" t="str">
        <f>C358</f>
        <v>kg / 30 yr</v>
      </c>
      <c r="D622" s="33"/>
      <c r="E622" s="33" t="str">
        <f>E358</f>
        <v>$/30 yr</v>
      </c>
      <c r="F622" s="1122"/>
    </row>
    <row r="623" spans="1:8" x14ac:dyDescent="0.2">
      <c r="A623" s="29" t="s">
        <v>577</v>
      </c>
      <c r="B623" s="1276"/>
      <c r="C623" s="1276"/>
      <c r="D623" s="1301">
        <f ca="1">SUM(D616:D622)</f>
        <v>6773360279.9724102</v>
      </c>
      <c r="E623" s="1276" t="str">
        <f>E359</f>
        <v>$/30 yr</v>
      </c>
      <c r="F623" s="1125"/>
    </row>
    <row r="625" spans="1:7" x14ac:dyDescent="0.2">
      <c r="A625" s="29" t="s">
        <v>3533</v>
      </c>
      <c r="B625" s="1977" t="s">
        <v>3534</v>
      </c>
      <c r="C625" s="1978"/>
    </row>
    <row r="626" spans="1:7" x14ac:dyDescent="0.2">
      <c r="A626" s="188" t="s">
        <v>701</v>
      </c>
      <c r="B626" s="1312">
        <f t="shared" ref="B626:B635" ca="1" si="46">(B459/B$616*F$616)</f>
        <v>9.2453755569830667E-2</v>
      </c>
      <c r="C626" s="1129" t="s">
        <v>3535</v>
      </c>
    </row>
    <row r="627" spans="1:7" x14ac:dyDescent="0.2">
      <c r="A627" s="175" t="s">
        <v>703</v>
      </c>
      <c r="B627" s="1313">
        <f t="shared" ca="1" si="46"/>
        <v>5.6893328063716665E-7</v>
      </c>
      <c r="C627" s="1129" t="s">
        <v>3536</v>
      </c>
    </row>
    <row r="628" spans="1:7" x14ac:dyDescent="0.2">
      <c r="A628" s="175" t="s">
        <v>705</v>
      </c>
      <c r="B628" s="1312">
        <f t="shared" ca="1" si="46"/>
        <v>98.565092568564737</v>
      </c>
      <c r="C628" s="1129" t="s">
        <v>3537</v>
      </c>
    </row>
    <row r="629" spans="1:7" x14ac:dyDescent="0.2">
      <c r="A629" s="175" t="s">
        <v>3372</v>
      </c>
      <c r="B629" s="1313">
        <f t="shared" ca="1" si="46"/>
        <v>1.5407632209869953E-3</v>
      </c>
      <c r="C629" s="1129" t="s">
        <v>3538</v>
      </c>
    </row>
    <row r="630" spans="1:7" x14ac:dyDescent="0.2">
      <c r="A630" s="175" t="s">
        <v>3375</v>
      </c>
      <c r="B630" s="1312">
        <f t="shared" ca="1" si="46"/>
        <v>0.11775443193716438</v>
      </c>
      <c r="C630" s="1129" t="s">
        <v>3539</v>
      </c>
    </row>
    <row r="631" spans="1:7" x14ac:dyDescent="0.2">
      <c r="A631" s="175" t="s">
        <v>708</v>
      </c>
      <c r="B631" s="1312">
        <f t="shared" ca="1" si="46"/>
        <v>4.0335888981792651</v>
      </c>
      <c r="C631" s="1129" t="s">
        <v>3540</v>
      </c>
    </row>
    <row r="632" spans="1:7" x14ac:dyDescent="0.2">
      <c r="A632" s="175" t="s">
        <v>3378</v>
      </c>
      <c r="B632" s="1313">
        <f t="shared" ca="1" si="46"/>
        <v>7.8675657342432631E-6</v>
      </c>
      <c r="C632" s="1129" t="s">
        <v>3536</v>
      </c>
    </row>
    <row r="633" spans="1:7" x14ac:dyDescent="0.2">
      <c r="A633" s="175" t="s">
        <v>710</v>
      </c>
      <c r="B633" s="1313">
        <f t="shared" ca="1" si="46"/>
        <v>1.376913246977621E-7</v>
      </c>
      <c r="C633" s="1129" t="s">
        <v>3541</v>
      </c>
    </row>
    <row r="634" spans="1:7" x14ac:dyDescent="0.2">
      <c r="A634" s="175" t="s">
        <v>3381</v>
      </c>
      <c r="B634" s="1312">
        <f t="shared" ca="1" si="46"/>
        <v>2.1374396058225598E-2</v>
      </c>
      <c r="C634" s="1129" t="s">
        <v>3542</v>
      </c>
    </row>
    <row r="635" spans="1:7" x14ac:dyDescent="0.2">
      <c r="A635" s="176" t="s">
        <v>3384</v>
      </c>
      <c r="B635" s="1312">
        <f t="shared" ca="1" si="46"/>
        <v>2.8556175085948317</v>
      </c>
      <c r="C635" s="1129" t="s">
        <v>3543</v>
      </c>
    </row>
    <row r="637" spans="1:7" ht="30" thickBot="1" x14ac:dyDescent="0.4">
      <c r="A637" s="2034" t="s">
        <v>3599</v>
      </c>
      <c r="B637" s="2034"/>
      <c r="C637" s="2034"/>
      <c r="D637" s="2034"/>
      <c r="E637" s="2034"/>
      <c r="F637" s="2034"/>
      <c r="G637" s="2034"/>
    </row>
    <row r="638" spans="1:7" x14ac:dyDescent="0.2">
      <c r="A638" s="2024" t="s">
        <v>3544</v>
      </c>
      <c r="B638" s="106"/>
    </row>
    <row r="639" spans="1:7" ht="16" thickBot="1" x14ac:dyDescent="0.25">
      <c r="A639" s="2025" t="s">
        <v>3545</v>
      </c>
      <c r="B639" s="193" t="s">
        <v>3546</v>
      </c>
    </row>
    <row r="640" spans="1:7" x14ac:dyDescent="0.2">
      <c r="A640" s="260" t="s">
        <v>701</v>
      </c>
      <c r="B640" s="2008">
        <v>3.8400000000000001E-3</v>
      </c>
      <c r="C640" s="112" t="s">
        <v>3489</v>
      </c>
      <c r="D640" s="1285">
        <f t="shared" ref="D640:D649" si="47">B640*2.7907</f>
        <v>1.0716288000000001E-2</v>
      </c>
      <c r="E640" s="112" t="s">
        <v>3535</v>
      </c>
    </row>
    <row r="641" spans="1:5" x14ac:dyDescent="0.2">
      <c r="A641" s="260" t="s">
        <v>703</v>
      </c>
      <c r="B641" s="33">
        <v>4.6508500000000003E-8</v>
      </c>
      <c r="C641" s="127" t="s">
        <v>3490</v>
      </c>
      <c r="D641" s="1287">
        <f t="shared" si="47"/>
        <v>1.2979127095000002E-7</v>
      </c>
      <c r="E641" s="127" t="s">
        <v>3536</v>
      </c>
    </row>
    <row r="642" spans="1:5" x14ac:dyDescent="0.2">
      <c r="A642" s="260" t="s">
        <v>705</v>
      </c>
      <c r="B642">
        <v>3.2867500000000001</v>
      </c>
      <c r="C642" s="127" t="s">
        <v>3491</v>
      </c>
      <c r="D642" s="104">
        <f t="shared" si="47"/>
        <v>9.1723332250000009</v>
      </c>
      <c r="E642" s="127" t="s">
        <v>3537</v>
      </c>
    </row>
    <row r="643" spans="1:5" x14ac:dyDescent="0.2">
      <c r="A643" s="260" t="s">
        <v>3372</v>
      </c>
      <c r="B643" s="33">
        <v>4.2886100000000003E-5</v>
      </c>
      <c r="C643" s="127" t="s">
        <v>3492</v>
      </c>
      <c r="D643" s="1287">
        <f t="shared" si="47"/>
        <v>1.1968223927000001E-4</v>
      </c>
      <c r="E643" s="127" t="s">
        <v>3538</v>
      </c>
    </row>
    <row r="644" spans="1:5" x14ac:dyDescent="0.2">
      <c r="A644" s="260" t="s">
        <v>3375</v>
      </c>
      <c r="B644">
        <v>2.0799999999999998E-3</v>
      </c>
      <c r="C644" s="127" t="s">
        <v>3493</v>
      </c>
      <c r="D644" s="104">
        <f t="shared" si="47"/>
        <v>5.8046560000000001E-3</v>
      </c>
      <c r="E644" s="127" t="s">
        <v>3539</v>
      </c>
    </row>
    <row r="645" spans="1:5" x14ac:dyDescent="0.2">
      <c r="A645" s="260" t="s">
        <v>708</v>
      </c>
      <c r="B645" s="33">
        <v>0.77544999999999997</v>
      </c>
      <c r="C645" s="127" t="s">
        <v>3494</v>
      </c>
      <c r="D645" s="104">
        <f t="shared" si="47"/>
        <v>2.1640483150000001</v>
      </c>
      <c r="E645" s="127" t="s">
        <v>3540</v>
      </c>
    </row>
    <row r="646" spans="1:5" x14ac:dyDescent="0.2">
      <c r="A646" s="260" t="s">
        <v>3378</v>
      </c>
      <c r="B646" s="33">
        <v>7.8094699999999996E-8</v>
      </c>
      <c r="C646" s="127" t="s">
        <v>3490</v>
      </c>
      <c r="D646" s="1287">
        <f t="shared" si="47"/>
        <v>2.1793887929000001E-7</v>
      </c>
      <c r="E646" s="127" t="s">
        <v>3536</v>
      </c>
    </row>
    <row r="647" spans="1:5" x14ac:dyDescent="0.2">
      <c r="A647" s="260" t="s">
        <v>710</v>
      </c>
      <c r="B647" s="33">
        <v>5.66091E-8</v>
      </c>
      <c r="C647" s="127" t="s">
        <v>3495</v>
      </c>
      <c r="D647" s="1287">
        <f t="shared" si="47"/>
        <v>1.5797901537000002E-7</v>
      </c>
      <c r="E647" s="127" t="s">
        <v>3541</v>
      </c>
    </row>
    <row r="648" spans="1:5" x14ac:dyDescent="0.2">
      <c r="A648" s="260" t="s">
        <v>3381</v>
      </c>
      <c r="B648" s="33">
        <v>4.0000000000000002E-4</v>
      </c>
      <c r="C648" s="127" t="s">
        <v>3496</v>
      </c>
      <c r="D648" s="1287">
        <f t="shared" si="47"/>
        <v>1.1162800000000001E-3</v>
      </c>
      <c r="E648" s="127" t="s">
        <v>3542</v>
      </c>
    </row>
    <row r="649" spans="1:5" x14ac:dyDescent="0.2">
      <c r="A649" s="21" t="s">
        <v>3384</v>
      </c>
      <c r="B649" s="1258">
        <v>4.9500000000000002E-2</v>
      </c>
      <c r="C649" s="120" t="s">
        <v>3497</v>
      </c>
      <c r="D649" s="1097">
        <f t="shared" si="47"/>
        <v>0.13813965</v>
      </c>
      <c r="E649" s="120" t="s">
        <v>3543</v>
      </c>
    </row>
    <row r="650" spans="1:5" ht="16" thickBot="1" x14ac:dyDescent="0.25"/>
    <row r="651" spans="1:5" x14ac:dyDescent="0.2">
      <c r="A651" s="2024" t="s">
        <v>3547</v>
      </c>
      <c r="B651" s="60"/>
      <c r="C651" s="60"/>
      <c r="D651" s="60"/>
      <c r="E651" s="106"/>
    </row>
    <row r="652" spans="1:5" ht="16" thickBot="1" x14ac:dyDescent="0.25">
      <c r="A652" s="2025" t="s">
        <v>3548</v>
      </c>
      <c r="B652" s="69"/>
      <c r="C652" s="69"/>
      <c r="D652" s="69"/>
      <c r="E652" s="193"/>
    </row>
    <row r="653" spans="1:5" x14ac:dyDescent="0.2">
      <c r="A653" s="260" t="s">
        <v>701</v>
      </c>
      <c r="B653" s="2008">
        <v>1.1100000000000001E-3</v>
      </c>
      <c r="C653" s="127" t="s">
        <v>3549</v>
      </c>
      <c r="D653" s="166">
        <f t="shared" ref="D653:D662" si="48">B653*120</f>
        <v>0.13320000000000001</v>
      </c>
      <c r="E653" s="127" t="s">
        <v>3535</v>
      </c>
    </row>
    <row r="654" spans="1:5" x14ac:dyDescent="0.2">
      <c r="A654" s="260" t="s">
        <v>703</v>
      </c>
      <c r="B654" s="33">
        <v>1.27425E-9</v>
      </c>
      <c r="C654" s="127" t="s">
        <v>3550</v>
      </c>
      <c r="D654" s="1288">
        <f t="shared" si="48"/>
        <v>1.5291000000000001E-7</v>
      </c>
      <c r="E654" s="127" t="s">
        <v>3536</v>
      </c>
    </row>
    <row r="655" spans="1:5" x14ac:dyDescent="0.2">
      <c r="A655" s="260" t="s">
        <v>705</v>
      </c>
      <c r="B655">
        <v>0.12051000000000001</v>
      </c>
      <c r="C655" s="127" t="s">
        <v>3551</v>
      </c>
      <c r="D655" s="243">
        <f t="shared" si="48"/>
        <v>14.461200000000002</v>
      </c>
      <c r="E655" s="127" t="s">
        <v>3537</v>
      </c>
    </row>
    <row r="656" spans="1:5" x14ac:dyDescent="0.2">
      <c r="A656" s="260" t="s">
        <v>3372</v>
      </c>
      <c r="B656" s="33">
        <v>1.2159699999999999E-6</v>
      </c>
      <c r="C656" s="127" t="s">
        <v>3552</v>
      </c>
      <c r="D656" s="1288">
        <f t="shared" si="48"/>
        <v>1.4591639999999998E-4</v>
      </c>
      <c r="E656" s="127" t="s">
        <v>3538</v>
      </c>
    </row>
    <row r="657" spans="1:5" x14ac:dyDescent="0.2">
      <c r="A657" s="260" t="s">
        <v>3375</v>
      </c>
      <c r="B657">
        <v>1.4400000000000001E-3</v>
      </c>
      <c r="C657" s="127" t="s">
        <v>3553</v>
      </c>
      <c r="D657" s="243">
        <f t="shared" si="48"/>
        <v>0.17280000000000001</v>
      </c>
      <c r="E657" s="127" t="s">
        <v>3539</v>
      </c>
    </row>
    <row r="658" spans="1:5" x14ac:dyDescent="0.2">
      <c r="A658" s="260" t="s">
        <v>708</v>
      </c>
      <c r="B658" s="33">
        <v>9.332E-2</v>
      </c>
      <c r="C658" s="127" t="s">
        <v>3554</v>
      </c>
      <c r="D658" s="1288">
        <f t="shared" si="48"/>
        <v>11.198399999999999</v>
      </c>
      <c r="E658" s="127" t="s">
        <v>3540</v>
      </c>
    </row>
    <row r="659" spans="1:5" x14ac:dyDescent="0.2">
      <c r="A659" s="260" t="s">
        <v>3378</v>
      </c>
      <c r="B659" s="33">
        <v>3.0404099999999998E-9</v>
      </c>
      <c r="C659" s="127" t="s">
        <v>3550</v>
      </c>
      <c r="D659" s="1288">
        <f t="shared" si="48"/>
        <v>3.648492E-7</v>
      </c>
      <c r="E659" s="127" t="s">
        <v>3536</v>
      </c>
    </row>
    <row r="660" spans="1:5" x14ac:dyDescent="0.2">
      <c r="A660" s="260" t="s">
        <v>710</v>
      </c>
      <c r="B660" s="33">
        <v>1.5556700000000001E-9</v>
      </c>
      <c r="C660" s="127" t="s">
        <v>3555</v>
      </c>
      <c r="D660" s="1288">
        <f t="shared" si="48"/>
        <v>1.866804E-7</v>
      </c>
      <c r="E660" s="127" t="s">
        <v>3541</v>
      </c>
    </row>
    <row r="661" spans="1:5" x14ac:dyDescent="0.2">
      <c r="A661" s="260" t="s">
        <v>3381</v>
      </c>
      <c r="B661" s="33">
        <v>1.9000000000000001E-4</v>
      </c>
      <c r="C661" s="127" t="s">
        <v>3556</v>
      </c>
      <c r="D661" s="1288">
        <f t="shared" si="48"/>
        <v>2.2800000000000001E-2</v>
      </c>
      <c r="E661" s="127" t="s">
        <v>3542</v>
      </c>
    </row>
    <row r="662" spans="1:5" x14ac:dyDescent="0.2">
      <c r="A662" s="21" t="s">
        <v>3384</v>
      </c>
      <c r="B662" s="1258">
        <v>3.5369999999999999E-2</v>
      </c>
      <c r="C662" s="120" t="s">
        <v>3557</v>
      </c>
      <c r="D662" s="1274">
        <f t="shared" si="48"/>
        <v>4.2443999999999997</v>
      </c>
      <c r="E662" s="120" t="s">
        <v>3543</v>
      </c>
    </row>
    <row r="663" spans="1:5" ht="16" thickBot="1" x14ac:dyDescent="0.25">
      <c r="B663" s="33"/>
    </row>
    <row r="664" spans="1:5" ht="16" thickBot="1" x14ac:dyDescent="0.25">
      <c r="A664" s="2026" t="s">
        <v>3558</v>
      </c>
      <c r="B664" s="2027"/>
      <c r="C664" s="2028"/>
    </row>
    <row r="665" spans="1:5" x14ac:dyDescent="0.2">
      <c r="A665" s="260" t="s">
        <v>701</v>
      </c>
      <c r="B665" s="166">
        <f t="shared" ref="B665:B674" si="49">D653-D640</f>
        <v>0.12248371200000001</v>
      </c>
      <c r="C665" s="127" t="s">
        <v>3535</v>
      </c>
    </row>
    <row r="666" spans="1:5" x14ac:dyDescent="0.2">
      <c r="A666" s="260" t="s">
        <v>703</v>
      </c>
      <c r="B666" s="1228">
        <f t="shared" si="49"/>
        <v>2.3118729049999991E-8</v>
      </c>
      <c r="C666" s="127" t="s">
        <v>3536</v>
      </c>
    </row>
    <row r="667" spans="1:5" x14ac:dyDescent="0.2">
      <c r="A667" s="260" t="s">
        <v>705</v>
      </c>
      <c r="B667" s="166">
        <f t="shared" si="49"/>
        <v>5.2888667750000007</v>
      </c>
      <c r="C667" s="127" t="s">
        <v>3537</v>
      </c>
    </row>
    <row r="668" spans="1:5" x14ac:dyDescent="0.2">
      <c r="A668" s="260" t="s">
        <v>3372</v>
      </c>
      <c r="B668" s="1228">
        <f t="shared" si="49"/>
        <v>2.6234160729999968E-5</v>
      </c>
      <c r="C668" s="127" t="s">
        <v>3538</v>
      </c>
    </row>
    <row r="669" spans="1:5" x14ac:dyDescent="0.2">
      <c r="A669" s="260" t="s">
        <v>3375</v>
      </c>
      <c r="B669" s="166">
        <f t="shared" si="49"/>
        <v>0.16699534400000002</v>
      </c>
      <c r="C669" s="127" t="s">
        <v>3539</v>
      </c>
    </row>
    <row r="670" spans="1:5" x14ac:dyDescent="0.2">
      <c r="A670" s="260" t="s">
        <v>708</v>
      </c>
      <c r="B670" s="1228">
        <f t="shared" si="49"/>
        <v>9.034351684999999</v>
      </c>
      <c r="C670" s="127" t="s">
        <v>3540</v>
      </c>
    </row>
    <row r="671" spans="1:5" x14ac:dyDescent="0.2">
      <c r="A671" s="260" t="s">
        <v>3378</v>
      </c>
      <c r="B671" s="1228">
        <f t="shared" si="49"/>
        <v>1.4691032070999999E-7</v>
      </c>
      <c r="C671" s="127" t="s">
        <v>3536</v>
      </c>
    </row>
    <row r="672" spans="1:5" x14ac:dyDescent="0.2">
      <c r="A672" s="260" t="s">
        <v>710</v>
      </c>
      <c r="B672" s="1228">
        <f t="shared" si="49"/>
        <v>2.8701384629999975E-8</v>
      </c>
      <c r="C672" s="127" t="s">
        <v>3541</v>
      </c>
    </row>
    <row r="673" spans="1:3" x14ac:dyDescent="0.2">
      <c r="A673" s="260" t="s">
        <v>3381</v>
      </c>
      <c r="B673" s="1228">
        <f t="shared" si="49"/>
        <v>2.168372E-2</v>
      </c>
      <c r="C673" s="127" t="s">
        <v>3542</v>
      </c>
    </row>
    <row r="674" spans="1:3" x14ac:dyDescent="0.2">
      <c r="A674" s="21" t="s">
        <v>3384</v>
      </c>
      <c r="B674" s="1274">
        <f t="shared" si="49"/>
        <v>4.1062603499999994</v>
      </c>
      <c r="C674" s="120" t="s">
        <v>3543</v>
      </c>
    </row>
    <row r="675" spans="1:3" ht="16" thickBot="1" x14ac:dyDescent="0.25"/>
    <row r="676" spans="1:3" ht="16" thickBot="1" x14ac:dyDescent="0.25">
      <c r="A676" s="2026" t="s">
        <v>3559</v>
      </c>
      <c r="B676" s="2031"/>
      <c r="C676" s="2028"/>
    </row>
    <row r="677" spans="1:3" x14ac:dyDescent="0.2">
      <c r="A677" s="260" t="s">
        <v>701</v>
      </c>
      <c r="B677" s="2029">
        <f t="shared" ref="B677:B686" si="50">SUM(D640,D653)</f>
        <v>0.143916288</v>
      </c>
      <c r="C677" s="2030" t="s">
        <v>3535</v>
      </c>
    </row>
    <row r="678" spans="1:3" x14ac:dyDescent="0.2">
      <c r="A678" s="260" t="s">
        <v>703</v>
      </c>
      <c r="B678" s="1307">
        <f t="shared" si="50"/>
        <v>2.8270127095000003E-7</v>
      </c>
      <c r="C678" s="1129" t="s">
        <v>3536</v>
      </c>
    </row>
    <row r="679" spans="1:3" x14ac:dyDescent="0.2">
      <c r="A679" s="260" t="s">
        <v>705</v>
      </c>
      <c r="B679" s="1309">
        <f t="shared" si="50"/>
        <v>23.633533225000001</v>
      </c>
      <c r="C679" s="1129" t="s">
        <v>3537</v>
      </c>
    </row>
    <row r="680" spans="1:3" x14ac:dyDescent="0.2">
      <c r="A680" s="260" t="s">
        <v>3372</v>
      </c>
      <c r="B680" s="1307">
        <f t="shared" si="50"/>
        <v>2.6559863926999997E-4</v>
      </c>
      <c r="C680" s="1129" t="s">
        <v>3538</v>
      </c>
    </row>
    <row r="681" spans="1:3" x14ac:dyDescent="0.2">
      <c r="A681" s="260" t="s">
        <v>3375</v>
      </c>
      <c r="B681" s="1309">
        <f t="shared" si="50"/>
        <v>0.178604656</v>
      </c>
      <c r="C681" s="1129" t="s">
        <v>3539</v>
      </c>
    </row>
    <row r="682" spans="1:3" x14ac:dyDescent="0.2">
      <c r="A682" s="260" t="s">
        <v>708</v>
      </c>
      <c r="B682" s="1309">
        <f t="shared" si="50"/>
        <v>13.362448315</v>
      </c>
      <c r="C682" s="1129" t="s">
        <v>3540</v>
      </c>
    </row>
    <row r="683" spans="1:3" x14ac:dyDescent="0.2">
      <c r="A683" s="260" t="s">
        <v>3378</v>
      </c>
      <c r="B683" s="1307">
        <f t="shared" si="50"/>
        <v>5.8278807928999995E-7</v>
      </c>
      <c r="C683" s="1129" t="s">
        <v>3536</v>
      </c>
    </row>
    <row r="684" spans="1:3" x14ac:dyDescent="0.2">
      <c r="A684" s="260" t="s">
        <v>710</v>
      </c>
      <c r="B684" s="1307">
        <f t="shared" si="50"/>
        <v>3.4465941536999999E-7</v>
      </c>
      <c r="C684" s="1129" t="s">
        <v>3541</v>
      </c>
    </row>
    <row r="685" spans="1:3" x14ac:dyDescent="0.2">
      <c r="A685" s="260" t="s">
        <v>3381</v>
      </c>
      <c r="B685" s="1311">
        <f t="shared" si="50"/>
        <v>2.3916280000000002E-2</v>
      </c>
      <c r="C685" s="1129" t="s">
        <v>3542</v>
      </c>
    </row>
    <row r="686" spans="1:3" x14ac:dyDescent="0.2">
      <c r="A686" s="21" t="s">
        <v>3384</v>
      </c>
      <c r="B686" s="1309">
        <f t="shared" si="50"/>
        <v>4.38253965</v>
      </c>
      <c r="C686" s="1129" t="s">
        <v>3543</v>
      </c>
    </row>
    <row r="689" spans="1:15" ht="34" x14ac:dyDescent="0.4">
      <c r="A689" s="2035" t="s">
        <v>3602</v>
      </c>
      <c r="B689" s="2035"/>
      <c r="C689" s="2035"/>
      <c r="D689" s="2035"/>
      <c r="E689" s="2035"/>
      <c r="F689" s="2035"/>
      <c r="G689" s="2035"/>
      <c r="H689" s="2035"/>
      <c r="I689" s="2035"/>
      <c r="J689" s="2035"/>
      <c r="K689" s="2035"/>
      <c r="L689" s="2035"/>
    </row>
    <row r="690" spans="1:15" x14ac:dyDescent="0.2">
      <c r="A690" s="109" t="s">
        <v>3560</v>
      </c>
      <c r="B690" s="110"/>
      <c r="C690" s="110"/>
      <c r="D690" s="112"/>
    </row>
    <row r="691" spans="1:15" x14ac:dyDescent="0.2">
      <c r="A691" s="126" t="s">
        <v>3575</v>
      </c>
      <c r="D691" s="127"/>
    </row>
    <row r="692" spans="1:15" x14ac:dyDescent="0.2">
      <c r="A692" s="176" t="s">
        <v>3576</v>
      </c>
      <c r="B692" s="118">
        <v>395</v>
      </c>
      <c r="C692" s="118" t="s">
        <v>3577</v>
      </c>
      <c r="D692" s="1123">
        <f ca="1">B692*B126/($B$616*$F$616*3)</f>
        <v>9.7113053329729269</v>
      </c>
    </row>
    <row r="694" spans="1:15" ht="48" x14ac:dyDescent="0.2">
      <c r="A694" s="29" t="s">
        <v>3561</v>
      </c>
      <c r="B694" s="1979" t="s">
        <v>3562</v>
      </c>
      <c r="C694" s="1980"/>
      <c r="D694" s="9" t="s">
        <v>3562</v>
      </c>
      <c r="E694" s="1277" t="s">
        <v>3563</v>
      </c>
      <c r="F694" s="1277" t="s">
        <v>3564</v>
      </c>
      <c r="G694" s="1277" t="s">
        <v>3565</v>
      </c>
      <c r="I694" s="1278" t="s">
        <v>3563</v>
      </c>
      <c r="J694" s="1279" t="s">
        <v>3564</v>
      </c>
      <c r="K694" s="1280" t="s">
        <v>3565</v>
      </c>
    </row>
    <row r="695" spans="1:15" x14ac:dyDescent="0.2">
      <c r="A695" s="109" t="s">
        <v>701</v>
      </c>
      <c r="B695" s="1302">
        <f ca="1">(D695*1000*B$126)/(B$616*F$616)</f>
        <v>8.8508099237221624E-3</v>
      </c>
      <c r="C695" s="112" t="s">
        <v>3535</v>
      </c>
      <c r="D695" s="135">
        <v>1.2E-4</v>
      </c>
      <c r="E695" s="109">
        <v>2.4099999999999998E-3</v>
      </c>
      <c r="F695" s="110">
        <f>0.00035</f>
        <v>3.5E-4</v>
      </c>
      <c r="G695" s="110">
        <v>2.3000000000000001E-4</v>
      </c>
      <c r="H695" s="110" t="s">
        <v>3489</v>
      </c>
      <c r="I695" s="1281">
        <f ca="1">(E695*1000*$B$126)/($B$616*$F$616)</f>
        <v>0.17775376596808673</v>
      </c>
      <c r="J695" s="1257">
        <f ca="1">(F695*1000*$B$126)/($B$616*$F$616)</f>
        <v>2.5814862277522971E-2</v>
      </c>
      <c r="K695" s="1127">
        <f ca="1">(G695*1000*$B$126)/($B$616*$F$616)</f>
        <v>1.6964052353800808E-2</v>
      </c>
      <c r="L695" s="112" t="s">
        <v>3535</v>
      </c>
    </row>
    <row r="696" spans="1:15" x14ac:dyDescent="0.2">
      <c r="A696" s="126" t="s">
        <v>703</v>
      </c>
      <c r="B696" s="1275">
        <f ca="1">(D696*1000*B$126)/(B$616*F$616)</f>
        <v>1.0397710228140702E-7</v>
      </c>
      <c r="C696" s="127" t="s">
        <v>3536</v>
      </c>
      <c r="D696" s="1305">
        <v>1.4097300000000001E-9</v>
      </c>
      <c r="E696" s="1262">
        <v>7.0750100000000004E-9</v>
      </c>
      <c r="F696" s="33">
        <v>4.9147299999999996E-9</v>
      </c>
      <c r="G696" s="33">
        <v>1.4924600000000001E-8</v>
      </c>
      <c r="H696" t="s">
        <v>3490</v>
      </c>
      <c r="I696" s="1262">
        <f ca="1">(E696*1000*$B$126)/($B$616*$F$616)</f>
        <v>5.2182973932027948E-7</v>
      </c>
      <c r="J696" s="33">
        <f ca="1">(F696*1000*$B$126)/($B$616*$F$616)</f>
        <v>3.6249450880345846E-7</v>
      </c>
      <c r="K696" s="1289">
        <f ca="1">(G696*1000*$B$126)/($B$616*$F$616)</f>
        <v>1.1007899815631982E-6</v>
      </c>
      <c r="L696" s="127" t="s">
        <v>3536</v>
      </c>
    </row>
    <row r="697" spans="1:15" x14ac:dyDescent="0.2">
      <c r="A697" s="126" t="s">
        <v>705</v>
      </c>
      <c r="B697" s="1275">
        <f ca="1">(D697*1000*B$126)/(B$616*F$616)</f>
        <v>257.55193067287212</v>
      </c>
      <c r="C697" s="127" t="s">
        <v>3537</v>
      </c>
      <c r="D697" s="260">
        <v>3.4919099999999998</v>
      </c>
      <c r="E697" s="126">
        <v>0.39530999999999999</v>
      </c>
      <c r="F697">
        <v>0.27639000000000002</v>
      </c>
      <c r="G697">
        <v>2.0257299999999998</v>
      </c>
      <c r="H697" t="s">
        <v>3491</v>
      </c>
      <c r="I697" s="1262">
        <f ca="1">(E697*1000*$B$126)/($B$616*$F$616)</f>
        <v>29.156780591221732</v>
      </c>
      <c r="J697" s="33">
        <f ca="1">(F697*1000*$B$126)/($B$616*$F$616)</f>
        <v>20.385627956813071</v>
      </c>
      <c r="K697" s="1289">
        <f ca="1">(G697*1000*$B$126)/($B$616*$F$616)</f>
        <v>149.41125988984743</v>
      </c>
      <c r="L697" s="127" t="s">
        <v>3537</v>
      </c>
    </row>
    <row r="698" spans="1:15" x14ac:dyDescent="0.2">
      <c r="A698" s="126" t="s">
        <v>3372</v>
      </c>
      <c r="B698" s="1275">
        <f ca="1">(D698*1000*B$126)/(B$616*F$616)</f>
        <v>6.4386249384607965E-3</v>
      </c>
      <c r="C698" s="127" t="s">
        <v>3538</v>
      </c>
      <c r="D698" s="1305">
        <v>8.7295399999999998E-5</v>
      </c>
      <c r="E698" s="1262">
        <v>6.6355000000000003E-6</v>
      </c>
      <c r="F698" s="33">
        <v>1.2372500000000001E-5</v>
      </c>
      <c r="G698" s="33">
        <v>4.5840600000000003E-5</v>
      </c>
      <c r="H698" t="s">
        <v>3492</v>
      </c>
      <c r="I698" s="1262">
        <f ca="1">(E698*1000*$B$126)/($B$616*$F$616)</f>
        <v>4.8941291040715336E-4</v>
      </c>
      <c r="J698" s="33">
        <f ca="1">(F698*1000*$B$126)/($B$616*$F$616)</f>
        <v>9.1255538151043707E-4</v>
      </c>
      <c r="K698" s="1289">
        <f ca="1">(G698*1000*$B$126)/($B$616*$F$616)</f>
        <v>3.3810536449114846E-3</v>
      </c>
      <c r="L698" s="127" t="s">
        <v>3538</v>
      </c>
    </row>
    <row r="699" spans="1:15" x14ac:dyDescent="0.2">
      <c r="A699" s="126" t="s">
        <v>3375</v>
      </c>
      <c r="B699" s="1275">
        <f ca="1">(D699*1000*B$126)/(B$616*F$616)</f>
        <v>2.8765132252097026E-2</v>
      </c>
      <c r="C699" s="127" t="s">
        <v>3539</v>
      </c>
      <c r="D699" s="260">
        <v>3.8999999999999999E-4</v>
      </c>
      <c r="E699" s="126">
        <v>8.3000000000000001E-4</v>
      </c>
      <c r="F699" s="33">
        <v>7.1057500000000002E-5</v>
      </c>
      <c r="G699">
        <v>2.7E-4</v>
      </c>
      <c r="H699" t="s">
        <v>3493</v>
      </c>
      <c r="I699" s="1262">
        <f ca="1">(E699*1000*$B$126)/($B$616*$F$616)</f>
        <v>6.121810197241162E-2</v>
      </c>
      <c r="J699" s="33">
        <f ca="1">(F699*1000*$B$126)/($B$616*$F$616)</f>
        <v>5.2409702179573962E-3</v>
      </c>
      <c r="K699" s="1289">
        <f ca="1">(G699*1000*$B$126)/($B$616*$F$616)</f>
        <v>1.9914322328374864E-2</v>
      </c>
      <c r="L699" s="127" t="s">
        <v>3539</v>
      </c>
    </row>
    <row r="700" spans="1:15" x14ac:dyDescent="0.2">
      <c r="A700" s="126" t="s">
        <v>708</v>
      </c>
      <c r="B700" s="1275">
        <f ca="1">(D700*1000*B$126)/(B$616*F$616)</f>
        <v>36.660054704057195</v>
      </c>
      <c r="C700" s="127" t="s">
        <v>3540</v>
      </c>
      <c r="D700" s="1305">
        <v>0.49703999999999998</v>
      </c>
      <c r="E700" s="1262">
        <v>5.5739999999999998E-2</v>
      </c>
      <c r="F700" s="33">
        <v>0.10656</v>
      </c>
      <c r="G700" s="33">
        <v>4.0280000000000003E-2</v>
      </c>
      <c r="H700" t="s">
        <v>3494</v>
      </c>
      <c r="I700" s="1262">
        <f ca="1">(E700*1000*$B$126)/($B$616*$F$616)</f>
        <v>4.111201209568943</v>
      </c>
      <c r="J700" s="33">
        <f ca="1">(F700*1000*$B$126)/($B$616*$F$616)</f>
        <v>7.8595192122652797</v>
      </c>
      <c r="K700" s="1289">
        <f ca="1">(G700*1000*$B$126)/($B$616*$F$616)</f>
        <v>2.9709218643960722</v>
      </c>
      <c r="L700" s="127" t="s">
        <v>3540</v>
      </c>
      <c r="O700" s="126"/>
    </row>
    <row r="701" spans="1:15" x14ac:dyDescent="0.2">
      <c r="A701" s="126" t="s">
        <v>3378</v>
      </c>
      <c r="B701" s="1275">
        <f ca="1">(D701*1000*B$126)/(B$616*F$616)</f>
        <v>9.7779322632320589E-6</v>
      </c>
      <c r="C701" s="127" t="s">
        <v>3536</v>
      </c>
      <c r="D701" s="1305">
        <v>1.3257E-7</v>
      </c>
      <c r="E701" s="1262">
        <v>6.0827500000000003E-9</v>
      </c>
      <c r="F701" s="33">
        <v>8.2980600000000002E-9</v>
      </c>
      <c r="G701" s="33">
        <v>7.6097100000000002E-8</v>
      </c>
      <c r="H701" t="s">
        <v>3490</v>
      </c>
      <c r="I701" s="1262">
        <f ca="1">(E701*1000*$B$126)/($B$616*$F$616)</f>
        <v>4.4864386719600821E-7</v>
      </c>
      <c r="J701" s="33">
        <f ca="1">(F701*1000*$B$126)/($B$616*$F$616)</f>
        <v>6.120379316303493E-7</v>
      </c>
      <c r="K701" s="1289">
        <f ca="1">(G701*1000*$B$126)/($B$616*$F$616)</f>
        <v>5.6126747320539821E-6</v>
      </c>
      <c r="L701" s="127" t="s">
        <v>3536</v>
      </c>
    </row>
    <row r="702" spans="1:15" x14ac:dyDescent="0.2">
      <c r="A702" s="126" t="s">
        <v>710</v>
      </c>
      <c r="B702" s="1275">
        <f ca="1">(D702*1000*B$126)/(B$616*F$616)</f>
        <v>0</v>
      </c>
      <c r="C702" s="127" t="s">
        <v>3541</v>
      </c>
      <c r="D702" s="1305">
        <v>0</v>
      </c>
      <c r="E702" s="1262">
        <v>4.1762899999999998E-10</v>
      </c>
      <c r="F702" s="33">
        <v>3.2472599999999999E-10</v>
      </c>
      <c r="G702" s="33">
        <v>9.86529E-10</v>
      </c>
      <c r="H702" t="s">
        <v>3495</v>
      </c>
      <c r="I702" s="1262">
        <f ca="1">(E702*1000*$B$126)/($B$616*$F$616)</f>
        <v>3.0802957480284685E-8</v>
      </c>
      <c r="J702" s="33">
        <f ca="1">(F702*1000*$B$126)/($B$616*$F$616)</f>
        <v>2.3950734194088354E-8</v>
      </c>
      <c r="K702" s="1289">
        <f ca="1">(G702*1000*$B$126)/($B$616*$F$616)</f>
        <v>7.2763172193664173E-8</v>
      </c>
      <c r="L702" s="127" t="s">
        <v>3541</v>
      </c>
    </row>
    <row r="703" spans="1:15" x14ac:dyDescent="0.2">
      <c r="A703" s="126" t="s">
        <v>3381</v>
      </c>
      <c r="B703" s="1275">
        <f ca="1">(D703*1000*B$126)/(B$616*F$616)</f>
        <v>2.3813915424017486E-4</v>
      </c>
      <c r="C703" s="127" t="s">
        <v>3542</v>
      </c>
      <c r="D703" s="1305">
        <v>3.22871E-6</v>
      </c>
      <c r="E703" s="1262">
        <v>7.0901600000000006E-5</v>
      </c>
      <c r="F703" s="33">
        <v>2.5978100000000001E-5</v>
      </c>
      <c r="G703" s="33">
        <v>1.9873000000000001E-5</v>
      </c>
      <c r="H703" t="s">
        <v>3496</v>
      </c>
      <c r="I703" s="1262">
        <f ca="1">(E703*1000*$B$126)/($B$616*$F$616)</f>
        <v>5.2294715407314937E-3</v>
      </c>
      <c r="J703" s="33">
        <f ca="1">(F703*1000*$B$126)/($B$616*$F$616)</f>
        <v>1.9160602106620558E-3</v>
      </c>
      <c r="K703" s="1289">
        <f ca="1">(G703*1000*$B$126)/($B$616*$F$616)</f>
        <v>1.4657678801177545E-3</v>
      </c>
      <c r="L703" s="127" t="s">
        <v>3542</v>
      </c>
    </row>
    <row r="704" spans="1:15" x14ac:dyDescent="0.2">
      <c r="A704" s="117" t="s">
        <v>3384</v>
      </c>
      <c r="B704" s="1303">
        <f ca="1">(D704*1000*B$126)/(B$616*F$616)</f>
        <v>2.6552429771166491E-2</v>
      </c>
      <c r="C704" s="120" t="s">
        <v>3543</v>
      </c>
      <c r="D704" s="1306">
        <v>3.6000000000000002E-4</v>
      </c>
      <c r="E704" s="1282">
        <v>2.0799999999999998E-3</v>
      </c>
      <c r="F704" s="1258">
        <v>1.8400000000000001E-3</v>
      </c>
      <c r="G704" s="1258">
        <v>6.2899999999999996E-3</v>
      </c>
      <c r="H704" s="118" t="s">
        <v>3497</v>
      </c>
      <c r="I704" s="1282">
        <f ca="1">(E704*1000*$B$126)/($B$616*$F$616)</f>
        <v>0.15341403867785078</v>
      </c>
      <c r="J704" s="1258">
        <f ca="1">(F704*1000*$B$126)/($B$616*$F$616)</f>
        <v>0.13571241883040647</v>
      </c>
      <c r="K704" s="1126">
        <f ca="1">(G704*1000*$B$126)/($B$616*$F$616)</f>
        <v>0.46392995350176991</v>
      </c>
      <c r="L704" s="120" t="s">
        <v>3543</v>
      </c>
    </row>
    <row r="707" spans="1:8" ht="64" x14ac:dyDescent="0.2">
      <c r="A707" s="29" t="s">
        <v>3561</v>
      </c>
      <c r="B707" s="1177" t="s">
        <v>3578</v>
      </c>
      <c r="C707" s="1277" t="s">
        <v>3579</v>
      </c>
      <c r="D707" s="1277" t="s">
        <v>3580</v>
      </c>
      <c r="E707" s="1277" t="s">
        <v>3581</v>
      </c>
      <c r="F707" s="1277" t="s">
        <v>3582</v>
      </c>
      <c r="G707" s="1277" t="s">
        <v>3583</v>
      </c>
      <c r="H707" s="1277" t="s">
        <v>3584</v>
      </c>
    </row>
    <row r="708" spans="1:8" x14ac:dyDescent="0.2">
      <c r="A708" s="135" t="s">
        <v>3585</v>
      </c>
      <c r="B708" s="1283">
        <v>0</v>
      </c>
      <c r="C708" s="100">
        <v>1.4889452844216196E-2</v>
      </c>
      <c r="D708" s="100">
        <v>1.4889452844216196E-2</v>
      </c>
      <c r="E708" s="100">
        <v>1.4889452844216196E-2</v>
      </c>
      <c r="F708" s="100">
        <v>1.4889452844216196E-2</v>
      </c>
      <c r="G708" s="100">
        <v>1.4889452844216196E-2</v>
      </c>
      <c r="H708" s="268">
        <v>1.4889452844216196E-2</v>
      </c>
    </row>
    <row r="709" spans="1:8" x14ac:dyDescent="0.2">
      <c r="A709" s="260" t="s">
        <v>3586</v>
      </c>
      <c r="B709" s="1283">
        <v>0</v>
      </c>
      <c r="C709" s="100">
        <v>0</v>
      </c>
      <c r="D709" s="166">
        <v>-3.9754838527050598E-2</v>
      </c>
      <c r="E709" s="166">
        <v>-7.6000638561939587E-2</v>
      </c>
      <c r="F709" s="166">
        <v>-2.8728469606558994E-2</v>
      </c>
      <c r="G709" s="166">
        <v>-9.390719542031449E-2</v>
      </c>
      <c r="H709" s="1121">
        <v>-0.35449847401301099</v>
      </c>
    </row>
    <row r="710" spans="1:8" x14ac:dyDescent="0.2">
      <c r="A710" s="21" t="s">
        <v>3587</v>
      </c>
      <c r="B710" s="1284">
        <v>0.11135373595833334</v>
      </c>
      <c r="C710" s="168">
        <v>1.4889452844216196E-2</v>
      </c>
      <c r="D710" s="168">
        <v>-2.48653856828344E-2</v>
      </c>
      <c r="E710" s="168">
        <v>-6.1111185717723386E-2</v>
      </c>
      <c r="F710" s="269">
        <v>-1.3839016762342797E-2</v>
      </c>
      <c r="G710" s="168">
        <v>-7.9017742576098282E-2</v>
      </c>
      <c r="H710" s="269">
        <v>-0.33960902116879482</v>
      </c>
    </row>
  </sheetData>
  <mergeCells count="43">
    <mergeCell ref="A590:C590"/>
    <mergeCell ref="A602:C602"/>
    <mergeCell ref="B625:C625"/>
    <mergeCell ref="B694:C694"/>
    <mergeCell ref="A518:C518"/>
    <mergeCell ref="A530:C530"/>
    <mergeCell ref="A542:C542"/>
    <mergeCell ref="A554:C554"/>
    <mergeCell ref="A566:C566"/>
    <mergeCell ref="A578:C578"/>
    <mergeCell ref="A637:G637"/>
    <mergeCell ref="A689:L689"/>
    <mergeCell ref="A506:C506"/>
    <mergeCell ref="A305:C305"/>
    <mergeCell ref="A317:C317"/>
    <mergeCell ref="A329:C329"/>
    <mergeCell ref="A341:C341"/>
    <mergeCell ref="B361:C361"/>
    <mergeCell ref="B425:C425"/>
    <mergeCell ref="A455:Q456"/>
    <mergeCell ref="A457:C457"/>
    <mergeCell ref="A470:C470"/>
    <mergeCell ref="A482:C482"/>
    <mergeCell ref="A494:C494"/>
    <mergeCell ref="A373:J373"/>
    <mergeCell ref="A293:C293"/>
    <mergeCell ref="A113:C113"/>
    <mergeCell ref="A159:O160"/>
    <mergeCell ref="A161:C161"/>
    <mergeCell ref="A206:Q207"/>
    <mergeCell ref="A208:C208"/>
    <mergeCell ref="A221:C221"/>
    <mergeCell ref="A233:C233"/>
    <mergeCell ref="A245:C245"/>
    <mergeCell ref="A257:C257"/>
    <mergeCell ref="A269:C269"/>
    <mergeCell ref="A281:C281"/>
    <mergeCell ref="A111:O112"/>
    <mergeCell ref="A2:S3"/>
    <mergeCell ref="A4:C4"/>
    <mergeCell ref="D4:S4"/>
    <mergeCell ref="A62:O63"/>
    <mergeCell ref="A64:C64"/>
  </mergeCells>
  <pageMargins left="0.7" right="0.7" top="0.75" bottom="0.75" header="0.3" footer="0.3"/>
  <pageSetup orientation="portrait" horizontalDpi="0" verticalDpi="0"/>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90686-4A8F-4FC7-A1A1-9A71AC34391D}">
  <sheetPr codeName="Sheet24"/>
  <dimension ref="A1:W56"/>
  <sheetViews>
    <sheetView workbookViewId="0">
      <selection activeCell="W3" sqref="W3"/>
    </sheetView>
  </sheetViews>
  <sheetFormatPr baseColWidth="10" defaultColWidth="8.83203125" defaultRowHeight="15" x14ac:dyDescent="0.2"/>
  <cols>
    <col min="1" max="1" width="9.1640625" customWidth="1"/>
    <col min="5" max="5" width="9.1640625" customWidth="1"/>
  </cols>
  <sheetData>
    <row r="1" spans="1:23" ht="16" thickBot="1" x14ac:dyDescent="0.25"/>
    <row r="2" spans="1:23" x14ac:dyDescent="0.2">
      <c r="A2" s="1986" t="s">
        <v>756</v>
      </c>
      <c r="B2" s="1987"/>
      <c r="C2" s="1987"/>
      <c r="D2" s="1987"/>
      <c r="E2" s="1987"/>
      <c r="F2" s="1987"/>
      <c r="G2" s="1987"/>
      <c r="H2" s="1987"/>
      <c r="I2" s="1987"/>
      <c r="J2" s="1987"/>
      <c r="K2" s="1987"/>
      <c r="L2" s="1987"/>
      <c r="M2" s="1987"/>
      <c r="N2" s="1987"/>
      <c r="O2" s="1988"/>
    </row>
    <row r="3" spans="1:23" ht="28" thickBot="1" x14ac:dyDescent="0.4">
      <c r="A3" s="1989"/>
      <c r="B3" s="1990"/>
      <c r="C3" s="1990"/>
      <c r="D3" s="1990"/>
      <c r="E3" s="1990"/>
      <c r="F3" s="1990"/>
      <c r="G3" s="1990"/>
      <c r="H3" s="1990"/>
      <c r="I3" s="1990"/>
      <c r="J3" s="1990"/>
      <c r="K3" s="1990"/>
      <c r="L3" s="1990"/>
      <c r="M3" s="1990"/>
      <c r="N3" s="1990"/>
      <c r="O3" s="1991"/>
      <c r="W3" s="2111" t="s">
        <v>3588</v>
      </c>
    </row>
    <row r="4" spans="1:23" ht="16" thickBot="1" x14ac:dyDescent="0.25">
      <c r="A4" s="1992" t="s">
        <v>509</v>
      </c>
      <c r="B4" s="1993"/>
      <c r="C4" s="1993"/>
      <c r="D4" s="1993"/>
      <c r="E4" s="1993"/>
      <c r="F4" s="1993"/>
      <c r="G4" s="1993"/>
      <c r="H4" s="1993"/>
      <c r="I4" s="1993"/>
      <c r="J4" s="1993"/>
      <c r="K4" s="1993"/>
      <c r="L4" s="1993"/>
      <c r="M4" s="1993"/>
      <c r="N4" s="1993"/>
      <c r="O4" s="1994"/>
      <c r="W4" s="6" t="s">
        <v>3589</v>
      </c>
    </row>
    <row r="5" spans="1:23" ht="16" thickBot="1" x14ac:dyDescent="0.25">
      <c r="A5" s="1995" t="s">
        <v>510</v>
      </c>
      <c r="B5" s="1996"/>
      <c r="C5" s="1996"/>
      <c r="D5" s="1996"/>
      <c r="E5" s="1997"/>
      <c r="F5" s="1995" t="s">
        <v>511</v>
      </c>
      <c r="G5" s="1996"/>
      <c r="H5" s="1996"/>
      <c r="I5" s="1996"/>
      <c r="J5" s="1997"/>
      <c r="K5" s="1995" t="s">
        <v>512</v>
      </c>
      <c r="L5" s="1996"/>
      <c r="M5" s="1996"/>
      <c r="N5" s="1997"/>
      <c r="O5" s="1981" t="s">
        <v>513</v>
      </c>
      <c r="W5" t="s">
        <v>3616</v>
      </c>
    </row>
    <row r="6" spans="1:23" ht="16" x14ac:dyDescent="0.2">
      <c r="A6" s="1981" t="s">
        <v>514</v>
      </c>
      <c r="B6" s="1981" t="s">
        <v>515</v>
      </c>
      <c r="C6" s="1981" t="s">
        <v>372</v>
      </c>
      <c r="D6" s="1981" t="s">
        <v>516</v>
      </c>
      <c r="E6" s="1981" t="s">
        <v>517</v>
      </c>
      <c r="F6" s="1981" t="s">
        <v>518</v>
      </c>
      <c r="G6" s="1981" t="s">
        <v>515</v>
      </c>
      <c r="H6" s="1981" t="s">
        <v>372</v>
      </c>
      <c r="I6" s="1981" t="s">
        <v>519</v>
      </c>
      <c r="J6" s="1981" t="s">
        <v>520</v>
      </c>
      <c r="K6" s="1981" t="s">
        <v>521</v>
      </c>
      <c r="L6" s="1981" t="s">
        <v>522</v>
      </c>
      <c r="M6" s="1981" t="s">
        <v>523</v>
      </c>
      <c r="N6" s="291" t="s">
        <v>527</v>
      </c>
      <c r="O6" s="1998"/>
    </row>
    <row r="7" spans="1:23" ht="16" thickBot="1" x14ac:dyDescent="0.25">
      <c r="A7" s="1982"/>
      <c r="B7" s="1982"/>
      <c r="C7" s="1982"/>
      <c r="D7" s="1982"/>
      <c r="E7" s="1982"/>
      <c r="F7" s="1982"/>
      <c r="G7" s="1982"/>
      <c r="H7" s="1982"/>
      <c r="I7" s="1982"/>
      <c r="J7" s="1982"/>
      <c r="K7" s="1982"/>
      <c r="L7" s="1982"/>
      <c r="M7" s="1982"/>
      <c r="N7" s="292">
        <v>2023</v>
      </c>
      <c r="O7" s="1982"/>
    </row>
    <row r="8" spans="1:23" ht="33" thickBot="1" x14ac:dyDescent="0.25">
      <c r="A8" s="293" t="s">
        <v>1027</v>
      </c>
      <c r="B8" s="294"/>
      <c r="C8" s="295" t="s">
        <v>1091</v>
      </c>
      <c r="D8" s="295"/>
      <c r="E8" s="295" t="s">
        <v>1153</v>
      </c>
      <c r="F8" s="296">
        <f>Inputs!F$862*G$8</f>
        <v>9200.1</v>
      </c>
      <c r="G8" s="295">
        <v>150</v>
      </c>
      <c r="H8" s="292" t="s">
        <v>1091</v>
      </c>
      <c r="I8" s="295">
        <v>2009</v>
      </c>
      <c r="J8" s="295"/>
      <c r="K8" s="295">
        <v>0.8</v>
      </c>
      <c r="L8" s="295">
        <v>3.1</v>
      </c>
      <c r="M8" s="294">
        <f>B8/G8</f>
        <v>0</v>
      </c>
      <c r="N8" s="295">
        <v>1.49</v>
      </c>
      <c r="O8" s="297">
        <f>N8*L8*F8*D8*M8^K8</f>
        <v>0</v>
      </c>
    </row>
    <row r="9" spans="1:23" ht="161" thickBot="1" x14ac:dyDescent="0.25">
      <c r="A9" s="293" t="s">
        <v>1201</v>
      </c>
      <c r="B9" s="294"/>
      <c r="C9" s="295" t="s">
        <v>267</v>
      </c>
      <c r="D9" s="295"/>
      <c r="E9" s="295" t="s">
        <v>1221</v>
      </c>
      <c r="F9" s="296">
        <f>Inputs!F$866*G$9</f>
        <v>1229012.4000000001</v>
      </c>
      <c r="G9" s="295">
        <v>53204</v>
      </c>
      <c r="H9" s="292" t="s">
        <v>267</v>
      </c>
      <c r="I9" s="295">
        <v>2014</v>
      </c>
      <c r="J9" s="295"/>
      <c r="K9" s="295">
        <v>0.7</v>
      </c>
      <c r="L9" s="295">
        <v>2.2000000000000002</v>
      </c>
      <c r="M9" s="294">
        <f>B9/G9</f>
        <v>0</v>
      </c>
      <c r="N9" s="295">
        <v>1.34</v>
      </c>
      <c r="O9" s="297">
        <f>N9*L9*F9*D9*M9^K9</f>
        <v>0</v>
      </c>
    </row>
    <row r="10" spans="1:23" ht="49" thickBot="1" x14ac:dyDescent="0.25">
      <c r="A10" s="293" t="s">
        <v>1088</v>
      </c>
      <c r="B10" s="294"/>
      <c r="C10" s="295" t="s">
        <v>999</v>
      </c>
      <c r="D10" s="295"/>
      <c r="E10" s="295" t="s">
        <v>1152</v>
      </c>
      <c r="F10" s="296">
        <f>Inputs!F$863*G$10</f>
        <v>91999.99960000001</v>
      </c>
      <c r="G10" s="295">
        <v>9.4</v>
      </c>
      <c r="H10" s="292" t="s">
        <v>999</v>
      </c>
      <c r="I10" s="295">
        <v>2010</v>
      </c>
      <c r="J10" s="295"/>
      <c r="K10" s="295">
        <v>0.7</v>
      </c>
      <c r="L10" s="295">
        <v>2.2000000000000002</v>
      </c>
      <c r="M10" s="294">
        <f>B10/G10</f>
        <v>0</v>
      </c>
      <c r="N10" s="295">
        <v>1.45</v>
      </c>
      <c r="O10" s="297">
        <f>N10*L10*F10*D10*M10^K10</f>
        <v>0</v>
      </c>
    </row>
    <row r="11" spans="1:23" ht="33" thickBot="1" x14ac:dyDescent="0.25">
      <c r="A11" s="293" t="s">
        <v>1089</v>
      </c>
      <c r="B11" s="294"/>
      <c r="C11" s="295" t="s">
        <v>267</v>
      </c>
      <c r="D11" s="295"/>
      <c r="E11" s="295"/>
      <c r="F11" s="296">
        <f>Inputs!F$865*G$11</f>
        <v>12523.644</v>
      </c>
      <c r="G11" s="295">
        <v>198788</v>
      </c>
      <c r="H11" s="292" t="s">
        <v>267</v>
      </c>
      <c r="I11" s="295">
        <v>2007</v>
      </c>
      <c r="J11" s="295"/>
      <c r="K11" s="295">
        <v>0.65</v>
      </c>
      <c r="L11" s="295">
        <v>3.7</v>
      </c>
      <c r="M11" s="294">
        <f>B11/G11</f>
        <v>0</v>
      </c>
      <c r="N11" s="295">
        <v>1.55</v>
      </c>
      <c r="O11" s="297">
        <f>N11*L11*F11*D11*M11^K11</f>
        <v>0</v>
      </c>
    </row>
    <row r="12" spans="1:23" ht="33" thickBot="1" x14ac:dyDescent="0.25">
      <c r="A12" s="293" t="s">
        <v>1090</v>
      </c>
      <c r="B12" s="294"/>
      <c r="C12" s="295" t="s">
        <v>1091</v>
      </c>
      <c r="D12" s="295"/>
      <c r="E12" s="295" t="s">
        <v>1153</v>
      </c>
      <c r="F12" s="296">
        <f>Inputs!F$862*G$12</f>
        <v>9200.1</v>
      </c>
      <c r="G12" s="295">
        <v>150</v>
      </c>
      <c r="H12" s="292" t="s">
        <v>1091</v>
      </c>
      <c r="I12" s="295">
        <v>2009</v>
      </c>
      <c r="J12" s="295"/>
      <c r="K12" s="295">
        <v>0.8</v>
      </c>
      <c r="L12" s="295">
        <v>3.1</v>
      </c>
      <c r="M12" s="294">
        <f>B12/G12</f>
        <v>0</v>
      </c>
      <c r="N12" s="295">
        <v>1.49</v>
      </c>
      <c r="O12" s="297">
        <f>N12*L12*F12*D12*M12^K12</f>
        <v>0</v>
      </c>
    </row>
    <row r="13" spans="1:23" ht="16" thickBot="1" x14ac:dyDescent="0.25">
      <c r="A13" s="1983" t="s">
        <v>526</v>
      </c>
      <c r="B13" s="1984"/>
      <c r="C13" s="1984"/>
      <c r="D13" s="1984"/>
      <c r="E13" s="1984"/>
      <c r="F13" s="1984"/>
      <c r="G13" s="1984"/>
      <c r="H13" s="1984"/>
      <c r="I13" s="1984"/>
      <c r="J13" s="1984"/>
      <c r="K13" s="1984"/>
      <c r="L13" s="1984"/>
      <c r="M13" s="1984"/>
      <c r="N13" s="1985"/>
      <c r="O13" s="297">
        <f>SUM(O8:O12)</f>
        <v>0</v>
      </c>
    </row>
    <row r="14" spans="1:23" x14ac:dyDescent="0.2">
      <c r="A14" s="197"/>
      <c r="B14" s="197"/>
      <c r="C14" s="197"/>
      <c r="D14" s="197"/>
      <c r="E14" s="197"/>
      <c r="F14" s="197"/>
      <c r="G14" s="197"/>
      <c r="H14" s="197"/>
      <c r="I14" s="197"/>
      <c r="J14" s="197"/>
      <c r="K14" s="197"/>
      <c r="L14" s="197"/>
      <c r="M14" s="197"/>
      <c r="N14" s="197"/>
      <c r="O14" s="198"/>
    </row>
    <row r="15" spans="1:23" ht="16" thickBot="1" x14ac:dyDescent="0.25">
      <c r="A15" s="197"/>
      <c r="B15" s="197"/>
      <c r="C15" s="197"/>
      <c r="D15" s="197"/>
      <c r="E15" s="197"/>
      <c r="F15" s="197"/>
      <c r="G15" s="197"/>
      <c r="H15" s="197"/>
      <c r="I15" s="197"/>
      <c r="J15" s="197"/>
      <c r="K15" s="197"/>
      <c r="L15" s="197"/>
      <c r="M15" s="197"/>
      <c r="N15" s="197"/>
      <c r="O15" s="198"/>
    </row>
    <row r="16" spans="1:23" x14ac:dyDescent="0.2">
      <c r="A16" s="1783" t="s">
        <v>757</v>
      </c>
      <c r="B16" s="1784"/>
      <c r="C16" s="1784"/>
      <c r="D16" s="1784"/>
      <c r="E16" s="1784"/>
      <c r="F16" s="1784"/>
      <c r="G16" s="1784"/>
      <c r="H16" s="1784"/>
      <c r="I16" s="1784"/>
      <c r="J16" s="1784"/>
      <c r="K16" s="1784"/>
      <c r="L16" s="1784"/>
      <c r="M16" s="1784"/>
      <c r="N16" s="1784"/>
      <c r="O16" s="1785"/>
    </row>
    <row r="17" spans="1:15" ht="16" thickBot="1" x14ac:dyDescent="0.25">
      <c r="A17" s="1786"/>
      <c r="B17" s="1787"/>
      <c r="C17" s="1787"/>
      <c r="D17" s="1787"/>
      <c r="E17" s="1787"/>
      <c r="F17" s="1787"/>
      <c r="G17" s="1787"/>
      <c r="H17" s="1787"/>
      <c r="I17" s="1787"/>
      <c r="J17" s="1787"/>
      <c r="K17" s="1787"/>
      <c r="L17" s="1787"/>
      <c r="M17" s="1787"/>
      <c r="N17" s="1787"/>
      <c r="O17" s="1788"/>
    </row>
    <row r="18" spans="1:15" ht="16" thickBot="1" x14ac:dyDescent="0.25">
      <c r="A18" s="1683" t="s">
        <v>509</v>
      </c>
      <c r="B18" s="1684"/>
      <c r="C18" s="1684"/>
      <c r="D18" s="1684"/>
      <c r="E18" s="1684"/>
      <c r="F18" s="1684"/>
      <c r="G18" s="1684"/>
      <c r="H18" s="1684"/>
      <c r="I18" s="1684"/>
      <c r="J18" s="1684"/>
      <c r="K18" s="1684"/>
      <c r="L18" s="1684"/>
      <c r="M18" s="1684"/>
      <c r="N18" s="1684"/>
      <c r="O18" s="1685"/>
    </row>
    <row r="19" spans="1:15" ht="16" thickBot="1" x14ac:dyDescent="0.25">
      <c r="A19" s="1721" t="s">
        <v>510</v>
      </c>
      <c r="B19" s="1722"/>
      <c r="C19" s="1722"/>
      <c r="D19" s="1722"/>
      <c r="E19" s="1723"/>
      <c r="F19" s="1721" t="s">
        <v>511</v>
      </c>
      <c r="G19" s="1722"/>
      <c r="H19" s="1722"/>
      <c r="I19" s="1722"/>
      <c r="J19" s="1723"/>
      <c r="K19" s="1721" t="s">
        <v>512</v>
      </c>
      <c r="L19" s="1722"/>
      <c r="M19" s="1722"/>
      <c r="N19" s="1723"/>
      <c r="O19" s="1709" t="s">
        <v>513</v>
      </c>
    </row>
    <row r="20" spans="1:15" ht="16" x14ac:dyDescent="0.2">
      <c r="A20" s="1709" t="s">
        <v>514</v>
      </c>
      <c r="B20" s="1709" t="s">
        <v>515</v>
      </c>
      <c r="C20" s="1709" t="s">
        <v>372</v>
      </c>
      <c r="D20" s="1709" t="s">
        <v>516</v>
      </c>
      <c r="E20" s="1709" t="s">
        <v>517</v>
      </c>
      <c r="F20" s="1709" t="s">
        <v>518</v>
      </c>
      <c r="G20" s="1709" t="s">
        <v>515</v>
      </c>
      <c r="H20" s="1709" t="s">
        <v>372</v>
      </c>
      <c r="I20" s="1709" t="s">
        <v>519</v>
      </c>
      <c r="J20" s="1709" t="s">
        <v>520</v>
      </c>
      <c r="K20" s="1709" t="s">
        <v>521</v>
      </c>
      <c r="L20" s="1709" t="s">
        <v>522</v>
      </c>
      <c r="M20" s="1709" t="s">
        <v>523</v>
      </c>
      <c r="N20" s="40" t="s">
        <v>527</v>
      </c>
      <c r="O20" s="1865"/>
    </row>
    <row r="21" spans="1:15" ht="16" thickBot="1" x14ac:dyDescent="0.25">
      <c r="A21" s="1710"/>
      <c r="B21" s="1710"/>
      <c r="C21" s="1710"/>
      <c r="D21" s="1710"/>
      <c r="E21" s="1710"/>
      <c r="F21" s="1710"/>
      <c r="G21" s="1710"/>
      <c r="H21" s="1710"/>
      <c r="I21" s="1710"/>
      <c r="J21" s="1710"/>
      <c r="K21" s="1710"/>
      <c r="L21" s="1710"/>
      <c r="M21" s="1710"/>
      <c r="N21" s="41">
        <v>2023</v>
      </c>
      <c r="O21" s="1710"/>
    </row>
    <row r="22" spans="1:15" ht="65" thickBot="1" x14ac:dyDescent="0.25">
      <c r="A22" s="46" t="s">
        <v>1223</v>
      </c>
      <c r="B22" s="44"/>
      <c r="C22" s="41" t="s">
        <v>267</v>
      </c>
      <c r="D22" s="36"/>
      <c r="E22" s="36"/>
      <c r="F22" s="45">
        <f>Inputs!F$867*G$22</f>
        <v>11785.4295</v>
      </c>
      <c r="G22" s="36">
        <v>221115</v>
      </c>
      <c r="H22" s="41" t="s">
        <v>267</v>
      </c>
      <c r="I22" s="36">
        <v>2011</v>
      </c>
      <c r="J22" s="36"/>
      <c r="K22" s="36">
        <v>1</v>
      </c>
      <c r="L22" s="36">
        <v>2.1</v>
      </c>
      <c r="M22" s="44">
        <f t="shared" ref="M22:M28" si="0">B22/G22</f>
        <v>0</v>
      </c>
      <c r="N22" s="36">
        <v>1.43</v>
      </c>
      <c r="O22" s="43">
        <f t="shared" ref="O22:O28" si="1">N22*L22*F22*D22*M22^K22</f>
        <v>0</v>
      </c>
    </row>
    <row r="23" spans="1:15" ht="113" thickBot="1" x14ac:dyDescent="0.25">
      <c r="A23" s="46" t="s">
        <v>1201</v>
      </c>
      <c r="B23" s="44"/>
      <c r="C23" s="41" t="s">
        <v>391</v>
      </c>
      <c r="D23" s="36"/>
      <c r="E23" s="36" t="s">
        <v>1147</v>
      </c>
      <c r="F23" s="45">
        <f>Inputs!F$868*G$23</f>
        <v>2627323.6500000004</v>
      </c>
      <c r="G23" s="36">
        <v>32895</v>
      </c>
      <c r="H23" s="41" t="s">
        <v>391</v>
      </c>
      <c r="I23" s="36">
        <v>2011</v>
      </c>
      <c r="J23" s="36"/>
      <c r="K23" s="36">
        <v>0.7</v>
      </c>
      <c r="L23" s="36">
        <v>2</v>
      </c>
      <c r="M23" s="44">
        <f t="shared" si="0"/>
        <v>0</v>
      </c>
      <c r="N23" s="36">
        <v>1.43</v>
      </c>
      <c r="O23" s="43">
        <f t="shared" si="1"/>
        <v>0</v>
      </c>
    </row>
    <row r="24" spans="1:15" ht="49" thickBot="1" x14ac:dyDescent="0.25">
      <c r="A24" s="35" t="s">
        <v>1088</v>
      </c>
      <c r="B24" s="44"/>
      <c r="C24" s="36" t="s">
        <v>999</v>
      </c>
      <c r="D24" s="36"/>
      <c r="E24" s="36" t="s">
        <v>1152</v>
      </c>
      <c r="F24" s="45">
        <f>Inputs!F$863*G$10</f>
        <v>91999.99960000001</v>
      </c>
      <c r="G24" s="36">
        <v>9.4</v>
      </c>
      <c r="H24" s="41" t="s">
        <v>999</v>
      </c>
      <c r="I24" s="36">
        <v>2010</v>
      </c>
      <c r="J24" s="36"/>
      <c r="K24" s="36">
        <v>0.7</v>
      </c>
      <c r="L24" s="36">
        <v>2.2000000000000002</v>
      </c>
      <c r="M24" s="44">
        <f t="shared" si="0"/>
        <v>0</v>
      </c>
      <c r="N24" s="36">
        <v>1.45</v>
      </c>
      <c r="O24" s="43">
        <f t="shared" si="1"/>
        <v>0</v>
      </c>
    </row>
    <row r="25" spans="1:15" ht="49" thickBot="1" x14ac:dyDescent="0.25">
      <c r="A25" s="46" t="s">
        <v>1226</v>
      </c>
      <c r="B25" s="44"/>
      <c r="C25" s="41" t="s">
        <v>1237</v>
      </c>
      <c r="D25" s="36"/>
      <c r="E25" s="36"/>
      <c r="F25" s="45">
        <f>Inputs!F$864*G$25</f>
        <v>228225.99896999999</v>
      </c>
      <c r="G25" s="36">
        <v>4.415</v>
      </c>
      <c r="H25" s="41" t="s">
        <v>1095</v>
      </c>
      <c r="I25" s="36">
        <v>2013</v>
      </c>
      <c r="J25" s="36"/>
      <c r="K25" s="36">
        <v>0.7</v>
      </c>
      <c r="L25" s="36">
        <v>1.7</v>
      </c>
      <c r="M25" s="44">
        <f t="shared" si="0"/>
        <v>0</v>
      </c>
      <c r="N25" s="36">
        <v>1.36</v>
      </c>
      <c r="O25" s="43">
        <f t="shared" si="1"/>
        <v>0</v>
      </c>
    </row>
    <row r="26" spans="1:15" ht="81" thickBot="1" x14ac:dyDescent="0.25">
      <c r="A26" s="251" t="s">
        <v>1092</v>
      </c>
      <c r="B26" s="252"/>
      <c r="C26" s="41" t="s">
        <v>267</v>
      </c>
      <c r="D26" s="36"/>
      <c r="E26" s="36" t="s">
        <v>1096</v>
      </c>
      <c r="F26" s="45">
        <f>Inputs!F$869*G$26</f>
        <v>1355913</v>
      </c>
      <c r="G26" s="36">
        <v>390</v>
      </c>
      <c r="H26" s="41" t="s">
        <v>267</v>
      </c>
      <c r="I26" s="36">
        <v>2011</v>
      </c>
      <c r="J26" s="36"/>
      <c r="K26" s="36">
        <v>0.6</v>
      </c>
      <c r="L26" s="36">
        <v>1.0900000000000001</v>
      </c>
      <c r="M26" s="44">
        <f t="shared" si="0"/>
        <v>0</v>
      </c>
      <c r="N26" s="36">
        <v>1.43</v>
      </c>
      <c r="O26" s="43">
        <f t="shared" si="1"/>
        <v>0</v>
      </c>
    </row>
    <row r="27" spans="1:15" ht="65" thickBot="1" x14ac:dyDescent="0.25">
      <c r="A27" s="251" t="s">
        <v>1093</v>
      </c>
      <c r="B27" s="252"/>
      <c r="C27" s="41" t="s">
        <v>267</v>
      </c>
      <c r="D27" s="36"/>
      <c r="E27" s="36" t="s">
        <v>1097</v>
      </c>
      <c r="F27" s="45">
        <f>Inputs!F$870*G$27</f>
        <v>260597.05</v>
      </c>
      <c r="G27" s="36">
        <v>14665</v>
      </c>
      <c r="H27" s="41" t="s">
        <v>267</v>
      </c>
      <c r="I27" s="36">
        <v>2011</v>
      </c>
      <c r="J27" s="36"/>
      <c r="K27" s="36">
        <v>0.6</v>
      </c>
      <c r="L27" s="36">
        <v>1.1299999999999999</v>
      </c>
      <c r="M27" s="44">
        <f t="shared" si="0"/>
        <v>0</v>
      </c>
      <c r="N27" s="36">
        <v>1.43</v>
      </c>
      <c r="O27" s="43">
        <f t="shared" si="1"/>
        <v>0</v>
      </c>
    </row>
    <row r="28" spans="1:15" ht="65" thickBot="1" x14ac:dyDescent="0.25">
      <c r="A28" s="46" t="s">
        <v>1094</v>
      </c>
      <c r="B28" s="44"/>
      <c r="C28" s="41" t="s">
        <v>267</v>
      </c>
      <c r="D28" s="36"/>
      <c r="E28" s="36"/>
      <c r="F28" s="45">
        <f>Inputs!F$871*G$28</f>
        <v>52969.722000000002</v>
      </c>
      <c r="G28" s="36">
        <v>119841</v>
      </c>
      <c r="H28" s="41" t="s">
        <v>267</v>
      </c>
      <c r="I28" s="36">
        <v>2011</v>
      </c>
      <c r="J28" s="36"/>
      <c r="K28" s="36">
        <v>1</v>
      </c>
      <c r="L28" s="36">
        <v>1.5</v>
      </c>
      <c r="M28" s="44">
        <f t="shared" si="0"/>
        <v>0</v>
      </c>
      <c r="N28" s="36">
        <v>1.43</v>
      </c>
      <c r="O28" s="43">
        <f t="shared" si="1"/>
        <v>0</v>
      </c>
    </row>
    <row r="29" spans="1:15" ht="16" thickBot="1" x14ac:dyDescent="0.25">
      <c r="A29" s="1677" t="s">
        <v>526</v>
      </c>
      <c r="B29" s="1678"/>
      <c r="C29" s="1678"/>
      <c r="D29" s="1678"/>
      <c r="E29" s="1678"/>
      <c r="F29" s="1678"/>
      <c r="G29" s="1678"/>
      <c r="H29" s="1678"/>
      <c r="I29" s="1678"/>
      <c r="J29" s="1678"/>
      <c r="K29" s="1678"/>
      <c r="L29" s="1678"/>
      <c r="M29" s="1678"/>
      <c r="N29" s="1679"/>
      <c r="O29" s="43">
        <f>SUM(O22:O28)</f>
        <v>0</v>
      </c>
    </row>
    <row r="31" spans="1:15" ht="16" thickBot="1" x14ac:dyDescent="0.25"/>
    <row r="32" spans="1:15" x14ac:dyDescent="0.2">
      <c r="A32" s="1999" t="s">
        <v>757</v>
      </c>
      <c r="B32" s="2000"/>
      <c r="C32" s="2000"/>
      <c r="D32" s="2000"/>
      <c r="E32" s="2000"/>
      <c r="F32" s="2000"/>
      <c r="G32" s="2000"/>
      <c r="H32" s="2000"/>
      <c r="I32" s="2001"/>
    </row>
    <row r="33" spans="1:9" ht="16" thickBot="1" x14ac:dyDescent="0.25">
      <c r="A33" s="2002"/>
      <c r="B33" s="2003"/>
      <c r="C33" s="2003"/>
      <c r="D33" s="2003"/>
      <c r="E33" s="2003"/>
      <c r="F33" s="2003"/>
      <c r="G33" s="2003"/>
      <c r="H33" s="2003"/>
      <c r="I33" s="2004"/>
    </row>
    <row r="34" spans="1:9" ht="23" thickBot="1" x14ac:dyDescent="0.25">
      <c r="A34" s="202"/>
      <c r="B34" s="203"/>
      <c r="C34" s="203"/>
      <c r="D34" s="203"/>
      <c r="E34" s="203"/>
      <c r="F34" s="203"/>
      <c r="G34" s="203"/>
      <c r="H34" s="203"/>
      <c r="I34" s="204"/>
    </row>
    <row r="35" spans="1:9" ht="16" thickBot="1" x14ac:dyDescent="0.25">
      <c r="A35" s="2005" t="s">
        <v>553</v>
      </c>
      <c r="B35" s="2006"/>
      <c r="C35" s="2006"/>
      <c r="D35" s="2006"/>
      <c r="E35" s="2006"/>
      <c r="F35" s="2006"/>
      <c r="G35" s="2006"/>
      <c r="H35" s="2006"/>
      <c r="I35" s="2007"/>
    </row>
    <row r="36" spans="1:9" ht="16" thickBot="1" x14ac:dyDescent="0.25">
      <c r="A36" s="1709" t="s">
        <v>554</v>
      </c>
      <c r="B36" s="1709" t="s">
        <v>555</v>
      </c>
      <c r="C36" s="1709" t="s">
        <v>41</v>
      </c>
      <c r="D36" s="1721" t="s">
        <v>511</v>
      </c>
      <c r="E36" s="1722"/>
      <c r="F36" s="1723"/>
      <c r="G36" s="1721" t="s">
        <v>556</v>
      </c>
      <c r="H36" s="1722"/>
      <c r="I36" s="1723"/>
    </row>
    <row r="37" spans="1:9" ht="33" thickBot="1" x14ac:dyDescent="0.25">
      <c r="A37" s="1710"/>
      <c r="B37" s="1710"/>
      <c r="C37" s="1710"/>
      <c r="D37" s="41" t="s">
        <v>518</v>
      </c>
      <c r="E37" s="41" t="s">
        <v>41</v>
      </c>
      <c r="F37" s="41" t="s">
        <v>519</v>
      </c>
      <c r="G37" s="41" t="s">
        <v>520</v>
      </c>
      <c r="H37" s="41" t="s">
        <v>524</v>
      </c>
      <c r="I37" s="77" t="s">
        <v>557</v>
      </c>
    </row>
    <row r="38" spans="1:9" ht="65" thickBot="1" x14ac:dyDescent="0.25">
      <c r="A38" s="34" t="s">
        <v>1569</v>
      </c>
      <c r="B38" s="72"/>
      <c r="C38" s="41"/>
      <c r="D38" s="49">
        <v>1436</v>
      </c>
      <c r="E38" s="41" t="s">
        <v>15</v>
      </c>
      <c r="F38" s="41">
        <v>2021</v>
      </c>
      <c r="G38" s="56"/>
      <c r="H38" s="64"/>
      <c r="I38" s="93"/>
    </row>
    <row r="39" spans="1:9" ht="17" thickBot="1" x14ac:dyDescent="0.25">
      <c r="A39" s="34" t="s">
        <v>714</v>
      </c>
      <c r="B39" s="72"/>
      <c r="C39" s="41"/>
      <c r="D39" s="49">
        <v>0.11</v>
      </c>
      <c r="E39" s="41" t="s">
        <v>378</v>
      </c>
      <c r="F39" s="41">
        <v>2023</v>
      </c>
      <c r="G39" s="56"/>
      <c r="H39" s="64"/>
      <c r="I39" s="93"/>
    </row>
    <row r="40" spans="1:9" ht="16" thickBot="1" x14ac:dyDescent="0.25">
      <c r="A40" s="34"/>
      <c r="B40" s="72"/>
      <c r="C40" s="41"/>
      <c r="D40" s="49"/>
      <c r="E40" s="41"/>
      <c r="F40" s="41"/>
      <c r="G40" s="56"/>
      <c r="H40" s="64"/>
      <c r="I40" s="93"/>
    </row>
    <row r="41" spans="1:9" ht="16" thickBot="1" x14ac:dyDescent="0.25">
      <c r="A41" s="1677" t="s">
        <v>526</v>
      </c>
      <c r="B41" s="1678"/>
      <c r="C41" s="1678"/>
      <c r="D41" s="1678"/>
      <c r="E41" s="1678"/>
      <c r="F41" s="1678"/>
      <c r="G41" s="1678"/>
      <c r="H41" s="1679"/>
      <c r="I41" s="94"/>
    </row>
    <row r="42" spans="1:9" ht="16" thickBot="1" x14ac:dyDescent="0.25">
      <c r="A42" s="76"/>
    </row>
    <row r="43" spans="1:9" ht="16" thickBot="1" x14ac:dyDescent="0.25">
      <c r="A43" s="2005" t="s">
        <v>558</v>
      </c>
      <c r="B43" s="2006"/>
      <c r="C43" s="2006"/>
      <c r="D43" s="2006"/>
      <c r="E43" s="2007"/>
    </row>
    <row r="44" spans="1:9" ht="33" thickBot="1" x14ac:dyDescent="0.25">
      <c r="A44" s="77" t="s">
        <v>559</v>
      </c>
      <c r="B44" s="77" t="s">
        <v>516</v>
      </c>
      <c r="C44" s="77" t="s">
        <v>41</v>
      </c>
      <c r="D44" s="77" t="s">
        <v>560</v>
      </c>
      <c r="E44" s="77" t="s">
        <v>557</v>
      </c>
    </row>
    <row r="45" spans="1:9" ht="17" thickBot="1" x14ac:dyDescent="0.25">
      <c r="A45" s="34" t="s">
        <v>567</v>
      </c>
      <c r="B45" s="36"/>
      <c r="C45" s="41" t="s">
        <v>568</v>
      </c>
      <c r="D45" s="43">
        <v>104000</v>
      </c>
      <c r="E45" s="43" cm="1">
        <f t="array" ref="E45:E48">D45:D48*B45:B48</f>
        <v>0</v>
      </c>
    </row>
    <row r="46" spans="1:9" ht="17" thickBot="1" x14ac:dyDescent="0.25">
      <c r="A46" s="34" t="s">
        <v>569</v>
      </c>
      <c r="B46" s="36"/>
      <c r="C46" s="41" t="s">
        <v>568</v>
      </c>
      <c r="D46" s="43">
        <v>97760</v>
      </c>
      <c r="E46" s="43">
        <v>0</v>
      </c>
    </row>
    <row r="47" spans="1:9" ht="17" thickBot="1" x14ac:dyDescent="0.25">
      <c r="A47" s="34" t="s">
        <v>570</v>
      </c>
      <c r="B47" s="36"/>
      <c r="C47" s="41" t="s">
        <v>568</v>
      </c>
      <c r="D47" s="43">
        <v>81120</v>
      </c>
      <c r="E47" s="43">
        <v>0</v>
      </c>
    </row>
    <row r="48" spans="1:9" ht="17" thickBot="1" x14ac:dyDescent="0.25">
      <c r="A48" s="34" t="s">
        <v>573</v>
      </c>
      <c r="B48" s="36"/>
      <c r="C48" s="41" t="s">
        <v>568</v>
      </c>
      <c r="D48" s="43">
        <v>66560</v>
      </c>
      <c r="E48" s="43">
        <v>0</v>
      </c>
    </row>
    <row r="49" spans="1:9" ht="16" thickBot="1" x14ac:dyDescent="0.25">
      <c r="A49" s="1753" t="s">
        <v>526</v>
      </c>
      <c r="B49" s="1754"/>
      <c r="C49" s="1754"/>
      <c r="D49" s="1754"/>
      <c r="E49" s="78">
        <f>SUM(_xlfn.ANCHORARRAY(E45))</f>
        <v>0</v>
      </c>
    </row>
    <row r="50" spans="1:9" ht="16" thickBot="1" x14ac:dyDescent="0.25"/>
    <row r="51" spans="1:9" ht="16" thickBot="1" x14ac:dyDescent="0.25">
      <c r="A51" s="2005" t="s">
        <v>562</v>
      </c>
      <c r="B51" s="2006"/>
      <c r="C51" s="2006"/>
      <c r="D51" s="2006"/>
      <c r="E51" s="2006"/>
      <c r="F51" s="2006"/>
      <c r="G51" s="2006"/>
      <c r="H51" s="2006"/>
      <c r="I51" s="2007"/>
    </row>
    <row r="52" spans="1:9" ht="16" thickBot="1" x14ac:dyDescent="0.25">
      <c r="A52" s="1721" t="s">
        <v>510</v>
      </c>
      <c r="B52" s="1722"/>
      <c r="C52" s="1722"/>
      <c r="D52" s="1721" t="s">
        <v>563</v>
      </c>
      <c r="E52" s="1722"/>
      <c r="F52" s="1723"/>
      <c r="G52" s="1721" t="s">
        <v>556</v>
      </c>
      <c r="H52" s="1722"/>
      <c r="I52" s="1723"/>
    </row>
    <row r="53" spans="1:9" ht="33" thickBot="1" x14ac:dyDescent="0.25">
      <c r="A53" s="34" t="s">
        <v>514</v>
      </c>
      <c r="B53" s="41" t="s">
        <v>564</v>
      </c>
      <c r="C53" s="41" t="s">
        <v>41</v>
      </c>
      <c r="D53" s="41" t="s">
        <v>518</v>
      </c>
      <c r="E53" s="41" t="s">
        <v>41</v>
      </c>
      <c r="F53" s="41" t="s">
        <v>519</v>
      </c>
      <c r="G53" s="41" t="s">
        <v>520</v>
      </c>
      <c r="H53" s="41" t="s">
        <v>524</v>
      </c>
      <c r="I53" s="41" t="s">
        <v>557</v>
      </c>
    </row>
    <row r="54" spans="1:9" ht="16" thickBot="1" x14ac:dyDescent="0.25">
      <c r="A54" s="34"/>
      <c r="B54" s="41"/>
      <c r="C54" s="49"/>
      <c r="D54" s="49"/>
      <c r="E54" s="41"/>
      <c r="F54" s="41"/>
      <c r="G54" s="41"/>
      <c r="H54" s="41"/>
      <c r="I54" s="49"/>
    </row>
    <row r="55" spans="1:9" ht="16" thickBot="1" x14ac:dyDescent="0.25">
      <c r="A55" s="77"/>
      <c r="B55" s="56"/>
      <c r="C55" s="86"/>
      <c r="D55" s="95"/>
      <c r="E55" s="77"/>
      <c r="F55" s="56"/>
      <c r="G55" s="77"/>
      <c r="H55" s="41"/>
      <c r="I55" s="49"/>
    </row>
    <row r="56" spans="1:9" ht="16" thickBot="1" x14ac:dyDescent="0.25">
      <c r="A56" s="1677" t="s">
        <v>526</v>
      </c>
      <c r="B56" s="1755"/>
      <c r="C56" s="1755"/>
      <c r="D56" s="1755"/>
      <c r="E56" s="1755"/>
      <c r="F56" s="1755"/>
      <c r="G56" s="1755"/>
      <c r="H56" s="1756"/>
      <c r="I56" s="96"/>
    </row>
  </sheetData>
  <mergeCells count="55">
    <mergeCell ref="A56:H56"/>
    <mergeCell ref="A35:I35"/>
    <mergeCell ref="A36:A37"/>
    <mergeCell ref="B36:B37"/>
    <mergeCell ref="C36:C37"/>
    <mergeCell ref="D36:F36"/>
    <mergeCell ref="G36:I36"/>
    <mergeCell ref="A41:H41"/>
    <mergeCell ref="A43:E43"/>
    <mergeCell ref="A49:D49"/>
    <mergeCell ref="A52:C52"/>
    <mergeCell ref="D52:F52"/>
    <mergeCell ref="G52:I52"/>
    <mergeCell ref="A51:I51"/>
    <mergeCell ref="A32:I33"/>
    <mergeCell ref="A29:N29"/>
    <mergeCell ref="A16:O17"/>
    <mergeCell ref="A18:O18"/>
    <mergeCell ref="A19:E19"/>
    <mergeCell ref="F19:J19"/>
    <mergeCell ref="K19:N19"/>
    <mergeCell ref="O19:O21"/>
    <mergeCell ref="A20:A21"/>
    <mergeCell ref="B20:B21"/>
    <mergeCell ref="C20:C21"/>
    <mergeCell ref="J20:J21"/>
    <mergeCell ref="K20:K21"/>
    <mergeCell ref="L20:L21"/>
    <mergeCell ref="M20:M21"/>
    <mergeCell ref="A2:O3"/>
    <mergeCell ref="A4:O4"/>
    <mergeCell ref="A5:E5"/>
    <mergeCell ref="F5:J5"/>
    <mergeCell ref="K5:N5"/>
    <mergeCell ref="O5:O7"/>
    <mergeCell ref="A6:A7"/>
    <mergeCell ref="B6:B7"/>
    <mergeCell ref="C6:C7"/>
    <mergeCell ref="D6:D7"/>
    <mergeCell ref="F6:F7"/>
    <mergeCell ref="G6:G7"/>
    <mergeCell ref="H6:H7"/>
    <mergeCell ref="I6:I7"/>
    <mergeCell ref="J6:J7"/>
    <mergeCell ref="K6:K7"/>
    <mergeCell ref="L6:L7"/>
    <mergeCell ref="M6:M7"/>
    <mergeCell ref="A13:N13"/>
    <mergeCell ref="E6:E7"/>
    <mergeCell ref="D20:D21"/>
    <mergeCell ref="E20:E21"/>
    <mergeCell ref="F20:F21"/>
    <mergeCell ref="G20:G21"/>
    <mergeCell ref="H20:H21"/>
    <mergeCell ref="I20:I21"/>
  </mergeCells>
  <pageMargins left="0.7" right="0.7" top="0.75" bottom="0.75" header="0.3" footer="0.3"/>
  <pageSetup orientation="portrait" horizontalDpi="0" verticalDpi="0"/>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22</vt:i4>
      </vt:variant>
    </vt:vector>
  </HeadingPairs>
  <TitlesOfParts>
    <vt:vector size="22" baseType="lpstr">
      <vt:lpstr>Inputs</vt:lpstr>
      <vt:lpstr>Units</vt:lpstr>
      <vt:lpstr>ExpBase</vt:lpstr>
      <vt:lpstr>Carbon</vt:lpstr>
      <vt:lpstr>CostCalc</vt:lpstr>
      <vt:lpstr>Locate</vt:lpstr>
      <vt:lpstr>CAPEX</vt:lpstr>
      <vt:lpstr>OPEX</vt:lpstr>
      <vt:lpstr>Figures</vt:lpstr>
      <vt:lpstr>A_DCFROR</vt:lpstr>
      <vt:lpstr>B_DCFROR</vt:lpstr>
      <vt:lpstr>AB_DCFROR</vt:lpstr>
      <vt:lpstr>Scale&amp;MVA</vt:lpstr>
      <vt:lpstr>BM_Flow</vt:lpstr>
      <vt:lpstr>BM_CAPEX</vt:lpstr>
      <vt:lpstr>BM_OPEX</vt:lpstr>
      <vt:lpstr>BM_DCFROR</vt:lpstr>
      <vt:lpstr>LCOE&amp;D</vt:lpstr>
      <vt:lpstr>LCOE_CP</vt:lpstr>
      <vt:lpstr>LCI_AB</vt:lpstr>
      <vt:lpstr>LCA</vt:lpstr>
      <vt:lpstr>Reserve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Smith Pittman</dc:creator>
  <cp:lastModifiedBy>Smith Pittman</cp:lastModifiedBy>
  <cp:lastPrinted>2026-09-23T16:41:41Z</cp:lastPrinted>
  <dcterms:created xsi:type="dcterms:W3CDTF">2024-04-18T19:23:46Z</dcterms:created>
  <dcterms:modified xsi:type="dcterms:W3CDTF">2026-09-23T22:05:15Z</dcterms:modified>
</cp:coreProperties>
</file>